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56.xml"/>
  <Override ContentType="application/vnd.openxmlformats-officedocument.spreadsheetml.externalLink+xml" PartName="/xl/externalLinks/externalLink57.xml"/>
  <Override ContentType="application/vnd.openxmlformats-officedocument.spreadsheetml.externalLink+xml" PartName="/xl/externalLinks/externalLink58.xml"/>
  <Override ContentType="application/vnd.openxmlformats-officedocument.spreadsheetml.externalLink+xml" PartName="/xl/externalLinks/externalLink59.xml"/>
  <Override ContentType="application/vnd.openxmlformats-officedocument.spreadsheetml.externalLink+xml" PartName="/xl/externalLinks/externalLink6.xml"/>
  <Override ContentType="application/vnd.openxmlformats-officedocument.spreadsheetml.externalLink+xml" PartName="/xl/externalLinks/externalLink60.xml"/>
  <Override ContentType="application/vnd.openxmlformats-officedocument.spreadsheetml.externalLink+xml" PartName="/xl/externalLinks/externalLink61.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0" yWindow="330" windowWidth="26475" windowHeight="11985" tabRatio="904"/>
  </bookViews>
  <sheets>
    <sheet name="ImportantDisclosures" sheetId="126" r:id="rId1"/>
    <sheet name="CircularReferenceAlert" sheetId="129" r:id="rId2"/>
    <sheet name="Model--&gt;" sheetId="93" r:id="rId3"/>
    <sheet name="Segments" sheetId="91" r:id="rId4"/>
    <sheet name="CA&amp;V" sheetId="103" r:id="rId5"/>
    <sheet name="IS" sheetId="92" r:id="rId6"/>
    <sheet name="BS" sheetId="2" r:id="rId7"/>
    <sheet name="CF" sheetId="8" r:id="rId8"/>
    <sheet name="IndexInformation" sheetId="127" r:id="rId9"/>
    <sheet name="ModPubIndex" sheetId="128" r:id="rId10"/>
    <sheet name="MW-Cache" sheetId="38" state="veryHidden" r:id="rId11"/>
    <sheet name="__FDSCACHE__" sheetId="65" state="veryHidden" r:id="rId12"/>
  </sheets>
  <externalReferences>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s>
  <definedNames>
    <definedName name="__Cog02">[1]Assumptions!$B$135:$R$149</definedName>
    <definedName name="__FDS_HYPERLINK_TOGGLE_STATE__" hidden="1">"ON"</definedName>
    <definedName name="__FDS_UNIQUE_RANGE_ID_GENERATOR_COUNTER" hidden="1">1</definedName>
    <definedName name="__NSP02">[1]Assumptions!$B$116:$R$132</definedName>
    <definedName name="__nst02">[1]Assumptions!$B$154:$R$167</definedName>
    <definedName name="__POG02">[1]Assumptions!$B$21:$R$37</definedName>
    <definedName name="_111__FDSAUDITLINK__" hidden="1">{"fdsup://Directions/FactSet Auditing Viewer?action=AUDIT_VALUE&amp;DB=129&amp;ID1=69350610&amp;VALUEID=05194&amp;SDATE=200603&amp;PERIODTYPE=QTR_STD&amp;window=popup_no_bar&amp;width=385&amp;height=120&amp;START_MAXIMIZED=FALSE&amp;creator=factset&amp;display_string=Audit"}</definedName>
    <definedName name="_112__FDSAUDITLINK__" hidden="1">{"fdsup://Directions/FactSet Auditing Viewer?action=AUDIT_VALUE&amp;DB=129&amp;ID1=69350610&amp;VALUEID=05194&amp;SDATE=200701&amp;PERIODTYPE=QTR_STD&amp;window=popup_no_bar&amp;width=385&amp;height=120&amp;START_MAXIMIZED=FALSE&amp;creator=factset&amp;display_string=Audit"}</definedName>
    <definedName name="_113__FDSAUDITLINK__" hidden="1">{"fdsup://Directions/FactSet Auditing Viewer?action=AUDIT_VALUE&amp;DB=129&amp;ID1=69350610&amp;VALUEID=05194&amp;SDATE=200702&amp;PERIODTYPE=QTR_STD&amp;window=popup_no_bar&amp;width=385&amp;height=120&amp;START_MAXIMIZED=FALSE&amp;creator=factset&amp;display_string=Audit"}</definedName>
    <definedName name="_114__FDSAUDITLINK__" hidden="1">{"fdsup://Directions/FactSet Auditing Viewer?action=AUDIT_VALUE&amp;DB=129&amp;ID1=69350610&amp;VALUEID=05194&amp;SDATE=200703&amp;PERIODTYPE=QTR_STD&amp;window=popup_no_bar&amp;width=385&amp;height=120&amp;START_MAXIMIZED=FALSE&amp;creator=factset&amp;display_string=Audit"}</definedName>
    <definedName name="_115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16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17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18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19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20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21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22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23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24__FDSAUDITLINK__" hidden="1">{"fdsup://Directions/FactSet Auditing Viewer?action=AUDIT_VALUE&amp;DB=129&amp;ID1=69350610&amp;VALUEID=05194&amp;SDATE=200601&amp;PERIODTYPE=QTR_STD&amp;window=popup_no_bar&amp;width=385&amp;height=120&amp;START_MAXIMIZED=FALSE&amp;creator=factset&amp;display_string=Audit"}</definedName>
    <definedName name="_125__FDSAUDITLINK__" hidden="1">{"fdsup://Directions/FactSet Auditing Viewer?action=AUDIT_VALUE&amp;DB=129&amp;ID1=69350610&amp;VALUEID=05194&amp;SDATE=200601&amp;PERIODTYPE=QTR_STD&amp;window=popup_no_bar&amp;width=385&amp;height=120&amp;START_MAXIMIZED=FALSE&amp;creator=factset&amp;display_string=Audit"}</definedName>
    <definedName name="_126__FDSAUDITLINK__" hidden="1">{"fdsup://Directions/FactSet Auditing Viewer?action=AUDIT_VALUE&amp;DB=129&amp;ID1=69350610&amp;VALUEID=05194&amp;SDATE=200602&amp;PERIODTYPE=QTR_STD&amp;window=popup_no_bar&amp;width=385&amp;height=120&amp;START_MAXIMIZED=FALSE&amp;creator=factset&amp;display_string=Audit"}</definedName>
    <definedName name="_127__FDSAUDITLINK__" hidden="1">{"fdsup://Directions/FactSet Auditing Viewer?action=AUDIT_VALUE&amp;DB=129&amp;ID1=69350610&amp;VALUEID=05194&amp;SDATE=200602&amp;PERIODTYPE=QTR_STD&amp;window=popup_no_bar&amp;width=385&amp;height=120&amp;START_MAXIMIZED=FALSE&amp;creator=factset&amp;display_string=Audit"}</definedName>
    <definedName name="_128__FDSAUDITLINK__" hidden="1">{"fdsup://Directions/FactSet Auditing Viewer?action=AUDIT_VALUE&amp;DB=129&amp;ID1=69350610&amp;VALUEID=05194&amp;SDATE=200603&amp;PERIODTYPE=QTR_STD&amp;window=popup_no_bar&amp;width=385&amp;height=120&amp;START_MAXIMIZED=FALSE&amp;creator=factset&amp;display_string=Audit"}</definedName>
    <definedName name="_129__FDSAUDITLINK__" hidden="1">{"fdsup://Directions/FactSet Auditing Viewer?action=AUDIT_VALUE&amp;DB=129&amp;ID1=69350610&amp;VALUEID=05194&amp;SDATE=200603&amp;PERIODTYPE=QTR_STD&amp;window=popup_no_bar&amp;width=385&amp;height=120&amp;START_MAXIMIZED=FALSE&amp;creator=factset&amp;display_string=Audit"}</definedName>
    <definedName name="_13__123Graph_XLIQUIDS" hidden="1">[2]P!$R$29:$AK$29</definedName>
    <definedName name="_130__FDSAUDITLINK__" hidden="1">{"fdsup://Directions/FactSet Auditing Viewer?action=AUDIT_VALUE&amp;DB=129&amp;ID1=69350610&amp;VALUEID=05194&amp;SDATE=200701&amp;PERIODTYPE=QTR_STD&amp;window=popup_no_bar&amp;width=385&amp;height=120&amp;START_MAXIMIZED=FALSE&amp;creator=factset&amp;display_string=Audit"}</definedName>
    <definedName name="_131__FDSAUDITLINK__" hidden="1">{"fdsup://Directions/FactSet Auditing Viewer?action=AUDIT_VALUE&amp;DB=129&amp;ID1=69350610&amp;VALUEID=05194&amp;SDATE=200701&amp;PERIODTYPE=QTR_STD&amp;window=popup_no_bar&amp;width=385&amp;height=120&amp;START_MAXIMIZED=FALSE&amp;creator=factset&amp;display_string=Audit"}</definedName>
    <definedName name="_132__FDSAUDITLINK__" hidden="1">{"fdsup://Directions/FactSet Auditing Viewer?action=AUDIT_VALUE&amp;DB=129&amp;ID1=69350610&amp;VALUEID=05194&amp;SDATE=200702&amp;PERIODTYPE=QTR_STD&amp;window=popup_no_bar&amp;width=385&amp;height=120&amp;START_MAXIMIZED=FALSE&amp;creator=factset&amp;display_string=Audit"}</definedName>
    <definedName name="_133__FDSAUDITLINK__" hidden="1">{"fdsup://Directions/FactSet Auditing Viewer?action=AUDIT_VALUE&amp;DB=129&amp;ID1=69350610&amp;VALUEID=05194&amp;SDATE=200702&amp;PERIODTYPE=QTR_STD&amp;window=popup_no_bar&amp;width=385&amp;height=120&amp;START_MAXIMIZED=FALSE&amp;creator=factset&amp;display_string=Audit"}</definedName>
    <definedName name="_134__FDSAUDITLINK__" hidden="1">{"fdsup://Directions/FactSet Auditing Viewer?action=AUDIT_VALUE&amp;DB=129&amp;ID1=69350610&amp;VALUEID=05194&amp;SDATE=200703&amp;PERIODTYPE=QTR_STD&amp;window=popup_no_bar&amp;width=385&amp;height=120&amp;START_MAXIMIZED=FALSE&amp;creator=factset&amp;display_string=Audit"}</definedName>
    <definedName name="_135__FDSAUDITLINK__" hidden="1">{"fdsup://Directions/FactSet Auditing Viewer?action=AUDIT_VALUE&amp;DB=129&amp;ID1=69350610&amp;VALUEID=05194&amp;SDATE=200703&amp;PERIODTYPE=QTR_STD&amp;window=popup_no_bar&amp;width=385&amp;height=120&amp;START_MAXIMIZED=FALSE&amp;creator=factset&amp;display_string=Audit"}</definedName>
    <definedName name="_136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37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38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39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0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1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2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3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4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5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6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7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8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49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50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51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52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53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54__FDSAUDITLINK__" hidden="1">{"fdsup://Directions/FactSet Auditing Viewer?action=AUDIT_VALUE&amp;DB=129&amp;ID1=69350610&amp;VALUEID=05194&amp;SDATE=200601&amp;PERIODTYPE=QTR_STD&amp;window=popup_no_bar&amp;width=385&amp;height=120&amp;START_MAXIMIZED=FALSE&amp;creator=factset&amp;display_string=Audit"}</definedName>
    <definedName name="_155__FDSAUDITLINK__" hidden="1">{"fdsup://Directions/FactSet Auditing Viewer?action=AUDIT_VALUE&amp;DB=129&amp;ID1=69350610&amp;VALUEID=05194&amp;SDATE=200601&amp;PERIODTYPE=QTR_STD&amp;window=popup_no_bar&amp;width=385&amp;height=120&amp;START_MAXIMIZED=FALSE&amp;creator=factset&amp;display_string=Audit"}</definedName>
    <definedName name="_156__FDSAUDITLINK__" hidden="1">{"fdsup://Directions/FactSet Auditing Viewer?action=AUDIT_VALUE&amp;DB=129&amp;ID1=69350610&amp;VALUEID=05194&amp;SDATE=200602&amp;PERIODTYPE=QTR_STD&amp;window=popup_no_bar&amp;width=385&amp;height=120&amp;START_MAXIMIZED=FALSE&amp;creator=factset&amp;display_string=Audit"}</definedName>
    <definedName name="_157__FDSAUDITLINK__" hidden="1">{"fdsup://Directions/FactSet Auditing Viewer?action=AUDIT_VALUE&amp;DB=129&amp;ID1=69350610&amp;VALUEID=05194&amp;SDATE=200602&amp;PERIODTYPE=QTR_STD&amp;window=popup_no_bar&amp;width=385&amp;height=120&amp;START_MAXIMIZED=FALSE&amp;creator=factset&amp;display_string=Audit"}</definedName>
    <definedName name="_158__FDSAUDITLINK__" hidden="1">{"fdsup://Directions/FactSet Auditing Viewer?action=AUDIT_VALUE&amp;DB=129&amp;ID1=69350610&amp;VALUEID=05194&amp;SDATE=200603&amp;PERIODTYPE=QTR_STD&amp;window=popup_no_bar&amp;width=385&amp;height=120&amp;START_MAXIMIZED=FALSE&amp;creator=factset&amp;display_string=Audit"}</definedName>
    <definedName name="_159__FDSAUDITLINK__" hidden="1">{"fdsup://Directions/FactSet Auditing Viewer?action=AUDIT_VALUE&amp;DB=129&amp;ID1=69350610&amp;VALUEID=05194&amp;SDATE=200603&amp;PERIODTYPE=QTR_STD&amp;window=popup_no_bar&amp;width=385&amp;height=120&amp;START_MAXIMIZED=FALSE&amp;creator=factset&amp;display_string=Audit"}</definedName>
    <definedName name="_16__123Graph_XR_M_MARG" hidden="1">[2]P!$R$29:$AK$29</definedName>
    <definedName name="_160__FDSAUDITLINK__" hidden="1">{"fdsup://Directions/FactSet Auditing Viewer?action=AUDIT_VALUE&amp;DB=129&amp;ID1=69350610&amp;VALUEID=05194&amp;SDATE=200701&amp;PERIODTYPE=QTR_STD&amp;window=popup_no_bar&amp;width=385&amp;height=120&amp;START_MAXIMIZED=FALSE&amp;creator=factset&amp;display_string=Audit"}</definedName>
    <definedName name="_161__FDSAUDITLINK__" hidden="1">{"fdsup://Directions/FactSet Auditing Viewer?action=AUDIT_VALUE&amp;DB=129&amp;ID1=69350610&amp;VALUEID=05194&amp;SDATE=200701&amp;PERIODTYPE=QTR_STD&amp;window=popup_no_bar&amp;width=385&amp;height=120&amp;START_MAXIMIZED=FALSE&amp;creator=factset&amp;display_string=Audit"}</definedName>
    <definedName name="_162__FDSAUDITLINK__" hidden="1">{"fdsup://Directions/FactSet Auditing Viewer?action=AUDIT_VALUE&amp;DB=129&amp;ID1=69350610&amp;VALUEID=05194&amp;SDATE=200702&amp;PERIODTYPE=QTR_STD&amp;window=popup_no_bar&amp;width=385&amp;height=120&amp;START_MAXIMIZED=FALSE&amp;creator=factset&amp;display_string=Audit"}</definedName>
    <definedName name="_163__FDSAUDITLINK__" hidden="1">{"fdsup://Directions/FactSet Auditing Viewer?action=AUDIT_VALUE&amp;DB=129&amp;ID1=69350610&amp;VALUEID=05194&amp;SDATE=200702&amp;PERIODTYPE=QTR_STD&amp;window=popup_no_bar&amp;width=385&amp;height=120&amp;START_MAXIMIZED=FALSE&amp;creator=factset&amp;display_string=Audit"}</definedName>
    <definedName name="_164__FDSAUDITLINK__" hidden="1">{"fdsup://Directions/FactSet Auditing Viewer?action=AUDIT_VALUE&amp;DB=129&amp;ID1=69350610&amp;VALUEID=05194&amp;SDATE=200703&amp;PERIODTYPE=QTR_STD&amp;window=popup_no_bar&amp;width=385&amp;height=120&amp;START_MAXIMIZED=FALSE&amp;creator=factset&amp;display_string=Audit"}</definedName>
    <definedName name="_165__FDSAUDITLINK__" hidden="1">{"fdsup://Directions/FactSet Auditing Viewer?action=AUDIT_VALUE&amp;DB=129&amp;ID1=69350610&amp;VALUEID=05194&amp;SDATE=200703&amp;PERIODTYPE=QTR_STD&amp;window=popup_no_bar&amp;width=385&amp;height=120&amp;START_MAXIMIZED=FALSE&amp;creator=factset&amp;display_string=Audit"}</definedName>
    <definedName name="_166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67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68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69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0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1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2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3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4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5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6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7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8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79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80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81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82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83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184__FDSAUDITLINK__" hidden="1">{"fdsup://Directions/FactSet Auditing Viewer?action=AUDIT_VALUE&amp;DB=129&amp;ID1=69350610&amp;VALUEID=02001&amp;SDATE=200601&amp;PERIODTYPE=QTR_STD&amp;window=popup_no_bar&amp;width=385&amp;height=120&amp;START_MAXIMIZED=FALSE&amp;creator=factset&amp;display_string=Audit"}</definedName>
    <definedName name="_185__FDSAUDITLINK__" hidden="1">{"fdsup://Directions/FactSet Auditing Viewer?action=AUDIT_VALUE&amp;DB=129&amp;ID1=69350610&amp;VALUEID=02001&amp;SDATE=200601&amp;PERIODTYPE=QTR_STD&amp;window=popup_no_bar&amp;width=385&amp;height=120&amp;START_MAXIMIZED=FALSE&amp;creator=factset&amp;display_string=Audit"}</definedName>
    <definedName name="_186__FDSAUDITLINK__" hidden="1">{"fdsup://Directions/FactSet Auditing Viewer?action=AUDIT_VALUE&amp;DB=129&amp;ID1=69350610&amp;VALUEID=02001&amp;SDATE=200602&amp;PERIODTYPE=QTR_STD&amp;window=popup_no_bar&amp;width=385&amp;height=120&amp;START_MAXIMIZED=FALSE&amp;creator=factset&amp;display_string=Audit"}</definedName>
    <definedName name="_187__FDSAUDITLINK__" hidden="1">{"fdsup://Directions/FactSet Auditing Viewer?action=AUDIT_VALUE&amp;DB=129&amp;ID1=69350610&amp;VALUEID=02001&amp;SDATE=200602&amp;PERIODTYPE=QTR_STD&amp;window=popup_no_bar&amp;width=385&amp;height=120&amp;START_MAXIMIZED=FALSE&amp;creator=factset&amp;display_string=Audit"}</definedName>
    <definedName name="_188__FDSAUDITLINK__" hidden="1">{"fdsup://Directions/FactSet Auditing Viewer?action=AUDIT_VALUE&amp;DB=129&amp;ID1=69350610&amp;VALUEID=02001&amp;SDATE=200603&amp;PERIODTYPE=QTR_STD&amp;window=popup_no_bar&amp;width=385&amp;height=120&amp;START_MAXIMIZED=FALSE&amp;creator=factset&amp;display_string=Audit"}</definedName>
    <definedName name="_189__FDSAUDITLINK__" hidden="1">{"fdsup://Directions/FactSet Auditing Viewer?action=AUDIT_VALUE&amp;DB=129&amp;ID1=69350610&amp;VALUEID=02001&amp;SDATE=200603&amp;PERIODTYPE=QTR_STD&amp;window=popup_no_bar&amp;width=385&amp;height=120&amp;START_MAXIMIZED=FALSE&amp;creator=factset&amp;display_string=Audit"}</definedName>
    <definedName name="_190__FDSAUDITLINK__" hidden="1">{"fdsup://Directions/FactSet Auditing Viewer?action=AUDIT_VALUE&amp;DB=129&amp;ID1=69350610&amp;VALUEID=02001&amp;SDATE=200701&amp;PERIODTYPE=QTR_STD&amp;window=popup_no_bar&amp;width=385&amp;height=120&amp;START_MAXIMIZED=FALSE&amp;creator=factset&amp;display_string=Audit"}</definedName>
    <definedName name="_191__FDSAUDITLINK__" hidden="1">{"fdsup://Directions/FactSet Auditing Viewer?action=AUDIT_VALUE&amp;DB=129&amp;ID1=69350610&amp;VALUEID=02001&amp;SDATE=200701&amp;PERIODTYPE=QTR_STD&amp;window=popup_no_bar&amp;width=385&amp;height=120&amp;START_MAXIMIZED=FALSE&amp;creator=factset&amp;display_string=Audit"}</definedName>
    <definedName name="_192__FDSAUDITLINK__" hidden="1">{"fdsup://Directions/FactSet Auditing Viewer?action=AUDIT_VALUE&amp;DB=129&amp;ID1=69350610&amp;VALUEID=02001&amp;SDATE=200702&amp;PERIODTYPE=QTR_STD&amp;window=popup_no_bar&amp;width=385&amp;height=120&amp;START_MAXIMIZED=FALSE&amp;creator=factset&amp;display_string=Audit"}</definedName>
    <definedName name="_193__FDSAUDITLINK__" hidden="1">{"fdsup://Directions/FactSet Auditing Viewer?action=AUDIT_VALUE&amp;DB=129&amp;ID1=69350610&amp;VALUEID=02001&amp;SDATE=200702&amp;PERIODTYPE=QTR_STD&amp;window=popup_no_bar&amp;width=385&amp;height=120&amp;START_MAXIMIZED=FALSE&amp;creator=factset&amp;display_string=Audit"}</definedName>
    <definedName name="_194__FDSAUDITLINK__" hidden="1">{"fdsup://Directions/FactSet Auditing Viewer?action=AUDIT_VALUE&amp;DB=129&amp;ID1=69350610&amp;VALUEID=02001&amp;SDATE=200703&amp;PERIODTYPE=QTR_STD&amp;window=popup_no_bar&amp;width=385&amp;height=120&amp;START_MAXIMIZED=FALSE&amp;creator=factset&amp;display_string=Audit"}</definedName>
    <definedName name="_195__FDSAUDITLINK__" hidden="1">{"fdsup://Directions/FactSet Auditing Viewer?action=AUDIT_VALUE&amp;DB=129&amp;ID1=69350610&amp;VALUEID=02001&amp;SDATE=200703&amp;PERIODTYPE=QTR_STD&amp;window=popup_no_bar&amp;width=385&amp;height=120&amp;START_MAXIMIZED=FALSE&amp;creator=factset&amp;display_string=Audit"}</definedName>
    <definedName name="_196__FDSAUDITLINK__" hidden="1">{"fdsup://Directions/FactSet Auditing Viewer?action=AUDIT_VALUE&amp;DB=129&amp;ID1=92035510&amp;VALUEID=02001&amp;SDATE=200602&amp;PERIODTYPE=QTR_STD&amp;window=popup_no_bar&amp;width=385&amp;height=120&amp;START_MAXIMIZED=FALSE&amp;creator=factset&amp;display_string=Audit"}</definedName>
    <definedName name="_197__FDSAUDITLINK__" hidden="1">{"fdsup://Directions/FactSet Auditing Viewer?action=AUDIT_VALUE&amp;DB=129&amp;ID1=92035510&amp;VALUEID=02001&amp;SDATE=200602&amp;PERIODTYPE=QTR_STD&amp;window=popup_no_bar&amp;width=385&amp;height=120&amp;START_MAXIMIZED=FALSE&amp;creator=factset&amp;display_string=Audit"}</definedName>
    <definedName name="_198__FDSAUDITLINK__" hidden="1">{"fdsup://Directions/FactSet Auditing Viewer?action=AUDIT_VALUE&amp;DB=129&amp;ID1=92035510&amp;VALUEID=02001&amp;SDATE=200901&amp;PERIODTYPE=QTR_STD&amp;window=popup_no_bar&amp;width=385&amp;height=120&amp;START_MAXIMIZED=FALSE&amp;creator=factset&amp;display_string=Audit"}</definedName>
    <definedName name="_199__FDSAUDITLINK__" hidden="1">{"fdsup://Directions/FactSet Auditing Viewer?action=AUDIT_VALUE&amp;DB=129&amp;ID1=92035510&amp;VALUEID=02001&amp;SDATE=200901&amp;PERIODTYPE=QTR_STD&amp;window=popup_no_bar&amp;width=385&amp;height=120&amp;START_MAXIMIZED=FALSE&amp;creator=factset&amp;display_string=Audit"}</definedName>
    <definedName name="_200__FDSAUDITLINK__" hidden="1">{"fdsup://Directions/FactSet Auditing Viewer?action=AUDIT_VALUE&amp;DB=129&amp;ID1=92035510&amp;VALUEID=02001&amp;SDATE=200903&amp;PERIODTYPE=QTR_STD&amp;window=popup_no_bar&amp;width=385&amp;height=120&amp;START_MAXIMIZED=FALSE&amp;creator=factset&amp;display_string=Audit"}</definedName>
    <definedName name="_201__FDSAUDITLINK__" hidden="1">{"fdsup://Directions/FactSet Auditing Viewer?action=AUDIT_VALUE&amp;DB=129&amp;ID1=92035510&amp;VALUEID=02001&amp;SDATE=200903&amp;PERIODTYPE=QTR_STD&amp;window=popup_no_bar&amp;width=385&amp;height=120&amp;START_MAXIMIZED=FALSE&amp;creator=factset&amp;display_string=Audit"}</definedName>
    <definedName name="_202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03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04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05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06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07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08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09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10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11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12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13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14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15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216__FDSAUDITLINK__" hidden="1">{"fdsup://Directions/FactSet Auditing Viewer?action=AUDIT_VALUE&amp;DB=129&amp;ID1=92035510&amp;VALUEID=05194&amp;SDATE=200602&amp;PERIODTYPE=QTR_STD&amp;window=popup_no_bar&amp;width=385&amp;height=120&amp;START_MAXIMIZED=FALSE&amp;creator=factset&amp;display_string=Audit"}</definedName>
    <definedName name="_217__FDSAUDITLINK__" hidden="1">{"fdsup://Directions/FactSet Auditing Viewer?action=AUDIT_VALUE&amp;DB=129&amp;ID1=92035510&amp;VALUEID=05194&amp;SDATE=200602&amp;PERIODTYPE=QTR_STD&amp;window=popup_no_bar&amp;width=385&amp;height=120&amp;START_MAXIMIZED=FALSE&amp;creator=factset&amp;display_string=Audit"}</definedName>
    <definedName name="_218__FDSAUDITLINK__" hidden="1">{"fdsup://Directions/FactSet Auditing Viewer?action=AUDIT_VALUE&amp;DB=129&amp;ID1=92035510&amp;VALUEID=05194&amp;SDATE=200804&amp;PERIODTYPE=QTR_STD&amp;window=popup_no_bar&amp;width=385&amp;height=120&amp;START_MAXIMIZED=FALSE&amp;creator=factset&amp;display_string=Audit"}</definedName>
    <definedName name="_219__FDSAUDITLINK__" hidden="1">{"fdsup://Directions/FactSet Auditing Viewer?action=AUDIT_VALUE&amp;DB=129&amp;ID1=92035510&amp;VALUEID=05194&amp;SDATE=200804&amp;PERIODTYPE=QTR_STD&amp;window=popup_no_bar&amp;width=385&amp;height=120&amp;START_MAXIMIZED=FALSE&amp;creator=factset&amp;display_string=Audit"}</definedName>
    <definedName name="_22__123Graph_XLIQUIDS" hidden="1">[2]P!$R$29:$AK$29</definedName>
    <definedName name="_220__FDSAUDITLINK__" hidden="1">{"fdsup://Directions/FactSet Auditing Viewer?action=AUDIT_VALUE&amp;DB=129&amp;ID1=92035510&amp;VALUEID=05194&amp;SDATE=200901&amp;PERIODTYPE=QTR_STD&amp;window=popup_no_bar&amp;width=385&amp;height=120&amp;START_MAXIMIZED=FALSE&amp;creator=factset&amp;display_string=Audit"}</definedName>
    <definedName name="_221__FDSAUDITLINK__" hidden="1">{"fdsup://Directions/FactSet Auditing Viewer?action=AUDIT_VALUE&amp;DB=129&amp;ID1=92035510&amp;VALUEID=05194&amp;SDATE=200901&amp;PERIODTYPE=QTR_STD&amp;window=popup_no_bar&amp;width=385&amp;height=120&amp;START_MAXIMIZED=FALSE&amp;creator=factset&amp;display_string=Audit"}</definedName>
    <definedName name="_222__FDSAUDITLINK__" hidden="1">{"fdsup://Directions/FactSet Auditing Viewer?action=AUDIT_VALUE&amp;DB=129&amp;ID1=92035510&amp;VALUEID=05194&amp;SDATE=200903&amp;PERIODTYPE=QTR_STD&amp;window=popup_no_bar&amp;width=385&amp;height=120&amp;START_MAXIMIZED=FALSE&amp;creator=factset&amp;display_string=Audit"}</definedName>
    <definedName name="_223__FDSAUDITLINK__" hidden="1">{"fdsup://Directions/FactSet Auditing Viewer?action=AUDIT_VALUE&amp;DB=129&amp;ID1=92035510&amp;VALUEID=05194&amp;SDATE=200903&amp;PERIODTYPE=QTR_STD&amp;window=popup_no_bar&amp;width=385&amp;height=120&amp;START_MAXIMIZED=FALSE&amp;creator=factset&amp;display_string=Audit"}</definedName>
    <definedName name="_224__FDSAUDITLINK__" hidden="1">{"fdsup://Directions/FactSet Auditing Viewer?action=AUDIT_VALUE&amp;DB=129&amp;ID1=92035510&amp;VALUEID=05194&amp;SDATE=200904&amp;PERIODTYPE=QTR_STD&amp;window=popup_no_bar&amp;width=385&amp;height=120&amp;START_MAXIMIZED=FALSE&amp;creator=factset&amp;display_string=Audit"}</definedName>
    <definedName name="_225__FDSAUDITLINK__" hidden="1">{"fdsup://Directions/FactSet Auditing Viewer?action=AUDIT_VALUE&amp;DB=129&amp;ID1=92035510&amp;VALUEID=05194&amp;SDATE=200904&amp;PERIODTYPE=QTR_STD&amp;window=popup_no_bar&amp;width=385&amp;height=120&amp;START_MAXIMIZED=FALSE&amp;creator=factset&amp;display_string=Audit"}</definedName>
    <definedName name="_226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27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28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29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0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1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2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3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4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5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6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7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8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39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240__FDSAUDITLINK__" hidden="1">{"fdsup://Directions/FactSet Auditing Viewer?action=AUDIT_VALUE&amp;DB=129&amp;ID1=82434810&amp;VALUEID=02001&amp;SDATE=200601&amp;PERIODTYPE=QTR_STD&amp;window=popup_no_bar&amp;width=385&amp;height=120&amp;START_MAXIMIZED=FALSE&amp;creator=factset&amp;display_string=Audit"}</definedName>
    <definedName name="_241__FDSAUDITLINK__" hidden="1">{"fdsup://Directions/FactSet Auditing Viewer?action=AUDIT_VALUE&amp;DB=129&amp;ID1=82434810&amp;VALUEID=02001&amp;SDATE=200601&amp;PERIODTYPE=QTR_STD&amp;window=popup_no_bar&amp;width=385&amp;height=120&amp;START_MAXIMIZED=FALSE&amp;creator=factset&amp;display_string=Audit"}</definedName>
    <definedName name="_242__FDSAUDITLINK__" hidden="1">{"fdsup://Directions/FactSet Auditing Viewer?action=AUDIT_VALUE&amp;DB=129&amp;ID1=82434810&amp;VALUEID=02001&amp;SDATE=200602&amp;PERIODTYPE=QTR_STD&amp;window=popup_no_bar&amp;width=385&amp;height=120&amp;START_MAXIMIZED=FALSE&amp;creator=factset&amp;display_string=Audit"}</definedName>
    <definedName name="_243__FDSAUDITLINK__" hidden="1">{"fdsup://Directions/FactSet Auditing Viewer?action=AUDIT_VALUE&amp;DB=129&amp;ID1=82434810&amp;VALUEID=02001&amp;SDATE=200602&amp;PERIODTYPE=QTR_STD&amp;window=popup_no_bar&amp;width=385&amp;height=120&amp;START_MAXIMIZED=FALSE&amp;creator=factset&amp;display_string=Audit"}</definedName>
    <definedName name="_244__FDSAUDITLINK__" hidden="1">{"fdsup://Directions/FactSet Auditing Viewer?action=AUDIT_VALUE&amp;DB=129&amp;ID1=82434810&amp;VALUEID=02001&amp;SDATE=200603&amp;PERIODTYPE=QTR_STD&amp;window=popup_no_bar&amp;width=385&amp;height=120&amp;START_MAXIMIZED=FALSE&amp;creator=factset&amp;display_string=Audit"}</definedName>
    <definedName name="_245__FDSAUDITLINK__" hidden="1">{"fdsup://Directions/FactSet Auditing Viewer?action=AUDIT_VALUE&amp;DB=129&amp;ID1=82434810&amp;VALUEID=02001&amp;SDATE=200603&amp;PERIODTYPE=QTR_STD&amp;window=popup_no_bar&amp;width=385&amp;height=120&amp;START_MAXIMIZED=FALSE&amp;creator=factset&amp;display_string=Audit"}</definedName>
    <definedName name="_246__FDSAUDITLINK__" hidden="1">{"fdsup://Directions/FactSet Auditing Viewer?action=AUDIT_VALUE&amp;DB=129&amp;ID1=82434810&amp;VALUEID=02001&amp;SDATE=200701&amp;PERIODTYPE=QTR_STD&amp;window=popup_no_bar&amp;width=385&amp;height=120&amp;START_MAXIMIZED=FALSE&amp;creator=factset&amp;display_string=Audit"}</definedName>
    <definedName name="_247__FDSAUDITLINK__" hidden="1">{"fdsup://Directions/FactSet Auditing Viewer?action=AUDIT_VALUE&amp;DB=129&amp;ID1=82434810&amp;VALUEID=02001&amp;SDATE=200701&amp;PERIODTYPE=QTR_STD&amp;window=popup_no_bar&amp;width=385&amp;height=120&amp;START_MAXIMIZED=FALSE&amp;creator=factset&amp;display_string=Audit"}</definedName>
    <definedName name="_248__FDSAUDITLINK__" hidden="1">{"fdsup://Directions/FactSet Auditing Viewer?action=AUDIT_VALUE&amp;DB=129&amp;ID1=82434810&amp;VALUEID=02001&amp;SDATE=200702&amp;PERIODTYPE=QTR_STD&amp;window=popup_no_bar&amp;width=385&amp;height=120&amp;START_MAXIMIZED=FALSE&amp;creator=factset&amp;display_string=Audit"}</definedName>
    <definedName name="_249__FDSAUDITLINK__" hidden="1">{"fdsup://Directions/FactSet Auditing Viewer?action=AUDIT_VALUE&amp;DB=129&amp;ID1=82434810&amp;VALUEID=02001&amp;SDATE=200702&amp;PERIODTYPE=QTR_STD&amp;window=popup_no_bar&amp;width=385&amp;height=120&amp;START_MAXIMIZED=FALSE&amp;creator=factset&amp;display_string=Audit"}</definedName>
    <definedName name="_250__FDSAUDITLINK__" hidden="1">{"fdsup://Directions/FactSet Auditing Viewer?action=AUDIT_VALUE&amp;DB=129&amp;ID1=82434810&amp;VALUEID=02001&amp;SDATE=200703&amp;PERIODTYPE=QTR_STD&amp;window=popup_no_bar&amp;width=385&amp;height=120&amp;START_MAXIMIZED=FALSE&amp;creator=factset&amp;display_string=Audit"}</definedName>
    <definedName name="_251__FDSAUDITLINK__" hidden="1">{"fdsup://Directions/FactSet Auditing Viewer?action=AUDIT_VALUE&amp;DB=129&amp;ID1=82434810&amp;VALUEID=02001&amp;SDATE=200703&amp;PERIODTYPE=QTR_STD&amp;window=popup_no_bar&amp;width=385&amp;height=120&amp;START_MAXIMIZED=FALSE&amp;creator=factset&amp;display_string=Audit"}</definedName>
    <definedName name="_252__FDSAUDITLINK__" hidden="1">{"fdsup://Directions/FactSet Auditing Viewer?action=AUDIT_VALUE&amp;DB=129&amp;ID1=82434810&amp;VALUEID=05194&amp;SDATE=200601&amp;PERIODTYPE=QTR_STD&amp;window=popup_no_bar&amp;width=385&amp;height=120&amp;START_MAXIMIZED=FALSE&amp;creator=factset&amp;display_string=Audit"}</definedName>
    <definedName name="_253__FDSAUDITLINK__" hidden="1">{"fdsup://Directions/FactSet Auditing Viewer?action=AUDIT_VALUE&amp;DB=129&amp;ID1=82434810&amp;VALUEID=05194&amp;SDATE=200601&amp;PERIODTYPE=QTR_STD&amp;window=popup_no_bar&amp;width=385&amp;height=120&amp;START_MAXIMIZED=FALSE&amp;creator=factset&amp;display_string=Audit"}</definedName>
    <definedName name="_254__FDSAUDITLINK__" hidden="1">{"fdsup://Directions/FactSet Auditing Viewer?action=AUDIT_VALUE&amp;DB=129&amp;ID1=82434810&amp;VALUEID=05194&amp;SDATE=200602&amp;PERIODTYPE=QTR_STD&amp;window=popup_no_bar&amp;width=385&amp;height=120&amp;START_MAXIMIZED=FALSE&amp;creator=factset&amp;display_string=Audit"}</definedName>
    <definedName name="_255__FDSAUDITLINK__" hidden="1">{"fdsup://Directions/FactSet Auditing Viewer?action=AUDIT_VALUE&amp;DB=129&amp;ID1=82434810&amp;VALUEID=05194&amp;SDATE=200602&amp;PERIODTYPE=QTR_STD&amp;window=popup_no_bar&amp;width=385&amp;height=120&amp;START_MAXIMIZED=FALSE&amp;creator=factset&amp;display_string=Audit"}</definedName>
    <definedName name="_256__FDSAUDITLINK__" hidden="1">{"fdsup://Directions/FactSet Auditing Viewer?action=AUDIT_VALUE&amp;DB=129&amp;ID1=82434810&amp;VALUEID=05194&amp;SDATE=200603&amp;PERIODTYPE=QTR_STD&amp;window=popup_no_bar&amp;width=385&amp;height=120&amp;START_MAXIMIZED=FALSE&amp;creator=factset&amp;display_string=Audit"}</definedName>
    <definedName name="_257__FDSAUDITLINK__" hidden="1">{"fdsup://Directions/FactSet Auditing Viewer?action=AUDIT_VALUE&amp;DB=129&amp;ID1=82434810&amp;VALUEID=05194&amp;SDATE=200603&amp;PERIODTYPE=QTR_STD&amp;window=popup_no_bar&amp;width=385&amp;height=120&amp;START_MAXIMIZED=FALSE&amp;creator=factset&amp;display_string=Audit"}</definedName>
    <definedName name="_258__FDSAUDITLINK__" hidden="1">{"fdsup://Directions/FactSet Auditing Viewer?action=AUDIT_VALUE&amp;DB=129&amp;ID1=82434810&amp;VALUEID=05194&amp;SDATE=200701&amp;PERIODTYPE=QTR_STD&amp;window=popup_no_bar&amp;width=385&amp;height=120&amp;START_MAXIMIZED=FALSE&amp;creator=factset&amp;display_string=Audit"}</definedName>
    <definedName name="_259__FDSAUDITLINK__" hidden="1">{"fdsup://Directions/FactSet Auditing Viewer?action=AUDIT_VALUE&amp;DB=129&amp;ID1=82434810&amp;VALUEID=05194&amp;SDATE=200701&amp;PERIODTYPE=QTR_STD&amp;window=popup_no_bar&amp;width=385&amp;height=120&amp;START_MAXIMIZED=FALSE&amp;creator=factset&amp;display_string=Audit"}</definedName>
    <definedName name="_260__FDSAUDITLINK__" hidden="1">{"fdsup://Directions/FactSet Auditing Viewer?action=AUDIT_VALUE&amp;DB=129&amp;ID1=82434810&amp;VALUEID=05194&amp;SDATE=200702&amp;PERIODTYPE=QTR_STD&amp;window=popup_no_bar&amp;width=385&amp;height=120&amp;START_MAXIMIZED=FALSE&amp;creator=factset&amp;display_string=Audit"}</definedName>
    <definedName name="_261__FDSAUDITLINK__" hidden="1">{"fdsup://Directions/FactSet Auditing Viewer?action=AUDIT_VALUE&amp;DB=129&amp;ID1=82434810&amp;VALUEID=05194&amp;SDATE=200702&amp;PERIODTYPE=QTR_STD&amp;window=popup_no_bar&amp;width=385&amp;height=120&amp;START_MAXIMIZED=FALSE&amp;creator=factset&amp;display_string=Audit"}</definedName>
    <definedName name="_262__FDSAUDITLINK__" hidden="1">{"fdsup://Directions/FactSet Auditing Viewer?action=AUDIT_VALUE&amp;DB=129&amp;ID1=82434810&amp;VALUEID=05194&amp;SDATE=200703&amp;PERIODTYPE=QTR_STD&amp;window=popup_no_bar&amp;width=385&amp;height=120&amp;START_MAXIMIZED=FALSE&amp;creator=factset&amp;display_string=Audit"}</definedName>
    <definedName name="_263__FDSAUDITLINK__" hidden="1">{"fdsup://Directions/FactSet Auditing Viewer?action=AUDIT_VALUE&amp;DB=129&amp;ID1=82434810&amp;VALUEID=05194&amp;SDATE=200703&amp;PERIODTYPE=QTR_STD&amp;window=popup_no_bar&amp;width=385&amp;height=120&amp;START_MAXIMIZED=FALSE&amp;creator=factset&amp;display_string=Audit"}</definedName>
    <definedName name="_264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65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66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67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68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69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__123Graph_XR_M_MARG" hidden="1">[2]P!$R$29:$AK$29</definedName>
    <definedName name="_270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1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2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3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4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5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6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7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8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79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80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81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282__FDSAUDITLINK__" hidden="1">{"fdsup://Directions/FactSet Auditing Viewer?action=AUDIT_VALUE&amp;DB=129&amp;ID1=82434810&amp;VALUEID=02001&amp;SDATE=200601&amp;PERIODTYPE=QTR_STD&amp;window=popup_no_bar&amp;width=385&amp;height=120&amp;START_MAXIMIZED=FALSE&amp;creator=factset&amp;display_string=Audit"}</definedName>
    <definedName name="_283__FDSAUDITLINK__" hidden="1">{"fdsup://Directions/FactSet Auditing Viewer?action=AUDIT_VALUE&amp;DB=129&amp;ID1=82434810&amp;VALUEID=02001&amp;SDATE=200601&amp;PERIODTYPE=QTR_STD&amp;window=popup_no_bar&amp;width=385&amp;height=120&amp;START_MAXIMIZED=FALSE&amp;creator=factset&amp;display_string=Audit"}</definedName>
    <definedName name="_284__FDSAUDITLINK__" hidden="1">{"fdsup://Directions/FactSet Auditing Viewer?action=AUDIT_VALUE&amp;DB=129&amp;ID1=82434810&amp;VALUEID=02001&amp;SDATE=200602&amp;PERIODTYPE=QTR_STD&amp;window=popup_no_bar&amp;width=385&amp;height=120&amp;START_MAXIMIZED=FALSE&amp;creator=factset&amp;display_string=Audit"}</definedName>
    <definedName name="_285__FDSAUDITLINK__" hidden="1">{"fdsup://Directions/FactSet Auditing Viewer?action=AUDIT_VALUE&amp;DB=129&amp;ID1=82434810&amp;VALUEID=02001&amp;SDATE=200602&amp;PERIODTYPE=QTR_STD&amp;window=popup_no_bar&amp;width=385&amp;height=120&amp;START_MAXIMIZED=FALSE&amp;creator=factset&amp;display_string=Audit"}</definedName>
    <definedName name="_286__FDSAUDITLINK__" hidden="1">{"fdsup://Directions/FactSet Auditing Viewer?action=AUDIT_VALUE&amp;DB=129&amp;ID1=82434810&amp;VALUEID=02001&amp;SDATE=200603&amp;PERIODTYPE=QTR_STD&amp;window=popup_no_bar&amp;width=385&amp;height=120&amp;START_MAXIMIZED=FALSE&amp;creator=factset&amp;display_string=Audit"}</definedName>
    <definedName name="_287__FDSAUDITLINK__" hidden="1">{"fdsup://Directions/FactSet Auditing Viewer?action=AUDIT_VALUE&amp;DB=129&amp;ID1=82434810&amp;VALUEID=02001&amp;SDATE=200603&amp;PERIODTYPE=QTR_STD&amp;window=popup_no_bar&amp;width=385&amp;height=120&amp;START_MAXIMIZED=FALSE&amp;creator=factset&amp;display_string=Audit"}</definedName>
    <definedName name="_288__FDSAUDITLINK__" hidden="1">{"fdsup://Directions/FactSet Auditing Viewer?action=AUDIT_VALUE&amp;DB=129&amp;ID1=82434810&amp;VALUEID=02001&amp;SDATE=200701&amp;PERIODTYPE=QTR_STD&amp;window=popup_no_bar&amp;width=385&amp;height=120&amp;START_MAXIMIZED=FALSE&amp;creator=factset&amp;display_string=Audit"}</definedName>
    <definedName name="_289__FDSAUDITLINK__" hidden="1">{"fdsup://Directions/FactSet Auditing Viewer?action=AUDIT_VALUE&amp;DB=129&amp;ID1=82434810&amp;VALUEID=02001&amp;SDATE=200701&amp;PERIODTYPE=QTR_STD&amp;window=popup_no_bar&amp;width=385&amp;height=120&amp;START_MAXIMIZED=FALSE&amp;creator=factset&amp;display_string=Audit"}</definedName>
    <definedName name="_290__FDSAUDITLINK__" hidden="1">{"fdsup://Directions/FactSet Auditing Viewer?action=AUDIT_VALUE&amp;DB=129&amp;ID1=82434810&amp;VALUEID=02001&amp;SDATE=200702&amp;PERIODTYPE=QTR_STD&amp;window=popup_no_bar&amp;width=385&amp;height=120&amp;START_MAXIMIZED=FALSE&amp;creator=factset&amp;display_string=Audit"}</definedName>
    <definedName name="_291__FDSAUDITLINK__" hidden="1">{"fdsup://Directions/FactSet Auditing Viewer?action=AUDIT_VALUE&amp;DB=129&amp;ID1=82434810&amp;VALUEID=02001&amp;SDATE=200702&amp;PERIODTYPE=QTR_STD&amp;window=popup_no_bar&amp;width=385&amp;height=120&amp;START_MAXIMIZED=FALSE&amp;creator=factset&amp;display_string=Audit"}</definedName>
    <definedName name="_292__FDSAUDITLINK__" hidden="1">{"fdsup://Directions/FactSet Auditing Viewer?action=AUDIT_VALUE&amp;DB=129&amp;ID1=82434810&amp;VALUEID=02001&amp;SDATE=200703&amp;PERIODTYPE=QTR_STD&amp;window=popup_no_bar&amp;width=385&amp;height=120&amp;START_MAXIMIZED=FALSE&amp;creator=factset&amp;display_string=Audit"}</definedName>
    <definedName name="_293__FDSAUDITLINK__" hidden="1">{"fdsup://Directions/FactSet Auditing Viewer?action=AUDIT_VALUE&amp;DB=129&amp;ID1=82434810&amp;VALUEID=02001&amp;SDATE=200703&amp;PERIODTYPE=QTR_STD&amp;window=popup_no_bar&amp;width=385&amp;height=120&amp;START_MAXIMIZED=FALSE&amp;creator=factset&amp;display_string=Audit"}</definedName>
    <definedName name="_294__FDSAUDITLINK__" hidden="1">{"fdsup://Directions/FactSet Auditing Viewer?action=AUDIT_VALUE&amp;DB=129&amp;ID1=82434810&amp;VALUEID=05194&amp;SDATE=200601&amp;PERIODTYPE=QTR_STD&amp;window=popup_no_bar&amp;width=385&amp;height=120&amp;START_MAXIMIZED=FALSE&amp;creator=factset&amp;display_string=Audit"}</definedName>
    <definedName name="_295__FDSAUDITLINK__" hidden="1">{"fdsup://Directions/FactSet Auditing Viewer?action=AUDIT_VALUE&amp;DB=129&amp;ID1=82434810&amp;VALUEID=05194&amp;SDATE=200601&amp;PERIODTYPE=QTR_STD&amp;window=popup_no_bar&amp;width=385&amp;height=120&amp;START_MAXIMIZED=FALSE&amp;creator=factset&amp;display_string=Audit"}</definedName>
    <definedName name="_296__FDSAUDITLINK__" hidden="1">{"fdsup://Directions/FactSet Auditing Viewer?action=AUDIT_VALUE&amp;DB=129&amp;ID1=82434810&amp;VALUEID=05194&amp;SDATE=200602&amp;PERIODTYPE=QTR_STD&amp;window=popup_no_bar&amp;width=385&amp;height=120&amp;START_MAXIMIZED=FALSE&amp;creator=factset&amp;display_string=Audit"}</definedName>
    <definedName name="_297__FDSAUDITLINK__" hidden="1">{"fdsup://Directions/FactSet Auditing Viewer?action=AUDIT_VALUE&amp;DB=129&amp;ID1=82434810&amp;VALUEID=05194&amp;SDATE=200602&amp;PERIODTYPE=QTR_STD&amp;window=popup_no_bar&amp;width=385&amp;height=120&amp;START_MAXIMIZED=FALSE&amp;creator=factset&amp;display_string=Audit"}</definedName>
    <definedName name="_298__FDSAUDITLINK__" hidden="1">{"fdsup://Directions/FactSet Auditing Viewer?action=AUDIT_VALUE&amp;DB=129&amp;ID1=82434810&amp;VALUEID=05194&amp;SDATE=200603&amp;PERIODTYPE=QTR_STD&amp;window=popup_no_bar&amp;width=385&amp;height=120&amp;START_MAXIMIZED=FALSE&amp;creator=factset&amp;display_string=Audit"}</definedName>
    <definedName name="_299__FDSAUDITLINK__" hidden="1">{"fdsup://Directions/FactSet Auditing Viewer?action=AUDIT_VALUE&amp;DB=129&amp;ID1=82434810&amp;VALUEID=05194&amp;SDATE=200603&amp;PERIODTYPE=QTR_STD&amp;window=popup_no_bar&amp;width=385&amp;height=120&amp;START_MAXIMIZED=FALSE&amp;creator=factset&amp;display_string=Audit"}</definedName>
    <definedName name="_300__FDSAUDITLINK__" hidden="1">{"fdsup://Directions/FactSet Auditing Viewer?action=AUDIT_VALUE&amp;DB=129&amp;ID1=82434810&amp;VALUEID=05194&amp;SDATE=200701&amp;PERIODTYPE=QTR_STD&amp;window=popup_no_bar&amp;width=385&amp;height=120&amp;START_MAXIMIZED=FALSE&amp;creator=factset&amp;display_string=Audit"}</definedName>
    <definedName name="_301__FDSAUDITLINK__" hidden="1">{"fdsup://Directions/FactSet Auditing Viewer?action=AUDIT_VALUE&amp;DB=129&amp;ID1=82434810&amp;VALUEID=05194&amp;SDATE=200701&amp;PERIODTYPE=QTR_STD&amp;window=popup_no_bar&amp;width=385&amp;height=120&amp;START_MAXIMIZED=FALSE&amp;creator=factset&amp;display_string=Audit"}</definedName>
    <definedName name="_302__FDSAUDITLINK__" hidden="1">{"fdsup://Directions/FactSet Auditing Viewer?action=AUDIT_VALUE&amp;DB=129&amp;ID1=82434810&amp;VALUEID=05194&amp;SDATE=200702&amp;PERIODTYPE=QTR_STD&amp;window=popup_no_bar&amp;width=385&amp;height=120&amp;START_MAXIMIZED=FALSE&amp;creator=factset&amp;display_string=Audit"}</definedName>
    <definedName name="_303__FDSAUDITLINK__" hidden="1">{"fdsup://Directions/FactSet Auditing Viewer?action=AUDIT_VALUE&amp;DB=129&amp;ID1=82434810&amp;VALUEID=05194&amp;SDATE=200702&amp;PERIODTYPE=QTR_STD&amp;window=popup_no_bar&amp;width=385&amp;height=120&amp;START_MAXIMIZED=FALSE&amp;creator=factset&amp;display_string=Audit"}</definedName>
    <definedName name="_304__FDSAUDITLINK__" hidden="1">{"fdsup://Directions/FactSet Auditing Viewer?action=AUDIT_VALUE&amp;DB=129&amp;ID1=82434810&amp;VALUEID=05194&amp;SDATE=200703&amp;PERIODTYPE=QTR_STD&amp;window=popup_no_bar&amp;width=385&amp;height=120&amp;START_MAXIMIZED=FALSE&amp;creator=factset&amp;display_string=Audit"}</definedName>
    <definedName name="_305__FDSAUDITLINK__" hidden="1">{"fdsup://Directions/FactSet Auditing Viewer?action=AUDIT_VALUE&amp;DB=129&amp;ID1=82434810&amp;VALUEID=05194&amp;SDATE=200703&amp;PERIODTYPE=QTR_STD&amp;window=popup_no_bar&amp;width=385&amp;height=120&amp;START_MAXIMIZED=FALSE&amp;creator=factset&amp;display_string=Audit"}</definedName>
    <definedName name="_306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07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08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09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10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11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12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13__FDSAUDITLINK__" hidden="1">{"fdsup://Directions/FactSet Auditing Viewer?action=AUDIT_VALUE&amp;DB=129&amp;ID1=82434810&amp;VALUEID=05194&amp;SDATE=200904&amp;PERIODTYPE=QTR_STD&amp;window=popup_no_bar&amp;width=385&amp;height=120&amp;START_MAXIMIZED=FALSE&amp;creator=factset&amp;display_string=Audit"}</definedName>
    <definedName name="_314__FDSAUDITLINK__" hidden="1">{"fdsup://Directions/FactSet Auditing Viewer?action=AUDIT_VALUE&amp;DB=129&amp;ID1=92035510&amp;VALUEID=02001&amp;SDATE=200602&amp;PERIODTYPE=QTR_STD&amp;window=popup_no_bar&amp;width=385&amp;height=120&amp;START_MAXIMIZED=FALSE&amp;creator=factset&amp;display_string=Audit"}</definedName>
    <definedName name="_315__FDSAUDITLINK__" hidden="1">{"fdsup://Directions/FactSet Auditing Viewer?action=AUDIT_VALUE&amp;DB=129&amp;ID1=92035510&amp;VALUEID=02001&amp;SDATE=200602&amp;PERIODTYPE=QTR_STD&amp;window=popup_no_bar&amp;width=385&amp;height=120&amp;START_MAXIMIZED=FALSE&amp;creator=factset&amp;display_string=Audit"}</definedName>
    <definedName name="_316__FDSAUDITLINK__" hidden="1">{"fdsup://Directions/FactSet Auditing Viewer?action=AUDIT_VALUE&amp;DB=129&amp;ID1=92035510&amp;VALUEID=02001&amp;SDATE=200901&amp;PERIODTYPE=QTR_STD&amp;window=popup_no_bar&amp;width=385&amp;height=120&amp;START_MAXIMIZED=FALSE&amp;creator=factset&amp;display_string=Audit"}</definedName>
    <definedName name="_317__FDSAUDITLINK__" hidden="1">{"fdsup://Directions/FactSet Auditing Viewer?action=AUDIT_VALUE&amp;DB=129&amp;ID1=92035510&amp;VALUEID=02001&amp;SDATE=200901&amp;PERIODTYPE=QTR_STD&amp;window=popup_no_bar&amp;width=385&amp;height=120&amp;START_MAXIMIZED=FALSE&amp;creator=factset&amp;display_string=Audit"}</definedName>
    <definedName name="_318__FDSAUDITLINK__" hidden="1">{"fdsup://Directions/FactSet Auditing Viewer?action=AUDIT_VALUE&amp;DB=129&amp;ID1=92035510&amp;VALUEID=02001&amp;SDATE=200903&amp;PERIODTYPE=QTR_STD&amp;window=popup_no_bar&amp;width=385&amp;height=120&amp;START_MAXIMIZED=FALSE&amp;creator=factset&amp;display_string=Audit"}</definedName>
    <definedName name="_319__FDSAUDITLINK__" hidden="1">{"fdsup://Directions/FactSet Auditing Viewer?action=AUDIT_VALUE&amp;DB=129&amp;ID1=92035510&amp;VALUEID=02001&amp;SDATE=200903&amp;PERIODTYPE=QTR_STD&amp;window=popup_no_bar&amp;width=385&amp;height=120&amp;START_MAXIMIZED=FALSE&amp;creator=factset&amp;display_string=Audit"}</definedName>
    <definedName name="_320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1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2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3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4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5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6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7__FDSAUDITLINK__" hidden="1">{"fdsup://Directions/FactSet Auditing Viewer?action=AUDIT_VALUE&amp;DB=129&amp;ID1=92035510&amp;VALUEID=02001&amp;SDATE=201001&amp;PERIODTYPE=QTR_STD&amp;window=popup_no_bar&amp;width=385&amp;height=120&amp;START_MAXIMIZED=FALSE&amp;creator=factset&amp;display_string=Audit"}</definedName>
    <definedName name="_328__FDSAUDITLINK__" hidden="1">{"fdsup://Directions/FactSet Auditing Viewer?action=AUDIT_VALUE&amp;DB=129&amp;ID1=92035510&amp;VALUEID=05194&amp;SDATE=200602&amp;PERIODTYPE=QTR_STD&amp;window=popup_no_bar&amp;width=385&amp;height=120&amp;START_MAXIMIZED=FALSE&amp;creator=factset&amp;display_string=Audit"}</definedName>
    <definedName name="_329__FDSAUDITLINK__" hidden="1">{"fdsup://Directions/FactSet Auditing Viewer?action=AUDIT_VALUE&amp;DB=129&amp;ID1=92035510&amp;VALUEID=05194&amp;SDATE=200602&amp;PERIODTYPE=QTR_STD&amp;window=popup_no_bar&amp;width=385&amp;height=120&amp;START_MAXIMIZED=FALSE&amp;creator=factset&amp;display_string=Audit"}</definedName>
    <definedName name="_330__FDSAUDITLINK__" hidden="1">{"fdsup://Directions/FactSet Auditing Viewer?action=AUDIT_VALUE&amp;DB=129&amp;ID1=92035510&amp;VALUEID=05194&amp;SDATE=200804&amp;PERIODTYPE=QTR_STD&amp;window=popup_no_bar&amp;width=385&amp;height=120&amp;START_MAXIMIZED=FALSE&amp;creator=factset&amp;display_string=Audit"}</definedName>
    <definedName name="_331__FDSAUDITLINK__" hidden="1">{"fdsup://Directions/FactSet Auditing Viewer?action=AUDIT_VALUE&amp;DB=129&amp;ID1=92035510&amp;VALUEID=05194&amp;SDATE=200804&amp;PERIODTYPE=QTR_STD&amp;window=popup_no_bar&amp;width=385&amp;height=120&amp;START_MAXIMIZED=FALSE&amp;creator=factset&amp;display_string=Audit"}</definedName>
    <definedName name="_332__FDSAUDITLINK__" hidden="1">{"fdsup://Directions/FactSet Auditing Viewer?action=AUDIT_VALUE&amp;DB=129&amp;ID1=92035510&amp;VALUEID=05194&amp;SDATE=200901&amp;PERIODTYPE=QTR_STD&amp;window=popup_no_bar&amp;width=385&amp;height=120&amp;START_MAXIMIZED=FALSE&amp;creator=factset&amp;display_string=Audit"}</definedName>
    <definedName name="_333__FDSAUDITLINK__" hidden="1">{"fdsup://Directions/FactSet Auditing Viewer?action=AUDIT_VALUE&amp;DB=129&amp;ID1=92035510&amp;VALUEID=05194&amp;SDATE=200901&amp;PERIODTYPE=QTR_STD&amp;window=popup_no_bar&amp;width=385&amp;height=120&amp;START_MAXIMIZED=FALSE&amp;creator=factset&amp;display_string=Audit"}</definedName>
    <definedName name="_334__FDSAUDITLINK__" hidden="1">{"fdsup://Directions/FactSet Auditing Viewer?action=AUDIT_VALUE&amp;DB=129&amp;ID1=92035510&amp;VALUEID=05194&amp;SDATE=200903&amp;PERIODTYPE=QTR_STD&amp;window=popup_no_bar&amp;width=385&amp;height=120&amp;START_MAXIMIZED=FALSE&amp;creator=factset&amp;display_string=Audit"}</definedName>
    <definedName name="_335__FDSAUDITLINK__" hidden="1">{"fdsup://Directions/FactSet Auditing Viewer?action=AUDIT_VALUE&amp;DB=129&amp;ID1=92035510&amp;VALUEID=05194&amp;SDATE=200903&amp;PERIODTYPE=QTR_STD&amp;window=popup_no_bar&amp;width=385&amp;height=120&amp;START_MAXIMIZED=FALSE&amp;creator=factset&amp;display_string=Audit"}</definedName>
    <definedName name="_336__FDSAUDITLINK__" hidden="1">{"fdsup://Directions/FactSet Auditing Viewer?action=AUDIT_VALUE&amp;DB=129&amp;ID1=92035510&amp;VALUEID=05194&amp;SDATE=200904&amp;PERIODTYPE=QTR_STD&amp;window=popup_no_bar&amp;width=385&amp;height=120&amp;START_MAXIMIZED=FALSE&amp;creator=factset&amp;display_string=Audit"}</definedName>
    <definedName name="_337__FDSAUDITLINK__" hidden="1">{"fdsup://Directions/FactSet Auditing Viewer?action=AUDIT_VALUE&amp;DB=129&amp;ID1=92035510&amp;VALUEID=05194&amp;SDATE=200904&amp;PERIODTYPE=QTR_STD&amp;window=popup_no_bar&amp;width=385&amp;height=120&amp;START_MAXIMIZED=FALSE&amp;creator=factset&amp;display_string=Audit"}</definedName>
    <definedName name="_338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39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40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41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42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43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44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45__FDSAUDITLINK__" hidden="1">{"fdsup://Directions/FactSet Auditing Viewer?action=AUDIT_VALUE&amp;DB=129&amp;ID1=92035510&amp;VALUEID=05194&amp;SDATE=201001&amp;PERIODTYPE=QTR_STD&amp;window=popup_no_bar&amp;width=385&amp;height=120&amp;START_MAXIMIZED=FALSE&amp;creator=factset&amp;display_string=Audit"}</definedName>
    <definedName name="_346__FDSAUDITLINK__" hidden="1">{"fdsup://Directions/FactSet Auditing Viewer?action=AUDIT_VALUE&amp;DB=129&amp;ID1=69350610&amp;VALUEID=02001&amp;SDATE=200601&amp;PERIODTYPE=QTR_STD&amp;window=popup_no_bar&amp;width=385&amp;height=120&amp;START_MAXIMIZED=FALSE&amp;creator=factset&amp;display_string=Audit"}</definedName>
    <definedName name="_347__FDSAUDITLINK__" hidden="1">{"fdsup://Directions/FactSet Auditing Viewer?action=AUDIT_VALUE&amp;DB=129&amp;ID1=69350610&amp;VALUEID=02001&amp;SDATE=200601&amp;PERIODTYPE=QTR_STD&amp;window=popup_no_bar&amp;width=385&amp;height=120&amp;START_MAXIMIZED=FALSE&amp;creator=factset&amp;display_string=Audit"}</definedName>
    <definedName name="_348__FDSAUDITLINK__" hidden="1">{"fdsup://Directions/FactSet Auditing Viewer?action=AUDIT_VALUE&amp;DB=129&amp;ID1=69350610&amp;VALUEID=02001&amp;SDATE=200602&amp;PERIODTYPE=QTR_STD&amp;window=popup_no_bar&amp;width=385&amp;height=120&amp;START_MAXIMIZED=FALSE&amp;creator=factset&amp;display_string=Audit"}</definedName>
    <definedName name="_349__FDSAUDITLINK__" hidden="1">{"fdsup://Directions/FactSet Auditing Viewer?action=AUDIT_VALUE&amp;DB=129&amp;ID1=69350610&amp;VALUEID=02001&amp;SDATE=200602&amp;PERIODTYPE=QTR_STD&amp;window=popup_no_bar&amp;width=385&amp;height=120&amp;START_MAXIMIZED=FALSE&amp;creator=factset&amp;display_string=Audit"}</definedName>
    <definedName name="_350__FDSAUDITLINK__" hidden="1">{"fdsup://Directions/FactSet Auditing Viewer?action=AUDIT_VALUE&amp;DB=129&amp;ID1=69350610&amp;VALUEID=02001&amp;SDATE=200603&amp;PERIODTYPE=QTR_STD&amp;window=popup_no_bar&amp;width=385&amp;height=120&amp;START_MAXIMIZED=FALSE&amp;creator=factset&amp;display_string=Audit"}</definedName>
    <definedName name="_351__FDSAUDITLINK__" hidden="1">{"fdsup://Directions/FactSet Auditing Viewer?action=AUDIT_VALUE&amp;DB=129&amp;ID1=69350610&amp;VALUEID=02001&amp;SDATE=200603&amp;PERIODTYPE=QTR_STD&amp;window=popup_no_bar&amp;width=385&amp;height=120&amp;START_MAXIMIZED=FALSE&amp;creator=factset&amp;display_string=Audit"}</definedName>
    <definedName name="_352__FDSAUDITLINK__" hidden="1">{"fdsup://Directions/FactSet Auditing Viewer?action=AUDIT_VALUE&amp;DB=129&amp;ID1=69350610&amp;VALUEID=02001&amp;SDATE=200701&amp;PERIODTYPE=QTR_STD&amp;window=popup_no_bar&amp;width=385&amp;height=120&amp;START_MAXIMIZED=FALSE&amp;creator=factset&amp;display_string=Audit"}</definedName>
    <definedName name="_353__FDSAUDITLINK__" hidden="1">{"fdsup://Directions/FactSet Auditing Viewer?action=AUDIT_VALUE&amp;DB=129&amp;ID1=69350610&amp;VALUEID=02001&amp;SDATE=200701&amp;PERIODTYPE=QTR_STD&amp;window=popup_no_bar&amp;width=385&amp;height=120&amp;START_MAXIMIZED=FALSE&amp;creator=factset&amp;display_string=Audit"}</definedName>
    <definedName name="_354__FDSAUDITLINK__" hidden="1">{"fdsup://Directions/FactSet Auditing Viewer?action=AUDIT_VALUE&amp;DB=129&amp;ID1=69350610&amp;VALUEID=02001&amp;SDATE=200702&amp;PERIODTYPE=QTR_STD&amp;window=popup_no_bar&amp;width=385&amp;height=120&amp;START_MAXIMIZED=FALSE&amp;creator=factset&amp;display_string=Audit"}</definedName>
    <definedName name="_355__FDSAUDITLINK__" hidden="1">{"fdsup://Directions/FactSet Auditing Viewer?action=AUDIT_VALUE&amp;DB=129&amp;ID1=69350610&amp;VALUEID=02001&amp;SDATE=200702&amp;PERIODTYPE=QTR_STD&amp;window=popup_no_bar&amp;width=385&amp;height=120&amp;START_MAXIMIZED=FALSE&amp;creator=factset&amp;display_string=Audit"}</definedName>
    <definedName name="_356__FDSAUDITLINK__" hidden="1">{"fdsup://Directions/FactSet Auditing Viewer?action=AUDIT_VALUE&amp;DB=129&amp;ID1=69350610&amp;VALUEID=02001&amp;SDATE=200703&amp;PERIODTYPE=QTR_STD&amp;window=popup_no_bar&amp;width=385&amp;height=120&amp;START_MAXIMIZED=FALSE&amp;creator=factset&amp;display_string=Audit"}</definedName>
    <definedName name="_357__FDSAUDITLINK__" hidden="1">{"fdsup://Directions/FactSet Auditing Viewer?action=AUDIT_VALUE&amp;DB=129&amp;ID1=69350610&amp;VALUEID=02001&amp;SDATE=200703&amp;PERIODTYPE=QTR_STD&amp;window=popup_no_bar&amp;width=385&amp;height=120&amp;START_MAXIMIZED=FALSE&amp;creator=factset&amp;display_string=Audit"}</definedName>
    <definedName name="_358__FDSAUDITLINK__" hidden="1">{"fdsup://Directions/FactSet Auditing Viewer?action=AUDIT_VALUE&amp;DB=129&amp;ID1=69350610&amp;VALUEID=05194&amp;SDATE=200601&amp;PERIODTYPE=QTR_STD&amp;window=popup_no_bar&amp;width=385&amp;height=120&amp;START_MAXIMIZED=FALSE&amp;creator=factset&amp;display_string=Audit"}</definedName>
    <definedName name="_359__FDSAUDITLINK__" hidden="1">{"fdsup://Directions/FactSet Auditing Viewer?action=AUDIT_VALUE&amp;DB=129&amp;ID1=69350610&amp;VALUEID=05194&amp;SDATE=200601&amp;PERIODTYPE=QTR_STD&amp;window=popup_no_bar&amp;width=385&amp;height=120&amp;START_MAXIMIZED=FALSE&amp;creator=factset&amp;display_string=Audit"}</definedName>
    <definedName name="_360__FDSAUDITLINK__" hidden="1">{"fdsup://Directions/FactSet Auditing Viewer?action=AUDIT_VALUE&amp;DB=129&amp;ID1=69350610&amp;VALUEID=05194&amp;SDATE=200602&amp;PERIODTYPE=QTR_STD&amp;window=popup_no_bar&amp;width=385&amp;height=120&amp;START_MAXIMIZED=FALSE&amp;creator=factset&amp;display_string=Audit"}</definedName>
    <definedName name="_361__FDSAUDITLINK__" hidden="1">{"fdsup://Directions/FactSet Auditing Viewer?action=AUDIT_VALUE&amp;DB=129&amp;ID1=69350610&amp;VALUEID=05194&amp;SDATE=200602&amp;PERIODTYPE=QTR_STD&amp;window=popup_no_bar&amp;width=385&amp;height=120&amp;START_MAXIMIZED=FALSE&amp;creator=factset&amp;display_string=Audit"}</definedName>
    <definedName name="_362__FDSAUDITLINK__" hidden="1">{"fdsup://Directions/FactSet Auditing Viewer?action=AUDIT_VALUE&amp;DB=129&amp;ID1=69350610&amp;VALUEID=05194&amp;SDATE=200603&amp;PERIODTYPE=QTR_STD&amp;window=popup_no_bar&amp;width=385&amp;height=120&amp;START_MAXIMIZED=FALSE&amp;creator=factset&amp;display_string=Audit"}</definedName>
    <definedName name="_363__FDSAUDITLINK__" hidden="1">{"fdsup://Directions/FactSet Auditing Viewer?action=AUDIT_VALUE&amp;DB=129&amp;ID1=69350610&amp;VALUEID=05194&amp;SDATE=200603&amp;PERIODTYPE=QTR_STD&amp;window=popup_no_bar&amp;width=385&amp;height=120&amp;START_MAXIMIZED=FALSE&amp;creator=factset&amp;display_string=Audit"}</definedName>
    <definedName name="_364__FDSAUDITLINK__" hidden="1">{"fdsup://Directions/FactSet Auditing Viewer?action=AUDIT_VALUE&amp;DB=129&amp;ID1=69350610&amp;VALUEID=05194&amp;SDATE=200701&amp;PERIODTYPE=QTR_STD&amp;window=popup_no_bar&amp;width=385&amp;height=120&amp;START_MAXIMIZED=FALSE&amp;creator=factset&amp;display_string=Audit"}</definedName>
    <definedName name="_365__FDSAUDITLINK__" hidden="1">{"fdsup://Directions/FactSet Auditing Viewer?action=AUDIT_VALUE&amp;DB=129&amp;ID1=69350610&amp;VALUEID=05194&amp;SDATE=200701&amp;PERIODTYPE=QTR_STD&amp;window=popup_no_bar&amp;width=385&amp;height=120&amp;START_MAXIMIZED=FALSE&amp;creator=factset&amp;display_string=Audit"}</definedName>
    <definedName name="_366__FDSAUDITLINK__" hidden="1">{"fdsup://Directions/FactSet Auditing Viewer?action=AUDIT_VALUE&amp;DB=129&amp;ID1=69350610&amp;VALUEID=05194&amp;SDATE=200702&amp;PERIODTYPE=QTR_STD&amp;window=popup_no_bar&amp;width=385&amp;height=120&amp;START_MAXIMIZED=FALSE&amp;creator=factset&amp;display_string=Audit"}</definedName>
    <definedName name="_367__FDSAUDITLINK__" hidden="1">{"fdsup://Directions/FactSet Auditing Viewer?action=AUDIT_VALUE&amp;DB=129&amp;ID1=69350610&amp;VALUEID=05194&amp;SDATE=200702&amp;PERIODTYPE=QTR_STD&amp;window=popup_no_bar&amp;width=385&amp;height=120&amp;START_MAXIMIZED=FALSE&amp;creator=factset&amp;display_string=Audit"}</definedName>
    <definedName name="_368__FDSAUDITLINK__" hidden="1">{"fdsup://Directions/FactSet Auditing Viewer?action=AUDIT_VALUE&amp;DB=129&amp;ID1=69350610&amp;VALUEID=05194&amp;SDATE=200703&amp;PERIODTYPE=QTR_STD&amp;window=popup_no_bar&amp;width=385&amp;height=120&amp;START_MAXIMIZED=FALSE&amp;creator=factset&amp;display_string=Audit"}</definedName>
    <definedName name="_369__FDSAUDITLINK__" hidden="1">{"fdsup://Directions/FactSet Auditing Viewer?action=AUDIT_VALUE&amp;DB=129&amp;ID1=69350610&amp;VALUEID=05194&amp;SDATE=200703&amp;PERIODTYPE=QTR_STD&amp;window=popup_no_bar&amp;width=385&amp;height=120&amp;START_MAXIMIZED=FALSE&amp;creator=factset&amp;display_string=Audit"}</definedName>
    <definedName name="_370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371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372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373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374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375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376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377__FDSAUDITLINK__" hidden="1">{"fdsup://Directions/FactSet Auditing Viewer?action=AUDIT_VALUE&amp;DB=129&amp;ID1=69350610&amp;VALUEID=05194&amp;SDATE=200904&amp;PERIODTYPE=QTR_STD&amp;window=popup_no_bar&amp;width=385&amp;height=120&amp;START_MAXIMIZED=FALSE&amp;creator=factset&amp;display_string=Audit"}</definedName>
    <definedName name="_bdm.04C5AA2600C748D9976A3AFD2C93DCC8.edm" hidden="1">'[3]PT ranges'!$A:$IV</definedName>
    <definedName name="_bdm.075E44DE79DF4DB992CD8D058AD2A5F0.edm" hidden="1">[4]BS!$A:$IV</definedName>
    <definedName name="_bdm.078682DCAB16450A85FD74463F1BD950.edm" hidden="1">[3]Benchmarks_All_green2!$A:$IV</definedName>
    <definedName name="_bdm.0CD4392A14E440EB83D318DCCAB97299.edm" hidden="1">[5]Summary!$A:$IV</definedName>
    <definedName name="_bdm.0D52A51AE8084DA081FC71F4AFC68832.edm" hidden="1">[5]Inputs!$A:$IV</definedName>
    <definedName name="_bdm.13D005E3AE304C7CB86FD02FC391DB06.edm" hidden="1">'[4]Division Summary'!$A:$IV</definedName>
    <definedName name="_bdm.1571518A11C24C97A38D4DE75B053AFD.edm" hidden="1">[6]ImpliedValueGap!$A:$IV</definedName>
    <definedName name="_bdm.18648CE7D7374A9493CD98BD470140A1.edm" hidden="1">'[7]Front page benchmarks_9x3'!$A:$IV</definedName>
    <definedName name="_bdm.19A8D364E53543C88276280D6F015454.edm" hidden="1">'[7]Front page benchmarks_6x5'!$A:$IV</definedName>
    <definedName name="_bdm.1AF4D27A0D474BF185C5A9CD1C5EAE38.edm" hidden="1">[3]FCFBreakout!$A:$IV</definedName>
    <definedName name="_bdm.1D18DF6CFA684AC680C55077554D7B94.edm" hidden="1">'[8]exh 11'!$A:$IV</definedName>
    <definedName name="_bdm.1DF4B3E45DCE4C2A9D635C38C907064B.edm" hidden="1">'[9]2010 by segment'!$A:$IV</definedName>
    <definedName name="_bdm.21EE35D1505A495B916F0D2277609A55.edm" localSheetId="7" hidden="1">CF!$B$2:$O$58</definedName>
    <definedName name="_bdm.261112BAE8204F8280374C78A1E02552.edm" hidden="1" xml:space="preserve"> [3]C1000!$A:$IV</definedName>
    <definedName name="_bdm.27D6534ED2D94BC49A5D0622B99BFA1C.edm" hidden="1">[3]Stack3!$A:$IV</definedName>
    <definedName name="_bdm.2C84A3B80B434D40BBF2FCC060EC8AA8.edm" hidden="1">[7]Benchmarks_All_gray2!$A:$IV</definedName>
    <definedName name="_bdm.2E67EE077920481EAD22E06729917489.edm" hidden="1">'[3]Financial Summary 2'!$A:$IV</definedName>
    <definedName name="_bdm.32B4D426B9164854A3C2232B34EFD7F6.edm" hidden="1">[4]Summary!$A:$IV</definedName>
    <definedName name="_bdm.34C4DAD029D048F19B9531FEFBB3F150.edm" hidden="1">'[7]Sector yardstick_OLD'!$A:$IV</definedName>
    <definedName name="_bdm.366416D132E9473EBC9264C3384F125F.edm" hidden="1">[3]debt2equity!$A:$IV</definedName>
    <definedName name="_bdm.3C6FEB15B3724B629EB475F3DDABB357.edm" hidden="1">[10]NOPAT!$A:$IV</definedName>
    <definedName name="_bdm.3FB8BE64D2964A24B1498FEB92064258.edm" hidden="1">[3]Benchmarks_All_green1!$A:$IV</definedName>
    <definedName name="_bdm.418638C7AAD843FFAE8A28CD0C61E862.edm" hidden="1">[6]Recommendations!$A:$IV</definedName>
    <definedName name="_bdm.44C4106DCB464E51951B6B466B6FD355.edm" hidden="1">'[8]exh 14'!$A:$IV</definedName>
    <definedName name="_bdm.453A889421374585A44D397776A28F15.edm" hidden="1">'[3]Consensus Snapshot table'!$A:$IV</definedName>
    <definedName name="_bdm.4CF838647E4A41568B452782ED038F8C.edm" localSheetId="6" hidden="1">BS!$O$74</definedName>
    <definedName name="_bdm.4DF0A33C9B6D46E5A0B6CFDAB0046B18.edm" hidden="1">'[11]MON Top 10'!$A:$IV</definedName>
    <definedName name="_bdm.507D8D2867AB48E79834FFAAA18F4579.edm" hidden="1">[3]debt2ebitda!$A:$IV</definedName>
    <definedName name="_bdm.55798541B9994E74B8C9163FD6ABCE05.edm" hidden="1">'[8]exh 12'!$A:$IV</definedName>
    <definedName name="_bdm.5D685B7C6E1841F0AEA8317EB4425264.edm" hidden="1">'[7]Front page benchmarks_6x3'!$A:$IV</definedName>
    <definedName name="_bdm.62499401EE3A44AA8436446EC708B108.edm" hidden="1">[5]Exhibit!$A:$IV</definedName>
    <definedName name="_bdm.6469693EEE2841B6AE43A0CC0FCD709D.edm" hidden="1">[3]FCF!$A:$IV</definedName>
    <definedName name="_bdm.6A673E710B334B62B66EF1DB25B314EA.edm" localSheetId="6" hidden="1">BS!$O$75</definedName>
    <definedName name="_bdm.75CD7042B4C5449095D0FEAF568F54D3.edm" hidden="1">'[3]EPS ranges'!$A:$IV</definedName>
    <definedName name="_bdm.7837C2196D644DA1A5AF448BC920BB5C.edm" hidden="1">[5]IS!$A:$IV</definedName>
    <definedName name="_bdm.78BD86300FBF4248A5D5485BBAB2A12B.edm" hidden="1">[12]Feedstocks!$A:$IV</definedName>
    <definedName name="_bdm.7CE12BA826EE425CB633D2B84A6CAE80.edm" hidden="1">'[4]End Markets'!$A:$IV</definedName>
    <definedName name="_bdm.7D890F2226B34DCA9CB5A77D3B3202AF.edm" hidden="1">'[13]Relative Valuation table_OLD'!$A:$IV</definedName>
    <definedName name="_bdm.7DEE1C5CA4064F12BA4E0FA96EB3A43D.edm" hidden="1">[4]CF!$A:$IV</definedName>
    <definedName name="_bdm.95D97703F0B44275930D649261210A38.edm" hidden="1">[3]C1000!$A:$IV</definedName>
    <definedName name="_bdm.986DF0CFD4EC49059F5ED39C1C52ACBE.edm" hidden="1">'[3]RNOA waterfall'!$A:$IV</definedName>
    <definedName name="_bdm.9C2DB2A427E54DA582930C8E994C17AD.edm" hidden="1">[4]DCF!$A:$IV</definedName>
    <definedName name="_bdm.9ECE14043F134165BC46144BA435AADD.edm" hidden="1">[4]Inputs!$A:$IV</definedName>
    <definedName name="_bdm.9F4E04C01857407C983991AE261A4C55.edm" hidden="1">'[3]Financial Summary 1'!$A:$IV</definedName>
    <definedName name="_bdm.A32A8230232942FA80E284F077444470.edm" hidden="1">'[5]Petchem inputs'!$A:$IV</definedName>
    <definedName name="_bdm.AECA246EF2AF489CB05303397C716DD4.edm" hidden="1">'[8]exh 10'!$A:$IV</definedName>
    <definedName name="_bdm.B719D22C26C649E182037120E73B5B08.edm" hidden="1">[5]BS!$A:$IV</definedName>
    <definedName name="_bdm.BBE3C6B83FCD4BC2ACDE8742A674C78D.edm" hidden="1">[3]ProfMap!$A:$IV</definedName>
    <definedName name="_bdm.BC30BD55116F49D1A197F40879DC527D.edm" hidden="1">'[3]Relative Valuation table'!$A:$IV</definedName>
    <definedName name="_bdm.C13E978D53524E969BBFAD5BBE2152D4.edm" hidden="1">'[8]exh 1 and 5'!$A:$IV</definedName>
    <definedName name="_bdm.C8F18C8F8948425C91A935BF3E4FB313.edm" hidden="1">[3]Stack1!$A:$IV</definedName>
    <definedName name="_bdm.C95218118DED45C898E0CA5A74BCA5EE.edm" hidden="1">[6]PeerGroupBenchmark_ALT!$A:$IV</definedName>
    <definedName name="_bdm.CA0C704210A94C66BD5F6061790DB6BE.edm" hidden="1">'[8]exh 15'!$A:$IV</definedName>
    <definedName name="_bdm.CD5CCCA80C6048F5B057C99A0C2C8588.edm" hidden="1">[5]DCF!$A:$IV</definedName>
    <definedName name="_bdm.CEE1C536021043C99F704AAB5CCCCC21.edm" hidden="1">'[3]Range or Recs'!$A:$IV</definedName>
    <definedName name="_bdm.D1906E8CFECF4D27A34711559B5FD808.edm" hidden="1">[10]ROE!$A:$IV</definedName>
    <definedName name="_bdm.D35E7E7C923D49759F062D3C711F4FE4.edm" hidden="1">'[8]exh 3'!$A:$IV</definedName>
    <definedName name="_bdm.D36B2313C81340068167457BAEA096C8.edm" hidden="1">[5]CF!$A:$IV</definedName>
    <definedName name="_bdm.D5BDFBFF1D9A4A00B95C3E95C9A6D4F4.edm" hidden="1">[5]Ratios!$A:$IV</definedName>
    <definedName name="_bdm.DA8A582FC220480EA4A5F2EB1C054A57.edm" hidden="1">[14]Graphs!$A:$IV</definedName>
    <definedName name="_bdm.E0EF58331C44448FA34C7A723D54486B.edm" hidden="1">[7]Benchmarks_All_gray1!$A:$IV</definedName>
    <definedName name="_bdm.E1DF16FB2B5046DEAF5B79DB3D248DAD.edm" hidden="1">[3]Stack4!$A:$IV</definedName>
    <definedName name="_bdm.E282A148E1B34FAC820DF3BE9C378E20.edm" hidden="1">[3]Stack2!$A:$IV</definedName>
    <definedName name="_bdm.E326F959E4274B4CAF3FC1F9ACBB28A4.edm" hidden="1">[3]PeerGroupBenchmark_ALT!$A:$IV</definedName>
    <definedName name="_bdm.E7121D5FA2C24CA0A1065783C37DF0AA.edm" hidden="1">[4]IS!$A:$IV</definedName>
    <definedName name="_bdm.E7D57D873EF34D8DA9DF4B27EB54CB68.edm" hidden="1">'[8]exh 9'!$A:$IV</definedName>
    <definedName name="_bdm.F10A135B228447E4B56BA8269EFE4612.edm" hidden="1">[3]dividends!$A:$IV</definedName>
    <definedName name="_bdm.F33B2FB3A8FD4562A9119CE2F61C29B7.edm" hidden="1">'[3]profit margins'!$A:$IV</definedName>
    <definedName name="_bdm.FAB1033BB76A4ACE8DDD137423415345.edm" localSheetId="6" hidden="1">BS!$B$2:$O$38</definedName>
    <definedName name="_Cog02">[1]Assumptions!$B$135:$R$149</definedName>
    <definedName name="_Key1" hidden="1">[15]単独!$U$1</definedName>
    <definedName name="_NSP02">[1]Assumptions!$B$116:$R$132</definedName>
    <definedName name="_nst02">[1]Assumptions!$B$154:$R$167</definedName>
    <definedName name="_Order1">255</definedName>
    <definedName name="_POG02">[1]Assumptions!$B$21:$R$37</definedName>
    <definedName name="_Regression_Y" hidden="1">[16]POLYOLEFINS!$AG$8:$AG$31</definedName>
    <definedName name="_Sort" hidden="1">[15]単独!$A$512:$AC$552</definedName>
    <definedName name="a" hidden="1">[15]ｾｸﾞﾒﾝﾄ!$E$165:$I$165</definedName>
    <definedName name="ACET">'[17]Area Budget'!$D$509:$K$509</definedName>
    <definedName name="AdditionalInstructions">IndexInformation!$B$42</definedName>
    <definedName name="Address" localSheetId="0">ImportantDisclosures!$A$2:$A$2</definedName>
    <definedName name="ADMNACET">'[17]Area Budget'!$K$509</definedName>
    <definedName name="ADMNBAlfa">'[17]Area Budget'!$K$525</definedName>
    <definedName name="ADMNBCorn">'[17]Area Budget'!$K$523</definedName>
    <definedName name="ADMNBCotton">'[17]Area Budget'!$K$527</definedName>
    <definedName name="ADMNBSorghum">'[17]Area Budget'!$K$524</definedName>
    <definedName name="ADMNBSoy">'[17]Area Budget'!$K$522</definedName>
    <definedName name="ADMNBSun">'[17]Area Budget'!$K$526</definedName>
    <definedName name="admnCanolat">'[17]Area Budget'!$K$517</definedName>
    <definedName name="admnCornT">'[17]Area Budget'!$K$516</definedName>
    <definedName name="ADMNCotT">'[17]Area Budget'!$K$519</definedName>
    <definedName name="admnhalo">'[17]Area Budget'!$K$511</definedName>
    <definedName name="ADMNRUP">'[17]Area Budget'!$K$508</definedName>
    <definedName name="admnSBT">'[17]Area Budget'!$K$518</definedName>
    <definedName name="ADMNSoy">'[17]Area Budget'!$K$515</definedName>
    <definedName name="admnsulfo">'[17]Area Budget'!$K$512</definedName>
    <definedName name="admntrl">'[17]Area Budget'!$K$510</definedName>
    <definedName name="Ag_Sector_LAN">'[18]Ag Sector P&amp;L 01F'!$A$1:$N$25,'[18]Ag Sector P&amp;L 01F'!$P$1:$AI$25</definedName>
    <definedName name="ALB">'[19]PRICE SET'!$G$5:$G$45</definedName>
    <definedName name="ALL">[16]VINYLS!$A$7:$B$91</definedName>
    <definedName name="AllPrintFormList">[20]WorkData!$AM$19</definedName>
    <definedName name="ANA" localSheetId="9">ModPubIndex!$A$7</definedName>
    <definedName name="anscount" hidden="1">1</definedName>
    <definedName name="ARG">'[19]PRICE SET'!$K$5:$K$45</definedName>
    <definedName name="Authors" localSheetId="0">ImportantDisclosures!$A$7</definedName>
    <definedName name="Authors" localSheetId="8">IndexInformation!$B$18</definedName>
    <definedName name="b" hidden="1">[15]ｾｸﾞﾒﾝﾄ!$E$167:$I$167</definedName>
    <definedName name="Bgtcropall">'[21]2002 B (input)'!$A$55:$S$124,'[21]2002 B (input)'!$A$133:$S$183,'[21]2002 B (input)'!$A$188:$S$232,'[21]2002 B (input)'!$A$237:$S$298,'[21]2002 B (input)'!$A$303:$S$347,'[21]2002 B (input)'!$A$352:$S$396,'[21]2002 B (input)'!$A$627:$S$665</definedName>
    <definedName name="Bgtcropallqtr">'[21]2002 B (input)'!$AI$55:$AR$124,'[21]2002 B (input)'!$AI$133:$AR$183,'[21]2002 B (input)'!$AI$188:$AR$232,'[21]2002 B (input)'!$AI$237:$AR$298,'[21]2002 B (input)'!$AI$303:$AR$347,'[21]2002 B (input)'!$AI$352:$AR$396,'[21]2002 B (input)'!$AI$627:$AR$665</definedName>
    <definedName name="Bgtcropallytd">'[21]2002 B (input)'!$U$55:$AG$124,'[21]2002 B (input)'!$U$133:$AG$183,'[21]2002 B (input)'!$U$188:$AG$232,'[21]2002 B (input)'!$U$237:$AG$298,'[21]2002 B (input)'!$U$303:$AG$347,'[21]2002 B (input)'!$U$352:$AG$396,'[21]2002 B (input)'!$U$627:$AG$665</definedName>
    <definedName name="Biotech">'[18]Ag Sector P&amp;L 01F'!$A$99:$N$118,'[18]Ag Sector P&amp;L 01F'!$P$98:$AI$118</definedName>
    <definedName name="BRA">'[19]PRICE SET'!$J$5:$J$45</definedName>
    <definedName name="BRO" localSheetId="9">ModPubIndex!$A$1</definedName>
    <definedName name="BUT">[19]FACTORS!$C$8:$W$8</definedName>
    <definedName name="Buttons" localSheetId="1">CircularReferenceAlert!$B$13:$B$15</definedName>
    <definedName name="c_">'[22]Cash Margins'!$W$10:$AP$10</definedName>
    <definedName name="CFOUR">'[19]PRICE SET'!$E$16:$AF$16</definedName>
    <definedName name="CIS">'[19]PRICE SET'!$AF$5:$AF$45</definedName>
    <definedName name="COOL">'[19]PRICE SET'!$E$28:$AF$28</definedName>
    <definedName name="COOLW">[19]FACTORS!$U$6:$U$11</definedName>
    <definedName name="CopyrightStamp">ImportantDisclosures!$A$27</definedName>
    <definedName name="COU" localSheetId="9">ModPubIndex!$A$5</definedName>
    <definedName name="CQEnd" localSheetId="8">IndexInformation!$B$31</definedName>
    <definedName name="Crop">'[18]Ag Sector P&amp;L 01F'!$A$26:$N$48,'[18]Ag Sector P&amp;L 01F'!$P$26:$AI$48</definedName>
    <definedName name="CurMonth">[23]Dates!$B$3</definedName>
    <definedName name="CurMonthDay">[23]Dates!$B$5</definedName>
    <definedName name="CurMonthDayYrL">[23]Dates!$B$8</definedName>
    <definedName name="CurMonthL">[23]Dates!$B$6</definedName>
    <definedName name="CurMonthYr">[23]Dates!$B$4</definedName>
    <definedName name="CurMonthYrL">[23]Dates!$B$7</definedName>
    <definedName name="CurMth">[23]Dates!$B$1</definedName>
    <definedName name="curmths">[24]Dates!$B$1</definedName>
    <definedName name="CurMthYr">[23]Dates!$B$9</definedName>
    <definedName name="CurQtr">[23]Dates!$B$11</definedName>
    <definedName name="CurQtrDay">[23]Dates!$B$12</definedName>
    <definedName name="curqtrdays">[24]Dates!$B$12</definedName>
    <definedName name="CurQtrL">[23]Dates!$B$15</definedName>
    <definedName name="curqtrls">[24]Dates!$B$15</definedName>
    <definedName name="curqtrs">[24]Dates!$B$11</definedName>
    <definedName name="CurQtrYrL">[23]Dates!$B$13</definedName>
    <definedName name="curqtryrls">[24]Dates!$B$13</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rYTD">[23]Dates!$B$2</definedName>
    <definedName name="curytds">[24]Dates!$B$2</definedName>
    <definedName name="CUSIP" localSheetId="8">IndexInformation!$B$20</definedName>
    <definedName name="CYEnd" localSheetId="8">IndexInformation!$B$30</definedName>
    <definedName name="data_mon">'[25]Price T'!$BN$9:$CG$346</definedName>
    <definedName name="data_titles">'[25]Price T'!$F$9:$F$346</definedName>
    <definedName name="Data4">[26]SCO3!$M$22:$M$25</definedName>
    <definedName name="Data5">[26]SCO3!$M$15:$M$18</definedName>
    <definedName name="Date" localSheetId="0">ImportantDisclosures!$A$8</definedName>
    <definedName name="DB_MONTH">'[25]Price T'!$X$69:$IV$16419</definedName>
    <definedName name="db_monthly">'[25]Price T'!$F$5:$AX$346</definedName>
    <definedName name="debt" hidden="1">{"fdsup://directions/FAT Viewer?action=UPDATE&amp;creator=factset&amp;DYN_ARGS=TRUE&amp;DOC_NAME=FAT:FQL_AUDITING_CLIENT_TEMPLATE.FAT&amp;display_string=Audit&amp;VAR:KEY=INYTGXKJMR&amp;VAR:QUERY=RkZfRUJJVERBKCdRVFInLDA2LzMwLzIwMDkp&amp;WINDOW=FIRST_POPUP&amp;HEIGHT=450&amp;WIDTH=450&amp;START_MA","XIMIZED=FALSE&amp;VAR:CALENDAR=US&amp;VAR:SYMBOL=CCMP&amp;VAR:INDEX=0"}</definedName>
    <definedName name="Deleted" localSheetId="8">IndexInformation!$B$27</definedName>
    <definedName name="Description" localSheetId="8">IndexInformation!$B$7</definedName>
    <definedName name="Descriptions">[27]Descriptions!$A$1:$B$156</definedName>
    <definedName name="Discipline" localSheetId="8">IndexInformation!$B$3</definedName>
    <definedName name="DISCIPLINE" localSheetId="9">ModPubIndex!$A$12</definedName>
    <definedName name="DisclosuresText">ImportantDisclosures!$A$22</definedName>
    <definedName name="DiscountRate">[28]Inputs!$C$86</definedName>
    <definedName name="Distribution" localSheetId="8">IndexInformation!$B$26</definedName>
    <definedName name="DistTable" localSheetId="0">ImportantDisclosures!#REF!</definedName>
    <definedName name="DistTablePreamble" localSheetId="0">ImportantDisclosures!#REF!</definedName>
    <definedName name="DOCDAT" localSheetId="9">ModPubIndex!$A$2</definedName>
    <definedName name="DOCTIME" localSheetId="9">ModPubIndex!$A$3</definedName>
    <definedName name="DocType" localSheetId="8">IndexInformation!$B$5</definedName>
    <definedName name="E2_MN">'[25]Price T'!$F$91:$AF$380</definedName>
    <definedName name="ECON">[29]ETHECON!$A$52:$J$85</definedName>
    <definedName name="EG_MN">'[25]Price T'!$X$115:$AG$298</definedName>
    <definedName name="ELEC">'[19]PRICE SET'!$E$27:$AF$27</definedName>
    <definedName name="EMAIL_ALERT" localSheetId="9">ModPubIndex!$A$10</definedName>
    <definedName name="EmailAlert" localSheetId="8">IndexInformation!$B$28</definedName>
    <definedName name="ETH">[19]FACTORS!$C$6:$W$6</definedName>
    <definedName name="ETHANE">'[19]PRICE SET'!$E$6:$AF$6</definedName>
    <definedName name="ev.Calculation" hidden="1">-4105</definedName>
    <definedName name="ev.Initialized" hidden="1">FALSE</definedName>
    <definedName name="F">[30]Inc.St.!$A$71</definedName>
    <definedName name="ｆ" hidden="1">"iQShowAnnual"</definedName>
    <definedName name="Fcropall">'[21]2001 F (input)'!$A$55:$Q$124,'[21]2001 F (input)'!$A$125:$Q$166,'[21]2001 F (input)'!$A$171:$Q$215,'[21]2001 F (input)'!$A$220:$Q$281,'[21]2001 F (input)'!$A$286:$Q$330,'[21]2001 F (input)'!$A$335:$Q$379,'[21]2001 F (input)'!$A$475:$Q$513</definedName>
    <definedName name="Fcropallqtr">'[21]2001 F (input)'!$AH$55:$AM$124,'[21]2001 F (input)'!$AH$125:$AM$166,'[21]2001 F (input)'!$AH$171:$AM$215,'[21]2001 F (input)'!$AH$220:$AM$281,'[21]2001 F (input)'!$AH$286:$AM$330,'[21]2001 F (input)'!$AH$335:$AM$379,'[21]2001 F (input)'!$AH$475:$AM$513</definedName>
    <definedName name="Fcropallytd">'[21]2001 F (input)'!$S$55:$AF$124,'[21]2001 F (input)'!$S$125:$AF$166,'[21]2001 F (input)'!$S$171:$AF$215,'[21]2001 F (input)'!$S$220:$AF$281,'[21]2001 F (input)'!$S$286:$AF$330,'[21]2001 F (input)'!$S$335:$AF$379,'[21]2001 F (input)'!$S$475:$AF$513</definedName>
    <definedName name="FEED">#N/A</definedName>
    <definedName name="FIN">'[19]PRICE SET'!$M$5:$M$45</definedName>
    <definedName name="FiveYearGrowthRate" localSheetId="8">IndexInformation!$B$16</definedName>
    <definedName name="FLNAP">'[19]PRICE SET'!$E$11:$AF$11</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ur" hidden="1">'[3]chart-sales'!$A:$IV</definedName>
    <definedName name="FRN">[19]FACTORS!$C$10:$W$10</definedName>
    <definedName name="GASO">'[19]PRICE SET'!$E$12:$AF$12</definedName>
    <definedName name="GER">'[19]PRICE SET'!$R$5:$R$45</definedName>
    <definedName name="Glyphosate">'[18]Ag Sector P&amp;L 01F'!$A$26:$N$48,'[18]Ag Sector P&amp;L 01F'!$P$26:$AI$48</definedName>
    <definedName name="GOL">[19]FACTORS!$C$11:$W$11</definedName>
    <definedName name="H">{#N/A,#N/A,TRUE,"lawa";#N/A,#N/A,TRUE,"brazil";#N/A,#N/A,TRUE,"argentina";#N/A,#N/A,TRUE,"mexico";#N/A,#N/A,TRUE,"colombia";#N/A,#N/A,TRUE,"cent amer";#N/A,#N/A,TRUE,"venezuela";#N/A,#N/A,TRUE,"caribbean";#N/A,#N/A,TRUE,"HQ"}</definedName>
    <definedName name="HDPE_MN">'[25]Price T'!$X$307:$IV$16419</definedName>
    <definedName name="help" hidden="1">{"Page 1",#N/A,FALSE,"Daily calendar";"Backlog",#N/A,FALSE,"Daily calendar"}</definedName>
    <definedName name="Historange">[26]SCO3!$B$80:$C$120</definedName>
    <definedName name="History">[26]SCO3!$B$80</definedName>
    <definedName name="HL" localSheetId="9">ModPubIndex!$A$8</definedName>
    <definedName name="hn.ExtDb" hidden="1">FALSE</definedName>
    <definedName name="hn.ModelType" hidden="1">"DEAL"</definedName>
    <definedName name="hn.ModelVersion" hidden="1">1</definedName>
    <definedName name="hn.NoUpload" hidden="1">0</definedName>
    <definedName name="HOUR">'[19]PRICE SET'!$E$30:$AF$30</definedName>
    <definedName name="HPYG">'[19]PRICE SET'!$E$20:$AF$20</definedName>
    <definedName name="HspLogonApplication">"PLANS"</definedName>
    <definedName name="HspLogonDomain">"NORTH_AMERICA"</definedName>
    <definedName name="HspLogonServer">"garganey"</definedName>
    <definedName name="HspLogonUserName">"PLANNING"</definedName>
    <definedName name="i">{"Qtr Op Mgd Q3",#N/A,FALSE,"Qtr-Op (Mng)";"Qtr Op Rpt Q3",#N/A,FALSE,"Qtr-Op (Rpt)";"Operating Vs Reported",#N/A,FALSE,"Rpt-Op Inc"}</definedName>
    <definedName name="IND" localSheetId="9">ModPubIndex!$A$9</definedName>
    <definedName name="IND">'[19]PRICE SET'!$W$5:$W$45</definedName>
    <definedName name="Industry" localSheetId="0">ImportantDisclosures!$A$12</definedName>
    <definedName name="IndustryId">IndexInformation!$B$40</definedName>
    <definedName name="IndustryRating" localSheetId="0">ImportantDisclosures!$A$13</definedName>
    <definedName name="INRAT">'[19]PRICE SET'!$E$31:$AF$31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30YR_FIXED_MORTGAGE" hidden="1">"c6811"</definedName>
    <definedName name="IQ_30YR_FIXED_MORTGAGE_FC" hidden="1">"c7691"</definedName>
    <definedName name="IQ_30YR_FIXED_MORTGAGE_POP" hidden="1">"c7031"</definedName>
    <definedName name="IQ_30YR_FIXED_MORTGAGE_POP_FC" hidden="1">"c7911"</definedName>
    <definedName name="IQ_30YR_FIXED_MORTGAGE_YOY" hidden="1">"c7251"</definedName>
    <definedName name="IQ_30YR_FIXED_MORTGAGE_YOY_FC" hidden="1">"c8131"</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CTUAL_PRODUCTION_ALUM" hidden="1">"c9247"</definedName>
    <definedName name="IQ_ACTUAL_PRODUCTION_CATHODE_COP" hidden="1">"c9192"</definedName>
    <definedName name="IQ_ACTUAL_PRODUCTION_COAL" hidden="1">"c9821"</definedName>
    <definedName name="IQ_ACTUAL_PRODUCTION_COP" hidden="1">"c9191"</definedName>
    <definedName name="IQ_ACTUAL_PRODUCTION_DIAM" hidden="1">"c9671"</definedName>
    <definedName name="IQ_ACTUAL_PRODUCTION_GOLD" hidden="1">"c9032"</definedName>
    <definedName name="IQ_ACTUAL_PRODUCTION_IRON" hidden="1">"c9406"</definedName>
    <definedName name="IQ_ACTUAL_PRODUCTION_LEAD" hidden="1">"c9459"</definedName>
    <definedName name="IQ_ACTUAL_PRODUCTION_MANG" hidden="1">"c9512"</definedName>
    <definedName name="IQ_ACTUAL_PRODUCTION_MET_COAL" hidden="1">"c9761"</definedName>
    <definedName name="IQ_ACTUAL_PRODUCTION_MOLYB" hidden="1">"c9724"</definedName>
    <definedName name="IQ_ACTUAL_PRODUCTION_NICK" hidden="1">"c9300"</definedName>
    <definedName name="IQ_ACTUAL_PRODUCTION_PLAT" hidden="1">"c9138"</definedName>
    <definedName name="IQ_ACTUAL_PRODUCTION_SILVER" hidden="1">"c9085"</definedName>
    <definedName name="IQ_ACTUAL_PRODUCTION_STEAM" hidden="1">"c9791"</definedName>
    <definedName name="IQ_ACTUAL_PRODUCTION_TITAN" hidden="1">"c9565"</definedName>
    <definedName name="IQ_ACTUAL_PRODUCTION_URAN" hidden="1">"c9618"</definedName>
    <definedName name="IQ_ACTUAL_PRODUCTION_ZINC" hidden="1">"c9353"</definedName>
    <definedName name="IQ_AD" hidden="1">"c7"</definedName>
    <definedName name="IQ_ADD_PAID_IN" hidden="1">"c1344"</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JUSTED_NAV_COVERED" hidden="1">"c9963"</definedName>
    <definedName name="IQ_ADJUSTED_NAV_GROUP" hidden="1">"c9949"</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FO" hidden="1">"c8756"</definedName>
    <definedName name="IQ_AFFO_PER_SHARE_BASIC" hidden="1">"c8869"</definedName>
    <definedName name="IQ_AFFO_PER_SHARE_DILUTED" hidden="1">"c8870"</definedName>
    <definedName name="IQ_AFTER_TAX_INCOME_FDIC" hidden="1">"c6583"</definedName>
    <definedName name="IQ_AGENCY" hidden="1">"c8960"</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AVG_PSGR_FARE" hidden="1">"c10029"</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NUMBER_HRS_FLOWN" hidden="1">"c10037"</definedName>
    <definedName name="IQ_AIR_NUMBER_OPERATING_AIRCRAFT_AVG" hidden="1">"c10035"</definedName>
    <definedName name="IQ_AIR_NUMBER_TRIPS_FLOWN" hidden="1">"c10030"</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EX_PER_ASK_EXCL_FUEL" hidden="1">"c10034"</definedName>
    <definedName name="IQ_AIR_OPEX_PER_ASM_EXCL_FUEL" hidden="1">"c10033"</definedName>
    <definedName name="IQ_AIR_OPTIONS" hidden="1">"c2837"</definedName>
    <definedName name="IQ_AIR_ORDERS" hidden="1">"c2836"</definedName>
    <definedName name="IQ_AIR_OWNED" hidden="1">"c2832"</definedName>
    <definedName name="IQ_AIR_PERCENTAGE_SALES_VIA_INTERNET" hidden="1">"c10036"</definedName>
    <definedName name="IQ_AIR_PSGR_HAUL_AVG_LENGTH_KM" hidden="1">"c10032"</definedName>
    <definedName name="IQ_AIR_PSGR_HAUL_AVG_LENGTH_MILES" hidden="1">"c10031"</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"c1591"</definedName>
    <definedName name="IQ_AMORTIZED_COST_FDIC" hidden="1">"c6426"</definedName>
    <definedName name="IQ_AMT_OUT" hidden="1">"c2145"</definedName>
    <definedName name="IQ_ANNU_DISTRIBUTION_UNIT" hidden="1">"c3004"</definedName>
    <definedName name="IQ_ANNUAL_PREMIUM_EQUIVALENT_NEW_BUSINESS" hidden="1">"c9972"</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AP" hidden="1">"c8883"</definedName>
    <definedName name="IQ_ASSETS_AP_ABS" hidden="1">"c8902"</definedName>
    <definedName name="IQ_ASSETS_CAP_LEASE_DEPR" hidden="1">"c2068"</definedName>
    <definedName name="IQ_ASSETS_CAP_LEASE_GROSS" hidden="1">"c2069"</definedName>
    <definedName name="IQ_ASSETS_HELD_FDIC" hidden="1">"c6305"</definedName>
    <definedName name="IQ_ASSETS_NAME_AP" hidden="1">"c8921"</definedName>
    <definedName name="IQ_ASSETS_NAME_AP_ABS" hidden="1">"c8940"</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M" hidden="1">"c10043"</definedName>
    <definedName name="IQ_AUM_EQUITY_FUNDS" hidden="1">"c10039"</definedName>
    <definedName name="IQ_AUM_FIXED_INCOME_FUNDS" hidden="1">"c10040"</definedName>
    <definedName name="IQ_AUM_MONEY_MARKET_FUNDS" hidden="1">"c10041"</definedName>
    <definedName name="IQ_AUM_OTHER" hidden="1">"c10042"</definedName>
    <definedName name="IQ_AUTO_REGIST_NEW" hidden="1">"c6923"</definedName>
    <definedName name="IQ_AUTO_REGIST_NEW_APR" hidden="1">"c7583"</definedName>
    <definedName name="IQ_AUTO_REGIST_NEW_APR_FC" hidden="1">"c8463"</definedName>
    <definedName name="IQ_AUTO_REGIST_NEW_FC" hidden="1">"c7803"</definedName>
    <definedName name="IQ_AUTO_REGIST_NEW_POP" hidden="1">"c7143"</definedName>
    <definedName name="IQ_AUTO_REGIST_NEW_POP_FC" hidden="1">"c8023"</definedName>
    <definedName name="IQ_AUTO_REGIST_NEW_YOY" hidden="1">"c7363"</definedName>
    <definedName name="IQ_AUTO_REGIST_NEW_YOY_FC" hidden="1">"c8243"</definedName>
    <definedName name="IQ_AUTO_SALES_DOM" hidden="1">"c6852"</definedName>
    <definedName name="IQ_AUTO_SALES_DOM_APR" hidden="1">"c7512"</definedName>
    <definedName name="IQ_AUTO_SALES_DOM_APR_FC" hidden="1">"c8392"</definedName>
    <definedName name="IQ_AUTO_SALES_DOM_FC" hidden="1">"c7732"</definedName>
    <definedName name="IQ_AUTO_SALES_DOM_POP" hidden="1">"c7072"</definedName>
    <definedName name="IQ_AUTO_SALES_DOM_POP_FC" hidden="1">"c7952"</definedName>
    <definedName name="IQ_AUTO_SALES_DOM_YOY" hidden="1">"c7292"</definedName>
    <definedName name="IQ_AUTO_SALES_DOM_YOY_FC" hidden="1">"c8172"</definedName>
    <definedName name="IQ_AUTO_SALES_FOREIGN" hidden="1">"c6873"</definedName>
    <definedName name="IQ_AUTO_SALES_FOREIGN_APR" hidden="1">"c7533"</definedName>
    <definedName name="IQ_AUTO_SALES_FOREIGN_APR_FC" hidden="1">"c8413"</definedName>
    <definedName name="IQ_AUTO_SALES_FOREIGN_FC" hidden="1">"c7753"</definedName>
    <definedName name="IQ_AUTO_SALES_FOREIGN_POP" hidden="1">"c7093"</definedName>
    <definedName name="IQ_AUTO_SALES_FOREIGN_POP_FC" hidden="1">"c7973"</definedName>
    <definedName name="IQ_AUTO_SALES_FOREIGN_YOY" hidden="1">"c7313"</definedName>
    <definedName name="IQ_AUTO_SALES_FOREIGN_YOY_FC" hidden="1">"c8193"</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CIQ" hidden="1">"c3612"</definedName>
    <definedName name="IQ_AVG_BROKER_REC_NO" hidden="1">"c64"</definedName>
    <definedName name="IQ_AVG_BROKER_REC_NO_CIQ" hidden="1">"c4657"</definedName>
    <definedName name="IQ_AVG_BROKER_REC_NO_REUT" hidden="1">"c5315"</definedName>
    <definedName name="IQ_AVG_BROKER_REC_REUT" hidden="1">"c3630"</definedName>
    <definedName name="IQ_AVG_CALORIFIC_VALUE_COAL" hidden="1">"c9828"</definedName>
    <definedName name="IQ_AVG_CALORIFIC_VALUE_MET_COAL" hidden="1">"c9764"</definedName>
    <definedName name="IQ_AVG_CALORIFIC_VALUE_STEAM" hidden="1">"c9794"</definedName>
    <definedName name="IQ_AVG_DAILY_VOL" hidden="1">"c65"</definedName>
    <definedName name="IQ_AVG_EMPLOYEES" hidden="1">"c6019"</definedName>
    <definedName name="IQ_AVG_GRADE_ALUM" hidden="1">"c9254"</definedName>
    <definedName name="IQ_AVG_GRADE_COP" hidden="1">"c9201"</definedName>
    <definedName name="IQ_AVG_GRADE_DIAM" hidden="1">"c9678"</definedName>
    <definedName name="IQ_AVG_GRADE_GOLD" hidden="1">"c9039"</definedName>
    <definedName name="IQ_AVG_GRADE_IRON" hidden="1">"c9413"</definedName>
    <definedName name="IQ_AVG_GRADE_LEAD" hidden="1">"c9466"</definedName>
    <definedName name="IQ_AVG_GRADE_MANG" hidden="1">"c9519"</definedName>
    <definedName name="IQ_AVG_GRADE_MOLYB" hidden="1">"c9731"</definedName>
    <definedName name="IQ_AVG_GRADE_NICK" hidden="1">"c9307"</definedName>
    <definedName name="IQ_AVG_GRADE_PLAT" hidden="1">"c9145"</definedName>
    <definedName name="IQ_AVG_GRADE_SILVER" hidden="1">"c9092"</definedName>
    <definedName name="IQ_AVG_GRADE_TITAN" hidden="1">"c9572"</definedName>
    <definedName name="IQ_AVG_GRADE_URAN" hidden="1">"c9625"</definedName>
    <definedName name="IQ_AVG_GRADE_ZINC" hidden="1">"c9360"</definedName>
    <definedName name="IQ_AVG_INDUSTRY_REC" hidden="1">"c4455"</definedName>
    <definedName name="IQ_AVG_INDUSTRY_REC_CIQ" hidden="1">"c4984"</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PRODUCTION_PER_MINE_ALUM" hidden="1">"c9249"</definedName>
    <definedName name="IQ_AVG_PRODUCTION_PER_MINE_COAL" hidden="1">"c9823"</definedName>
    <definedName name="IQ_AVG_PRODUCTION_PER_MINE_COP" hidden="1">"c9194"</definedName>
    <definedName name="IQ_AVG_PRODUCTION_PER_MINE_DIAM" hidden="1">"c9673"</definedName>
    <definedName name="IQ_AVG_PRODUCTION_PER_MINE_GOLD" hidden="1">"c9034"</definedName>
    <definedName name="IQ_AVG_PRODUCTION_PER_MINE_IRON" hidden="1">"c9408"</definedName>
    <definedName name="IQ_AVG_PRODUCTION_PER_MINE_LEAD" hidden="1">"c9461"</definedName>
    <definedName name="IQ_AVG_PRODUCTION_PER_MINE_MANG" hidden="1">"c9514"</definedName>
    <definedName name="IQ_AVG_PRODUCTION_PER_MINE_MOLYB" hidden="1">"c9726"</definedName>
    <definedName name="IQ_AVG_PRODUCTION_PER_MINE_NICK" hidden="1">"c9302"</definedName>
    <definedName name="IQ_AVG_PRODUCTION_PER_MINE_PLAT" hidden="1">"c9140"</definedName>
    <definedName name="IQ_AVG_PRODUCTION_PER_MINE_SILVER" hidden="1">"c9087"</definedName>
    <definedName name="IQ_AVG_PRODUCTION_PER_MINE_TITAN" hidden="1">"c9567"</definedName>
    <definedName name="IQ_AVG_PRODUCTION_PER_MINE_URAN" hidden="1">"c9620"</definedName>
    <definedName name="IQ_AVG_PRODUCTION_PER_MINE_ZINC" hidden="1">"c9355"</definedName>
    <definedName name="IQ_AVG_REAL_PRICE_POST_TREAT_REFINING_ALUM" hidden="1">"c9259"</definedName>
    <definedName name="IQ_AVG_REAL_PRICE_POST_TREAT_REFINING_COP" hidden="1">"c9206"</definedName>
    <definedName name="IQ_AVG_REAL_PRICE_POST_TREAT_REFINING_DIAM" hidden="1">"c9683"</definedName>
    <definedName name="IQ_AVG_REAL_PRICE_POST_TREAT_REFINING_GOLD" hidden="1">"c9044"</definedName>
    <definedName name="IQ_AVG_REAL_PRICE_POST_TREAT_REFINING_IRON" hidden="1">"c9418"</definedName>
    <definedName name="IQ_AVG_REAL_PRICE_POST_TREAT_REFINING_LEAD" hidden="1">"c9471"</definedName>
    <definedName name="IQ_AVG_REAL_PRICE_POST_TREAT_REFINING_MANG" hidden="1">"c9524"</definedName>
    <definedName name="IQ_AVG_REAL_PRICE_POST_TREAT_REFINING_MOLYB" hidden="1">"c9736"</definedName>
    <definedName name="IQ_AVG_REAL_PRICE_POST_TREAT_REFINING_NICK" hidden="1">"c9311"</definedName>
    <definedName name="IQ_AVG_REAL_PRICE_POST_TREAT_REFINING_PLAT" hidden="1">"c9150"</definedName>
    <definedName name="IQ_AVG_REAL_PRICE_POST_TREAT_REFINING_SILVER" hidden="1">"c9097"</definedName>
    <definedName name="IQ_AVG_REAL_PRICE_POST_TREAT_REFINING_TITAN" hidden="1">"c9577"</definedName>
    <definedName name="IQ_AVG_REAL_PRICE_POST_TREAT_REFINING_URAN" hidden="1">"c9630"</definedName>
    <definedName name="IQ_AVG_REAL_PRICE_POST_TREAT_REFINING_ZINC" hidden="1">"c9365"</definedName>
    <definedName name="IQ_AVG_REAL_PRICE_PRE_TREAT_REFINING_ALUM" hidden="1">"c9258"</definedName>
    <definedName name="IQ_AVG_REAL_PRICE_PRE_TREAT_REFINING_COP" hidden="1">"c9205"</definedName>
    <definedName name="IQ_AVG_REAL_PRICE_PRE_TREAT_REFINING_DIAM" hidden="1">"c9682"</definedName>
    <definedName name="IQ_AVG_REAL_PRICE_PRE_TREAT_REFINING_GOLD" hidden="1">"c9043"</definedName>
    <definedName name="IQ_AVG_REAL_PRICE_PRE_TREAT_REFINING_IRON" hidden="1">"c9417"</definedName>
    <definedName name="IQ_AVG_REAL_PRICE_PRE_TREAT_REFINING_LEAD" hidden="1">"c9470"</definedName>
    <definedName name="IQ_AVG_REAL_PRICE_PRE_TREAT_REFINING_MANG" hidden="1">"c9523"</definedName>
    <definedName name="IQ_AVG_REAL_PRICE_PRE_TREAT_REFINING_MOLYB" hidden="1">"c9735"</definedName>
    <definedName name="IQ_AVG_REAL_PRICE_PRE_TREAT_REFINING_NICK" hidden="1">"c9312"</definedName>
    <definedName name="IQ_AVG_REAL_PRICE_PRE_TREAT_REFINING_PLAT" hidden="1">"c9149"</definedName>
    <definedName name="IQ_AVG_REAL_PRICE_PRE_TREAT_REFINING_SILVER" hidden="1">"c9096"</definedName>
    <definedName name="IQ_AVG_REAL_PRICE_PRE_TREAT_REFINING_TITAN" hidden="1">"c9576"</definedName>
    <definedName name="IQ_AVG_REAL_PRICE_PRE_TREAT_REFINING_URAN" hidden="1">"c9629"</definedName>
    <definedName name="IQ_AVG_REAL_PRICE_PRE_TREAT_REFINING_ZINC" hidden="1">"c9364"</definedName>
    <definedName name="IQ_AVG_REALIZED_PRICE_AFTER_HEDGING_ALUM" hidden="1">"c9257"</definedName>
    <definedName name="IQ_AVG_REALIZED_PRICE_AFTER_HEDGING_COAL" hidden="1">"c9830"</definedName>
    <definedName name="IQ_AVG_REALIZED_PRICE_AFTER_HEDGING_COP" hidden="1">"c9204"</definedName>
    <definedName name="IQ_AVG_REALIZED_PRICE_AFTER_HEDGING_DIAM" hidden="1">"c9681"</definedName>
    <definedName name="IQ_AVG_REALIZED_PRICE_AFTER_HEDGING_GOLD" hidden="1">"c9042"</definedName>
    <definedName name="IQ_AVG_REALIZED_PRICE_AFTER_HEDGING_IRON" hidden="1">"c9416"</definedName>
    <definedName name="IQ_AVG_REALIZED_PRICE_AFTER_HEDGING_LEAD" hidden="1">"c9469"</definedName>
    <definedName name="IQ_AVG_REALIZED_PRICE_AFTER_HEDGING_MANG" hidden="1">"c9522"</definedName>
    <definedName name="IQ_AVG_REALIZED_PRICE_AFTER_HEDGING_MET_COAL" hidden="1">"c9766"</definedName>
    <definedName name="IQ_AVG_REALIZED_PRICE_AFTER_HEDGING_MOLYB" hidden="1">"c9734"</definedName>
    <definedName name="IQ_AVG_REALIZED_PRICE_AFTER_HEDGING_NICK" hidden="1">"c9310"</definedName>
    <definedName name="IQ_AVG_REALIZED_PRICE_AFTER_HEDGING_PLAT" hidden="1">"c9148"</definedName>
    <definedName name="IQ_AVG_REALIZED_PRICE_AFTER_HEDGING_SILVER" hidden="1">"c9095"</definedName>
    <definedName name="IQ_AVG_REALIZED_PRICE_AFTER_HEDGING_STEAM" hidden="1">"c9796"</definedName>
    <definedName name="IQ_AVG_REALIZED_PRICE_AFTER_HEDGING_TITAN" hidden="1">"c9575"</definedName>
    <definedName name="IQ_AVG_REALIZED_PRICE_AFTER_HEDGING_URAN" hidden="1">"c9628"</definedName>
    <definedName name="IQ_AVG_REALIZED_PRICE_AFTER_HEDGING_ZINC" hidden="1">"c9363"</definedName>
    <definedName name="IQ_AVG_REALIZED_PRICE_BEFORE_HEDGING_ALUM" hidden="1">"c9256"</definedName>
    <definedName name="IQ_AVG_REALIZED_PRICE_BEFORE_HEDGING_COAL" hidden="1">"c9829"</definedName>
    <definedName name="IQ_AVG_REALIZED_PRICE_BEFORE_HEDGING_COP" hidden="1">"c9203"</definedName>
    <definedName name="IQ_AVG_REALIZED_PRICE_BEFORE_HEDGING_DIAM" hidden="1">"c9680"</definedName>
    <definedName name="IQ_AVG_REALIZED_PRICE_BEFORE_HEDGING_GOLD" hidden="1">"c9041"</definedName>
    <definedName name="IQ_AVG_REALIZED_PRICE_BEFORE_HEDGING_IRON" hidden="1">"c9415"</definedName>
    <definedName name="IQ_AVG_REALIZED_PRICE_BEFORE_HEDGING_LEAD" hidden="1">"c9468"</definedName>
    <definedName name="IQ_AVG_REALIZED_PRICE_BEFORE_HEDGING_MANG" hidden="1">"c9521"</definedName>
    <definedName name="IQ_AVG_REALIZED_PRICE_BEFORE_HEDGING_MET_COAL" hidden="1">"c9765"</definedName>
    <definedName name="IQ_AVG_REALIZED_PRICE_BEFORE_HEDGING_MOLYB" hidden="1">"c9733"</definedName>
    <definedName name="IQ_AVG_REALIZED_PRICE_BEFORE_HEDGING_NICK" hidden="1">"c9309"</definedName>
    <definedName name="IQ_AVG_REALIZED_PRICE_BEFORE_HEDGING_PLAT" hidden="1">"c9147"</definedName>
    <definedName name="IQ_AVG_REALIZED_PRICE_BEFORE_HEDGING_SILVER" hidden="1">"c9094"</definedName>
    <definedName name="IQ_AVG_REALIZED_PRICE_BEFORE_HEDGING_STEAM" hidden="1">"c9795"</definedName>
    <definedName name="IQ_AVG_REALIZED_PRICE_BEFORE_HEDGING_TITAN" hidden="1">"c9574"</definedName>
    <definedName name="IQ_AVG_REALIZED_PRICE_BEFORE_HEDGING_URAN" hidden="1">"c9627"</definedName>
    <definedName name="IQ_AVG_REALIZED_PRICE_BEFORE_HEDGING_ZINC" hidden="1">"c9362"</definedName>
    <definedName name="IQ_AVG_SHAREOUTSTANDING" hidden="1">"c83"</definedName>
    <definedName name="IQ_AVG_TEMP_EMPLOYEES" hidden="1">"c6020"</definedName>
    <definedName name="IQ_AVG_TEV" hidden="1">"c84"</definedName>
    <definedName name="IQ_AVG_VOLUME" hidden="1">"c1346"</definedName>
    <definedName name="IQ_AVG_WAGES" hidden="1">"c6812"</definedName>
    <definedName name="IQ_AVG_WAGES_APR" hidden="1">"c7472"</definedName>
    <definedName name="IQ_AVG_WAGES_APR_FC" hidden="1">"c8352"</definedName>
    <definedName name="IQ_AVG_WAGES_FC" hidden="1">"c7692"</definedName>
    <definedName name="IQ_AVG_WAGES_POP" hidden="1">"c7032"</definedName>
    <definedName name="IQ_AVG_WAGES_POP_FC" hidden="1">"c7912"</definedName>
    <definedName name="IQ_AVG_WAGES_YOY" hidden="1">"c7252"</definedName>
    <definedName name="IQ_AVG_WAGES_YOY_FC" hidden="1">"c8132"</definedName>
    <definedName name="IQ_BALANCE_GOODS_APR_FC_UNUSED" hidden="1">"c8353"</definedName>
    <definedName name="IQ_BALANCE_GOODS_APR_FC_UNUSED_UNUSED_UNUSED" hidden="1">"c8353"</definedName>
    <definedName name="IQ_BALANCE_GOODS_APR_UNUSED" hidden="1">"c7473"</definedName>
    <definedName name="IQ_BALANCE_GOODS_APR_UNUSED_UNUSED_UNUSED" hidden="1">"c7473"</definedName>
    <definedName name="IQ_BALANCE_GOODS_FC_UNUSED" hidden="1">"c7693"</definedName>
    <definedName name="IQ_BALANCE_GOODS_FC_UNUSED_UNUSED_UNUSED" hidden="1">"c7693"</definedName>
    <definedName name="IQ_BALANCE_GOODS_POP_FC_UNUSED" hidden="1">"c7913"</definedName>
    <definedName name="IQ_BALANCE_GOODS_POP_FC_UNUSED_UNUSED_UNUSED" hidden="1">"c7913"</definedName>
    <definedName name="IQ_BALANCE_GOODS_POP_UNUSED" hidden="1">"c7033"</definedName>
    <definedName name="IQ_BALANCE_GOODS_POP_UNUSED_UNUSED_UNUSED" hidden="1">"c7033"</definedName>
    <definedName name="IQ_BALANCE_GOODS_REAL" hidden="1">"c6952"</definedName>
    <definedName name="IQ_BALANCE_GOODS_REAL_APR" hidden="1">"c7612"</definedName>
    <definedName name="IQ_BALANCE_GOODS_REAL_APR_FC" hidden="1">"c8492"</definedName>
    <definedName name="IQ_BALANCE_GOODS_REAL_FC" hidden="1">"c7832"</definedName>
    <definedName name="IQ_BALANCE_GOODS_REAL_POP" hidden="1">"c7172"</definedName>
    <definedName name="IQ_BALANCE_GOODS_REAL_POP_FC" hidden="1">"c8052"</definedName>
    <definedName name="IQ_BALANCE_GOODS_REAL_SAAR" hidden="1">"c6953"</definedName>
    <definedName name="IQ_BALANCE_GOODS_REAL_SAAR_APR" hidden="1">"c7613"</definedName>
    <definedName name="IQ_BALANCE_GOODS_REAL_SAAR_APR_FC" hidden="1">"c8493"</definedName>
    <definedName name="IQ_BALANCE_GOODS_REAL_SAAR_FC" hidden="1">"c7833"</definedName>
    <definedName name="IQ_BALANCE_GOODS_REAL_SAAR_POP" hidden="1">"c7173"</definedName>
    <definedName name="IQ_BALANCE_GOODS_REAL_SAAR_POP_FC" hidden="1">"c8053"</definedName>
    <definedName name="IQ_BALANCE_GOODS_REAL_SAAR_USD_APR_FC" hidden="1">"c11893"</definedName>
    <definedName name="IQ_BALANCE_GOODS_REAL_SAAR_USD_FC" hidden="1">"c11890"</definedName>
    <definedName name="IQ_BALANCE_GOODS_REAL_SAAR_USD_POP_FC" hidden="1">"c11891"</definedName>
    <definedName name="IQ_BALANCE_GOODS_REAL_SAAR_USD_YOY_FC" hidden="1">"c11892"</definedName>
    <definedName name="IQ_BALANCE_GOODS_REAL_SAAR_YOY" hidden="1">"c7393"</definedName>
    <definedName name="IQ_BALANCE_GOODS_REAL_SAAR_YOY_FC" hidden="1">"c8273"</definedName>
    <definedName name="IQ_BALANCE_GOODS_REAL_USD_APR_FC" hidden="1">"c11889"</definedName>
    <definedName name="IQ_BALANCE_GOODS_REAL_USD_FC" hidden="1">"c11886"</definedName>
    <definedName name="IQ_BALANCE_GOODS_REAL_USD_POP_FC" hidden="1">"c11887"</definedName>
    <definedName name="IQ_BALANCE_GOODS_REAL_USD_YOY_FC" hidden="1">"c11888"</definedName>
    <definedName name="IQ_BALANCE_GOODS_REAL_YOY" hidden="1">"c7392"</definedName>
    <definedName name="IQ_BALANCE_GOODS_REAL_YOY_FC" hidden="1">"c8272"</definedName>
    <definedName name="IQ_BALANCE_GOODS_SAAR" hidden="1">"c6814"</definedName>
    <definedName name="IQ_BALANCE_GOODS_SAAR_APR" hidden="1">"c7474"</definedName>
    <definedName name="IQ_BALANCE_GOODS_SAAR_APR_FC" hidden="1">"c8354"</definedName>
    <definedName name="IQ_BALANCE_GOODS_SAAR_FC" hidden="1">"c7694"</definedName>
    <definedName name="IQ_BALANCE_GOODS_SAAR_POP" hidden="1">"c7034"</definedName>
    <definedName name="IQ_BALANCE_GOODS_SAAR_POP_FC" hidden="1">"c7914"</definedName>
    <definedName name="IQ_BALANCE_GOODS_SAAR_USD_APR_FC" hidden="1">"c11762"</definedName>
    <definedName name="IQ_BALANCE_GOODS_SAAR_USD_FC" hidden="1">"c11759"</definedName>
    <definedName name="IQ_BALANCE_GOODS_SAAR_USD_POP_FC" hidden="1">"c11760"</definedName>
    <definedName name="IQ_BALANCE_GOODS_SAAR_USD_YOY_FC" hidden="1">"c11761"</definedName>
    <definedName name="IQ_BALANCE_GOODS_SAAR_YOY" hidden="1">"c7254"</definedName>
    <definedName name="IQ_BALANCE_GOODS_SAAR_YOY_FC" hidden="1">"c8134"</definedName>
    <definedName name="IQ_BALANCE_GOODS_UNUSED" hidden="1">"c6813"</definedName>
    <definedName name="IQ_BALANCE_GOODS_UNUSED_UNUSED_UNUSED" hidden="1">"c6813"</definedName>
    <definedName name="IQ_BALANCE_GOODS_USD_APR_FC" hidden="1">"c11758"</definedName>
    <definedName name="IQ_BALANCE_GOODS_USD_FC" hidden="1">"c11755"</definedName>
    <definedName name="IQ_BALANCE_GOODS_USD_POP_FC" hidden="1">"c11756"</definedName>
    <definedName name="IQ_BALANCE_GOODS_USD_YOY_FC" hidden="1">"c11757"</definedName>
    <definedName name="IQ_BALANCE_GOODS_YOY_FC_UNUSED" hidden="1">"c8133"</definedName>
    <definedName name="IQ_BALANCE_GOODS_YOY_FC_UNUSED_UNUSED_UNUSED" hidden="1">"c8133"</definedName>
    <definedName name="IQ_BALANCE_GOODS_YOY_UNUSED" hidden="1">"c7253"</definedName>
    <definedName name="IQ_BALANCE_GOODS_YOY_UNUSED_UNUSED_UNUSED" hidden="1">"c7253"</definedName>
    <definedName name="IQ_BALANCE_SERV_APR_FC_UNUSED" hidden="1">"c8355"</definedName>
    <definedName name="IQ_BALANCE_SERV_APR_FC_UNUSED_UNUSED_UNUSED" hidden="1">"c8355"</definedName>
    <definedName name="IQ_BALANCE_SERV_APR_UNUSED" hidden="1">"c7475"</definedName>
    <definedName name="IQ_BALANCE_SERV_APR_UNUSED_UNUSED_UNUSED" hidden="1">"c7475"</definedName>
    <definedName name="IQ_BALANCE_SERV_FC_UNUSED" hidden="1">"c7695"</definedName>
    <definedName name="IQ_BALANCE_SERV_FC_UNUSED_UNUSED_UNUSED" hidden="1">"c7695"</definedName>
    <definedName name="IQ_BALANCE_SERV_POP_FC_UNUSED" hidden="1">"c7915"</definedName>
    <definedName name="IQ_BALANCE_SERV_POP_FC_UNUSED_UNUSED_UNUSED" hidden="1">"c7915"</definedName>
    <definedName name="IQ_BALANCE_SERV_POP_UNUSED" hidden="1">"c7035"</definedName>
    <definedName name="IQ_BALANCE_SERV_POP_UNUSED_UNUSED_UNUSED" hidden="1">"c7035"</definedName>
    <definedName name="IQ_BALANCE_SERV_SAAR" hidden="1">"c6816"</definedName>
    <definedName name="IQ_BALANCE_SERV_SAAR_APR" hidden="1">"c7476"</definedName>
    <definedName name="IQ_BALANCE_SERV_SAAR_APR_FC" hidden="1">"c8356"</definedName>
    <definedName name="IQ_BALANCE_SERV_SAAR_FC" hidden="1">"c7696"</definedName>
    <definedName name="IQ_BALANCE_SERV_SAAR_POP" hidden="1">"c7036"</definedName>
    <definedName name="IQ_BALANCE_SERV_SAAR_POP_FC" hidden="1">"c7916"</definedName>
    <definedName name="IQ_BALANCE_SERV_SAAR_YOY" hidden="1">"c7256"</definedName>
    <definedName name="IQ_BALANCE_SERV_SAAR_YOY_FC" hidden="1">"c8136"</definedName>
    <definedName name="IQ_BALANCE_SERV_UNUSED" hidden="1">"c6815"</definedName>
    <definedName name="IQ_BALANCE_SERV_UNUSED_UNUSED_UNUSED" hidden="1">"c6815"</definedName>
    <definedName name="IQ_BALANCE_SERV_USD_APR_FC" hidden="1">"c11766"</definedName>
    <definedName name="IQ_BALANCE_SERV_USD_FC" hidden="1">"c11763"</definedName>
    <definedName name="IQ_BALANCE_SERV_USD_POP_FC" hidden="1">"c11764"</definedName>
    <definedName name="IQ_BALANCE_SERV_USD_YOY_FC" hidden="1">"c11765"</definedName>
    <definedName name="IQ_BALANCE_SERV_YOY_FC_UNUSED" hidden="1">"c8135"</definedName>
    <definedName name="IQ_BALANCE_SERV_YOY_FC_UNUSED_UNUSED_UNUSED" hidden="1">"c8135"</definedName>
    <definedName name="IQ_BALANCE_SERV_YOY_UNUSED" hidden="1">"c7255"</definedName>
    <definedName name="IQ_BALANCE_SERV_YOY_UNUSED_UNUSED_UNUSED" hidden="1">"c7255"</definedName>
    <definedName name="IQ_BALANCE_SERVICES_REAL" hidden="1">"c6954"</definedName>
    <definedName name="IQ_BALANCE_SERVICES_REAL_APR" hidden="1">"c7614"</definedName>
    <definedName name="IQ_BALANCE_SERVICES_REAL_APR_FC" hidden="1">"c8494"</definedName>
    <definedName name="IQ_BALANCE_SERVICES_REAL_FC" hidden="1">"c7834"</definedName>
    <definedName name="IQ_BALANCE_SERVICES_REAL_POP" hidden="1">"c7174"</definedName>
    <definedName name="IQ_BALANCE_SERVICES_REAL_POP_FC" hidden="1">"c8054"</definedName>
    <definedName name="IQ_BALANCE_SERVICES_REAL_SAAR" hidden="1">"c6955"</definedName>
    <definedName name="IQ_BALANCE_SERVICES_REAL_SAAR_APR" hidden="1">"c7615"</definedName>
    <definedName name="IQ_BALANCE_SERVICES_REAL_SAAR_APR_FC" hidden="1">"c8495"</definedName>
    <definedName name="IQ_BALANCE_SERVICES_REAL_SAAR_FC" hidden="1">"c7835"</definedName>
    <definedName name="IQ_BALANCE_SERVICES_REAL_SAAR_POP" hidden="1">"c7175"</definedName>
    <definedName name="IQ_BALANCE_SERVICES_REAL_SAAR_POP_FC" hidden="1">"c8055"</definedName>
    <definedName name="IQ_BALANCE_SERVICES_REAL_SAAR_YOY" hidden="1">"c7395"</definedName>
    <definedName name="IQ_BALANCE_SERVICES_REAL_SAAR_YOY_FC" hidden="1">"c8275"</definedName>
    <definedName name="IQ_BALANCE_SERVICES_REAL_USD_APR_FC" hidden="1">"c11897"</definedName>
    <definedName name="IQ_BALANCE_SERVICES_REAL_USD_FC" hidden="1">"c11894"</definedName>
    <definedName name="IQ_BALANCE_SERVICES_REAL_USD_POP_FC" hidden="1">"c11895"</definedName>
    <definedName name="IQ_BALANCE_SERVICES_REAL_USD_YOY_FC" hidden="1">"c11896"</definedName>
    <definedName name="IQ_BALANCE_SERVICES_REAL_YOY" hidden="1">"c7394"</definedName>
    <definedName name="IQ_BALANCE_SERVICES_REAL_YOY_FC" hidden="1">"c8274"</definedName>
    <definedName name="IQ_BALANCE_TRADE_APR_FC_UNUSED" hidden="1">"c8357"</definedName>
    <definedName name="IQ_BALANCE_TRADE_APR_FC_UNUSED_UNUSED_UNUSED" hidden="1">"c8357"</definedName>
    <definedName name="IQ_BALANCE_TRADE_APR_UNUSED" hidden="1">"c7477"</definedName>
    <definedName name="IQ_BALANCE_TRADE_APR_UNUSED_UNUSED_UNUSED" hidden="1">"c7477"</definedName>
    <definedName name="IQ_BALANCE_TRADE_FC_UNUSED" hidden="1">"c7697"</definedName>
    <definedName name="IQ_BALANCE_TRADE_FC_UNUSED_UNUSED_UNUSED" hidden="1">"c7697"</definedName>
    <definedName name="IQ_BALANCE_TRADE_POP_FC_UNUSED" hidden="1">"c7917"</definedName>
    <definedName name="IQ_BALANCE_TRADE_POP_FC_UNUSED_UNUSED_UNUSED" hidden="1">"c7917"</definedName>
    <definedName name="IQ_BALANCE_TRADE_POP_UNUSED" hidden="1">"c7037"</definedName>
    <definedName name="IQ_BALANCE_TRADE_POP_UNUSED_UNUSED_UNUSED" hidden="1">"c7037"</definedName>
    <definedName name="IQ_BALANCE_TRADE_REAL" hidden="1">"c6956"</definedName>
    <definedName name="IQ_BALANCE_TRADE_REAL_APR" hidden="1">"c7616"</definedName>
    <definedName name="IQ_BALANCE_TRADE_REAL_APR_FC" hidden="1">"c8496"</definedName>
    <definedName name="IQ_BALANCE_TRADE_REAL_FC" hidden="1">"c7836"</definedName>
    <definedName name="IQ_BALANCE_TRADE_REAL_POP" hidden="1">"c7176"</definedName>
    <definedName name="IQ_BALANCE_TRADE_REAL_POP_FC" hidden="1">"c8056"</definedName>
    <definedName name="IQ_BALANCE_TRADE_REAL_SAAR" hidden="1">"c6957"</definedName>
    <definedName name="IQ_BALANCE_TRADE_REAL_SAAR_APR" hidden="1">"c7617"</definedName>
    <definedName name="IQ_BALANCE_TRADE_REAL_SAAR_APR_FC" hidden="1">"c8497"</definedName>
    <definedName name="IQ_BALANCE_TRADE_REAL_SAAR_FC" hidden="1">"c7837"</definedName>
    <definedName name="IQ_BALANCE_TRADE_REAL_SAAR_POP" hidden="1">"c7177"</definedName>
    <definedName name="IQ_BALANCE_TRADE_REAL_SAAR_POP_FC" hidden="1">"c8057"</definedName>
    <definedName name="IQ_BALANCE_TRADE_REAL_SAAR_USD_APR_FC" hidden="1">"c11905"</definedName>
    <definedName name="IQ_BALANCE_TRADE_REAL_SAAR_USD_FC" hidden="1">"c11902"</definedName>
    <definedName name="IQ_BALANCE_TRADE_REAL_SAAR_USD_POP_FC" hidden="1">"c11903"</definedName>
    <definedName name="IQ_BALANCE_TRADE_REAL_SAAR_USD_YOY_FC" hidden="1">"c11904"</definedName>
    <definedName name="IQ_BALANCE_TRADE_REAL_SAAR_YOY" hidden="1">"c7397"</definedName>
    <definedName name="IQ_BALANCE_TRADE_REAL_SAAR_YOY_FC" hidden="1">"c8277"</definedName>
    <definedName name="IQ_BALANCE_TRADE_REAL_USD_APR_FC" hidden="1">"c11901"</definedName>
    <definedName name="IQ_BALANCE_TRADE_REAL_USD_FC" hidden="1">"c11898"</definedName>
    <definedName name="IQ_BALANCE_TRADE_REAL_USD_POP_FC" hidden="1">"c11899"</definedName>
    <definedName name="IQ_BALANCE_TRADE_REAL_USD_YOY_FC" hidden="1">"c11900"</definedName>
    <definedName name="IQ_BALANCE_TRADE_REAL_YOY" hidden="1">"c7396"</definedName>
    <definedName name="IQ_BALANCE_TRADE_REAL_YOY_FC" hidden="1">"c8276"</definedName>
    <definedName name="IQ_BALANCE_TRADE_SAAR" hidden="1">"c6818"</definedName>
    <definedName name="IQ_BALANCE_TRADE_SAAR_APR" hidden="1">"c7478"</definedName>
    <definedName name="IQ_BALANCE_TRADE_SAAR_APR_FC" hidden="1">"c8358"</definedName>
    <definedName name="IQ_BALANCE_TRADE_SAAR_FC" hidden="1">"c7698"</definedName>
    <definedName name="IQ_BALANCE_TRADE_SAAR_POP" hidden="1">"c7038"</definedName>
    <definedName name="IQ_BALANCE_TRADE_SAAR_POP_FC" hidden="1">"c7918"</definedName>
    <definedName name="IQ_BALANCE_TRADE_SAAR_USD_APR_FC" hidden="1">"c11774"</definedName>
    <definedName name="IQ_BALANCE_TRADE_SAAR_USD_FC" hidden="1">"c11771"</definedName>
    <definedName name="IQ_BALANCE_TRADE_SAAR_USD_POP_FC" hidden="1">"c11772"</definedName>
    <definedName name="IQ_BALANCE_TRADE_SAAR_USD_YOY_FC" hidden="1">"c11773"</definedName>
    <definedName name="IQ_BALANCE_TRADE_SAAR_YOY" hidden="1">"c7258"</definedName>
    <definedName name="IQ_BALANCE_TRADE_SAAR_YOY_FC" hidden="1">"c8138"</definedName>
    <definedName name="IQ_BALANCE_TRADE_UNUSED" hidden="1">"c6817"</definedName>
    <definedName name="IQ_BALANCE_TRADE_UNUSED_UNUSED_UNUSED" hidden="1">"c6817"</definedName>
    <definedName name="IQ_BALANCE_TRADE_USD_APR_FC" hidden="1">"c11770"</definedName>
    <definedName name="IQ_BALANCE_TRADE_USD_FC" hidden="1">"c11767"</definedName>
    <definedName name="IQ_BALANCE_TRADE_USD_POP_FC" hidden="1">"c11768"</definedName>
    <definedName name="IQ_BALANCE_TRADE_USD_YOY_FC" hidden="1">"c11769"</definedName>
    <definedName name="IQ_BALANCE_TRADE_YOY_FC_UNUSED" hidden="1">"c8137"</definedName>
    <definedName name="IQ_BALANCE_TRADE_YOY_FC_UNUSED_UNUSED_UNUSED" hidden="1">"c8137"</definedName>
    <definedName name="IQ_BALANCE_TRADE_YOY_UNUSED" hidden="1">"c7257"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NCHMARK_YIELD" hidden="1">"c8955"</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ROKERED_DEPOSITS_FDIC" hidden="1">"c6486"</definedName>
    <definedName name="IQ_BUDGET_BALANCE_APR_FC_UNUSED" hidden="1">"c8359"</definedName>
    <definedName name="IQ_BUDGET_BALANCE_APR_FC_UNUSED_UNUSED_UNUSED" hidden="1">"c8359"</definedName>
    <definedName name="IQ_BUDGET_BALANCE_APR_UNUSED" hidden="1">"c7479"</definedName>
    <definedName name="IQ_BUDGET_BALANCE_APR_UNUSED_UNUSED_UNUSED" hidden="1">"c7479"</definedName>
    <definedName name="IQ_BUDGET_BALANCE_FC_UNUSED" hidden="1">"c7699"</definedName>
    <definedName name="IQ_BUDGET_BALANCE_FC_UNUSED_UNUSED_UNUSED" hidden="1">"c7699"</definedName>
    <definedName name="IQ_BUDGET_BALANCE_POP_FC_UNUSED" hidden="1">"c7919"</definedName>
    <definedName name="IQ_BUDGET_BALANCE_POP_FC_UNUSED_UNUSED_UNUSED" hidden="1">"c7919"</definedName>
    <definedName name="IQ_BUDGET_BALANCE_POP_UNUSED" hidden="1">"c7039"</definedName>
    <definedName name="IQ_BUDGET_BALANCE_POP_UNUSED_UNUSED_UNUSED" hidden="1">"c7039"</definedName>
    <definedName name="IQ_BUDGET_BALANCE_SAAR" hidden="1">"c6820"</definedName>
    <definedName name="IQ_BUDGET_BALANCE_SAAR_APR" hidden="1">"c7480"</definedName>
    <definedName name="IQ_BUDGET_BALANCE_SAAR_APR_FC" hidden="1">"c8360"</definedName>
    <definedName name="IQ_BUDGET_BALANCE_SAAR_FC" hidden="1">"c7700"</definedName>
    <definedName name="IQ_BUDGET_BALANCE_SAAR_POP" hidden="1">"c7040"</definedName>
    <definedName name="IQ_BUDGET_BALANCE_SAAR_POP_FC" hidden="1">"c7920"</definedName>
    <definedName name="IQ_BUDGET_BALANCE_SAAR_YOY" hidden="1">"c7260"</definedName>
    <definedName name="IQ_BUDGET_BALANCE_SAAR_YOY_FC" hidden="1">"c8140"</definedName>
    <definedName name="IQ_BUDGET_BALANCE_UNUSED" hidden="1">"c6819"</definedName>
    <definedName name="IQ_BUDGET_BALANCE_UNUSED_UNUSED_UNUSED" hidden="1">"c6819"</definedName>
    <definedName name="IQ_BUDGET_BALANCE_YOY_FC_UNUSED" hidden="1">"c8139"</definedName>
    <definedName name="IQ_BUDGET_BALANCE_YOY_FC_UNUSED_UNUSED_UNUSED" hidden="1">"c8139"</definedName>
    <definedName name="IQ_BUDGET_BALANCE_YOY_UNUSED" hidden="1">"c7259"</definedName>
    <definedName name="IQ_BUDGET_BALANCE_YOY_UNUSED_UNUSED_UNUSED" hidden="1">"c7259"</definedName>
    <definedName name="IQ_BUDGET_RECEIPTS_APR_FC_UNUSED" hidden="1">"c8361"</definedName>
    <definedName name="IQ_BUDGET_RECEIPTS_APR_FC_UNUSED_UNUSED_UNUSED" hidden="1">"c8361"</definedName>
    <definedName name="IQ_BUDGET_RECEIPTS_APR_UNUSED" hidden="1">"c7481"</definedName>
    <definedName name="IQ_BUDGET_RECEIPTS_APR_UNUSED_UNUSED_UNUSED" hidden="1">"c7481"</definedName>
    <definedName name="IQ_BUDGET_RECEIPTS_FC_UNUSED" hidden="1">"c7701"</definedName>
    <definedName name="IQ_BUDGET_RECEIPTS_FC_UNUSED_UNUSED_UNUSED" hidden="1">"c7701"</definedName>
    <definedName name="IQ_BUDGET_RECEIPTS_POP_FC_UNUSED" hidden="1">"c7921"</definedName>
    <definedName name="IQ_BUDGET_RECEIPTS_POP_FC_UNUSED_UNUSED_UNUSED" hidden="1">"c7921"</definedName>
    <definedName name="IQ_BUDGET_RECEIPTS_POP_UNUSED" hidden="1">"c7041"</definedName>
    <definedName name="IQ_BUDGET_RECEIPTS_POP_UNUSED_UNUSED_UNUSED" hidden="1">"c7041"</definedName>
    <definedName name="IQ_BUDGET_RECEIPTS_UNUSED" hidden="1">"c6821"</definedName>
    <definedName name="IQ_BUDGET_RECEIPTS_UNUSED_UNUSED_UNUSED" hidden="1">"c6821"</definedName>
    <definedName name="IQ_BUDGET_RECEIPTS_YOY_FC_UNUSED" hidden="1">"c8141"</definedName>
    <definedName name="IQ_BUDGET_RECEIPTS_YOY_FC_UNUSED_UNUSED_UNUSED" hidden="1">"c8141"</definedName>
    <definedName name="IQ_BUDGET_RECEIPTS_YOY_UNUSED" hidden="1">"c7261"</definedName>
    <definedName name="IQ_BUDGET_RECEIPTS_YOY_UNUSED_UNUSED_UNUSED" hidden="1">"c7261"</definedName>
    <definedName name="IQ_BUDGET_SPENDING" hidden="1">"c6822"</definedName>
    <definedName name="IQ_BUDGET_SPENDING_APR" hidden="1">"c7482"</definedName>
    <definedName name="IQ_BUDGET_SPENDING_APR_FC" hidden="1">"c8362"</definedName>
    <definedName name="IQ_BUDGET_SPENDING_FC" hidden="1">"c7702"</definedName>
    <definedName name="IQ_BUDGET_SPENDING_POP" hidden="1">"c7042"</definedName>
    <definedName name="IQ_BUDGET_SPENDING_POP_FC" hidden="1">"c7922"</definedName>
    <definedName name="IQ_BUDGET_SPENDING_REAL" hidden="1">"c6958"</definedName>
    <definedName name="IQ_BUDGET_SPENDING_REAL_APR" hidden="1">"c7618"</definedName>
    <definedName name="IQ_BUDGET_SPENDING_REAL_APR_FC" hidden="1">"c8498"</definedName>
    <definedName name="IQ_BUDGET_SPENDING_REAL_FC" hidden="1">"c7838"</definedName>
    <definedName name="IQ_BUDGET_SPENDING_REAL_POP" hidden="1">"c7178"</definedName>
    <definedName name="IQ_BUDGET_SPENDING_REAL_POP_FC" hidden="1">"c8058"</definedName>
    <definedName name="IQ_BUDGET_SPENDING_REAL_SAAR" hidden="1">"c6959"</definedName>
    <definedName name="IQ_BUDGET_SPENDING_REAL_SAAR_APR" hidden="1">"c7619"</definedName>
    <definedName name="IQ_BUDGET_SPENDING_REAL_SAAR_APR_FC" hidden="1">"c8499"</definedName>
    <definedName name="IQ_BUDGET_SPENDING_REAL_SAAR_FC" hidden="1">"c7839"</definedName>
    <definedName name="IQ_BUDGET_SPENDING_REAL_SAAR_POP" hidden="1">"c7179"</definedName>
    <definedName name="IQ_BUDGET_SPENDING_REAL_SAAR_POP_FC" hidden="1">"c8059"</definedName>
    <definedName name="IQ_BUDGET_SPENDING_REAL_SAAR_USD" hidden="1">"c11906"</definedName>
    <definedName name="IQ_BUDGET_SPENDING_REAL_SAAR_USD_APR" hidden="1">"c11909"</definedName>
    <definedName name="IQ_BUDGET_SPENDING_REAL_SAAR_USD_POP" hidden="1">"c11907"</definedName>
    <definedName name="IQ_BUDGET_SPENDING_REAL_SAAR_USD_YOY" hidden="1">"c11908"</definedName>
    <definedName name="IQ_BUDGET_SPENDING_REAL_SAAR_YOY" hidden="1">"c7399"</definedName>
    <definedName name="IQ_BUDGET_SPENDING_REAL_SAAR_YOY_FC" hidden="1">"c8279"</definedName>
    <definedName name="IQ_BUDGET_SPENDING_REAL_YOY" hidden="1">"c7398"</definedName>
    <definedName name="IQ_BUDGET_SPENDING_REAL_YOY_FC" hidden="1">"c8278"</definedName>
    <definedName name="IQ_BUDGET_SPENDING_SAAR" hidden="1">"c6823"</definedName>
    <definedName name="IQ_BUDGET_SPENDING_SAAR_APR" hidden="1">"c7483"</definedName>
    <definedName name="IQ_BUDGET_SPENDING_SAAR_APR_FC" hidden="1">"c8363"</definedName>
    <definedName name="IQ_BUDGET_SPENDING_SAAR_FC" hidden="1">"c7703"</definedName>
    <definedName name="IQ_BUDGET_SPENDING_SAAR_POP" hidden="1">"c7043"</definedName>
    <definedName name="IQ_BUDGET_SPENDING_SAAR_POP_FC" hidden="1">"c7923"</definedName>
    <definedName name="IQ_BUDGET_SPENDING_SAAR_USD_APR_FC" hidden="1">"c11782"</definedName>
    <definedName name="IQ_BUDGET_SPENDING_SAAR_USD_FC" hidden="1">"c11779"</definedName>
    <definedName name="IQ_BUDGET_SPENDING_SAAR_USD_POP_FC" hidden="1">"c11780"</definedName>
    <definedName name="IQ_BUDGET_SPENDING_SAAR_USD_YOY_FC" hidden="1">"c11781"</definedName>
    <definedName name="IQ_BUDGET_SPENDING_SAAR_YOY" hidden="1">"c7263"</definedName>
    <definedName name="IQ_BUDGET_SPENDING_SAAR_YOY_FC" hidden="1">"c8143"</definedName>
    <definedName name="IQ_BUDGET_SPENDING_USD_APR_FC" hidden="1">"c11778"</definedName>
    <definedName name="IQ_BUDGET_SPENDING_USD_FC" hidden="1">"c11775"</definedName>
    <definedName name="IQ_BUDGET_SPENDING_USD_POP_FC" hidden="1">"c11776"</definedName>
    <definedName name="IQ_BUDGET_SPENDING_USD_YOY_FC" hidden="1">"c11777"</definedName>
    <definedName name="IQ_BUDGET_SPENDING_YOY" hidden="1">"c7262"</definedName>
    <definedName name="IQ_BUDGET_SPENDING_YOY_FC" hidden="1">"c8142"</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CIQ" hidden="1">"c5068"</definedName>
    <definedName name="IQ_BV_OVER_SHARES" hidden="1">"c1349"</definedName>
    <definedName name="IQ_BV_SHARE" hidden="1">"c100"</definedName>
    <definedName name="IQ_CA_AP" hidden="1">"c8881"</definedName>
    <definedName name="IQ_CA_AP_ABS" hidden="1">"c8900"</definedName>
    <definedName name="IQ_CA_NAME_AP" hidden="1">"c8919"</definedName>
    <definedName name="IQ_CA_NAME_AP_ABS" hidden="1">"c8938"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CIQ" hidden="1">"c6808"</definedName>
    <definedName name="IQ_CAL_Y" hidden="1">"c102"</definedName>
    <definedName name="IQ_CAL_Y_EST" hidden="1">"c6797"</definedName>
    <definedName name="IQ_CAL_Y_EST_CIQ" hidden="1">"c6809"</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_UTIL_RATE" hidden="1">"c6824"</definedName>
    <definedName name="IQ_CAP_UTIL_RATE_POP" hidden="1">"c7044"</definedName>
    <definedName name="IQ_CAP_UTIL_RATE_YOY" hidden="1">"c7264"</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_RAISED_PERIOD_COVERED" hidden="1">"c9959"</definedName>
    <definedName name="IQ_CAPITAL_RAISED_PERIOD_GROUP" hidden="1">"c9945"</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COST_ALUM" hidden="1">"c9252"</definedName>
    <definedName name="IQ_CASH_COST_COAL" hidden="1">"c9825"</definedName>
    <definedName name="IQ_CASH_COST_COP" hidden="1">"c9199"</definedName>
    <definedName name="IQ_CASH_COST_DIAM" hidden="1">"c9676"</definedName>
    <definedName name="IQ_CASH_COST_GOLD" hidden="1">"c9037"</definedName>
    <definedName name="IQ_CASH_COST_IRON" hidden="1">"c9411"</definedName>
    <definedName name="IQ_CASH_COST_LEAD" hidden="1">"c9464"</definedName>
    <definedName name="IQ_CASH_COST_MANG" hidden="1">"c9517"</definedName>
    <definedName name="IQ_CASH_COST_MET_COAL" hidden="1">"c9762"</definedName>
    <definedName name="IQ_CASH_COST_MOLYB" hidden="1">"c9729"</definedName>
    <definedName name="IQ_CASH_COST_NICK" hidden="1">"c9305"</definedName>
    <definedName name="IQ_CASH_COST_PLAT" hidden="1">"c9143"</definedName>
    <definedName name="IQ_CASH_COST_SILVER" hidden="1">"c9090"</definedName>
    <definedName name="IQ_CASH_COST_STEAM" hidden="1">"c9792"</definedName>
    <definedName name="IQ_CASH_COST_TITAN" hidden="1">"c9570"</definedName>
    <definedName name="IQ_CASH_COST_URAN" hidden="1">"c9623"</definedName>
    <definedName name="IQ_CASH_COST_ZINC" hidden="1">"c9358"</definedName>
    <definedName name="IQ_CASH_DIVIDENDS_NET_INCOME_FDIC" hidden="1">"c6738"</definedName>
    <definedName name="IQ_CASH_DUE_BANKS" hidden="1">"c1351"</definedName>
    <definedName name="IQ_CASH_EQUIV" hidden="1">"c118"</definedName>
    <definedName name="IQ_CASH_FINAN" hidden="1">"c119"</definedName>
    <definedName name="IQ_CASH_FINAN_AP" hidden="1">"c8890"</definedName>
    <definedName name="IQ_CASH_FINAN_AP_ABS" hidden="1">"c8909"</definedName>
    <definedName name="IQ_CASH_FINAN_NAME_AP" hidden="1">"c8928"</definedName>
    <definedName name="IQ_CASH_FINAN_NAME_AP_ABS" hidden="1">"c8947"</definedName>
    <definedName name="IQ_CASH_FINAN_SUBTOTAL_AP" hidden="1">"c10111"</definedName>
    <definedName name="IQ_CASH_FLOW_ACT_OR_EST" hidden="1">"c4154"</definedName>
    <definedName name="IQ_CASH_FLOW_ACT_OR_EST_CIQ" hidden="1">"c4566"</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NET" hidden="1">"c12753"</definedName>
    <definedName name="IQ_CASH_INTEREST_OPER" hidden="1">"c6293"</definedName>
    <definedName name="IQ_CASH_INTEREST_RECEIVED" hidden="1">"c12754"</definedName>
    <definedName name="IQ_CASH_INVEST" hidden="1">"c121"</definedName>
    <definedName name="IQ_CASH_INVEST_AP" hidden="1">"c8889"</definedName>
    <definedName name="IQ_CASH_INVEST_AP_ABS" hidden="1">"c8908"</definedName>
    <definedName name="IQ_CASH_INVEST_NAME_AP" hidden="1">"c8927"</definedName>
    <definedName name="IQ_CASH_INVEST_NAME_AP_ABS" hidden="1">"c8946"</definedName>
    <definedName name="IQ_CASH_INVEST_SUBTOTAL_AP" hidden="1">"c8991"</definedName>
    <definedName name="IQ_CASH_OPER" hidden="1">"c122"</definedName>
    <definedName name="IQ_CASH_OPER_ACT_OR_EST" hidden="1">"c4164"</definedName>
    <definedName name="IQ_CASH_OPER_ACT_OR_EST_CIQ" hidden="1">"c4576"</definedName>
    <definedName name="IQ_CASH_OPER_AP" hidden="1">"c8888"</definedName>
    <definedName name="IQ_CASH_OPER_AP_ABS" hidden="1">"c8907"</definedName>
    <definedName name="IQ_CASH_OPER_NAME_AP" hidden="1">"c8926"</definedName>
    <definedName name="IQ_CASH_OPER_NAME_AP_ABS" hidden="1">"c8945"</definedName>
    <definedName name="IQ_CASH_OPER_SUBTOTAL_AP" hidden="1">"c8990"</definedName>
    <definedName name="IQ_CASH_OTHER_ADJ_AP" hidden="1">"c8891"</definedName>
    <definedName name="IQ_CASH_OTHER_ADJ_AP_ABS" hidden="1">"c8910"</definedName>
    <definedName name="IQ_CASH_OTHER_ADJ_NAME_AP" hidden="1">"c8929"</definedName>
    <definedName name="IQ_CASH_OTHER_ADJ_NAME_AP_ABS" hidden="1">"c8948"</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5YR_CIQID" hidden="1">"c11751"</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 hidden="1">"c6826"</definedName>
    <definedName name="IQ_CHANGE_INVENT_APR" hidden="1">"c7486"</definedName>
    <definedName name="IQ_CHANGE_INVENT_POP" hidden="1">"c7046"</definedName>
    <definedName name="IQ_CHANGE_INVENT_REAL_APR_FC_UNUSED" hidden="1">"c8500"</definedName>
    <definedName name="IQ_CHANGE_INVENT_REAL_APR_FC_UNUSED_UNUSED_UNUSED" hidden="1">"c8500"</definedName>
    <definedName name="IQ_CHANGE_INVENT_REAL_APR_UNUSED" hidden="1">"c7620"</definedName>
    <definedName name="IQ_CHANGE_INVENT_REAL_APR_UNUSED_UNUSED_UNUSED" hidden="1">"c7620"</definedName>
    <definedName name="IQ_CHANGE_INVENT_REAL_FC_UNUSED" hidden="1">"c7840"</definedName>
    <definedName name="IQ_CHANGE_INVENT_REAL_FC_UNUSED_UNUSED_UNUSED" hidden="1">"c7840"</definedName>
    <definedName name="IQ_CHANGE_INVENT_REAL_POP_FC_UNUSED" hidden="1">"c8060"</definedName>
    <definedName name="IQ_CHANGE_INVENT_REAL_POP_FC_UNUSED_UNUSED_UNUSED" hidden="1">"c8060"</definedName>
    <definedName name="IQ_CHANGE_INVENT_REAL_POP_UNUSED" hidden="1">"c7180"</definedName>
    <definedName name="IQ_CHANGE_INVENT_REAL_POP_UNUSED_UNUSED_UNUSED" hidden="1">"c7180"</definedName>
    <definedName name="IQ_CHANGE_INVENT_REAL_SAAR" hidden="1">"c6962"</definedName>
    <definedName name="IQ_CHANGE_INVENT_REAL_SAAR_APR" hidden="1">"c7622"</definedName>
    <definedName name="IQ_CHANGE_INVENT_REAL_SAAR_APR_FC" hidden="1">"c8502"</definedName>
    <definedName name="IQ_CHANGE_INVENT_REAL_SAAR_FC" hidden="1">"c7842"</definedName>
    <definedName name="IQ_CHANGE_INVENT_REAL_SAAR_POP" hidden="1">"c7182"</definedName>
    <definedName name="IQ_CHANGE_INVENT_REAL_SAAR_POP_FC" hidden="1">"c8062"</definedName>
    <definedName name="IQ_CHANGE_INVENT_REAL_SAAR_USD_APR_FC" hidden="1">"c11917"</definedName>
    <definedName name="IQ_CHANGE_INVENT_REAL_SAAR_USD_FC" hidden="1">"c11914"</definedName>
    <definedName name="IQ_CHANGE_INVENT_REAL_SAAR_USD_POP_FC" hidden="1">"c11915"</definedName>
    <definedName name="IQ_CHANGE_INVENT_REAL_SAAR_USD_YOY_FC" hidden="1">"c11916"</definedName>
    <definedName name="IQ_CHANGE_INVENT_REAL_SAAR_YOY" hidden="1">"c7402"</definedName>
    <definedName name="IQ_CHANGE_INVENT_REAL_SAAR_YOY_FC" hidden="1">"c8282"</definedName>
    <definedName name="IQ_CHANGE_INVENT_REAL_UNUSED" hidden="1">"c6960"</definedName>
    <definedName name="IQ_CHANGE_INVENT_REAL_UNUSED_UNUSED_UNUSED" hidden="1">"c6960"</definedName>
    <definedName name="IQ_CHANGE_INVENT_REAL_USD_APR_FC" hidden="1">"c11913"</definedName>
    <definedName name="IQ_CHANGE_INVENT_REAL_USD_FC" hidden="1">"c11910"</definedName>
    <definedName name="IQ_CHANGE_INVENT_REAL_USD_POP_FC" hidden="1">"c11911"</definedName>
    <definedName name="IQ_CHANGE_INVENT_REAL_USD_YOY_FC" hidden="1">"c11912"</definedName>
    <definedName name="IQ_CHANGE_INVENT_REAL_YOY_FC_UNUSED" hidden="1">"c8280"</definedName>
    <definedName name="IQ_CHANGE_INVENT_REAL_YOY_FC_UNUSED_UNUSED_UNUSED" hidden="1">"c8280"</definedName>
    <definedName name="IQ_CHANGE_INVENT_REAL_YOY_UNUSED" hidden="1">"c7400"</definedName>
    <definedName name="IQ_CHANGE_INVENT_REAL_YOY_UNUSED_UNUSED_UNUSED" hidden="1">"c7400"</definedName>
    <definedName name="IQ_CHANGE_INVENT_SAAR" hidden="1">"c6827"</definedName>
    <definedName name="IQ_CHANGE_INVENT_SAAR_APR" hidden="1">"c7487"</definedName>
    <definedName name="IQ_CHANGE_INVENT_SAAR_APR_FC" hidden="1">"c8367"</definedName>
    <definedName name="IQ_CHANGE_INVENT_SAAR_FC" hidden="1">"c7707"</definedName>
    <definedName name="IQ_CHANGE_INVENT_SAAR_POP" hidden="1">"c7047"</definedName>
    <definedName name="IQ_CHANGE_INVENT_SAAR_POP_FC" hidden="1">"c7927"</definedName>
    <definedName name="IQ_CHANGE_INVENT_SAAR_YOY" hidden="1">"c7267"</definedName>
    <definedName name="IQ_CHANGE_INVENT_SAAR_YOY_FC" hidden="1">"c8147"</definedName>
    <definedName name="IQ_CHANGE_INVENT_YOY" hidden="1">"c7266"</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PRIVATE_INVENT" hidden="1">"c6828"</definedName>
    <definedName name="IQ_CHANGE_PRIVATE_INVENT_APR" hidden="1">"c7488"</definedName>
    <definedName name="IQ_CHANGE_PRIVATE_INVENT_APR_FC" hidden="1">"c8368"</definedName>
    <definedName name="IQ_CHANGE_PRIVATE_INVENT_FC" hidden="1">"c7708"</definedName>
    <definedName name="IQ_CHANGE_PRIVATE_INVENT_POP" hidden="1">"c7048"</definedName>
    <definedName name="IQ_CHANGE_PRIVATE_INVENT_POP_FC" hidden="1">"c7928"</definedName>
    <definedName name="IQ_CHANGE_PRIVATE_INVENT_YOY" hidden="1">"c7268"</definedName>
    <definedName name="IQ_CHANGE_PRIVATE_INVENT_YOY_FC" hidden="1">"c8148"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HICAGO_PMI" hidden="1">"c6829"</definedName>
    <definedName name="IQ_CHICAGO_PMI_APR" hidden="1">"c7489"</definedName>
    <definedName name="IQ_CHICAGO_PMI_APR_FC" hidden="1">"c8369"</definedName>
    <definedName name="IQ_CHICAGO_PMI_FC" hidden="1">"c7709"</definedName>
    <definedName name="IQ_CHICAGO_PMI_POP" hidden="1">"c7049"</definedName>
    <definedName name="IQ_CHICAGO_PMI_POP_FC" hidden="1">"c7929"</definedName>
    <definedName name="IQ_CHICAGO_PMI_YOY" hidden="1">"c7269"</definedName>
    <definedName name="IQ_CHICAGO_PMI_YOY_FC" hidden="1">"c8149"</definedName>
    <definedName name="IQ_CITY" hidden="1">"c166"</definedName>
    <definedName name="IQ_CL_AP" hidden="1">"c8884"</definedName>
    <definedName name="IQ_CL_AP_ABS" hidden="1">"c8903"</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NAME_AP" hidden="1">"c8922"</definedName>
    <definedName name="IQ_CL_NAME_AP_ABS" hidden="1">"c8941"</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ATERAL_TYPE" hidden="1">"c8954"</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MPOSITE_CYCLICAL_IND" hidden="1">"c6830"</definedName>
    <definedName name="IQ_COMPOSITE_CYCLICAL_IND_APR" hidden="1">"c7490"</definedName>
    <definedName name="IQ_COMPOSITE_CYCLICAL_IND_APR_FC" hidden="1">"c8370"</definedName>
    <definedName name="IQ_COMPOSITE_CYCLICAL_IND_FC" hidden="1">"c7710"</definedName>
    <definedName name="IQ_COMPOSITE_CYCLICAL_IND_POP" hidden="1">"c7050"</definedName>
    <definedName name="IQ_COMPOSITE_CYCLICAL_IND_POP_FC" hidden="1">"c7930"</definedName>
    <definedName name="IQ_COMPOSITE_CYCLICAL_IND_YOY" hidden="1">"c7270"</definedName>
    <definedName name="IQ_COMPOSITE_CYCLICAL_IND_YOY_FC" hidden="1">"c8150"</definedName>
    <definedName name="IQ_CONSOL_BEDS" hidden="1">"c8782"</definedName>
    <definedName name="IQ_CONSOL_PROP_OPERATIONAL" hidden="1">"c8758"</definedName>
    <definedName name="IQ_CONSOL_PROP_OTHER_OWNED" hidden="1">"c8760"</definedName>
    <definedName name="IQ_CONSOL_PROP_TOTAL" hidden="1">"c8761"</definedName>
    <definedName name="IQ_CONSOL_PROP_UNDEVELOPED" hidden="1">"c8759"</definedName>
    <definedName name="IQ_CONSOL_ROOMS" hidden="1">"c8786"</definedName>
    <definedName name="IQ_CONSOL_SQ_FT_OPERATIONAL" hidden="1">"c8774"</definedName>
    <definedName name="IQ_CONSOL_SQ_FT_OTHER_OWNED" hidden="1">"c8776"</definedName>
    <definedName name="IQ_CONSOL_SQ_FT_TOTAL" hidden="1">"c8777"</definedName>
    <definedName name="IQ_CONSOL_SQ_FT_UNDEVELOPED" hidden="1">"c8775"</definedName>
    <definedName name="IQ_CONSOL_UNITS_OPERATIONAL" hidden="1">"c8766"</definedName>
    <definedName name="IQ_CONSOL_UNITS_OTHER_OWNED" hidden="1">"c8768"</definedName>
    <definedName name="IQ_CONSOL_UNITS_TOTAL" hidden="1">"c8769"</definedName>
    <definedName name="IQ_CONSOL_UNITS_UNDEVELOPED" hidden="1">"c8767"</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COMFORT" hidden="1">"c6831"</definedName>
    <definedName name="IQ_CONSUMER_COMFORT_APR" hidden="1">"c7491"</definedName>
    <definedName name="IQ_CONSUMER_COMFORT_APR_FC" hidden="1">"c8371"</definedName>
    <definedName name="IQ_CONSUMER_COMFORT_FC" hidden="1">"c7711"</definedName>
    <definedName name="IQ_CONSUMER_COMFORT_POP" hidden="1">"c7051"</definedName>
    <definedName name="IQ_CONSUMER_COMFORT_POP_FC" hidden="1">"c7931"</definedName>
    <definedName name="IQ_CONSUMER_CONFIDENCE" hidden="1">"c6832"</definedName>
    <definedName name="IQ_CONSUMER_CONFIDENCE_APR" hidden="1">"c7492"</definedName>
    <definedName name="IQ_CONSUMER_CONFIDENCE_APR_FC" hidden="1">"c8372"</definedName>
    <definedName name="IQ_CONSUMER_CONFIDENCE_FC" hidden="1">"c7712"</definedName>
    <definedName name="IQ_CONSUMER_CONFIDENCE_POP" hidden="1">"c7052"</definedName>
    <definedName name="IQ_CONSUMER_CONFIDENCE_POP_FC" hidden="1">"c7932"</definedName>
    <definedName name="IQ_CONSUMER_CONFIDENCE_YOY" hidden="1">"c7272"</definedName>
    <definedName name="IQ_CONSUMER_CONFIDENCE_YOY_FC" hidden="1">"c8152"</definedName>
    <definedName name="IQ_CONSUMER_LENDING" hidden="1">"c6833"</definedName>
    <definedName name="IQ_CONSUMER_LENDING_APR" hidden="1">"c7493"</definedName>
    <definedName name="IQ_CONSUMER_LENDING_APR_FC" hidden="1">"c8373"</definedName>
    <definedName name="IQ_CONSUMER_LENDING_FC" hidden="1">"c7713"</definedName>
    <definedName name="IQ_CONSUMER_LENDING_GROSS" hidden="1">"c6878"</definedName>
    <definedName name="IQ_CONSUMER_LENDING_GROSS_APR" hidden="1">"c7538"</definedName>
    <definedName name="IQ_CONSUMER_LENDING_GROSS_APR_FC" hidden="1">"c8418"</definedName>
    <definedName name="IQ_CONSUMER_LENDING_GROSS_FC" hidden="1">"c7758"</definedName>
    <definedName name="IQ_CONSUMER_LENDING_GROSS_POP" hidden="1">"c7098"</definedName>
    <definedName name="IQ_CONSUMER_LENDING_GROSS_POP_FC" hidden="1">"c7978"</definedName>
    <definedName name="IQ_CONSUMER_LENDING_GROSS_YOY" hidden="1">"c7318"</definedName>
    <definedName name="IQ_CONSUMER_LENDING_GROSS_YOY_FC" hidden="1">"c8198"</definedName>
    <definedName name="IQ_CONSUMER_LENDING_NET" hidden="1">"c6922"</definedName>
    <definedName name="IQ_CONSUMER_LENDING_NET_APR" hidden="1">"c7582"</definedName>
    <definedName name="IQ_CONSUMER_LENDING_NET_APR_FC" hidden="1">"c8462"</definedName>
    <definedName name="IQ_CONSUMER_LENDING_NET_FC" hidden="1">"c7802"</definedName>
    <definedName name="IQ_CONSUMER_LENDING_NET_POP" hidden="1">"c7142"</definedName>
    <definedName name="IQ_CONSUMER_LENDING_NET_POP_FC" hidden="1">"c8022"</definedName>
    <definedName name="IQ_CONSUMER_LENDING_NET_YOY" hidden="1">"c7362"</definedName>
    <definedName name="IQ_CONSUMER_LENDING_NET_YOY_FC" hidden="1">"c8242"</definedName>
    <definedName name="IQ_CONSUMER_LENDING_POP" hidden="1">"c7053"</definedName>
    <definedName name="IQ_CONSUMER_LENDING_POP_FC" hidden="1">"c7933"</definedName>
    <definedName name="IQ_CONSUMER_LENDING_TOTAL" hidden="1">"c7018"</definedName>
    <definedName name="IQ_CONSUMER_LENDING_TOTAL_APR" hidden="1">"c7678"</definedName>
    <definedName name="IQ_CONSUMER_LENDING_TOTAL_APR_FC" hidden="1">"c8558"</definedName>
    <definedName name="IQ_CONSUMER_LENDING_TOTAL_FC" hidden="1">"c7898"</definedName>
    <definedName name="IQ_CONSUMER_LENDING_TOTAL_POP" hidden="1">"c7238"</definedName>
    <definedName name="IQ_CONSUMER_LENDING_TOTAL_POP_FC" hidden="1">"c8118"</definedName>
    <definedName name="IQ_CONSUMER_LENDING_TOTAL_YOY" hidden="1">"c7458"</definedName>
    <definedName name="IQ_CONSUMER_LENDING_TOTAL_YOY_FC" hidden="1">"c8338"</definedName>
    <definedName name="IQ_CONSUMER_LENDING_YOY" hidden="1">"c7273"</definedName>
    <definedName name="IQ_CONSUMER_LENDING_YOY_FC" hidden="1">"c8153"</definedName>
    <definedName name="IQ_CONSUMER_LOANS" hidden="1">"c223"</definedName>
    <definedName name="IQ_CONSUMER_SPENDING" hidden="1">"c6834"</definedName>
    <definedName name="IQ_CONSUMER_SPENDING_APR" hidden="1">"c7494"</definedName>
    <definedName name="IQ_CONSUMER_SPENDING_APR_FC" hidden="1">"c8374"</definedName>
    <definedName name="IQ_CONSUMER_SPENDING_DURABLE" hidden="1">"c6835"</definedName>
    <definedName name="IQ_CONSUMER_SPENDING_DURABLE_APR" hidden="1">"c7495"</definedName>
    <definedName name="IQ_CONSUMER_SPENDING_DURABLE_APR_FC" hidden="1">"c8375"</definedName>
    <definedName name="IQ_CONSUMER_SPENDING_DURABLE_FC" hidden="1">"c7715"</definedName>
    <definedName name="IQ_CONSUMER_SPENDING_DURABLE_POP" hidden="1">"c7055"</definedName>
    <definedName name="IQ_CONSUMER_SPENDING_DURABLE_POP_FC" hidden="1">"c7935"</definedName>
    <definedName name="IQ_CONSUMER_SPENDING_DURABLE_REAL" hidden="1">"c6964"</definedName>
    <definedName name="IQ_CONSUMER_SPENDING_DURABLE_REAL_APR" hidden="1">"c7624"</definedName>
    <definedName name="IQ_CONSUMER_SPENDING_DURABLE_REAL_APR_FC" hidden="1">"c8504"</definedName>
    <definedName name="IQ_CONSUMER_SPENDING_DURABLE_REAL_FC" hidden="1">"c7844"</definedName>
    <definedName name="IQ_CONSUMER_SPENDING_DURABLE_REAL_POP" hidden="1">"c7184"</definedName>
    <definedName name="IQ_CONSUMER_SPENDING_DURABLE_REAL_POP_FC" hidden="1">"c8064"</definedName>
    <definedName name="IQ_CONSUMER_SPENDING_DURABLE_REAL_SAAR" hidden="1">"c6965"</definedName>
    <definedName name="IQ_CONSUMER_SPENDING_DURABLE_REAL_SAAR_APR" hidden="1">"c7625"</definedName>
    <definedName name="IQ_CONSUMER_SPENDING_DURABLE_REAL_SAAR_APR_FC" hidden="1">"c8505"</definedName>
    <definedName name="IQ_CONSUMER_SPENDING_DURABLE_REAL_SAAR_FC" hidden="1">"c7845"</definedName>
    <definedName name="IQ_CONSUMER_SPENDING_DURABLE_REAL_SAAR_POP" hidden="1">"c7185"</definedName>
    <definedName name="IQ_CONSUMER_SPENDING_DURABLE_REAL_SAAR_POP_FC" hidden="1">"c8065"</definedName>
    <definedName name="IQ_CONSUMER_SPENDING_DURABLE_REAL_SAAR_YOY" hidden="1">"c7405"</definedName>
    <definedName name="IQ_CONSUMER_SPENDING_DURABLE_REAL_SAAR_YOY_FC" hidden="1">"c8285"</definedName>
    <definedName name="IQ_CONSUMER_SPENDING_DURABLE_REAL_YOY" hidden="1">"c7404"</definedName>
    <definedName name="IQ_CONSUMER_SPENDING_DURABLE_REAL_YOY_FC" hidden="1">"c8284"</definedName>
    <definedName name="IQ_CONSUMER_SPENDING_DURABLE_YOY" hidden="1">"c7275"</definedName>
    <definedName name="IQ_CONSUMER_SPENDING_DURABLE_YOY_FC" hidden="1">"c8155"</definedName>
    <definedName name="IQ_CONSUMER_SPENDING_FC" hidden="1">"c7714"</definedName>
    <definedName name="IQ_CONSUMER_SPENDING_NONDURABLE" hidden="1">"c6836"</definedName>
    <definedName name="IQ_CONSUMER_SPENDING_NONDURABLE_APR" hidden="1">"c7496"</definedName>
    <definedName name="IQ_CONSUMER_SPENDING_NONDURABLE_APR_FC" hidden="1">"c8376"</definedName>
    <definedName name="IQ_CONSUMER_SPENDING_NONDURABLE_FC" hidden="1">"c7716"</definedName>
    <definedName name="IQ_CONSUMER_SPENDING_NONDURABLE_POP" hidden="1">"c7056"</definedName>
    <definedName name="IQ_CONSUMER_SPENDING_NONDURABLE_POP_FC" hidden="1">"c7936"</definedName>
    <definedName name="IQ_CONSUMER_SPENDING_NONDURABLE_REAL" hidden="1">"c6966"</definedName>
    <definedName name="IQ_CONSUMER_SPENDING_NONDURABLE_REAL_APR" hidden="1">"c7626"</definedName>
    <definedName name="IQ_CONSUMER_SPENDING_NONDURABLE_REAL_APR_FC" hidden="1">"c8506"</definedName>
    <definedName name="IQ_CONSUMER_SPENDING_NONDURABLE_REAL_FC" hidden="1">"c7846"</definedName>
    <definedName name="IQ_CONSUMER_SPENDING_NONDURABLE_REAL_POP" hidden="1">"c7186"</definedName>
    <definedName name="IQ_CONSUMER_SPENDING_NONDURABLE_REAL_POP_FC" hidden="1">"c8066"</definedName>
    <definedName name="IQ_CONSUMER_SPENDING_NONDURABLE_REAL_SAAR" hidden="1">"c6967"</definedName>
    <definedName name="IQ_CONSUMER_SPENDING_NONDURABLE_REAL_SAAR_APR" hidden="1">"c7627"</definedName>
    <definedName name="IQ_CONSUMER_SPENDING_NONDURABLE_REAL_SAAR_APR_FC" hidden="1">"c8507"</definedName>
    <definedName name="IQ_CONSUMER_SPENDING_NONDURABLE_REAL_SAAR_FC" hidden="1">"c7847"</definedName>
    <definedName name="IQ_CONSUMER_SPENDING_NONDURABLE_REAL_SAAR_POP" hidden="1">"c7187"</definedName>
    <definedName name="IQ_CONSUMER_SPENDING_NONDURABLE_REAL_SAAR_POP_FC" hidden="1">"c8067"</definedName>
    <definedName name="IQ_CONSUMER_SPENDING_NONDURABLE_REAL_SAAR_YOY" hidden="1">"c7407"</definedName>
    <definedName name="IQ_CONSUMER_SPENDING_NONDURABLE_REAL_SAAR_YOY_FC" hidden="1">"c8287"</definedName>
    <definedName name="IQ_CONSUMER_SPENDING_NONDURABLE_REAL_YOY" hidden="1">"c7406"</definedName>
    <definedName name="IQ_CONSUMER_SPENDING_NONDURABLE_REAL_YOY_FC" hidden="1">"c8286"</definedName>
    <definedName name="IQ_CONSUMER_SPENDING_NONDURABLE_YOY" hidden="1">"c7276"</definedName>
    <definedName name="IQ_CONSUMER_SPENDING_NONDURABLE_YOY_FC" hidden="1">"c8156"</definedName>
    <definedName name="IQ_CONSUMER_SPENDING_POP" hidden="1">"c7054"</definedName>
    <definedName name="IQ_CONSUMER_SPENDING_POP_FC" hidden="1">"c7934"</definedName>
    <definedName name="IQ_CONSUMER_SPENDING_REAL" hidden="1">"c6963"</definedName>
    <definedName name="IQ_CONSUMER_SPENDING_REAL_APR" hidden="1">"c7623"</definedName>
    <definedName name="IQ_CONSUMER_SPENDING_REAL_APR_FC" hidden="1">"c8503"</definedName>
    <definedName name="IQ_CONSUMER_SPENDING_REAL_FC" hidden="1">"c7843"</definedName>
    <definedName name="IQ_CONSUMER_SPENDING_REAL_POP" hidden="1">"c7183"</definedName>
    <definedName name="IQ_CONSUMER_SPENDING_REAL_POP_FC" hidden="1">"c8063"</definedName>
    <definedName name="IQ_CONSUMER_SPENDING_REAL_SAAR" hidden="1">"c6968"</definedName>
    <definedName name="IQ_CONSUMER_SPENDING_REAL_SAAR_APR" hidden="1">"c7628"</definedName>
    <definedName name="IQ_CONSUMER_SPENDING_REAL_SAAR_APR_FC" hidden="1">"c8508"</definedName>
    <definedName name="IQ_CONSUMER_SPENDING_REAL_SAAR_FC" hidden="1">"c7848"</definedName>
    <definedName name="IQ_CONSUMER_SPENDING_REAL_SAAR_POP" hidden="1">"c7188"</definedName>
    <definedName name="IQ_CONSUMER_SPENDING_REAL_SAAR_POP_FC" hidden="1">"c8068"</definedName>
    <definedName name="IQ_CONSUMER_SPENDING_REAL_SAAR_YOY" hidden="1">"c7408"</definedName>
    <definedName name="IQ_CONSUMER_SPENDING_REAL_SAAR_YOY_FC" hidden="1">"c8288"</definedName>
    <definedName name="IQ_CONSUMER_SPENDING_REAL_USD_APR_FC" hidden="1">"c11921"</definedName>
    <definedName name="IQ_CONSUMER_SPENDING_REAL_USD_FC" hidden="1">"c11918"</definedName>
    <definedName name="IQ_CONSUMER_SPENDING_REAL_USD_POP_FC" hidden="1">"c11919"</definedName>
    <definedName name="IQ_CONSUMER_SPENDING_REAL_USD_YOY_FC" hidden="1">"c11920"</definedName>
    <definedName name="IQ_CONSUMER_SPENDING_REAL_YOY" hidden="1">"c7403"</definedName>
    <definedName name="IQ_CONSUMER_SPENDING_REAL_YOY_FC" hidden="1">"c8283"</definedName>
    <definedName name="IQ_CONSUMER_SPENDING_SERVICES" hidden="1">"c6837"</definedName>
    <definedName name="IQ_CONSUMER_SPENDING_SERVICES_APR" hidden="1">"c7497"</definedName>
    <definedName name="IQ_CONSUMER_SPENDING_SERVICES_APR_FC" hidden="1">"c8377"</definedName>
    <definedName name="IQ_CONSUMER_SPENDING_SERVICES_FC" hidden="1">"c7717"</definedName>
    <definedName name="IQ_CONSUMER_SPENDING_SERVICES_POP" hidden="1">"c7057"</definedName>
    <definedName name="IQ_CONSUMER_SPENDING_SERVICES_POP_FC" hidden="1">"c7937"</definedName>
    <definedName name="IQ_CONSUMER_SPENDING_SERVICES_REAL" hidden="1">"c6969"</definedName>
    <definedName name="IQ_CONSUMER_SPENDING_SERVICES_REAL_APR" hidden="1">"c7629"</definedName>
    <definedName name="IQ_CONSUMER_SPENDING_SERVICES_REAL_APR_FC" hidden="1">"c8509"</definedName>
    <definedName name="IQ_CONSUMER_SPENDING_SERVICES_REAL_FC" hidden="1">"c7849"</definedName>
    <definedName name="IQ_CONSUMER_SPENDING_SERVICES_REAL_POP" hidden="1">"c7189"</definedName>
    <definedName name="IQ_CONSUMER_SPENDING_SERVICES_REAL_POP_FC" hidden="1">"c8069"</definedName>
    <definedName name="IQ_CONSUMER_SPENDING_SERVICES_REAL_SAAR" hidden="1">"c6970"</definedName>
    <definedName name="IQ_CONSUMER_SPENDING_SERVICES_REAL_SAAR_APR" hidden="1">"c7630"</definedName>
    <definedName name="IQ_CONSUMER_SPENDING_SERVICES_REAL_SAAR_APR_FC" hidden="1">"c8510"</definedName>
    <definedName name="IQ_CONSUMER_SPENDING_SERVICES_REAL_SAAR_FC" hidden="1">"c7850"</definedName>
    <definedName name="IQ_CONSUMER_SPENDING_SERVICES_REAL_SAAR_POP" hidden="1">"c7190"</definedName>
    <definedName name="IQ_CONSUMER_SPENDING_SERVICES_REAL_SAAR_POP_FC" hidden="1">"c8070"</definedName>
    <definedName name="IQ_CONSUMER_SPENDING_SERVICES_REAL_SAAR_YOY" hidden="1">"c7410"</definedName>
    <definedName name="IQ_CONSUMER_SPENDING_SERVICES_REAL_SAAR_YOY_FC" hidden="1">"c8290"</definedName>
    <definedName name="IQ_CONSUMER_SPENDING_SERVICES_REAL_YOY" hidden="1">"c7409"</definedName>
    <definedName name="IQ_CONSUMER_SPENDING_SERVICES_REAL_YOY_FC" hidden="1">"c8289"</definedName>
    <definedName name="IQ_CONSUMER_SPENDING_SERVICES_YOY" hidden="1">"c7277"</definedName>
    <definedName name="IQ_CONSUMER_SPENDING_SERVICES_YOY_FC" hidden="1">"c8157"</definedName>
    <definedName name="IQ_CONSUMER_SPENDING_YOY" hidden="1">"c7274"</definedName>
    <definedName name="IQ_CONSUMER_SPENDING_YOY_FC" hidden="1">"c8154"</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 hidden="1">"c8381"</definedName>
    <definedName name="IQ_CORP_GOODS_PRICE_INDEX_APR_FC_UNUSED_UNUSED_UNUSED" hidden="1">"c8381"</definedName>
    <definedName name="IQ_CORP_GOODS_PRICE_INDEX_APR_UNUSED" hidden="1">"c7501"</definedName>
    <definedName name="IQ_CORP_GOODS_PRICE_INDEX_APR_UNUSED_UNUSED_UNUSED" hidden="1">"c7501"</definedName>
    <definedName name="IQ_CORP_GOODS_PRICE_INDEX_FC_UNUSED" hidden="1">"c7721"</definedName>
    <definedName name="IQ_CORP_GOODS_PRICE_INDEX_FC_UNUSED_UNUSED_UNUSED" hidden="1">"c7721"</definedName>
    <definedName name="IQ_CORP_GOODS_PRICE_INDEX_POP_FC_UNUSED" hidden="1">"c7941"</definedName>
    <definedName name="IQ_CORP_GOODS_PRICE_INDEX_POP_FC_UNUSED_UNUSED_UNUSED" hidden="1">"c7941"</definedName>
    <definedName name="IQ_CORP_GOODS_PRICE_INDEX_POP_UNUSED" hidden="1">"c7061"</definedName>
    <definedName name="IQ_CORP_GOODS_PRICE_INDEX_POP_UNUSED_UNUSED_UNUSED" hidden="1">"c7061"</definedName>
    <definedName name="IQ_CORP_GOODS_PRICE_INDEX_UNUSED" hidden="1">"c6841"</definedName>
    <definedName name="IQ_CORP_GOODS_PRICE_INDEX_UNUSED_UNUSED_UNUSED" hidden="1">"c6841"</definedName>
    <definedName name="IQ_CORP_GOODS_PRICE_INDEX_YOY_FC_UNUSED" hidden="1">"c8161"</definedName>
    <definedName name="IQ_CORP_GOODS_PRICE_INDEX_YOY_FC_UNUSED_UNUSED_UNUSED" hidden="1">"c8161"</definedName>
    <definedName name="IQ_CORP_GOODS_PRICE_INDEX_YOY_UNUSED" hidden="1">"c7281"</definedName>
    <definedName name="IQ_CORP_GOODS_PRICE_INDEX_YOY_UNUSED_UNUSED_UNUSED" hidden="1">"c7281"</definedName>
    <definedName name="IQ_CORP_PROFITS" hidden="1">"c6843"</definedName>
    <definedName name="IQ_CORP_PROFITS_AFTER_TAX_SAAR" hidden="1">"c6842"</definedName>
    <definedName name="IQ_CORP_PROFITS_AFTER_TAX_SAAR_APR" hidden="1">"c7502"</definedName>
    <definedName name="IQ_CORP_PROFITS_AFTER_TAX_SAAR_APR_FC" hidden="1">"c8382"</definedName>
    <definedName name="IQ_CORP_PROFITS_AFTER_TAX_SAAR_FC" hidden="1">"c7722"</definedName>
    <definedName name="IQ_CORP_PROFITS_AFTER_TAX_SAAR_POP" hidden="1">"c7062"</definedName>
    <definedName name="IQ_CORP_PROFITS_AFTER_TAX_SAAR_POP_FC" hidden="1">"c7942"</definedName>
    <definedName name="IQ_CORP_PROFITS_AFTER_TAX_SAAR_YOY" hidden="1">"c7282"</definedName>
    <definedName name="IQ_CORP_PROFITS_AFTER_TAX_SAAR_YOY_FC" hidden="1">"c8162"</definedName>
    <definedName name="IQ_CORP_PROFITS_APR" hidden="1">"c7503"</definedName>
    <definedName name="IQ_CORP_PROFITS_APR_FC" hidden="1">"c8383"</definedName>
    <definedName name="IQ_CORP_PROFITS_FC" hidden="1">"c7723"</definedName>
    <definedName name="IQ_CORP_PROFITS_POP" hidden="1">"c7063"</definedName>
    <definedName name="IQ_CORP_PROFITS_POP_FC" hidden="1">"c7943"</definedName>
    <definedName name="IQ_CORP_PROFITS_SAAR" hidden="1">"c6844"</definedName>
    <definedName name="IQ_CORP_PROFITS_SAAR_APR" hidden="1">"c7504"</definedName>
    <definedName name="IQ_CORP_PROFITS_SAAR_APR_FC" hidden="1">"c8384"</definedName>
    <definedName name="IQ_CORP_PROFITS_SAAR_FC" hidden="1">"c7724"</definedName>
    <definedName name="IQ_CORP_PROFITS_SAAR_POP" hidden="1">"c7064"</definedName>
    <definedName name="IQ_CORP_PROFITS_SAAR_POP_FC" hidden="1">"c7944"</definedName>
    <definedName name="IQ_CORP_PROFITS_SAAR_YOY" hidden="1">"c7284"</definedName>
    <definedName name="IQ_CORP_PROFITS_SAAR_YOY_FC" hidden="1">"c8164"</definedName>
    <definedName name="IQ_CORP_PROFITS_YOY" hidden="1">"c7283"</definedName>
    <definedName name="IQ_CORP_PROFITS_YOY_FC" hidden="1">"c8163"</definedName>
    <definedName name="IQ_COST_BORROWING" hidden="1">"c2936"</definedName>
    <definedName name="IQ_COST_BORROWINGS" hidden="1">"c225"</definedName>
    <definedName name="IQ_COST_CAPITAL_NEW_BUSINESS" hidden="1">"c9968"</definedName>
    <definedName name="IQ_COST_OF_FUNDING_ASSETS_FDIC" hidden="1">"c6725"</definedName>
    <definedName name="IQ_COST_REV" hidden="1">"c226"</definedName>
    <definedName name="IQ_COST_REVENUE" hidden="1">"c1359"</definedName>
    <definedName name="IQ_COST_SAVINGS" hidden="1">"c227"</definedName>
    <definedName name="IQ_COST_SERVICE" hidden="1">"c228"</definedName>
    <definedName name="IQ_COST_SOLVENCY_CAPITAL_COVERED" hidden="1">"c9965"</definedName>
    <definedName name="IQ_COST_SOLVENCY_CAPITAL_GROUP" hidden="1">"c9951"</definedName>
    <definedName name="IQ_COST_TOTAL_BORROWINGS" hidden="1">"c229"</definedName>
    <definedName name="IQ_COUNTRY_NAME" hidden="1">"c230"</definedName>
    <definedName name="IQ_COUNTRY_NAME_ECON" hidden="1">"c11752"</definedName>
    <definedName name="IQ_COUPON_FORMULA" hidden="1">"c8965"</definedName>
    <definedName name="IQ_COVERED_POPS" hidden="1">"c2124"</definedName>
    <definedName name="IQ_CP" hidden="1">"c2495"</definedName>
    <definedName name="IQ_CP_PCT" hidden="1">"c2496"</definedName>
    <definedName name="IQ_CPI" hidden="1">"c6845"</definedName>
    <definedName name="IQ_CPI_APR" hidden="1">"c7505"</definedName>
    <definedName name="IQ_CPI_APR_FC" hidden="1">"c8385"</definedName>
    <definedName name="IQ_CPI_CORE" hidden="1">"c6838"</definedName>
    <definedName name="IQ_CPI_CORE_APR" hidden="1">"c7498"</definedName>
    <definedName name="IQ_CPI_CORE_POP" hidden="1">"c7058"</definedName>
    <definedName name="IQ_CPI_CORE_YOY" hidden="1">"c7278"</definedName>
    <definedName name="IQ_CPI_FC" hidden="1">"c7725"</definedName>
    <definedName name="IQ_CPI_POP" hidden="1">"c7065"</definedName>
    <definedName name="IQ_CPI_POP_FC" hidden="1">"c7945"</definedName>
    <definedName name="IQ_CPI_YOY" hidden="1">"c7285"</definedName>
    <definedName name="IQ_CPI_YOY_FC" hidden="1">"c8165"</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EXPOSURE" hidden="1">"c10038"</definedName>
    <definedName name="IQ_CREDIT_LOSS_CF" hidden="1">"c232"</definedName>
    <definedName name="IQ_CREDIT_LOSS_PROVISION_NET_CHARGE_OFFS_FDIC" hidden="1">"c6734"</definedName>
    <definedName name="IQ_CUMULATIVE_SPLIT_FACTOR" hidden="1">"c2094"</definedName>
    <definedName name="IQ_CURR_ACCT_BALANCE_APR_FC_UNUSED" hidden="1">"c8387"</definedName>
    <definedName name="IQ_CURR_ACCT_BALANCE_APR_FC_UNUSED_UNUSED_UNUSED" hidden="1">"c8387"</definedName>
    <definedName name="IQ_CURR_ACCT_BALANCE_APR_UNUSED" hidden="1">"c7507"</definedName>
    <definedName name="IQ_CURR_ACCT_BALANCE_APR_UNUSED_UNUSED_UNUSED" hidden="1">"c7507"</definedName>
    <definedName name="IQ_CURR_ACCT_BALANCE_FC_UNUSED" hidden="1">"c7727"</definedName>
    <definedName name="IQ_CURR_ACCT_BALANCE_FC_UNUSED_UNUSED_UNUSED" hidden="1">"c7727"</definedName>
    <definedName name="IQ_CURR_ACCT_BALANCE_PCT" hidden="1">"c6846"</definedName>
    <definedName name="IQ_CURR_ACCT_BALANCE_PCT_FC" hidden="1">"c7726"</definedName>
    <definedName name="IQ_CURR_ACCT_BALANCE_PCT_POP" hidden="1">"c7066"</definedName>
    <definedName name="IQ_CURR_ACCT_BALANCE_PCT_POP_FC" hidden="1">"c7946"</definedName>
    <definedName name="IQ_CURR_ACCT_BALANCE_PCT_YOY" hidden="1">"c7286"</definedName>
    <definedName name="IQ_CURR_ACCT_BALANCE_PCT_YOY_FC" hidden="1">"c8166"</definedName>
    <definedName name="IQ_CURR_ACCT_BALANCE_POP_FC_UNUSED" hidden="1">"c7947"</definedName>
    <definedName name="IQ_CURR_ACCT_BALANCE_POP_FC_UNUSED_UNUSED_UNUSED" hidden="1">"c7947"</definedName>
    <definedName name="IQ_CURR_ACCT_BALANCE_POP_UNUSED" hidden="1">"c7067"</definedName>
    <definedName name="IQ_CURR_ACCT_BALANCE_POP_UNUSED_UNUSED_UNUSED" hidden="1">"c7067"</definedName>
    <definedName name="IQ_CURR_ACCT_BALANCE_SAAR" hidden="1">"c6848"</definedName>
    <definedName name="IQ_CURR_ACCT_BALANCE_SAAR_APR" hidden="1">"c7508"</definedName>
    <definedName name="IQ_CURR_ACCT_BALANCE_SAAR_APR_FC" hidden="1">"c8388"</definedName>
    <definedName name="IQ_CURR_ACCT_BALANCE_SAAR_FC" hidden="1">"c7728"</definedName>
    <definedName name="IQ_CURR_ACCT_BALANCE_SAAR_POP" hidden="1">"c7068"</definedName>
    <definedName name="IQ_CURR_ACCT_BALANCE_SAAR_POP_FC" hidden="1">"c7948"</definedName>
    <definedName name="IQ_CURR_ACCT_BALANCE_SAAR_USD_APR_FC" hidden="1">"c11797"</definedName>
    <definedName name="IQ_CURR_ACCT_BALANCE_SAAR_USD_FC" hidden="1">"c11794"</definedName>
    <definedName name="IQ_CURR_ACCT_BALANCE_SAAR_USD_POP_FC" hidden="1">"c11795"</definedName>
    <definedName name="IQ_CURR_ACCT_BALANCE_SAAR_USD_YOY_FC" hidden="1">"c11796"</definedName>
    <definedName name="IQ_CURR_ACCT_BALANCE_SAAR_YOY" hidden="1">"c7288"</definedName>
    <definedName name="IQ_CURR_ACCT_BALANCE_SAAR_YOY_FC" hidden="1">"c8168"</definedName>
    <definedName name="IQ_CURR_ACCT_BALANCE_UNUSED" hidden="1">"c6847"</definedName>
    <definedName name="IQ_CURR_ACCT_BALANCE_UNUSED_UNUSED_UNUSED" hidden="1">"c6847"</definedName>
    <definedName name="IQ_CURR_ACCT_BALANCE_USD" hidden="1">"c11786"</definedName>
    <definedName name="IQ_CURR_ACCT_BALANCE_USD_APR" hidden="1">"c11789"</definedName>
    <definedName name="IQ_CURR_ACCT_BALANCE_USD_APR_FC" hidden="1">"c11793"</definedName>
    <definedName name="IQ_CURR_ACCT_BALANCE_USD_FC" hidden="1">"c11790"</definedName>
    <definedName name="IQ_CURR_ACCT_BALANCE_USD_POP" hidden="1">"c11787"</definedName>
    <definedName name="IQ_CURR_ACCT_BALANCE_USD_POP_FC" hidden="1">"c11791"</definedName>
    <definedName name="IQ_CURR_ACCT_BALANCE_USD_YOY" hidden="1">"c11788"</definedName>
    <definedName name="IQ_CURR_ACCT_BALANCE_USD_YOY_FC" hidden="1">"c11792"</definedName>
    <definedName name="IQ_CURR_ACCT_BALANCE_YOY_FC_UNUSED" hidden="1">"c8167"</definedName>
    <definedName name="IQ_CURR_ACCT_BALANCE_YOY_FC_UNUSED_UNUSED_UNUSED" hidden="1">"c8167"</definedName>
    <definedName name="IQ_CURR_ACCT_BALANCE_YOY_UNUSED" hidden="1">"c7287"</definedName>
    <definedName name="IQ_CURR_ACCT_BALANCE_YOY_UNUSED_UNUSED_UNUSED" hidden="1">"c7287"</definedName>
    <definedName name="IQ_CURR_ACCT_INC_RECEIPTS" hidden="1">"c6849"</definedName>
    <definedName name="IQ_CURR_ACCT_INC_RECEIPTS_APR" hidden="1">"c7509"</definedName>
    <definedName name="IQ_CURR_ACCT_INC_RECEIPTS_APR_FC" hidden="1">"c8389"</definedName>
    <definedName name="IQ_CURR_ACCT_INC_RECEIPTS_FC" hidden="1">"c7729"</definedName>
    <definedName name="IQ_CURR_ACCT_INC_RECEIPTS_POP" hidden="1">"c7069"</definedName>
    <definedName name="IQ_CURR_ACCT_INC_RECEIPTS_POP_FC" hidden="1">"c7949"</definedName>
    <definedName name="IQ_CURR_ACCT_INC_RECEIPTS_YOY" hidden="1">"c7289"</definedName>
    <definedName name="IQ_CURR_ACCT_INC_RECEIPTS_YOY_FC" hidden="1">"c8169"</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DELAY" hidden="1">"c8963"</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SPENDING_REAL_SAAR" hidden="1">"c6971"</definedName>
    <definedName name="IQ_DEF_SPENDING_REAL_SAAR_APR" hidden="1">"c7631"</definedName>
    <definedName name="IQ_DEF_SPENDING_REAL_SAAR_APR_FC" hidden="1">"c8511"</definedName>
    <definedName name="IQ_DEF_SPENDING_REAL_SAAR_FC" hidden="1">"c7851"</definedName>
    <definedName name="IQ_DEF_SPENDING_REAL_SAAR_POP" hidden="1">"c7191"</definedName>
    <definedName name="IQ_DEF_SPENDING_REAL_SAAR_POP_FC" hidden="1">"c8071"</definedName>
    <definedName name="IQ_DEF_SPENDING_REAL_SAAR_YOY" hidden="1">"c7411"</definedName>
    <definedName name="IQ_DEF_SPENDING_REAL_SAAR_YOY_FC" hidden="1">"c8291"</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"c1360"</definedName>
    <definedName name="IQ_DEPRE_AMORT_SUPPL" hidden="1">"c1593"</definedName>
    <definedName name="IQ_DEPRE_DEPLE" hidden="1">"c1361"</definedName>
    <definedName name="IQ_DEPRE_SUPP" hidden="1">"c1443"</definedName>
    <definedName name="IQ_DERIVATIVES_FDIC" hidden="1">"c6523"</definedName>
    <definedName name="IQ_DESCRIPTION_LONG" hidden="1">"c1520"</definedName>
    <definedName name="IQ_DEVELOP_LAND" hidden="1">"c323"</definedName>
    <definedName name="IQ_DIFF_LASTCLOSE_TARGET_PRICE" hidden="1">"c1854"</definedName>
    <definedName name="IQ_DIFF_LASTCLOSE_TARGET_PRICE_CIQ" hidden="1">"c4767"</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POSABLE_PERSONAL_INC" hidden="1">"c6850"</definedName>
    <definedName name="IQ_DISPOSABLE_PERSONAL_INC_APR" hidden="1">"c7510"</definedName>
    <definedName name="IQ_DISPOSABLE_PERSONAL_INC_APR_FC" hidden="1">"c8390"</definedName>
    <definedName name="IQ_DISPOSABLE_PERSONAL_INC_FC" hidden="1">"c7730"</definedName>
    <definedName name="IQ_DISPOSABLE_PERSONAL_INC_POP" hidden="1">"c7070"</definedName>
    <definedName name="IQ_DISPOSABLE_PERSONAL_INC_POP_FC" hidden="1">"c7950"</definedName>
    <definedName name="IQ_DISPOSABLE_PERSONAL_INC_REAL" hidden="1">"c11922"</definedName>
    <definedName name="IQ_DISPOSABLE_PERSONAL_INC_REAL_APR" hidden="1">"c11925"</definedName>
    <definedName name="IQ_DISPOSABLE_PERSONAL_INC_REAL_POP" hidden="1">"c11923"</definedName>
    <definedName name="IQ_DISPOSABLE_PERSONAL_INC_REAL_YOY" hidden="1">"c11924"</definedName>
    <definedName name="IQ_DISPOSABLE_PERSONAL_INC_SAAR" hidden="1">"c6851"</definedName>
    <definedName name="IQ_DISPOSABLE_PERSONAL_INC_SAAR_APR" hidden="1">"c7511"</definedName>
    <definedName name="IQ_DISPOSABLE_PERSONAL_INC_SAAR_APR_FC" hidden="1">"c8391"</definedName>
    <definedName name="IQ_DISPOSABLE_PERSONAL_INC_SAAR_FC" hidden="1">"c7731"</definedName>
    <definedName name="IQ_DISPOSABLE_PERSONAL_INC_SAAR_POP" hidden="1">"c7071"</definedName>
    <definedName name="IQ_DISPOSABLE_PERSONAL_INC_SAAR_POP_FC" hidden="1">"c7951"</definedName>
    <definedName name="IQ_DISPOSABLE_PERSONAL_INC_SAAR_USD_APR_FC" hidden="1">"c11805"</definedName>
    <definedName name="IQ_DISPOSABLE_PERSONAL_INC_SAAR_USD_FC" hidden="1">"c11802"</definedName>
    <definedName name="IQ_DISPOSABLE_PERSONAL_INC_SAAR_USD_POP_FC" hidden="1">"c11803"</definedName>
    <definedName name="IQ_DISPOSABLE_PERSONAL_INC_SAAR_USD_YOY_FC" hidden="1">"c11804"</definedName>
    <definedName name="IQ_DISPOSABLE_PERSONAL_INC_SAAR_YOY" hidden="1">"c7291"</definedName>
    <definedName name="IQ_DISPOSABLE_PERSONAL_INC_SAAR_YOY_FC" hidden="1">"c8171"</definedName>
    <definedName name="IQ_DISPOSABLE_PERSONAL_INC_USD_APR_FC" hidden="1">"c11801"</definedName>
    <definedName name="IQ_DISPOSABLE_PERSONAL_INC_USD_FC" hidden="1">"c11798"</definedName>
    <definedName name="IQ_DISPOSABLE_PERSONAL_INC_USD_POP_FC" hidden="1">"c11799"</definedName>
    <definedName name="IQ_DISPOSABLE_PERSONAL_INC_USD_YOY_FC" hidden="1">"c11800"</definedName>
    <definedName name="IQ_DISPOSABLE_PERSONAL_INC_YOY" hidden="1">"c7290"</definedName>
    <definedName name="IQ_DISPOSABLE_PERSONAL_INC_YOY_FC" hidden="1">"c8170"</definedName>
    <definedName name="IQ_DISTR_EXCESS_EARN" hidden="1">"c329"</definedName>
    <definedName name="IQ_DISTRIBUTABLE_CASH" hidden="1">"c3002"</definedName>
    <definedName name="IQ_DISTRIBUTABLE_CASH_ACT_OR_EST" hidden="1">"c4278"</definedName>
    <definedName name="IQ_DISTRIBUTABLE_CASH_ACT_OR_EST_CIQ" hidden="1">"c4803"</definedName>
    <definedName name="IQ_DISTRIBUTABLE_CASH_PAYOUT" hidden="1">"c3005"</definedName>
    <definedName name="IQ_DISTRIBUTABLE_CASH_SHARE" hidden="1">"c3003"</definedName>
    <definedName name="IQ_DISTRIBUTABLE_CASH_SHARE_ACT_OR_EST" hidden="1">"c4286"</definedName>
    <definedName name="IQ_DISTRIBUTABLE_CASH_SHARE_ACT_OR_EST_CIQ" hidden="1">"c4811"</definedName>
    <definedName name="IQ_DIV_AMOUNT" hidden="1">"c3041"</definedName>
    <definedName name="IQ_DIV_PAYMENT_DATE" hidden="1">"c2205"</definedName>
    <definedName name="IQ_DIV_PAYMENT_TYPE" hidden="1">"c12752"</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IVIDENDS_PAID_DECLARED_PERIOD_COVERED" hidden="1">"c9960"</definedName>
    <definedName name="IQ_DIVIDENDS_PAID_DECLARED_PERIOD_GROUP" hidden="1">"c9946"</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URABLE_INVENTORIES" hidden="1">"c6853"</definedName>
    <definedName name="IQ_DURABLE_INVENTORIES_APR" hidden="1">"c7513"</definedName>
    <definedName name="IQ_DURABLE_INVENTORIES_APR_FC" hidden="1">"c8393"</definedName>
    <definedName name="IQ_DURABLE_INVENTORIES_FC" hidden="1">"c7733"</definedName>
    <definedName name="IQ_DURABLE_INVENTORIES_POP" hidden="1">"c7073"</definedName>
    <definedName name="IQ_DURABLE_INVENTORIES_POP_FC" hidden="1">"c7953"</definedName>
    <definedName name="IQ_DURABLE_INVENTORIES_YOY" hidden="1">"c7293"</definedName>
    <definedName name="IQ_DURABLE_INVENTORIES_YOY_FC" hidden="1">"c8173"</definedName>
    <definedName name="IQ_DURABLE_ORDERS" hidden="1">"c6854"</definedName>
    <definedName name="IQ_DURABLE_ORDERS_APR" hidden="1">"c7514"</definedName>
    <definedName name="IQ_DURABLE_ORDERS_APR_FC" hidden="1">"c8394"</definedName>
    <definedName name="IQ_DURABLE_ORDERS_FC" hidden="1">"c7734"</definedName>
    <definedName name="IQ_DURABLE_ORDERS_POP" hidden="1">"c7074"</definedName>
    <definedName name="IQ_DURABLE_ORDERS_POP_FC" hidden="1">"c7954"</definedName>
    <definedName name="IQ_DURABLE_ORDERS_YOY" hidden="1">"c7294"</definedName>
    <definedName name="IQ_DURABLE_ORDERS_YOY_FC" hidden="1">"c8174"</definedName>
    <definedName name="IQ_DURABLE_SHIPMENTS" hidden="1">"c6855"</definedName>
    <definedName name="IQ_DURABLE_SHIPMENTS_APR" hidden="1">"c7515"</definedName>
    <definedName name="IQ_DURABLE_SHIPMENTS_APR_FC" hidden="1">"c8395"</definedName>
    <definedName name="IQ_DURABLE_SHIPMENTS_FC" hidden="1">"c7735"</definedName>
    <definedName name="IQ_DURABLE_SHIPMENTS_POP" hidden="1">"c7075"</definedName>
    <definedName name="IQ_DURABLE_SHIPMENTS_POP_FC" hidden="1">"c7955"</definedName>
    <definedName name="IQ_DURABLE_SHIPMENTS_YOY" hidden="1">"c7295"</definedName>
    <definedName name="IQ_DURABLE_SHIPMENTS_YOY_FC" hidden="1">"c8175"</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CIQ" hidden="1">"c4656"</definedName>
    <definedName name="IQ_EARNINGS_ANNOUNCE_DATE_REUT" hidden="1">"c5314"</definedName>
    <definedName name="IQ_EARNINGS_COVERAGE_NET_CHARGE_OFFS_FDIC" hidden="1">"c6735"</definedName>
    <definedName name="IQ_EARNINGS_PERIOD_COVERED" hidden="1">"c9958"</definedName>
    <definedName name="IQ_EARNINGS_PERIOD_GROUP" hidden="1">"c9944"</definedName>
    <definedName name="IQ_EBIT" hidden="1">"c352"</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ACT_OR_EST_CIQ" hidden="1">"c4841"</definedName>
    <definedName name="IQ_EBIT_SBC_GW_ACT_OR_EST" hidden="1">"c4320"</definedName>
    <definedName name="IQ_EBIT_SBC_GW_ACT_OR_EST_CIQ" hidden="1">"c4845"</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CIQ" hidden="1">"c5060"</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CIQ" hidden="1">"c3622"</definedName>
    <definedName name="IQ_EBITDA_EST_REUT" hidden="1">"c3640"</definedName>
    <definedName name="IQ_EBITDA_EXCL_SBC" hidden="1">"c3081"</definedName>
    <definedName name="IQ_EBITDA_HIGH_EST" hidden="1">"c370"</definedName>
    <definedName name="IQ_EBITDA_HIGH_EST_CIQ" hidden="1">"c3624"</definedName>
    <definedName name="IQ_EBITDA_HIGH_EST_REUT" hidden="1">"c3642"</definedName>
    <definedName name="IQ_EBITDA_INT" hidden="1">"c373"</definedName>
    <definedName name="IQ_EBITDA_LOW_EST" hidden="1">"c371"</definedName>
    <definedName name="IQ_EBITDA_LOW_EST_CIQ" hidden="1">"c3625"</definedName>
    <definedName name="IQ_EBITDA_LOW_EST_REUT" hidden="1">"c3643"</definedName>
    <definedName name="IQ_EBITDA_MARGIN" hidden="1">"c372"</definedName>
    <definedName name="IQ_EBITDA_MEDIAN_EST" hidden="1">"c1663"</definedName>
    <definedName name="IQ_EBITDA_MEDIAN_EST_CIQ" hidden="1">"c3623"</definedName>
    <definedName name="IQ_EBITDA_MEDIAN_EST_REUT" hidden="1">"c3641"</definedName>
    <definedName name="IQ_EBITDA_NUM_EST" hidden="1">"c374"</definedName>
    <definedName name="IQ_EBITDA_NUM_EST_CIQ" hidden="1">"c3626"</definedName>
    <definedName name="IQ_EBITDA_NUM_EST_REUT" hidden="1">"c3644"</definedName>
    <definedName name="IQ_EBITDA_OVER_TOTAL_IE" hidden="1">"c1371"</definedName>
    <definedName name="IQ_EBITDA_SBC_ACT_OR_EST" hidden="1">"c4337"</definedName>
    <definedName name="IQ_EBITDA_SBC_ACT_OR_EST_CIQ" hidden="1">"c4862"</definedName>
    <definedName name="IQ_EBITDA_STDDEV_EST" hidden="1">"c375"</definedName>
    <definedName name="IQ_EBITDA_STDDEV_EST_CIQ" hidden="1">"c3627"</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ACT_OR_EST_CIQ" hidden="1">"c4875"</definedName>
    <definedName name="IQ_EBT_SBC_GW_ACT_OR_EST" hidden="1">"c4354"</definedName>
    <definedName name="IQ_EBT_SBC_GW_ACT_OR_EST_CIQ" hidden="1">"c4879"</definedName>
    <definedName name="IQ_EBT_SUBTOTAL_AP" hidden="1">"c8982"</definedName>
    <definedName name="IQ_EBT_UTI" hidden="1">"c390"</definedName>
    <definedName name="IQ_ECO_METRIC_6825_UNUSED" hidden="1">"c6825"</definedName>
    <definedName name="IQ_ECO_METRIC_6825_UNUSED_UNUSED_UNUSED" hidden="1">"c6825"</definedName>
    <definedName name="IQ_ECO_METRIC_6839_UNUSED" hidden="1">"c6839"</definedName>
    <definedName name="IQ_ECO_METRIC_6839_UNUSED_UNUSED_UNUSED" hidden="1">"c6839"</definedName>
    <definedName name="IQ_ECO_METRIC_6896_UNUSED" hidden="1">"c6896"</definedName>
    <definedName name="IQ_ECO_METRIC_6896_UNUSED_UNUSED_UNUSED" hidden="1">"c6896"</definedName>
    <definedName name="IQ_ECO_METRIC_6897_UNUSED" hidden="1">"c6897"</definedName>
    <definedName name="IQ_ECO_METRIC_6897_UNUSED_UNUSED_UNUSED" hidden="1">"c6897"</definedName>
    <definedName name="IQ_ECO_METRIC_6927" hidden="1">"c6927"</definedName>
    <definedName name="IQ_ECO_METRIC_6988_UNUSED" hidden="1">"c6988"</definedName>
    <definedName name="IQ_ECO_METRIC_6988_UNUSED_UNUSED_UNUSED" hidden="1">"c6988"</definedName>
    <definedName name="IQ_ECO_METRIC_7045_UNUSED" hidden="1">"c7045"</definedName>
    <definedName name="IQ_ECO_METRIC_7045_UNUSED_UNUSED_UNUSED" hidden="1">"c7045"</definedName>
    <definedName name="IQ_ECO_METRIC_7059_UNUSED" hidden="1">"c7059"</definedName>
    <definedName name="IQ_ECO_METRIC_7059_UNUSED_UNUSED_UNUSED" hidden="1">"c7059"</definedName>
    <definedName name="IQ_ECO_METRIC_7116_UNUSED" hidden="1">"c7116"</definedName>
    <definedName name="IQ_ECO_METRIC_7116_UNUSED_UNUSED_UNUSED" hidden="1">"c7116"</definedName>
    <definedName name="IQ_ECO_METRIC_7117_UNUSED" hidden="1">"c7117"</definedName>
    <definedName name="IQ_ECO_METRIC_7117_UNUSED_UNUSED_UNUSED" hidden="1">"c7117"</definedName>
    <definedName name="IQ_ECO_METRIC_7147" hidden="1">"c7147"</definedName>
    <definedName name="IQ_ECO_METRIC_7208_UNUSED" hidden="1">"c7208"</definedName>
    <definedName name="IQ_ECO_METRIC_7208_UNUSED_UNUSED_UNUSED" hidden="1">"c7208"</definedName>
    <definedName name="IQ_ECO_METRIC_7265_UNUSED" hidden="1">"c7265"</definedName>
    <definedName name="IQ_ECO_METRIC_7265_UNUSED_UNUSED_UNUSED" hidden="1">"c7265"</definedName>
    <definedName name="IQ_ECO_METRIC_7279_UNUSED" hidden="1">"c7279"</definedName>
    <definedName name="IQ_ECO_METRIC_7279_UNUSED_UNUSED_UNUSED" hidden="1">"c7279"</definedName>
    <definedName name="IQ_ECO_METRIC_7336_UNUSED" hidden="1">"c7336"</definedName>
    <definedName name="IQ_ECO_METRIC_7336_UNUSED_UNUSED_UNUSED" hidden="1">"c7336"</definedName>
    <definedName name="IQ_ECO_METRIC_7337_UNUSED" hidden="1">"c7337"</definedName>
    <definedName name="IQ_ECO_METRIC_7337_UNUSED_UNUSED_UNUSED" hidden="1">"c7337"</definedName>
    <definedName name="IQ_ECO_METRIC_7367" hidden="1">"c7367"</definedName>
    <definedName name="IQ_ECO_METRIC_7428_UNUSED" hidden="1">"c7428"</definedName>
    <definedName name="IQ_ECO_METRIC_7428_UNUSED_UNUSED_UNUSED" hidden="1">"c7428"</definedName>
    <definedName name="IQ_ECO_METRIC_7556_UNUSED" hidden="1">"c7556"</definedName>
    <definedName name="IQ_ECO_METRIC_7556_UNUSED_UNUSED_UNUSED" hidden="1">"c7556"</definedName>
    <definedName name="IQ_ECO_METRIC_7557_UNUSED" hidden="1">"c7557"</definedName>
    <definedName name="IQ_ECO_METRIC_7557_UNUSED_UNUSED_UNUSED" hidden="1">"c7557"</definedName>
    <definedName name="IQ_ECO_METRIC_7587" hidden="1">"c7587"</definedName>
    <definedName name="IQ_ECO_METRIC_7648_UNUSED" hidden="1">"c7648"</definedName>
    <definedName name="IQ_ECO_METRIC_7648_UNUSED_UNUSED_UNUSED" hidden="1">"c7648"</definedName>
    <definedName name="IQ_ECO_METRIC_7704" hidden="1">"c7704"</definedName>
    <definedName name="IQ_ECO_METRIC_7705_UNUSED" hidden="1">"c7705"</definedName>
    <definedName name="IQ_ECO_METRIC_7705_UNUSED_UNUSED_UNUSED" hidden="1">"c7705"</definedName>
    <definedName name="IQ_ECO_METRIC_7706" hidden="1">"c7706"</definedName>
    <definedName name="IQ_ECO_METRIC_7718" hidden="1">"c7718"</definedName>
    <definedName name="IQ_ECO_METRIC_7719_UNUSED" hidden="1">"c7719"</definedName>
    <definedName name="IQ_ECO_METRIC_7719_UNUSED_UNUSED_UNUSED" hidden="1">"c7719"</definedName>
    <definedName name="IQ_ECO_METRIC_7776_UNUSED" hidden="1">"c7776"</definedName>
    <definedName name="IQ_ECO_METRIC_7776_UNUSED_UNUSED_UNUSED" hidden="1">"c7776"</definedName>
    <definedName name="IQ_ECO_METRIC_7777_UNUSED" hidden="1">"c7777"</definedName>
    <definedName name="IQ_ECO_METRIC_7777_UNUSED_UNUSED_UNUSED" hidden="1">"c7777"</definedName>
    <definedName name="IQ_ECO_METRIC_7807" hidden="1">"c7807"</definedName>
    <definedName name="IQ_ECO_METRIC_7811" hidden="1">"c7811"</definedName>
    <definedName name="IQ_ECO_METRIC_7868_UNUSED" hidden="1">"c7868"</definedName>
    <definedName name="IQ_ECO_METRIC_7868_UNUSED_UNUSED_UNUSED" hidden="1">"c7868"</definedName>
    <definedName name="IQ_ECO_METRIC_7873" hidden="1">"c7873"</definedName>
    <definedName name="IQ_ECO_METRIC_7924" hidden="1">"c7924"</definedName>
    <definedName name="IQ_ECO_METRIC_7925_UNUSED" hidden="1">"c7925"</definedName>
    <definedName name="IQ_ECO_METRIC_7925_UNUSED_UNUSED_UNUSED" hidden="1">"c7925"</definedName>
    <definedName name="IQ_ECO_METRIC_7926" hidden="1">"c7926"</definedName>
    <definedName name="IQ_ECO_METRIC_7938" hidden="1">"c7938"</definedName>
    <definedName name="IQ_ECO_METRIC_7939_UNUSED" hidden="1">"c7939"</definedName>
    <definedName name="IQ_ECO_METRIC_7939_UNUSED_UNUSED_UNUSED" hidden="1">"c7939"</definedName>
    <definedName name="IQ_ECO_METRIC_7996_UNUSED" hidden="1">"c7996"</definedName>
    <definedName name="IQ_ECO_METRIC_7996_UNUSED_UNUSED_UNUSED" hidden="1">"c7996"</definedName>
    <definedName name="IQ_ECO_METRIC_7997_UNUSED" hidden="1">"c7997"</definedName>
    <definedName name="IQ_ECO_METRIC_7997_UNUSED_UNUSED_UNUSED" hidden="1">"c7997"</definedName>
    <definedName name="IQ_ECO_METRIC_8027" hidden="1">"c8027"</definedName>
    <definedName name="IQ_ECO_METRIC_8031" hidden="1">"c8031"</definedName>
    <definedName name="IQ_ECO_METRIC_8088_UNUSED" hidden="1">"c8088"</definedName>
    <definedName name="IQ_ECO_METRIC_8088_UNUSED_UNUSED_UNUSED" hidden="1">"c8088"</definedName>
    <definedName name="IQ_ECO_METRIC_8093" hidden="1">"c8093"</definedName>
    <definedName name="IQ_ECO_METRIC_8144" hidden="1">"c8144"</definedName>
    <definedName name="IQ_ECO_METRIC_8145_UNUSED" hidden="1">"c8145"</definedName>
    <definedName name="IQ_ECO_METRIC_8145_UNUSED_UNUSED_UNUSED" hidden="1">"c8145"</definedName>
    <definedName name="IQ_ECO_METRIC_8146" hidden="1">"c8146"</definedName>
    <definedName name="IQ_ECO_METRIC_8158" hidden="1">"c8158"</definedName>
    <definedName name="IQ_ECO_METRIC_8159_UNUSED" hidden="1">"c8159"</definedName>
    <definedName name="IQ_ECO_METRIC_8159_UNUSED_UNUSED_UNUSED" hidden="1">"c8159"</definedName>
    <definedName name="IQ_ECO_METRIC_8216_UNUSED" hidden="1">"c8216"</definedName>
    <definedName name="IQ_ECO_METRIC_8216_UNUSED_UNUSED_UNUSED" hidden="1">"c8216"</definedName>
    <definedName name="IQ_ECO_METRIC_8217_UNUSED" hidden="1">"c8217"</definedName>
    <definedName name="IQ_ECO_METRIC_8217_UNUSED_UNUSED_UNUSED" hidden="1">"c8217"</definedName>
    <definedName name="IQ_ECO_METRIC_8247" hidden="1">"c8247"</definedName>
    <definedName name="IQ_ECO_METRIC_8251" hidden="1">"c8251"</definedName>
    <definedName name="IQ_ECO_METRIC_8308_UNUSED" hidden="1">"c8308"</definedName>
    <definedName name="IQ_ECO_METRIC_8308_UNUSED_UNUSED_UNUSED" hidden="1">"c8308"</definedName>
    <definedName name="IQ_ECO_METRIC_8313" hidden="1">"c8313"</definedName>
    <definedName name="IQ_ECO_METRIC_8366" hidden="1">"c8366"</definedName>
    <definedName name="IQ_ECO_METRIC_8378" hidden="1">"c8378"</definedName>
    <definedName name="IQ_ECO_METRIC_8436_UNUSED" hidden="1">"c8436"</definedName>
    <definedName name="IQ_ECO_METRIC_8436_UNUSED_UNUSED_UNUSED" hidden="1">"c8436"</definedName>
    <definedName name="IQ_ECO_METRIC_8437_UNUSED" hidden="1">"c8437"</definedName>
    <definedName name="IQ_ECO_METRIC_8437_UNUSED_UNUSED_UNUSED" hidden="1">"c8437"</definedName>
    <definedName name="IQ_ECO_METRIC_8467" hidden="1">"c8467"</definedName>
    <definedName name="IQ_ECO_METRIC_8471" hidden="1">"c8471"</definedName>
    <definedName name="IQ_ECO_METRIC_8528_UNUSED" hidden="1">"c8528"</definedName>
    <definedName name="IQ_ECO_METRIC_8528_UNUSED_UNUSED_UNUSED" hidden="1">"c8528"</definedName>
    <definedName name="IQ_ECO_METRIC_8533" hidden="1">"c8533"</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ECTIVE_DATE" hidden="1">"c8966"</definedName>
    <definedName name="IQ_EFFICIENCY_RATIO" hidden="1">"c391"</definedName>
    <definedName name="IQ_EFFICIENCY_RATIO_FDIC" hidden="1">"c6736"</definedName>
    <definedName name="IQ_EMBEDDED_VAL_COVERED" hidden="1">"c9962"</definedName>
    <definedName name="IQ_EMBEDDED_VAL_COVERED_BEG" hidden="1">"c9957"</definedName>
    <definedName name="IQ_EMBEDDED_VAL_GROUP" hidden="1">"c9948"</definedName>
    <definedName name="IQ_EMBEDDED_VAL_GROUP_BEG" hidden="1">"c9943"</definedName>
    <definedName name="IQ_EMPLOY_COST_INDEX_BENEFITS" hidden="1">"c6857"</definedName>
    <definedName name="IQ_EMPLOY_COST_INDEX_BENEFITS_APR" hidden="1">"c7517"</definedName>
    <definedName name="IQ_EMPLOY_COST_INDEX_BENEFITS_APR_FC" hidden="1">"c8397"</definedName>
    <definedName name="IQ_EMPLOY_COST_INDEX_BENEFITS_FC" hidden="1">"c7737"</definedName>
    <definedName name="IQ_EMPLOY_COST_INDEX_BENEFITS_POP" hidden="1">"c7077"</definedName>
    <definedName name="IQ_EMPLOY_COST_INDEX_BENEFITS_POP_FC" hidden="1">"c7957"</definedName>
    <definedName name="IQ_EMPLOY_COST_INDEX_BENEFITS_YOY" hidden="1">"c7297"</definedName>
    <definedName name="IQ_EMPLOY_COST_INDEX_BENEFITS_YOY_FC" hidden="1">"c8177"</definedName>
    <definedName name="IQ_EMPLOY_COST_INDEX_COMP" hidden="1">"c6856"</definedName>
    <definedName name="IQ_EMPLOY_COST_INDEX_COMP_APR" hidden="1">"c7516"</definedName>
    <definedName name="IQ_EMPLOY_COST_INDEX_COMP_APR_FC" hidden="1">"c8396"</definedName>
    <definedName name="IQ_EMPLOY_COST_INDEX_COMP_FC" hidden="1">"c7736"</definedName>
    <definedName name="IQ_EMPLOY_COST_INDEX_COMP_POP" hidden="1">"c7076"</definedName>
    <definedName name="IQ_EMPLOY_COST_INDEX_COMP_POP_FC" hidden="1">"c7956"</definedName>
    <definedName name="IQ_EMPLOY_COST_INDEX_COMP_YOY" hidden="1">"c7296"</definedName>
    <definedName name="IQ_EMPLOY_COST_INDEX_COMP_YOY_FC" hidden="1">"c8176"</definedName>
    <definedName name="IQ_EMPLOY_COST_INDEX_WAGE_SALARY" hidden="1">"c6858"</definedName>
    <definedName name="IQ_EMPLOY_COST_INDEX_WAGE_SALARY_APR" hidden="1">"c7518"</definedName>
    <definedName name="IQ_EMPLOY_COST_INDEX_WAGE_SALARY_APR_FC" hidden="1">"c8398"</definedName>
    <definedName name="IQ_EMPLOY_COST_INDEX_WAGE_SALARY_FC" hidden="1">"c7738"</definedName>
    <definedName name="IQ_EMPLOY_COST_INDEX_WAGE_SALARY_POP" hidden="1">"c7078"</definedName>
    <definedName name="IQ_EMPLOY_COST_INDEX_WAGE_SALARY_POP_FC" hidden="1">"c7958"</definedName>
    <definedName name="IQ_EMPLOY_COST_INDEX_WAGE_SALARY_YOY" hidden="1">"c7298"</definedName>
    <definedName name="IQ_EMPLOY_COST_INDEX_WAGE_SALARY_YOY_FC" hidden="1">"c8178"</definedName>
    <definedName name="IQ_EMPLOYEES" hidden="1">"c392"</definedName>
    <definedName name="IQ_ENTERPRISE_VALUE" hidden="1">"c1348"</definedName>
    <definedName name="IQ_ENTREPRENEURAL_PROPERTY_INC" hidden="1">"c6859"</definedName>
    <definedName name="IQ_ENTREPRENEURAL_PROPERTY_INC_APR" hidden="1">"c7519"</definedName>
    <definedName name="IQ_ENTREPRENEURAL_PROPERTY_INC_APR_FC" hidden="1">"c8399"</definedName>
    <definedName name="IQ_ENTREPRENEURAL_PROPERTY_INC_FC" hidden="1">"c7739"</definedName>
    <definedName name="IQ_ENTREPRENEURAL_PROPERTY_INC_POP" hidden="1">"c7079"</definedName>
    <definedName name="IQ_ENTREPRENEURAL_PROPERTY_INC_POP_FC" hidden="1">"c7959"</definedName>
    <definedName name="IQ_ENTREPRENEURAL_PROPERTY_INC_YOY" hidden="1">"c7299"</definedName>
    <definedName name="IQ_ENTREPRENEURAL_PROPERTY_INC_YOY_FC" hidden="1">"c8179"</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CIQ" hidden="1">"c5058"</definedName>
    <definedName name="IQ_EPS_AP" hidden="1">"c8880"</definedName>
    <definedName name="IQ_EPS_AP_ABS" hidden="1">"c8899"</definedName>
    <definedName name="IQ_EPS_EST" hidden="1">"c399"</definedName>
    <definedName name="IQ_EPS_EST_CIQ" hidden="1">"c4994"</definedName>
    <definedName name="IQ_EPS_EST_REUT" hidden="1">"c5453"</definedName>
    <definedName name="IQ_EPS_GW_ACT_OR_EST_CIQ" hidden="1">"c5066"</definedName>
    <definedName name="IQ_EPS_GW_EST" hidden="1">"c1737"</definedName>
    <definedName name="IQ_EPS_GW_EST_CIQ" hidden="1">"c4723"</definedName>
    <definedName name="IQ_EPS_GW_EST_REUT" hidden="1">"c5389"</definedName>
    <definedName name="IQ_EPS_GW_HIGH_EST" hidden="1">"c1739"</definedName>
    <definedName name="IQ_EPS_GW_HIGH_EST_CIQ" hidden="1">"c4725"</definedName>
    <definedName name="IQ_EPS_GW_HIGH_EST_REUT" hidden="1">"c5391"</definedName>
    <definedName name="IQ_EPS_GW_LOW_EST" hidden="1">"c1740"</definedName>
    <definedName name="IQ_EPS_GW_LOW_EST_CIQ" hidden="1">"c4726"</definedName>
    <definedName name="IQ_EPS_GW_LOW_EST_REUT" hidden="1">"c5392"</definedName>
    <definedName name="IQ_EPS_GW_MEDIAN_EST" hidden="1">"c1738"</definedName>
    <definedName name="IQ_EPS_GW_MEDIAN_EST_CIQ" hidden="1">"c4724"</definedName>
    <definedName name="IQ_EPS_GW_MEDIAN_EST_REUT" hidden="1">"c5390"</definedName>
    <definedName name="IQ_EPS_GW_NUM_EST" hidden="1">"c1741"</definedName>
    <definedName name="IQ_EPS_GW_NUM_EST_CIQ" hidden="1">"c4727"</definedName>
    <definedName name="IQ_EPS_GW_NUM_EST_REUT" hidden="1">"c5393"</definedName>
    <definedName name="IQ_EPS_GW_STDDEV_EST" hidden="1">"c1742"</definedName>
    <definedName name="IQ_EPS_GW_STDDEV_EST_CIQ" hidden="1">"c4728"</definedName>
    <definedName name="IQ_EPS_GW_STDDEV_EST_REUT" hidden="1">"c5394"</definedName>
    <definedName name="IQ_EPS_HIGH_EST" hidden="1">"c400"</definedName>
    <definedName name="IQ_EPS_HIGH_EST_CIQ" hidden="1">"c4995"</definedName>
    <definedName name="IQ_EPS_HIGH_EST_REUT" hidden="1">"c5454"</definedName>
    <definedName name="IQ_EPS_LOW_EST" hidden="1">"c401"</definedName>
    <definedName name="IQ_EPS_LOW_EST_CIQ" hidden="1">"c4996"</definedName>
    <definedName name="IQ_EPS_LOW_EST_REUT" hidden="1">"c5455"</definedName>
    <definedName name="IQ_EPS_MEDIAN_EST" hidden="1">"c1661"</definedName>
    <definedName name="IQ_EPS_MEDIAN_EST_CIQ" hidden="1">"c4997"</definedName>
    <definedName name="IQ_EPS_MEDIAN_EST_REUT" hidden="1">"c5456"</definedName>
    <definedName name="IQ_EPS_NAME_AP" hidden="1">"c8918"</definedName>
    <definedName name="IQ_EPS_NAME_AP_ABS" hidden="1">"c8937"</definedName>
    <definedName name="IQ_EPS_NORM" hidden="1">"c1902"</definedName>
    <definedName name="IQ_EPS_NORM_EST" hidden="1">"c2226"</definedName>
    <definedName name="IQ_EPS_NORM_EST_CIQ" hidden="1">"c4667"</definedName>
    <definedName name="IQ_EPS_NORM_EST_REUT" hidden="1">"c5326"</definedName>
    <definedName name="IQ_EPS_NORM_HIGH_EST" hidden="1">"c2228"</definedName>
    <definedName name="IQ_EPS_NORM_HIGH_EST_CIQ" hidden="1">"c4669"</definedName>
    <definedName name="IQ_EPS_NORM_HIGH_EST_REUT" hidden="1">"c5328"</definedName>
    <definedName name="IQ_EPS_NORM_LOW_EST" hidden="1">"c2229"</definedName>
    <definedName name="IQ_EPS_NORM_LOW_EST_CIQ" hidden="1">"c4670"</definedName>
    <definedName name="IQ_EPS_NORM_LOW_EST_REUT" hidden="1">"c5329"</definedName>
    <definedName name="IQ_EPS_NORM_MEDIAN_EST" hidden="1">"c2227"</definedName>
    <definedName name="IQ_EPS_NORM_MEDIAN_EST_CIQ" hidden="1">"c4668"</definedName>
    <definedName name="IQ_EPS_NORM_MEDIAN_EST_REUT" hidden="1">"c5327"</definedName>
    <definedName name="IQ_EPS_NORM_NUM_EST" hidden="1">"c2230"</definedName>
    <definedName name="IQ_EPS_NORM_NUM_EST_CIQ" hidden="1">"c4671"</definedName>
    <definedName name="IQ_EPS_NORM_NUM_EST_REUT" hidden="1">"c5330"</definedName>
    <definedName name="IQ_EPS_NORM_STDDEV_EST" hidden="1">"c2231"</definedName>
    <definedName name="IQ_EPS_NORM_STDDEV_EST_CIQ" hidden="1">"c4672"</definedName>
    <definedName name="IQ_EPS_NORM_STDDEV_EST_REUT" hidden="1">"c5331"</definedName>
    <definedName name="IQ_EPS_NUM_EST" hidden="1">"c402"</definedName>
    <definedName name="IQ_EPS_NUM_EST_CIQ" hidden="1">"c4992"</definedName>
    <definedName name="IQ_EPS_NUM_EST_REUT" hidden="1">"c5451"</definedName>
    <definedName name="IQ_EPS_REPORT_ACT_OR_EST_CIQ" hidden="1">"c5067"</definedName>
    <definedName name="IQ_EPS_REPORTED_EST" hidden="1">"c1744"</definedName>
    <definedName name="IQ_EPS_REPORTED_EST_CIQ" hidden="1">"c4730"</definedName>
    <definedName name="IQ_EPS_REPORTED_EST_REUT" hidden="1">"c5396"</definedName>
    <definedName name="IQ_EPS_REPORTED_HIGH_EST" hidden="1">"c1746"</definedName>
    <definedName name="IQ_EPS_REPORTED_HIGH_EST_CIQ" hidden="1">"c4732"</definedName>
    <definedName name="IQ_EPS_REPORTED_HIGH_EST_REUT" hidden="1">"c5398"</definedName>
    <definedName name="IQ_EPS_REPORTED_LOW_EST" hidden="1">"c1747"</definedName>
    <definedName name="IQ_EPS_REPORTED_LOW_EST_CIQ" hidden="1">"c4733"</definedName>
    <definedName name="IQ_EPS_REPORTED_LOW_EST_REUT" hidden="1">"c5399"</definedName>
    <definedName name="IQ_EPS_REPORTED_MEDIAN_EST" hidden="1">"c1745"</definedName>
    <definedName name="IQ_EPS_REPORTED_MEDIAN_EST_CIQ" hidden="1">"c4731"</definedName>
    <definedName name="IQ_EPS_REPORTED_MEDIAN_EST_REUT" hidden="1">"c5397"</definedName>
    <definedName name="IQ_EPS_REPORTED_NUM_EST" hidden="1">"c1748"</definedName>
    <definedName name="IQ_EPS_REPORTED_NUM_EST_CIQ" hidden="1">"c4734"</definedName>
    <definedName name="IQ_EPS_REPORTED_NUM_EST_REUT" hidden="1">"c5400"</definedName>
    <definedName name="IQ_EPS_REPORTED_STDDEV_EST" hidden="1">"c1749"</definedName>
    <definedName name="IQ_EPS_REPORTED_STDDEV_EST_CIQ" hidden="1">"c4735"</definedName>
    <definedName name="IQ_EPS_REPORTED_STDDEV_EST_REUT" hidden="1">"c5401"</definedName>
    <definedName name="IQ_EPS_SBC_ACT_OR_EST" hidden="1">"c4376"</definedName>
    <definedName name="IQ_EPS_SBC_ACT_OR_EST_CIQ" hidden="1">"c4901"</definedName>
    <definedName name="IQ_EPS_SBC_GW_ACT_OR_EST" hidden="1">"c4380"</definedName>
    <definedName name="IQ_EPS_SBC_GW_ACT_OR_EST_CIQ" hidden="1">"c4905"</definedName>
    <definedName name="IQ_EPS_STDDEV_EST" hidden="1">"c403"</definedName>
    <definedName name="IQ_EPS_STDDEV_EST_CIQ" hidden="1">"c4993"</definedName>
    <definedName name="IQ_EPS_STDDEV_EST_REUT" hidden="1">"c5452"</definedName>
    <definedName name="IQ_EQUITY_AFFIL" hidden="1">"c1451"</definedName>
    <definedName name="IQ_EQUITY_AP" hidden="1">"c8887"</definedName>
    <definedName name="IQ_EQUITY_AP_ABS" hidden="1">"c8906"</definedName>
    <definedName name="IQ_EQUITY_CAPITAL_ASSETS_FDIC" hidden="1">"c6744"</definedName>
    <definedName name="IQ_EQUITY_FDIC" hidden="1">"c6353"</definedName>
    <definedName name="IQ_EQUITY_METHOD" hidden="1">"c404"</definedName>
    <definedName name="IQ_EQUITY_NAME_AP" hidden="1">"c8925"</definedName>
    <definedName name="IQ_EQUITY_NAME_AP_ABS" hidden="1">"c8944"</definedName>
    <definedName name="IQ_EQUITY_SECURITIES_FDIC" hidden="1">"c6304"</definedName>
    <definedName name="IQ_EQUITY_SECURITY_EXPOSURES_FDIC" hidden="1">"c6664"</definedName>
    <definedName name="IQ_EQV_OVER_BV" hidden="1">"c1596"</definedName>
    <definedName name="IQ_EQV_OVER_LTM_PRETAX_INC" hidden="1">"c1390"</definedName>
    <definedName name="IQ_ESOP_DEBT" hidden="1">"c1597"</definedName>
    <definedName name="IQ_EST_ACT_EPS" hidden="1">"c1648"</definedName>
    <definedName name="IQ_EST_ACT_EPS_GW" hidden="1">"c1743"</definedName>
    <definedName name="IQ_EST_ACT_EPS_GW_CIQ" hidden="1">"c4729"</definedName>
    <definedName name="IQ_EST_ACT_EPS_GW_REUT" hidden="1">"c5395"</definedName>
    <definedName name="IQ_EST_ACT_EPS_NORM" hidden="1">"c2232"</definedName>
    <definedName name="IQ_EST_ACT_EPS_NORM_CIQ" hidden="1">"c4673"</definedName>
    <definedName name="IQ_EST_ACT_EPS_NORM_REUT" hidden="1">"c5332"</definedName>
    <definedName name="IQ_EST_ACT_EPS_REPORTED" hidden="1">"c1750"</definedName>
    <definedName name="IQ_EST_ACT_EPS_REPORTED_CIQ" hidden="1">"c4736"</definedName>
    <definedName name="IQ_EST_ACT_EPS_REPORTED_REUT" hidden="1">"c5402"</definedName>
    <definedName name="IQ_EST_CURRENCY" hidden="1">"c2140"</definedName>
    <definedName name="IQ_EST_CURRENCY_CIQ" hidden="1">"c4769"</definedName>
    <definedName name="IQ_EST_CURRENCY_REUT" hidden="1">"c5437"</definedName>
    <definedName name="IQ_EST_DATE" hidden="1">"c1634"</definedName>
    <definedName name="IQ_EST_DATE_CIQ" hidden="1">"c4770"</definedName>
    <definedName name="IQ_EST_DATE_REUT" hidden="1">"c5438"</definedName>
    <definedName name="IQ_EST_EPS_DIFF" hidden="1">"c1864"</definedName>
    <definedName name="IQ_EST_EPS_GROWTH_1YR" hidden="1">"c1636"</definedName>
    <definedName name="IQ_EST_EPS_GROWTH_1YR_CIQ" hidden="1">"c3628"</definedName>
    <definedName name="IQ_EST_EPS_GROWTH_1YR_REUT" hidden="1">"c3646"</definedName>
    <definedName name="IQ_EST_EPS_GROWTH_5YR" hidden="1">"c1655"</definedName>
    <definedName name="IQ_EST_EPS_GROWTH_5YR_CIQ" hidden="1">"c3615"</definedName>
    <definedName name="IQ_EST_EPS_GROWTH_5YR_HIGH" hidden="1">"c1657"</definedName>
    <definedName name="IQ_EST_EPS_GROWTH_5YR_HIGH_CIQ" hidden="1">"c4663"</definedName>
    <definedName name="IQ_EST_EPS_GROWTH_5YR_LOW" hidden="1">"c1658"</definedName>
    <definedName name="IQ_EST_EPS_GROWTH_5YR_LOW_CIQ" hidden="1">"c4664"</definedName>
    <definedName name="IQ_EST_EPS_GROWTH_5YR_MEDIAN" hidden="1">"c1656"</definedName>
    <definedName name="IQ_EST_EPS_GROWTH_5YR_MEDIAN_CIQ" hidden="1">"c5480"</definedName>
    <definedName name="IQ_EST_EPS_GROWTH_5YR_NUM" hidden="1">"c1659"</definedName>
    <definedName name="IQ_EST_EPS_GROWTH_5YR_NUM_CIQ" hidden="1">"c4665"</definedName>
    <definedName name="IQ_EST_EPS_GROWTH_5YR_REUT" hidden="1">"c3633"</definedName>
    <definedName name="IQ_EST_EPS_GROWTH_5YR_STDDEV" hidden="1">"c1660"</definedName>
    <definedName name="IQ_EST_EPS_GROWTH_5YR_STDDEV_CIQ" hidden="1">"c4666"</definedName>
    <definedName name="IQ_EST_EPS_GROWTH_Q_1YR" hidden="1">"c1641"</definedName>
    <definedName name="IQ_EST_EPS_GROWTH_Q_1YR_CIQ" hidden="1">"c4744"</definedName>
    <definedName name="IQ_EST_EPS_GROWTH_Q_1YR_REUT" hidden="1">"c5410"</definedName>
    <definedName name="IQ_EST_EPS_GW_DIFF" hidden="1">"c1891"</definedName>
    <definedName name="IQ_EST_EPS_GW_DIFF_CIQ" hidden="1">"c4761"</definedName>
    <definedName name="IQ_EST_EPS_GW_DIFF_REUT" hidden="1">"c5429"</definedName>
    <definedName name="IQ_EST_EPS_GW_SURPRISE_PERCENT" hidden="1">"c1892"</definedName>
    <definedName name="IQ_EST_EPS_GW_SURPRISE_PERCENT_CIQ" hidden="1">"c4762"</definedName>
    <definedName name="IQ_EST_EPS_GW_SURPRISE_PERCENT_REUT" hidden="1">"c5430"</definedName>
    <definedName name="IQ_EST_EPS_NORM_DIFF" hidden="1">"c2247"</definedName>
    <definedName name="IQ_EST_EPS_NORM_DIFF_CIQ" hidden="1">"c4745"</definedName>
    <definedName name="IQ_EST_EPS_NORM_DIFF_REUT" hidden="1">"c5411"</definedName>
    <definedName name="IQ_EST_EPS_NORM_SURPRISE_PERCENT" hidden="1">"c2248"</definedName>
    <definedName name="IQ_EST_EPS_NORM_SURPRISE_PERCENT_CIQ" hidden="1">"c4746"</definedName>
    <definedName name="IQ_EST_EPS_NORM_SURPRISE_PERCENT_REUT" hidden="1">"c5412"</definedName>
    <definedName name="IQ_EST_EPS_REPORT_DIFF" hidden="1">"c1893"</definedName>
    <definedName name="IQ_EST_EPS_REPORT_DIFF_CIQ" hidden="1">"c4763"</definedName>
    <definedName name="IQ_EST_EPS_REPORT_DIFF_REUT" hidden="1">"c5431"</definedName>
    <definedName name="IQ_EST_EPS_REPORT_SURPRISE_PERCENT" hidden="1">"c1894"</definedName>
    <definedName name="IQ_EST_EPS_REPORT_SURPRISE_PERCENT_CIQ" hidden="1">"c4764"</definedName>
    <definedName name="IQ_EST_EPS_REPORT_SURPRISE_PERCENT_REUT" hidden="1">"c5432"</definedName>
    <definedName name="IQ_EST_FOOTNOTE" hidden="1">"c4540"</definedName>
    <definedName name="IQ_EST_FOOTNOTE_CIQ" hidden="1">"c12022"</definedName>
    <definedName name="IQ_EST_VENDOR" hidden="1">"c5564"</definedName>
    <definedName name="IQ_ESTIMATED_ASSESSABLE_DEPOSITS_FDIC" hidden="1">"c6490"</definedName>
    <definedName name="IQ_ESTIMATED_INSURED_DEPOSITS_FDIC" hidden="1">"c6491"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S_AP" hidden="1">"c8875"</definedName>
    <definedName name="IQ_EXPENSES_AP_ABS" hidden="1">"c8894"</definedName>
    <definedName name="IQ_EXPENSES_NAME_AP" hidden="1">"c8913"</definedName>
    <definedName name="IQ_EXPENSES_NAME_AP_ABS" hidden="1">"c8932"</definedName>
    <definedName name="IQ_EXPLORATION_EXPENDITURE_ALUM" hidden="1">"c9255"</definedName>
    <definedName name="IQ_EXPLORATION_EXPENDITURE_COAL" hidden="1">"c9827"</definedName>
    <definedName name="IQ_EXPLORATION_EXPENDITURE_COP" hidden="1">"c9202"</definedName>
    <definedName name="IQ_EXPLORATION_EXPENDITURE_DIAM" hidden="1">"c9679"</definedName>
    <definedName name="IQ_EXPLORATION_EXPENDITURE_GOLD" hidden="1">"c9040"</definedName>
    <definedName name="IQ_EXPLORATION_EXPENDITURE_IRON" hidden="1">"c9414"</definedName>
    <definedName name="IQ_EXPLORATION_EXPENDITURE_LEAD" hidden="1">"c9467"</definedName>
    <definedName name="IQ_EXPLORATION_EXPENDITURE_MANG" hidden="1">"c9520"</definedName>
    <definedName name="IQ_EXPLORATION_EXPENDITURE_MOLYB" hidden="1">"c9732"</definedName>
    <definedName name="IQ_EXPLORATION_EXPENDITURE_NICK" hidden="1">"c9308"</definedName>
    <definedName name="IQ_EXPLORATION_EXPENDITURE_PLAT" hidden="1">"c9146"</definedName>
    <definedName name="IQ_EXPLORATION_EXPENDITURE_SILVER" hidden="1">"c9093"</definedName>
    <definedName name="IQ_EXPLORATION_EXPENDITURE_TITAN" hidden="1">"c9573"</definedName>
    <definedName name="IQ_EXPLORATION_EXPENDITURE_URAN" hidden="1">"c9626"</definedName>
    <definedName name="IQ_EXPLORATION_EXPENDITURE_ZINC" hidden="1">"c9361"</definedName>
    <definedName name="IQ_EXPLORE_DRILL" hidden="1">"c409"</definedName>
    <definedName name="IQ_EXPORT_PRICE_INDEX" hidden="1">"c6860"</definedName>
    <definedName name="IQ_EXPORT_PRICE_INDEX_APR" hidden="1">"c7520"</definedName>
    <definedName name="IQ_EXPORT_PRICE_INDEX_APR_FC" hidden="1">"c8400"</definedName>
    <definedName name="IQ_EXPORT_PRICE_INDEX_FC" hidden="1">"c7740"</definedName>
    <definedName name="IQ_EXPORT_PRICE_INDEX_POP" hidden="1">"c7080"</definedName>
    <definedName name="IQ_EXPORT_PRICE_INDEX_POP_FC" hidden="1">"c7960"</definedName>
    <definedName name="IQ_EXPORT_PRICE_INDEX_YOY" hidden="1">"c7300"</definedName>
    <definedName name="IQ_EXPORT_PRICE_INDEX_YOY_FC" hidden="1">"c8180"</definedName>
    <definedName name="IQ_EXPORTS_APR_FC_UNUSED" hidden="1">"c8401"</definedName>
    <definedName name="IQ_EXPORTS_APR_FC_UNUSED_UNUSED_UNUSED" hidden="1">"c8401"</definedName>
    <definedName name="IQ_EXPORTS_APR_UNUSED" hidden="1">"c7521"</definedName>
    <definedName name="IQ_EXPORTS_APR_UNUSED_UNUSED_UNUSED" hidden="1">"c7521"</definedName>
    <definedName name="IQ_EXPORTS_FACTOR_SERVICES" hidden="1">"c6862"</definedName>
    <definedName name="IQ_EXPORTS_FACTOR_SERVICES_APR" hidden="1">"c7522"</definedName>
    <definedName name="IQ_EXPORTS_FACTOR_SERVICES_APR_FC" hidden="1">"c8402"</definedName>
    <definedName name="IQ_EXPORTS_FACTOR_SERVICES_FC" hidden="1">"c7742"</definedName>
    <definedName name="IQ_EXPORTS_FACTOR_SERVICES_POP" hidden="1">"c7082"</definedName>
    <definedName name="IQ_EXPORTS_FACTOR_SERVICES_POP_FC" hidden="1">"c7962"</definedName>
    <definedName name="IQ_EXPORTS_FACTOR_SERVICES_SAAR" hidden="1">"c6863"</definedName>
    <definedName name="IQ_EXPORTS_FACTOR_SERVICES_SAAR_APR" hidden="1">"c7523"</definedName>
    <definedName name="IQ_EXPORTS_FACTOR_SERVICES_SAAR_APR_FC" hidden="1">"c8403"</definedName>
    <definedName name="IQ_EXPORTS_FACTOR_SERVICES_SAAR_FC" hidden="1">"c7743"</definedName>
    <definedName name="IQ_EXPORTS_FACTOR_SERVICES_SAAR_POP" hidden="1">"c7083"</definedName>
    <definedName name="IQ_EXPORTS_FACTOR_SERVICES_SAAR_POP_FC" hidden="1">"c7963"</definedName>
    <definedName name="IQ_EXPORTS_FACTOR_SERVICES_SAAR_USD_APR_FC" hidden="1">"c11817"</definedName>
    <definedName name="IQ_EXPORTS_FACTOR_SERVICES_SAAR_USD_FC" hidden="1">"c11814"</definedName>
    <definedName name="IQ_EXPORTS_FACTOR_SERVICES_SAAR_USD_POP_FC" hidden="1">"c11815"</definedName>
    <definedName name="IQ_EXPORTS_FACTOR_SERVICES_SAAR_USD_YOY_FC" hidden="1">"c11816"</definedName>
    <definedName name="IQ_EXPORTS_FACTOR_SERVICES_SAAR_YOY" hidden="1">"c7303"</definedName>
    <definedName name="IQ_EXPORTS_FACTOR_SERVICES_SAAR_YOY_FC" hidden="1">"c8183"</definedName>
    <definedName name="IQ_EXPORTS_FACTOR_SERVICES_USD_APR_FC" hidden="1">"c11813"</definedName>
    <definedName name="IQ_EXPORTS_FACTOR_SERVICES_USD_FC" hidden="1">"c11810"</definedName>
    <definedName name="IQ_EXPORTS_FACTOR_SERVICES_USD_POP_FC" hidden="1">"c11811"</definedName>
    <definedName name="IQ_EXPORTS_FACTOR_SERVICES_USD_YOY_FC" hidden="1">"c11812"</definedName>
    <definedName name="IQ_EXPORTS_FACTOR_SERVICES_YOY" hidden="1">"c7302"</definedName>
    <definedName name="IQ_EXPORTS_FACTOR_SERVICES_YOY_FC" hidden="1">"c8182"</definedName>
    <definedName name="IQ_EXPORTS_FC_UNUSED" hidden="1">"c7741"</definedName>
    <definedName name="IQ_EXPORTS_FC_UNUSED_UNUSED_UNUSED" hidden="1">"c7741"</definedName>
    <definedName name="IQ_EXPORTS_GOODS" hidden="1">"c6864"</definedName>
    <definedName name="IQ_EXPORTS_GOODS_APR" hidden="1">"c7524"</definedName>
    <definedName name="IQ_EXPORTS_GOODS_APR_FC" hidden="1">"c8404"</definedName>
    <definedName name="IQ_EXPORTS_GOODS_FC" hidden="1">"c7744"</definedName>
    <definedName name="IQ_EXPORTS_GOODS_NONFACTOR_SERVICES" hidden="1">"c6865"</definedName>
    <definedName name="IQ_EXPORTS_GOODS_NONFACTOR_SERVICES_APR" hidden="1">"c7525"</definedName>
    <definedName name="IQ_EXPORTS_GOODS_NONFACTOR_SERVICES_APR_FC" hidden="1">"c8405"</definedName>
    <definedName name="IQ_EXPORTS_GOODS_NONFACTOR_SERVICES_FC" hidden="1">"c7745"</definedName>
    <definedName name="IQ_EXPORTS_GOODS_NONFACTOR_SERVICES_POP" hidden="1">"c7085"</definedName>
    <definedName name="IQ_EXPORTS_GOODS_NONFACTOR_SERVICES_POP_FC" hidden="1">"c7965"</definedName>
    <definedName name="IQ_EXPORTS_GOODS_NONFACTOR_SERVICES_YOY" hidden="1">"c7305"</definedName>
    <definedName name="IQ_EXPORTS_GOODS_NONFACTOR_SERVICES_YOY_FC" hidden="1">"c8185"</definedName>
    <definedName name="IQ_EXPORTS_GOODS_POP" hidden="1">"c7084"</definedName>
    <definedName name="IQ_EXPORTS_GOODS_POP_FC" hidden="1">"c7964"</definedName>
    <definedName name="IQ_EXPORTS_GOODS_REAL" hidden="1">"c6973"</definedName>
    <definedName name="IQ_EXPORTS_GOODS_REAL_APR" hidden="1">"c7633"</definedName>
    <definedName name="IQ_EXPORTS_GOODS_REAL_APR_FC" hidden="1">"c8513"</definedName>
    <definedName name="IQ_EXPORTS_GOODS_REAL_FC" hidden="1">"c7853"</definedName>
    <definedName name="IQ_EXPORTS_GOODS_REAL_POP" hidden="1">"c7193"</definedName>
    <definedName name="IQ_EXPORTS_GOODS_REAL_POP_FC" hidden="1">"c8073"</definedName>
    <definedName name="IQ_EXPORTS_GOODS_REAL_SAAR" hidden="1">"c11930"</definedName>
    <definedName name="IQ_EXPORTS_GOODS_REAL_SAAR_APR" hidden="1">"c11933"</definedName>
    <definedName name="IQ_EXPORTS_GOODS_REAL_SAAR_APR_FC_UNUSED" hidden="1">"c8512"</definedName>
    <definedName name="IQ_EXPORTS_GOODS_REAL_SAAR_APR_FC_UNUSED_UNUSED_UNUSED" hidden="1">"c8512"</definedName>
    <definedName name="IQ_EXPORTS_GOODS_REAL_SAAR_APR_UNUSED" hidden="1">"c7632"</definedName>
    <definedName name="IQ_EXPORTS_GOODS_REAL_SAAR_APR_UNUSED_UNUSED_UNUSED" hidden="1">"c7632"</definedName>
    <definedName name="IQ_EXPORTS_GOODS_REAL_SAAR_FC_UNUSED" hidden="1">"c7852"</definedName>
    <definedName name="IQ_EXPORTS_GOODS_REAL_SAAR_FC_UNUSED_UNUSED_UNUSED" hidden="1">"c7852"</definedName>
    <definedName name="IQ_EXPORTS_GOODS_REAL_SAAR_POP" hidden="1">"c11931"</definedName>
    <definedName name="IQ_EXPORTS_GOODS_REAL_SAAR_POP_FC_UNUSED" hidden="1">"c8072"</definedName>
    <definedName name="IQ_EXPORTS_GOODS_REAL_SAAR_POP_FC_UNUSED_UNUSED_UNUSED" hidden="1">"c8072"</definedName>
    <definedName name="IQ_EXPORTS_GOODS_REAL_SAAR_POP_UNUSED" hidden="1">"c7192"</definedName>
    <definedName name="IQ_EXPORTS_GOODS_REAL_SAAR_POP_UNUSED_UNUSED_UNUSED" hidden="1">"c7192"</definedName>
    <definedName name="IQ_EXPORTS_GOODS_REAL_SAAR_UNUSED" hidden="1">"c6972"</definedName>
    <definedName name="IQ_EXPORTS_GOODS_REAL_SAAR_UNUSED_UNUSED_UNUSED" hidden="1">"c6972"</definedName>
    <definedName name="IQ_EXPORTS_GOODS_REAL_SAAR_YOY" hidden="1">"c11932"</definedName>
    <definedName name="IQ_EXPORTS_GOODS_REAL_SAAR_YOY_FC_UNUSED" hidden="1">"c8292"</definedName>
    <definedName name="IQ_EXPORTS_GOODS_REAL_SAAR_YOY_FC_UNUSED_UNUSED_UNUSED" hidden="1">"c8292"</definedName>
    <definedName name="IQ_EXPORTS_GOODS_REAL_SAAR_YOY_UNUSED" hidden="1">"c7412"</definedName>
    <definedName name="IQ_EXPORTS_GOODS_REAL_SAAR_YOY_UNUSED_UNUSED_UNUSED" hidden="1">"c7412"</definedName>
    <definedName name="IQ_EXPORTS_GOODS_REAL_YOY" hidden="1">"c7413"</definedName>
    <definedName name="IQ_EXPORTS_GOODS_REAL_YOY_FC" hidden="1">"c8293"</definedName>
    <definedName name="IQ_EXPORTS_GOODS_SERVICES" hidden="1">"c6866"</definedName>
    <definedName name="IQ_EXPORTS_GOODS_SERVICES_APR" hidden="1">"c7526"</definedName>
    <definedName name="IQ_EXPORTS_GOODS_SERVICES_APR_FC" hidden="1">"c8406"</definedName>
    <definedName name="IQ_EXPORTS_GOODS_SERVICES_FC" hidden="1">"c7746"</definedName>
    <definedName name="IQ_EXPORTS_GOODS_SERVICES_POP" hidden="1">"c7086"</definedName>
    <definedName name="IQ_EXPORTS_GOODS_SERVICES_POP_FC" hidden="1">"c7966"</definedName>
    <definedName name="IQ_EXPORTS_GOODS_SERVICES_REAL" hidden="1">"c6974"</definedName>
    <definedName name="IQ_EXPORTS_GOODS_SERVICES_REAL_APR" hidden="1">"c7634"</definedName>
    <definedName name="IQ_EXPORTS_GOODS_SERVICES_REAL_APR_FC" hidden="1">"c8514"</definedName>
    <definedName name="IQ_EXPORTS_GOODS_SERVICES_REAL_FC" hidden="1">"c7854"</definedName>
    <definedName name="IQ_EXPORTS_GOODS_SERVICES_REAL_POP" hidden="1">"c7194"</definedName>
    <definedName name="IQ_EXPORTS_GOODS_SERVICES_REAL_POP_FC" hidden="1">"c8074"</definedName>
    <definedName name="IQ_EXPORTS_GOODS_SERVICES_REAL_SAAR" hidden="1">"c6975"</definedName>
    <definedName name="IQ_EXPORTS_GOODS_SERVICES_REAL_SAAR_APR" hidden="1">"c7635"</definedName>
    <definedName name="IQ_EXPORTS_GOODS_SERVICES_REAL_SAAR_APR_FC" hidden="1">"c8515"</definedName>
    <definedName name="IQ_EXPORTS_GOODS_SERVICES_REAL_SAAR_FC" hidden="1">"c7855"</definedName>
    <definedName name="IQ_EXPORTS_GOODS_SERVICES_REAL_SAAR_POP" hidden="1">"c7195"</definedName>
    <definedName name="IQ_EXPORTS_GOODS_SERVICES_REAL_SAAR_POP_FC" hidden="1">"c8075"</definedName>
    <definedName name="IQ_EXPORTS_GOODS_SERVICES_REAL_SAAR_YOY" hidden="1">"c7415"</definedName>
    <definedName name="IQ_EXPORTS_GOODS_SERVICES_REAL_SAAR_YOY_FC" hidden="1">"c8295"</definedName>
    <definedName name="IQ_EXPORTS_GOODS_SERVICES_REAL_USD" hidden="1">"c11926"</definedName>
    <definedName name="IQ_EXPORTS_GOODS_SERVICES_REAL_USD_APR" hidden="1">"c11929"</definedName>
    <definedName name="IQ_EXPORTS_GOODS_SERVICES_REAL_USD_POP" hidden="1">"c11927"</definedName>
    <definedName name="IQ_EXPORTS_GOODS_SERVICES_REAL_USD_YOY" hidden="1">"c11928"</definedName>
    <definedName name="IQ_EXPORTS_GOODS_SERVICES_REAL_YOY" hidden="1">"c7414"</definedName>
    <definedName name="IQ_EXPORTS_GOODS_SERVICES_REAL_YOY_FC" hidden="1">"c8294"</definedName>
    <definedName name="IQ_EXPORTS_GOODS_SERVICES_SAAR" hidden="1">"c6867"</definedName>
    <definedName name="IQ_EXPORTS_GOODS_SERVICES_SAAR_APR" hidden="1">"c7527"</definedName>
    <definedName name="IQ_EXPORTS_GOODS_SERVICES_SAAR_APR_FC" hidden="1">"c8407"</definedName>
    <definedName name="IQ_EXPORTS_GOODS_SERVICES_SAAR_FC" hidden="1">"c7747"</definedName>
    <definedName name="IQ_EXPORTS_GOODS_SERVICES_SAAR_POP" hidden="1">"c7087"</definedName>
    <definedName name="IQ_EXPORTS_GOODS_SERVICES_SAAR_POP_FC" hidden="1">"c7967"</definedName>
    <definedName name="IQ_EXPORTS_GOODS_SERVICES_SAAR_YOY" hidden="1">"c7307"</definedName>
    <definedName name="IQ_EXPORTS_GOODS_SERVICES_SAAR_YOY_FC" hidden="1">"c8187"</definedName>
    <definedName name="IQ_EXPORTS_GOODS_SERVICES_USD" hidden="1">"c11822"</definedName>
    <definedName name="IQ_EXPORTS_GOODS_SERVICES_USD_APR" hidden="1">"c11825"</definedName>
    <definedName name="IQ_EXPORTS_GOODS_SERVICES_USD_POP" hidden="1">"c11823"</definedName>
    <definedName name="IQ_EXPORTS_GOODS_SERVICES_USD_YOY" hidden="1">"c11824"</definedName>
    <definedName name="IQ_EXPORTS_GOODS_SERVICES_YOY" hidden="1">"c7306"</definedName>
    <definedName name="IQ_EXPORTS_GOODS_SERVICES_YOY_FC" hidden="1">"c8186"</definedName>
    <definedName name="IQ_EXPORTS_GOODS_USD" hidden="1">"c11818"</definedName>
    <definedName name="IQ_EXPORTS_GOODS_USD_APR" hidden="1">"c11821"</definedName>
    <definedName name="IQ_EXPORTS_GOODS_USD_POP" hidden="1">"c11819"</definedName>
    <definedName name="IQ_EXPORTS_GOODS_USD_YOY" hidden="1">"c11820"</definedName>
    <definedName name="IQ_EXPORTS_GOODS_YOY" hidden="1">"c7304"</definedName>
    <definedName name="IQ_EXPORTS_GOODS_YOY_FC" hidden="1">"c8184"</definedName>
    <definedName name="IQ_EXPORTS_NONFACTOR_SERVICES" hidden="1">"c6868"</definedName>
    <definedName name="IQ_EXPORTS_NONFACTOR_SERVICES_APR" hidden="1">"c7528"</definedName>
    <definedName name="IQ_EXPORTS_NONFACTOR_SERVICES_APR_FC" hidden="1">"c8408"</definedName>
    <definedName name="IQ_EXPORTS_NONFACTOR_SERVICES_FC" hidden="1">"c7748"</definedName>
    <definedName name="IQ_EXPORTS_NONFACTOR_SERVICES_POP" hidden="1">"c7088"</definedName>
    <definedName name="IQ_EXPORTS_NONFACTOR_SERVICES_POP_FC" hidden="1">"c7968"</definedName>
    <definedName name="IQ_EXPORTS_NONFACTOR_SERVICES_YOY" hidden="1">"c7308"</definedName>
    <definedName name="IQ_EXPORTS_NONFACTOR_SERVICES_YOY_FC" hidden="1">"c8188"</definedName>
    <definedName name="IQ_EXPORTS_POP_FC_UNUSED" hidden="1">"c7961"</definedName>
    <definedName name="IQ_EXPORTS_POP_FC_UNUSED_UNUSED_UNUSED" hidden="1">"c7961"</definedName>
    <definedName name="IQ_EXPORTS_POP_UNUSED" hidden="1">"c7081"</definedName>
    <definedName name="IQ_EXPORTS_POP_UNUSED_UNUSED_UNUSED" hidden="1">"c7081"</definedName>
    <definedName name="IQ_EXPORTS_SERVICES_REAL" hidden="1">"c6977"</definedName>
    <definedName name="IQ_EXPORTS_SERVICES_REAL_APR" hidden="1">"c7637"</definedName>
    <definedName name="IQ_EXPORTS_SERVICES_REAL_APR_FC" hidden="1">"c8517"</definedName>
    <definedName name="IQ_EXPORTS_SERVICES_REAL_FC" hidden="1">"c7857"</definedName>
    <definedName name="IQ_EXPORTS_SERVICES_REAL_POP" hidden="1">"c7197"</definedName>
    <definedName name="IQ_EXPORTS_SERVICES_REAL_POP_FC" hidden="1">"c8077"</definedName>
    <definedName name="IQ_EXPORTS_SERVICES_REAL_SAAR" hidden="1">"c11934"</definedName>
    <definedName name="IQ_EXPORTS_SERVICES_REAL_SAAR_APR" hidden="1">"c11937"</definedName>
    <definedName name="IQ_EXPORTS_SERVICES_REAL_SAAR_APR_FC_UNUSED" hidden="1">"c8516"</definedName>
    <definedName name="IQ_EXPORTS_SERVICES_REAL_SAAR_APR_FC_UNUSED_UNUSED_UNUSED" hidden="1">"c8516"</definedName>
    <definedName name="IQ_EXPORTS_SERVICES_REAL_SAAR_APR_UNUSED" hidden="1">"c7636"</definedName>
    <definedName name="IQ_EXPORTS_SERVICES_REAL_SAAR_APR_UNUSED_UNUSED_UNUSED" hidden="1">"c7636"</definedName>
    <definedName name="IQ_EXPORTS_SERVICES_REAL_SAAR_FC_UNUSED" hidden="1">"c7856"</definedName>
    <definedName name="IQ_EXPORTS_SERVICES_REAL_SAAR_FC_UNUSED_UNUSED_UNUSED" hidden="1">"c7856"</definedName>
    <definedName name="IQ_EXPORTS_SERVICES_REAL_SAAR_POP" hidden="1">"c11935"</definedName>
    <definedName name="IQ_EXPORTS_SERVICES_REAL_SAAR_POP_FC_UNUSED" hidden="1">"c8076"</definedName>
    <definedName name="IQ_EXPORTS_SERVICES_REAL_SAAR_POP_FC_UNUSED_UNUSED_UNUSED" hidden="1">"c8076"</definedName>
    <definedName name="IQ_EXPORTS_SERVICES_REAL_SAAR_POP_UNUSED" hidden="1">"c7196"</definedName>
    <definedName name="IQ_EXPORTS_SERVICES_REAL_SAAR_POP_UNUSED_UNUSED_UNUSED" hidden="1">"c7196"</definedName>
    <definedName name="IQ_EXPORTS_SERVICES_REAL_SAAR_UNUSED" hidden="1">"c6976"</definedName>
    <definedName name="IQ_EXPORTS_SERVICES_REAL_SAAR_UNUSED_UNUSED_UNUSED" hidden="1">"c6976"</definedName>
    <definedName name="IQ_EXPORTS_SERVICES_REAL_SAAR_YOY" hidden="1">"c11936"</definedName>
    <definedName name="IQ_EXPORTS_SERVICES_REAL_SAAR_YOY_FC_UNUSED" hidden="1">"c8296"</definedName>
    <definedName name="IQ_EXPORTS_SERVICES_REAL_SAAR_YOY_FC_UNUSED_UNUSED_UNUSED" hidden="1">"c8296"</definedName>
    <definedName name="IQ_EXPORTS_SERVICES_REAL_SAAR_YOY_UNUSED" hidden="1">"c7416"</definedName>
    <definedName name="IQ_EXPORTS_SERVICES_REAL_SAAR_YOY_UNUSED_UNUSED_UNUSED" hidden="1">"c7416"</definedName>
    <definedName name="IQ_EXPORTS_SERVICES_REAL_YOY" hidden="1">"c7417"</definedName>
    <definedName name="IQ_EXPORTS_SERVICES_REAL_YOY_FC" hidden="1">"c8297"</definedName>
    <definedName name="IQ_EXPORTS_UNUSED" hidden="1">"c6861"</definedName>
    <definedName name="IQ_EXPORTS_UNUSED_UNUSED_UNUSED" hidden="1">"c6861"</definedName>
    <definedName name="IQ_EXPORTS_USD" hidden="1">"c11806"</definedName>
    <definedName name="IQ_EXPORTS_USD_APR" hidden="1">"c11809"</definedName>
    <definedName name="IQ_EXPORTS_USD_POP" hidden="1">"c11807"</definedName>
    <definedName name="IQ_EXPORTS_USD_YOY" hidden="1">"c11808"</definedName>
    <definedName name="IQ_EXPORTS_YOY_FC_UNUSED" hidden="1">"c8181"</definedName>
    <definedName name="IQ_EXPORTS_YOY_FC_UNUSED_UNUSED_UNUSED" hidden="1">"c8181"</definedName>
    <definedName name="IQ_EXPORTS_YOY_UNUSED" hidden="1">"c7301"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"c1459"</definedName>
    <definedName name="IQ_EXTRAORDINARY_GAINS_FDIC" hidden="1">"c6586"</definedName>
    <definedName name="IQ_FAD" hidden="1">"c8757"</definedName>
    <definedName name="IQ_FAD_PAYOUT_RATIO" hidden="1">"c8872"</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BUDGET_RECEIPTS" hidden="1">"c6869"</definedName>
    <definedName name="IQ_FED_BUDGET_RECEIPTS_APR" hidden="1">"c7529"</definedName>
    <definedName name="IQ_FED_BUDGET_RECEIPTS_APR_FC" hidden="1">"c8409"</definedName>
    <definedName name="IQ_FED_BUDGET_RECEIPTS_FC" hidden="1">"c7749"</definedName>
    <definedName name="IQ_FED_BUDGET_RECEIPTS_POP" hidden="1">"c7089"</definedName>
    <definedName name="IQ_FED_BUDGET_RECEIPTS_POP_FC" hidden="1">"c7969"</definedName>
    <definedName name="IQ_FED_BUDGET_RECEIPTS_YOY" hidden="1">"c7309"</definedName>
    <definedName name="IQ_FED_BUDGET_RECEIPTS_YOY_FC" hidden="1">"c8189"</definedName>
    <definedName name="IQ_FED_FUNDS_PURCHASED_FDIC" hidden="1">"c6343"</definedName>
    <definedName name="IQ_FED_FUNDS_SOLD_FDIC" hidden="1">"c6307"</definedName>
    <definedName name="IQ_FEDFUNDS_SOLD" hidden="1">"c2256"</definedName>
    <definedName name="IQ_FFO" hidden="1">"c1574"</definedName>
    <definedName name="IQ_FFO_ADJ_ACT_OR_EST" hidden="1">"c4435"</definedName>
    <definedName name="IQ_FFO_ADJ_ACT_OR_EST_CIQ" hidden="1">"c4960"</definedName>
    <definedName name="IQ_FFO_PAYOUT_RATIO" hidden="1">"c3492"</definedName>
    <definedName name="IQ_FFO_PER_SHARE_BASIC" hidden="1">"c8867"</definedName>
    <definedName name="IQ_FFO_PER_SHARE_DILUTED" hidden="1">"c8868"</definedName>
    <definedName name="IQ_FFO_SHARE_ACT_OR_EST" hidden="1">"c4446"</definedName>
    <definedName name="IQ_FFO_SHARE_ACT_OR_EST_CIQ" hidden="1">"c4971"</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_CURRENCY_AP" hidden="1">"c11747"</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"c1405"</definedName>
    <definedName name="IQ_FINANCING_CASH_SUPPL" hidden="1">"c1406"</definedName>
    <definedName name="IQ_FINANCING_OBLIG_CURRENT" hidden="1">"c11753"</definedName>
    <definedName name="IQ_FINANCING_OBLIG_NON_CURRENT" hidden="1">"c11754"</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CIQ" hidden="1">"c6806"</definedName>
    <definedName name="IQ_FISCAL_Y" hidden="1">"c441"</definedName>
    <definedName name="IQ_FISCAL_Y_EST" hidden="1">"c6795"</definedName>
    <definedName name="IQ_FISCAL_Y_EST_CIQ" hidden="1">"c6807"</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_FREQUENCY" hidden="1">"c8964"</definedName>
    <definedName name="IQ_FIXED_ASSET_TURNS" hidden="1">"c445"</definedName>
    <definedName name="IQ_FIXED_INVEST_APR_FC_UNUSED" hidden="1">"c8410"</definedName>
    <definedName name="IQ_FIXED_INVEST_APR_FC_UNUSED_UNUSED_UNUSED" hidden="1">"c8410"</definedName>
    <definedName name="IQ_FIXED_INVEST_APR_UNUSED" hidden="1">"c7530"</definedName>
    <definedName name="IQ_FIXED_INVEST_APR_UNUSED_UNUSED_UNUSED" hidden="1">"c7530"</definedName>
    <definedName name="IQ_FIXED_INVEST_FC_UNUSED" hidden="1">"c7750"</definedName>
    <definedName name="IQ_FIXED_INVEST_FC_UNUSED_UNUSED_UNUSED" hidden="1">"c7750"</definedName>
    <definedName name="IQ_FIXED_INVEST_MACH_EQUIP" hidden="1">"c6871"</definedName>
    <definedName name="IQ_FIXED_INVEST_MACH_EQUIP_APR" hidden="1">"c7531"</definedName>
    <definedName name="IQ_FIXED_INVEST_MACH_EQUIP_APR_FC" hidden="1">"c8411"</definedName>
    <definedName name="IQ_FIXED_INVEST_MACH_EQUIP_FC" hidden="1">"c7751"</definedName>
    <definedName name="IQ_FIXED_INVEST_MACH_EQUIP_POP" hidden="1">"c7091"</definedName>
    <definedName name="IQ_FIXED_INVEST_MACH_EQUIP_POP_FC" hidden="1">"c7971"</definedName>
    <definedName name="IQ_FIXED_INVEST_MACH_EQUIP_REAL" hidden="1">"c6979"</definedName>
    <definedName name="IQ_FIXED_INVEST_MACH_EQUIP_REAL_APR" hidden="1">"c7639"</definedName>
    <definedName name="IQ_FIXED_INVEST_MACH_EQUIP_REAL_APR_FC" hidden="1">"c8519"</definedName>
    <definedName name="IQ_FIXED_INVEST_MACH_EQUIP_REAL_FC" hidden="1">"c7859"</definedName>
    <definedName name="IQ_FIXED_INVEST_MACH_EQUIP_REAL_POP" hidden="1">"c7199"</definedName>
    <definedName name="IQ_FIXED_INVEST_MACH_EQUIP_REAL_POP_FC" hidden="1">"c8079"</definedName>
    <definedName name="IQ_FIXED_INVEST_MACH_EQUIP_REAL_YOY" hidden="1">"c7419"</definedName>
    <definedName name="IQ_FIXED_INVEST_MACH_EQUIP_REAL_YOY_FC" hidden="1">"c8299"</definedName>
    <definedName name="IQ_FIXED_INVEST_MACH_EQUIP_YOY" hidden="1">"c7311"</definedName>
    <definedName name="IQ_FIXED_INVEST_MACH_EQUIP_YOY_FC" hidden="1">"c8191"</definedName>
    <definedName name="IQ_FIXED_INVEST_POP_FC_UNUSED" hidden="1">"c7970"</definedName>
    <definedName name="IQ_FIXED_INVEST_POP_FC_UNUSED_UNUSED_UNUSED" hidden="1">"c7970"</definedName>
    <definedName name="IQ_FIXED_INVEST_POP_UNUSED" hidden="1">"c7090"</definedName>
    <definedName name="IQ_FIXED_INVEST_POP_UNUSED_UNUSED_UNUSED" hidden="1">"c7090"</definedName>
    <definedName name="IQ_FIXED_INVEST_REAL_APR_FC_UNUSED" hidden="1">"c8518"</definedName>
    <definedName name="IQ_FIXED_INVEST_REAL_APR_FC_UNUSED_UNUSED_UNUSED" hidden="1">"c8518"</definedName>
    <definedName name="IQ_FIXED_INVEST_REAL_APR_UNUSED" hidden="1">"c7638"</definedName>
    <definedName name="IQ_FIXED_INVEST_REAL_APR_UNUSED_UNUSED_UNUSED" hidden="1">"c7638"</definedName>
    <definedName name="IQ_FIXED_INVEST_REAL_FC_UNUSED" hidden="1">"c7858"</definedName>
    <definedName name="IQ_FIXED_INVEST_REAL_FC_UNUSED_UNUSED_UNUSED" hidden="1">"c7858"</definedName>
    <definedName name="IQ_FIXED_INVEST_REAL_POP_FC_UNUSED" hidden="1">"c8078"</definedName>
    <definedName name="IQ_FIXED_INVEST_REAL_POP_FC_UNUSED_UNUSED_UNUSED" hidden="1">"c8078"</definedName>
    <definedName name="IQ_FIXED_INVEST_REAL_POP_UNUSED" hidden="1">"c7198"</definedName>
    <definedName name="IQ_FIXED_INVEST_REAL_POP_UNUSED_UNUSED_UNUSED" hidden="1">"c7198"</definedName>
    <definedName name="IQ_FIXED_INVEST_REAL_SAAR" hidden="1">"c6980"</definedName>
    <definedName name="IQ_FIXED_INVEST_REAL_SAAR_APR" hidden="1">"c7640"</definedName>
    <definedName name="IQ_FIXED_INVEST_REAL_SAAR_APR_FC" hidden="1">"c8520"</definedName>
    <definedName name="IQ_FIXED_INVEST_REAL_SAAR_FC" hidden="1">"c7860"</definedName>
    <definedName name="IQ_FIXED_INVEST_REAL_SAAR_POP" hidden="1">"c7200"</definedName>
    <definedName name="IQ_FIXED_INVEST_REAL_SAAR_POP_FC" hidden="1">"c8080"</definedName>
    <definedName name="IQ_FIXED_INVEST_REAL_SAAR_USD_APR_FC" hidden="1">"c11945"</definedName>
    <definedName name="IQ_FIXED_INVEST_REAL_SAAR_USD_FC" hidden="1">"c11942"</definedName>
    <definedName name="IQ_FIXED_INVEST_REAL_SAAR_USD_POP_FC" hidden="1">"c11943"</definedName>
    <definedName name="IQ_FIXED_INVEST_REAL_SAAR_USD_YOY_FC" hidden="1">"c11944"</definedName>
    <definedName name="IQ_FIXED_INVEST_REAL_SAAR_YOY" hidden="1">"c7420"</definedName>
    <definedName name="IQ_FIXED_INVEST_REAL_SAAR_YOY_FC" hidden="1">"c8300"</definedName>
    <definedName name="IQ_FIXED_INVEST_REAL_UNUSED" hidden="1">"c6978"</definedName>
    <definedName name="IQ_FIXED_INVEST_REAL_UNUSED_UNUSED_UNUSED" hidden="1">"c6978"</definedName>
    <definedName name="IQ_FIXED_INVEST_REAL_USD_APR_FC" hidden="1">"c11941"</definedName>
    <definedName name="IQ_FIXED_INVEST_REAL_USD_FC" hidden="1">"c11938"</definedName>
    <definedName name="IQ_FIXED_INVEST_REAL_USD_POP_FC" hidden="1">"c11939"</definedName>
    <definedName name="IQ_FIXED_INVEST_REAL_USD_YOY_FC" hidden="1">"c11940"</definedName>
    <definedName name="IQ_FIXED_INVEST_REAL_YOY_FC_UNUSED" hidden="1">"c8298"</definedName>
    <definedName name="IQ_FIXED_INVEST_REAL_YOY_FC_UNUSED_UNUSED_UNUSED" hidden="1">"c8298"</definedName>
    <definedName name="IQ_FIXED_INVEST_REAL_YOY_UNUSED" hidden="1">"c7418"</definedName>
    <definedName name="IQ_FIXED_INVEST_REAL_YOY_UNUSED_UNUSED_UNUSED" hidden="1">"c7418"</definedName>
    <definedName name="IQ_FIXED_INVEST_SAAR" hidden="1">"c6872"</definedName>
    <definedName name="IQ_FIXED_INVEST_SAAR_APR" hidden="1">"c7532"</definedName>
    <definedName name="IQ_FIXED_INVEST_SAAR_APR_FC" hidden="1">"c8412"</definedName>
    <definedName name="IQ_FIXED_INVEST_SAAR_FC" hidden="1">"c7752"</definedName>
    <definedName name="IQ_FIXED_INVEST_SAAR_POP" hidden="1">"c7092"</definedName>
    <definedName name="IQ_FIXED_INVEST_SAAR_POP_FC" hidden="1">"c7972"</definedName>
    <definedName name="IQ_FIXED_INVEST_SAAR_USD_APR_FC" hidden="1">"c11833"</definedName>
    <definedName name="IQ_FIXED_INVEST_SAAR_USD_FC" hidden="1">"c11830"</definedName>
    <definedName name="IQ_FIXED_INVEST_SAAR_USD_POP_FC" hidden="1">"c11831"</definedName>
    <definedName name="IQ_FIXED_INVEST_SAAR_USD_YOY_FC" hidden="1">"c11832"</definedName>
    <definedName name="IQ_FIXED_INVEST_SAAR_YOY" hidden="1">"c7312"</definedName>
    <definedName name="IQ_FIXED_INVEST_SAAR_YOY_FC" hidden="1">"c8192"</definedName>
    <definedName name="IQ_FIXED_INVEST_UNUSED" hidden="1">"c6870"</definedName>
    <definedName name="IQ_FIXED_INVEST_UNUSED_UNUSED_UNUSED" hidden="1">"c6870"</definedName>
    <definedName name="IQ_FIXED_INVEST_USD_APR_FC" hidden="1">"c11829"</definedName>
    <definedName name="IQ_FIXED_INVEST_USD_FC" hidden="1">"c11826"</definedName>
    <definedName name="IQ_FIXED_INVEST_USD_POP_FC" hidden="1">"c11827"</definedName>
    <definedName name="IQ_FIXED_INVEST_USD_YOY_FC" hidden="1">"c11828"</definedName>
    <definedName name="IQ_FIXED_INVEST_YOY_FC_UNUSED" hidden="1">"c8190"</definedName>
    <definedName name="IQ_FIXED_INVEST_YOY_FC_UNUSED_UNUSED_UNUSED" hidden="1">"c8190"</definedName>
    <definedName name="IQ_FIXED_INVEST_YOY_UNUSED" hidden="1">"c7310"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"c1376"</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X_CONTRACTS_FDIC" hidden="1">"c6517"</definedName>
    <definedName name="IQ_FX_CONTRACTS_SPOT_FDIC" hidden="1">"c6356"</definedName>
    <definedName name="IQ_FY" hidden="1">1000</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AIN_SALE_LOANS_FDIC" hidden="1">"c6673"</definedName>
    <definedName name="IQ_GAIN_SALE_RE_FDIC" hidden="1">"c6674"</definedName>
    <definedName name="IQ_GAINS_SALE_ASSETS_FDIC" hidden="1">"c6675"</definedName>
    <definedName name="IQ_GDP" hidden="1">"c6874"</definedName>
    <definedName name="IQ_GDP_APR" hidden="1">"c7534"</definedName>
    <definedName name="IQ_GDP_APR_FC" hidden="1">"c8414"</definedName>
    <definedName name="IQ_GDP_FC" hidden="1">"c7754"</definedName>
    <definedName name="IQ_GDP_POP" hidden="1">"c7094"</definedName>
    <definedName name="IQ_GDP_POP_FC" hidden="1">"c7974"</definedName>
    <definedName name="IQ_GDP_REAL" hidden="1">"c6981"</definedName>
    <definedName name="IQ_GDP_REAL_APR" hidden="1">"c7641"</definedName>
    <definedName name="IQ_GDP_REAL_APR_FC" hidden="1">"c8521"</definedName>
    <definedName name="IQ_GDP_REAL_FC" hidden="1">"c7861"</definedName>
    <definedName name="IQ_GDP_REAL_POP" hidden="1">"c7201"</definedName>
    <definedName name="IQ_GDP_REAL_POP_FC" hidden="1">"c8081"</definedName>
    <definedName name="IQ_GDP_REAL_SAAR" hidden="1">"c6982"</definedName>
    <definedName name="IQ_GDP_REAL_SAAR_APR" hidden="1">"c7642"</definedName>
    <definedName name="IQ_GDP_REAL_SAAR_APR_FC" hidden="1">"c8522"</definedName>
    <definedName name="IQ_GDP_REAL_SAAR_FC" hidden="1">"c7862"</definedName>
    <definedName name="IQ_GDP_REAL_SAAR_POP" hidden="1">"c7202"</definedName>
    <definedName name="IQ_GDP_REAL_SAAR_POP_FC" hidden="1">"c8082"</definedName>
    <definedName name="IQ_GDP_REAL_SAAR_YOY" hidden="1">"c7422"</definedName>
    <definedName name="IQ_GDP_REAL_SAAR_YOY_FC" hidden="1">"c8302"</definedName>
    <definedName name="IQ_GDP_REAL_USD" hidden="1">"c11946"</definedName>
    <definedName name="IQ_GDP_REAL_USD_APR" hidden="1">"c11949"</definedName>
    <definedName name="IQ_GDP_REAL_USD_POP" hidden="1">"c11947"</definedName>
    <definedName name="IQ_GDP_REAL_USD_YOY" hidden="1">"c11948"</definedName>
    <definedName name="IQ_GDP_REAL_YOY" hidden="1">"c7421"</definedName>
    <definedName name="IQ_GDP_REAL_YOY_FC" hidden="1">"c8301"</definedName>
    <definedName name="IQ_GDP_SAAR" hidden="1">"c6875"</definedName>
    <definedName name="IQ_GDP_SAAR_APR" hidden="1">"c7535"</definedName>
    <definedName name="IQ_GDP_SAAR_APR_FC" hidden="1">"c8415"</definedName>
    <definedName name="IQ_GDP_SAAR_FC" hidden="1">"c7755"</definedName>
    <definedName name="IQ_GDP_SAAR_POP" hidden="1">"c7095"</definedName>
    <definedName name="IQ_GDP_SAAR_POP_FC" hidden="1">"c7975"</definedName>
    <definedName name="IQ_GDP_SAAR_YOY" hidden="1">"c7315"</definedName>
    <definedName name="IQ_GDP_SAAR_YOY_FC" hidden="1">"c8195"</definedName>
    <definedName name="IQ_GDP_USD" hidden="1">"c11834"</definedName>
    <definedName name="IQ_GDP_USD_APR" hidden="1">"c11837"</definedName>
    <definedName name="IQ_GDP_USD_POP" hidden="1">"c11835"</definedName>
    <definedName name="IQ_GDP_USD_YOY" hidden="1">"c11836"</definedName>
    <definedName name="IQ_GDP_YOY" hidden="1">"c7314"</definedName>
    <definedName name="IQ_GDP_YOY_FC" hidden="1">"c8194"</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LA_PCT_LEASED_CONSOL" hidden="1">"c8810"</definedName>
    <definedName name="IQ_GLA_PCT_LEASED_MANAGED" hidden="1">"c8812"</definedName>
    <definedName name="IQ_GLA_PCT_LEASED_OTHER" hidden="1">"c8813"</definedName>
    <definedName name="IQ_GLA_PCT_LEASED_TOTAL" hidden="1">"c8814"</definedName>
    <definedName name="IQ_GLA_PCT_LEASED_UNCONSOL" hidden="1">"c8811"</definedName>
    <definedName name="IQ_GLA_SQ_FT_CONSOL" hidden="1">"c8790"</definedName>
    <definedName name="IQ_GLA_SQ_FT_MANAGED" hidden="1">"c8792"</definedName>
    <definedName name="IQ_GLA_SQ_FT_OTHER" hidden="1">"c8793"</definedName>
    <definedName name="IQ_GLA_SQ_FT_TOTAL" hidden="1">"c8794"</definedName>
    <definedName name="IQ_GLA_SQ_FT_UNCONSOL" hidden="1">"c8791"</definedName>
    <definedName name="IQ_GLA_SQ_METER_CONSOL" hidden="1">"c8795"</definedName>
    <definedName name="IQ_GLA_SQ_METER_MANAGED" hidden="1">"c8797"</definedName>
    <definedName name="IQ_GLA_SQ_METER_OTHER" hidden="1">"c8798"</definedName>
    <definedName name="IQ_GLA_SQ_METER_TOTAL" hidden="1">"c8799"</definedName>
    <definedName name="IQ_GLA_SQ_METER_UNCONSOL" hidden="1">"c8796"</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"c1380"</definedName>
    <definedName name="IQ_GOVT_PERSONAL_TAXES_RECEIPTS" hidden="1">"c6876"</definedName>
    <definedName name="IQ_GOVT_PERSONAL_TAXES_RECEIPTS_APR" hidden="1">"c7536"</definedName>
    <definedName name="IQ_GOVT_PERSONAL_TAXES_RECEIPTS_APR_FC" hidden="1">"c8416"</definedName>
    <definedName name="IQ_GOVT_PERSONAL_TAXES_RECEIPTS_FC" hidden="1">"c7756"</definedName>
    <definedName name="IQ_GOVT_PERSONAL_TAXES_RECEIPTS_POP" hidden="1">"c7096"</definedName>
    <definedName name="IQ_GOVT_PERSONAL_TAXES_RECEIPTS_POP_FC" hidden="1">"c7976"</definedName>
    <definedName name="IQ_GOVT_PERSONAL_TAXES_RECEIPTS_YOY" hidden="1">"c7316"</definedName>
    <definedName name="IQ_GOVT_PERSONAL_TAXES_RECEIPTS_YOY_FC" hidden="1">"c8196"</definedName>
    <definedName name="IQ_GOVT_RECEIPTS" hidden="1">"c6877"</definedName>
    <definedName name="IQ_GOVT_RECEIPTS_APR" hidden="1">"c7537"</definedName>
    <definedName name="IQ_GOVT_RECEIPTS_APR_FC" hidden="1">"c8417"</definedName>
    <definedName name="IQ_GOVT_RECEIPTS_FC" hidden="1">"c7757"</definedName>
    <definedName name="IQ_GOVT_RECEIPTS_POP" hidden="1">"c7097"</definedName>
    <definedName name="IQ_GOVT_RECEIPTS_POP_FC" hidden="1">"c7977"</definedName>
    <definedName name="IQ_GOVT_RECEIPTS_YOY" hidden="1">"c7317"</definedName>
    <definedName name="IQ_GOVT_RECEIPTS_YOY_FC" hidden="1">"c8197"</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ROUP_EMBEDDED_VALUE_ASSET_MANAGEMENT" hidden="1">"c9955"</definedName>
    <definedName name="IQ_GROUP_EMBEDDED_VALUE_HEALTH" hidden="1">"c9954"</definedName>
    <definedName name="IQ_GROUP_EMBEDDED_VALUE_LIFE" hidden="1">"c9953"</definedName>
    <definedName name="IQ_GROUP_EMBEDDED_VALUE_LIFE_OTHER" hidden="1">"c9956"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JUSTED_DISCHARGES" hidden="1">"c9977"</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SO_COVERED_LIVES" hidden="1">"c9982"</definedName>
    <definedName name="IQ_HC_ASO_MEMBERSHIP" hidden="1">"c9985"</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CASES" hidden="1">"c9978"</definedName>
    <definedName name="IQ_HC_CLAIMS_RESERVES" hidden="1">"c9989"</definedName>
    <definedName name="IQ_HC_DAYS_REV_OUT" hidden="1">"c5993"</definedName>
    <definedName name="IQ_HC_DISCHARGES" hidden="1">"c9976"</definedName>
    <definedName name="IQ_HC_EQUIV_ADMISSIONS_GROWTH" hidden="1">"c5998"</definedName>
    <definedName name="IQ_HC_EQUIVALENT_ADMISSIONS" hidden="1">"c5958"</definedName>
    <definedName name="IQ_HC_EQUIVALENT_ADMISSIONS_SF" hidden="1">"c6007"</definedName>
    <definedName name="IQ_HC_EQUIVALENT_PATIENT_DAYS" hidden="1">"c9980"</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L_EXPENSE_RATIO" hidden="1">"c9987"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CASE" hidden="1">"c9979"</definedName>
    <definedName name="IQ_HC_REV_PER_DISCHARGE" hidden="1">"c9990"</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RISK_COVERED_LIVES" hidden="1">"c9981"</definedName>
    <definedName name="IQ_HC_RISK_MEMBERSHIP" hidden="1">"c9984"</definedName>
    <definedName name="IQ_HC_SALARIES_PCT_REV" hidden="1">"c5970"</definedName>
    <definedName name="IQ_HC_SGA_MARGIN" hidden="1">"c9988"</definedName>
    <definedName name="IQ_HC_SUPPLIES_PCT_REV" hidden="1">"c5971"</definedName>
    <definedName name="IQ_HC_TOTAL_COVERED_LIVES" hidden="1">"c9983"</definedName>
    <definedName name="IQ_HC_TOTAL_MEMBERSHIP" hidden="1">"c9986"</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G_ACQUIRED_FRANCHISE_HOTEL_PROPERTIES" hidden="1">"c8584"</definedName>
    <definedName name="IQ_HG_ACQUIRED_FRANCHISE_ROOMS" hidden="1">"c8614"</definedName>
    <definedName name="IQ_HG_ACQUIRED_HOTEL_PROPERTIES" hidden="1">"c8572"</definedName>
    <definedName name="IQ_HG_ACQUIRED_MANAGED_HOTEL_PROPERTIES" hidden="1">"c8590"</definedName>
    <definedName name="IQ_HG_ACQUIRED_MANAGED_ROOMS" hidden="1">"c8620"</definedName>
    <definedName name="IQ_HG_ACQUIRED_OTHER_HOTEL_PROPERTIES" hidden="1">"c8596"</definedName>
    <definedName name="IQ_HG_ACQUIRED_OTHER_ROOMS" hidden="1">"c8626"</definedName>
    <definedName name="IQ_HG_ACQUIRED_OWNED_HOTEL_PROPERTIES" hidden="1">"c8578"</definedName>
    <definedName name="IQ_HG_ACQUIRED_OWNED_ROOMS" hidden="1">"c8608"</definedName>
    <definedName name="IQ_HG_ACQUIRED_ROOMS" hidden="1">"c8602"</definedName>
    <definedName name="IQ_HG_ADR_CHANGE_FRANCHISE" hidden="1">"c8684"</definedName>
    <definedName name="IQ_HG_ADR_CHANGE_MANAGED" hidden="1">"c8685"</definedName>
    <definedName name="IQ_HG_ADR_CHANGE_OTHER" hidden="1">"c8686"</definedName>
    <definedName name="IQ_HG_ADR_CHANGE_OWNED" hidden="1">"c8683"</definedName>
    <definedName name="IQ_HG_ADR_CHANGE_OWNED_COMP" hidden="1">"c8709"</definedName>
    <definedName name="IQ_HG_ADR_CHANGE_TOTAL" hidden="1">"c8687"</definedName>
    <definedName name="IQ_HG_ADR_CHANGE_TOTAL_COMP" hidden="1">"c8710"</definedName>
    <definedName name="IQ_HG_ADR_FRANCHISE" hidden="1">"c8664"</definedName>
    <definedName name="IQ_HG_ADR_MANAGED" hidden="1">"c8665"</definedName>
    <definedName name="IQ_HG_ADR_OTHER" hidden="1">"c8666"</definedName>
    <definedName name="IQ_HG_ADR_OWNED" hidden="1">"c8663"</definedName>
    <definedName name="IQ_HG_ADR_OWNED_COMP" hidden="1">"c8701"</definedName>
    <definedName name="IQ_HG_ADR_TOTAL" hidden="1">"c8667"</definedName>
    <definedName name="IQ_HG_ADR_TOTAL_COMP" hidden="1">"c8702"</definedName>
    <definedName name="IQ_HG_CASINOS_JV" hidden="1">"c8631"</definedName>
    <definedName name="IQ_HG_CASINOS_MANAGED" hidden="1">"c8632"</definedName>
    <definedName name="IQ_HG_CASINOS_OWNED" hidden="1">"c8630"</definedName>
    <definedName name="IQ_HG_CASINOS_TOTAL" hidden="1">"c8633"</definedName>
    <definedName name="IQ_HG_CLOSED_FRANCHISE_HOTEL_PROPERTIES" hidden="1">"c8586"</definedName>
    <definedName name="IQ_HG_CLOSED_FRANCHISE_ROOMS" hidden="1">"c8616"</definedName>
    <definedName name="IQ_HG_CLOSED_HOTEL_PROPERTIES" hidden="1">"c8574"</definedName>
    <definedName name="IQ_HG_CLOSED_MANAGED_HOTEL_PROPERTIES" hidden="1">"c8592"</definedName>
    <definedName name="IQ_HG_CLOSED_MANAGED_ROOMS" hidden="1">"c8622"</definedName>
    <definedName name="IQ_HG_CLOSED_OTHER_HOTEL_PROPERTIES" hidden="1">"c8598"</definedName>
    <definedName name="IQ_HG_CLOSED_OTHER_ROOMS" hidden="1">"c8628"</definedName>
    <definedName name="IQ_HG_CLOSED_OWNED_HOTEL_PROPERTIES" hidden="1">"c8580"</definedName>
    <definedName name="IQ_HG_CLOSED_OWNED_ROOMS" hidden="1">"c8610"</definedName>
    <definedName name="IQ_HG_CLOSED_ROOMS" hidden="1">"c8604"</definedName>
    <definedName name="IQ_HG_EXP_CASINO" hidden="1">"c8733"</definedName>
    <definedName name="IQ_HG_EXP_DEVELOPMENT" hidden="1">"c8738"</definedName>
    <definedName name="IQ_HG_EXP_ENTERTAINMENT" hidden="1">"c8736"</definedName>
    <definedName name="IQ_HG_EXP_FOOD_BEV" hidden="1">"c8734"</definedName>
    <definedName name="IQ_HG_EXP_FRANCHISE_MANAGEMENT" hidden="1">"c8744"</definedName>
    <definedName name="IQ_HG_EXP_OTHER_MNGD_FRANCHISE_PROP" hidden="1">"c8742"</definedName>
    <definedName name="IQ_HG_EXP_OWNED_LEASED_CONSOL_JV" hidden="1">"c8740"</definedName>
    <definedName name="IQ_HG_EXP_REIMBURSEMENTS" hidden="1">"c8743"</definedName>
    <definedName name="IQ_HG_EXP_RETAIL" hidden="1">"c8737"</definedName>
    <definedName name="IQ_HG_EXP_ROOMS" hidden="1">"c8735"</definedName>
    <definedName name="IQ_HG_EXP_THEATRE_CONCESSION" hidden="1">"c8739"</definedName>
    <definedName name="IQ_HG_EXP_VACA_OWNERSHIP_RES" hidden="1">"c8741"</definedName>
    <definedName name="IQ_HG_FOOD_PROM_COSTS" hidden="1">"c8746"</definedName>
    <definedName name="IQ_HG_FRANCHISE_HOTEL_PROPERTIES_BEG" hidden="1">"c8582"</definedName>
    <definedName name="IQ_HG_FRANCHISE_ROOMS_BEG" hidden="1">"c8612"</definedName>
    <definedName name="IQ_HG_GAMING_SPACE_JV" hidden="1">"c8635"</definedName>
    <definedName name="IQ_HG_GAMING_SPACE_MANAGED" hidden="1">"c8636"</definedName>
    <definedName name="IQ_HG_GAMING_SPACE_OWNED" hidden="1">"c8634"</definedName>
    <definedName name="IQ_HG_GAMING_SPACE_TOTAL" hidden="1">"c8637"</definedName>
    <definedName name="IQ_HG_HOTEL_PROPERTIES_BEG" hidden="1">"c8570"</definedName>
    <definedName name="IQ_HG_LAND_AVAIL_JV" hidden="1">"c8647"</definedName>
    <definedName name="IQ_HG_LAND_AVAIL_MANAGED" hidden="1">"c8648"</definedName>
    <definedName name="IQ_HG_LAND_AVAIL_OWNED" hidden="1">"c8646"</definedName>
    <definedName name="IQ_HG_LAND_AVAIL_TOTAL" hidden="1">"c8649"</definedName>
    <definedName name="IQ_HG_LAND_JV" hidden="1">"c8651"</definedName>
    <definedName name="IQ_HG_LAND_MANAGED" hidden="1">"c8652"</definedName>
    <definedName name="IQ_HG_LAND_OWNED" hidden="1">"c8650"</definedName>
    <definedName name="IQ_HG_LAND_TOTAL" hidden="1">"c8653"</definedName>
    <definedName name="IQ_HG_MANAGED_HOTEL_PROPERTIES_BEG" hidden="1">"c8588"</definedName>
    <definedName name="IQ_HG_MANAGED_ROOMS_BEG" hidden="1">"c8618"</definedName>
    <definedName name="IQ_HG_OCCUPANCY_CHANGE_FRANCHISE" hidden="1">"c8675"</definedName>
    <definedName name="IQ_HG_OCCUPANCY_CHANGE_MANAGED" hidden="1">"c8677"</definedName>
    <definedName name="IQ_HG_OCCUPANCY_CHANGE_OTHER" hidden="1">"c8679"</definedName>
    <definedName name="IQ_HG_OCCUPANCY_CHANGE_OWNED" hidden="1">"c8673"</definedName>
    <definedName name="IQ_HG_OCCUPANCY_CHANGE_OWNED_COMP" hidden="1">"c8705"</definedName>
    <definedName name="IQ_HG_OCCUPANCY_CHANGE_TOTAL" hidden="1">"c8681"</definedName>
    <definedName name="IQ_HG_OCCUPANCY_CHANGE_TOTAL_COMP" hidden="1">"c8707"</definedName>
    <definedName name="IQ_HG_OCCUPANCY_FRANCHISE" hidden="1">"c8659"</definedName>
    <definedName name="IQ_HG_OCCUPANCY_INCDEC_FRANCHISE" hidden="1">"c8676"</definedName>
    <definedName name="IQ_HG_OCCUPANCY_INCDEC_MANAGED" hidden="1">"c8678"</definedName>
    <definedName name="IQ_HG_OCCUPANCY_INCDEC_OTHER" hidden="1">"c8680"</definedName>
    <definedName name="IQ_HG_OCCUPANCY_INCDEC_OWNED" hidden="1">"c8674"</definedName>
    <definedName name="IQ_HG_OCCUPANCY_INCDEC_OWNED_COMP" hidden="1">"c8706"</definedName>
    <definedName name="IQ_HG_OCCUPANCY_INCDEC_TOTAL" hidden="1">"c8682"</definedName>
    <definedName name="IQ_HG_OCCUPANCY_INCDEC_TOTAL_COMP" hidden="1">"c8708"</definedName>
    <definedName name="IQ_HG_OCCUPANCY_MANAGED" hidden="1">"c8660"</definedName>
    <definedName name="IQ_HG_OCCUPANCY_OTHER" hidden="1">"c8661"</definedName>
    <definedName name="IQ_HG_OCCUPANCY_OWNED" hidden="1">"c8658"</definedName>
    <definedName name="IQ_HG_OCCUPANCY_OWNED_COMP" hidden="1">"c8699"</definedName>
    <definedName name="IQ_HG_OCCUPANCY_TOTAL" hidden="1">"c8662"</definedName>
    <definedName name="IQ_HG_OCCUPANCY_TOTAL_COMP" hidden="1">"c8700"</definedName>
    <definedName name="IQ_HG_OPENED_FRANCHISE_HOTEL_PROPERTIES" hidden="1">"c8583"</definedName>
    <definedName name="IQ_HG_OPENED_FRANCHISE_ROOMS" hidden="1">"c8613"</definedName>
    <definedName name="IQ_HG_OPENED_HOTEL_PROPERTIES" hidden="1">"c8571"</definedName>
    <definedName name="IQ_HG_OPENED_MANAGED_HOTEL_PROPERTIES" hidden="1">"c8589"</definedName>
    <definedName name="IQ_HG_OPENED_MANAGED_ROOMS" hidden="1">"c8619"</definedName>
    <definedName name="IQ_HG_OPENED_OTHER_HOTEL_PROPERTIES" hidden="1">"c8595"</definedName>
    <definedName name="IQ_HG_OPENED_OTHER_ROOMS" hidden="1">"c8625"</definedName>
    <definedName name="IQ_HG_OPENED_OWNED_HOTEL_PROPERTIES" hidden="1">"c8577"</definedName>
    <definedName name="IQ_HG_OPENED_OWNED_ROOMS" hidden="1">"c8607"</definedName>
    <definedName name="IQ_HG_OPENED_ROOMS" hidden="1">"c8601"</definedName>
    <definedName name="IQ_HG_OTHER_HOTEL_PROPERTIES_BEG" hidden="1">"c8594"</definedName>
    <definedName name="IQ_HG_OTHER_PROM_COSTS" hidden="1">"c8747"</definedName>
    <definedName name="IQ_HG_OTHER_ROOMS_BEG" hidden="1">"c8624"</definedName>
    <definedName name="IQ_HG_OWNED_HOTEL_PROPERTIES_BEG" hidden="1">"c8576"</definedName>
    <definedName name="IQ_HG_OWNED_ROOMS_BEG" hidden="1">"c8606"</definedName>
    <definedName name="IQ_HG_PARKING_SPACES_JV" hidden="1">"c8655"</definedName>
    <definedName name="IQ_HG_PARKING_SPACES_MANAGED" hidden="1">"c8656"</definedName>
    <definedName name="IQ_HG_PARKING_SPACES_OWNED" hidden="1">"c8654"</definedName>
    <definedName name="IQ_HG_PARKING_SPACES_TOTAL" hidden="1">"c8657"</definedName>
    <definedName name="IQ_HG_REV_BASE_MANAGEMENT_FEES" hidden="1">"c8726"</definedName>
    <definedName name="IQ_HG_REV_CASINO" hidden="1">"c8713"</definedName>
    <definedName name="IQ_HG_REV_COST_REIMBURSEMENT" hidden="1">"c8728"</definedName>
    <definedName name="IQ_HG_REV_ENTERTAINMENT" hidden="1">"c8716"</definedName>
    <definedName name="IQ_HG_REV_FOOD_BEV" hidden="1">"c8714"</definedName>
    <definedName name="IQ_HG_REV_FRANCHISE" hidden="1">"c8725"</definedName>
    <definedName name="IQ_HG_REV_INCENTIVE_MANAGEMENT_FEES" hidden="1">"c8727"</definedName>
    <definedName name="IQ_HG_REV_MANAGEMENT_FEES" hidden="1">"c8718"</definedName>
    <definedName name="IQ_HG_REV_OTHER_MNGD_FRANCHISE_PROP" hidden="1">"c8730"</definedName>
    <definedName name="IQ_HG_REV_OTHER_OP_SEGMENT" hidden="1">"c8721"</definedName>
    <definedName name="IQ_HG_REV_OTHER_OWNERSHIP_MIX" hidden="1">"c8731"</definedName>
    <definedName name="IQ_HG_REV_OWNED_LEASED_CONSOL_JV_HOTELS" hidden="1">"c8724"</definedName>
    <definedName name="IQ_HG_REV_PROMOTIONAL_ALLOWANCE" hidden="1">"c8722"</definedName>
    <definedName name="IQ_HG_REV_RACING" hidden="1">"c8719"</definedName>
    <definedName name="IQ_HG_REV_RETAIL" hidden="1">"c8717"</definedName>
    <definedName name="IQ_HG_REV_ROOMS" hidden="1">"c8715"</definedName>
    <definedName name="IQ_HG_REV_THEATRE_CONCESSION" hidden="1">"c8720"</definedName>
    <definedName name="IQ_HG_REV_TOTAL_OP_SEGMENT" hidden="1">"c8723"</definedName>
    <definedName name="IQ_HG_REV_TOTAL_OWNERSHIP_MIX" hidden="1">"c8732"</definedName>
    <definedName name="IQ_HG_REV_VACA_OWNERSHIP_RES_SALES_SVCS" hidden="1">"c8729"</definedName>
    <definedName name="IQ_HG_REVENUES_CHANGE_OWNED_COMP" hidden="1">"c8697"</definedName>
    <definedName name="IQ_HG_REVENUES_CHANGE_TOTAL_COMP" hidden="1">"c8698"</definedName>
    <definedName name="IQ_HG_REVPAR_CHANGE_MANAGED" hidden="1">"c8690"</definedName>
    <definedName name="IQ_HG_REVPAR_CHANGE_OTHER" hidden="1">"c8691"</definedName>
    <definedName name="IQ_HG_REVPAR_CHANGE_OWNED" hidden="1">"c8688"</definedName>
    <definedName name="IQ_HG_REVPAR_CHANGE_OWNED_COMP" hidden="1">"c8711"</definedName>
    <definedName name="IQ_HG_REVPAR_CHANGE_TOTAL" hidden="1">"c8692"</definedName>
    <definedName name="IQ_HG_REVPAR_CHANGE_TOTAL_COMP" hidden="1">"c8712"</definedName>
    <definedName name="IQ_HG_REVPAR_CHNAGE_FRANCHISE" hidden="1">"c8689"</definedName>
    <definedName name="IQ_HG_REVPAR_FRANCHISE" hidden="1">"c8669"</definedName>
    <definedName name="IQ_HG_REVPAR_MANAGED" hidden="1">"c8670"</definedName>
    <definedName name="IQ_HG_REVPAR_OTHER" hidden="1">"c8671"</definedName>
    <definedName name="IQ_HG_REVPAR_OWNED" hidden="1">"c8668"</definedName>
    <definedName name="IQ_HG_REVPAR_OWNED_COMP" hidden="1">"c8703"</definedName>
    <definedName name="IQ_HG_REVPAR_TOTAL" hidden="1">"c8672"</definedName>
    <definedName name="IQ_HG_REVPAR_TOTAL_COMP" hidden="1">"c8704"</definedName>
    <definedName name="IQ_HG_ROOM_PROM_COSTS" hidden="1">"c8745"</definedName>
    <definedName name="IQ_HG_ROOMS_BEG" hidden="1">"c8600"</definedName>
    <definedName name="IQ_HG_SLOT_MACHINES_JV" hidden="1">"c8639"</definedName>
    <definedName name="IQ_HG_SLOT_MACHINES_MANAGED" hidden="1">"c8640"</definedName>
    <definedName name="IQ_HG_SLOT_MACHINES_OWNED" hidden="1">"c8638"</definedName>
    <definedName name="IQ_HG_SLOT_MACHINES_TOTAL" hidden="1">"c8641"</definedName>
    <definedName name="IQ_HG_SOLD_FRANCHISE_HOTEL_PROPERTIES" hidden="1">"c8585"</definedName>
    <definedName name="IQ_HG_SOLD_FRANCHISE_ROOMS" hidden="1">"c8615"</definedName>
    <definedName name="IQ_HG_SOLD_HOTEL_PROPERTIES" hidden="1">"c8573"</definedName>
    <definedName name="IQ_HG_SOLD_MANAGED_HOTEL_PROPERTIES" hidden="1">"c8591"</definedName>
    <definedName name="IQ_HG_SOLD_MANAGED_ROOMS" hidden="1">"c8621"</definedName>
    <definedName name="IQ_HG_SOLD_OTHER_HOTEL_PROPERTIES" hidden="1">"c8597"</definedName>
    <definedName name="IQ_HG_SOLD_OTHER_ROOMS" hidden="1">"c8627"</definedName>
    <definedName name="IQ_HG_SOLD_OWNED_HOTEL_PROPERTIES" hidden="1">"c8579"</definedName>
    <definedName name="IQ_HG_SOLD_OWNED_ROOMS" hidden="1">"c8609"</definedName>
    <definedName name="IQ_HG_SOLD_ROOMS" hidden="1">"c8603"</definedName>
    <definedName name="IQ_HG_TABLE_GAMES_JV" hidden="1">"c8643"</definedName>
    <definedName name="IQ_HG_TABLE_GAMES_MANAGED" hidden="1">"c8644"</definedName>
    <definedName name="IQ_HG_TABLE_GAMES_OWNED" hidden="1">"c8642"</definedName>
    <definedName name="IQ_HG_TABLE_GAMES_TOTAL" hidden="1">"c8645"</definedName>
    <definedName name="IQ_HG_TOTAL_FRANCHISE_HOTEL_PROPERTIES" hidden="1">"c8587"</definedName>
    <definedName name="IQ_HG_TOTAL_FRANCHISE_ROOMS" hidden="1">"c8617"</definedName>
    <definedName name="IQ_HG_TOTAL_HOTEL_PROPERTIES" hidden="1">"c8575"</definedName>
    <definedName name="IQ_HG_TOTAL_MANAGED_HOTEL_PROPERTIES" hidden="1">"c8593"</definedName>
    <definedName name="IQ_HG_TOTAL_MANAGED_ROOMS" hidden="1">"c8623"</definedName>
    <definedName name="IQ_HG_TOTAL_OTHER_HOTEL_PROPERTIES" hidden="1">"c8599"</definedName>
    <definedName name="IQ_HG_TOTAL_OTHER_ROOMS" hidden="1">"c8629"</definedName>
    <definedName name="IQ_HG_TOTAL_OWNED_HOTEL_PROPERTIES" hidden="1">"c8581"</definedName>
    <definedName name="IQ_HG_TOTAL_OWNED_PROPERTIES_COMP" hidden="1">"c8693"</definedName>
    <definedName name="IQ_HG_TOTAL_OWNED_ROOMS" hidden="1">"c8611"</definedName>
    <definedName name="IQ_HG_TOTAL_OWNED_ROOMS_COMP" hidden="1">"c8695"</definedName>
    <definedName name="IQ_HG_TOTAL_PROM_COSTS" hidden="1">"c8748"</definedName>
    <definedName name="IQ_HG_TOTAL_PROPERTIES_COMP" hidden="1">"c8694"</definedName>
    <definedName name="IQ_HG_TOTAL_ROOMS" hidden="1">"c8605"</definedName>
    <definedName name="IQ_HG_TOTAL_ROOMS_COMP" hidden="1">"c8696"</definedName>
    <definedName name="IQ_HIGH_TARGET_PRICE" hidden="1">"c1651"</definedName>
    <definedName name="IQ_HIGH_TARGET_PRICE_CIQ" hidden="1">"c4659"</definedName>
    <definedName name="IQ_HIGH_TARGET_PRICE_REUT" hidden="1">"c5317"</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SALES_NEW" hidden="1">"c6924"</definedName>
    <definedName name="IQ_HOME_SALES_NEW_APR" hidden="1">"c7584"</definedName>
    <definedName name="IQ_HOME_SALES_NEW_APR_FC" hidden="1">"c8464"</definedName>
    <definedName name="IQ_HOME_SALES_NEW_FC" hidden="1">"c7804"</definedName>
    <definedName name="IQ_HOME_SALES_NEW_POP" hidden="1">"c7144"</definedName>
    <definedName name="IQ_HOME_SALES_NEW_POP_FC" hidden="1">"c8024"</definedName>
    <definedName name="IQ_HOME_SALES_NEW_YOY" hidden="1">"c7364"</definedName>
    <definedName name="IQ_HOME_SALES_NEW_YOY_FC" hidden="1">"c8244"</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RLY_COMP" hidden="1">"c6879"</definedName>
    <definedName name="IQ_HOURLY_COMP_APR" hidden="1">"c7539"</definedName>
    <definedName name="IQ_HOURLY_COMP_APR_FC" hidden="1">"c8419"</definedName>
    <definedName name="IQ_HOURLY_COMP_FC" hidden="1">"c7759"</definedName>
    <definedName name="IQ_HOURLY_COMP_POP" hidden="1">"c7099"</definedName>
    <definedName name="IQ_HOURLY_COMP_POP_FC" hidden="1">"c7979"</definedName>
    <definedName name="IQ_HOURLY_COMP_YOY" hidden="1">"c7319"</definedName>
    <definedName name="IQ_HOURLY_COMP_YOY_FC" hidden="1">"c8199"</definedName>
    <definedName name="IQ_HOUSING_COMPLETIONS" hidden="1">"c6881"</definedName>
    <definedName name="IQ_HOUSING_COMPLETIONS_APR" hidden="1">"c7541"</definedName>
    <definedName name="IQ_HOUSING_COMPLETIONS_APR_FC" hidden="1">"c8421"</definedName>
    <definedName name="IQ_HOUSING_COMPLETIONS_FC" hidden="1">"c7761"</definedName>
    <definedName name="IQ_HOUSING_COMPLETIONS_POP" hidden="1">"c7101"</definedName>
    <definedName name="IQ_HOUSING_COMPLETIONS_POP_FC" hidden="1">"c7981"</definedName>
    <definedName name="IQ_HOUSING_COMPLETIONS_SINGLE_FAM_APR_FC_UNUSED" hidden="1">"c8422"</definedName>
    <definedName name="IQ_HOUSING_COMPLETIONS_SINGLE_FAM_APR_FC_UNUSED_UNUSED_UNUSED" hidden="1">"c8422"</definedName>
    <definedName name="IQ_HOUSING_COMPLETIONS_SINGLE_FAM_APR_UNUSED" hidden="1">"c7542"</definedName>
    <definedName name="IQ_HOUSING_COMPLETIONS_SINGLE_FAM_APR_UNUSED_UNUSED_UNUSED" hidden="1">"c7542"</definedName>
    <definedName name="IQ_HOUSING_COMPLETIONS_SINGLE_FAM_FC_UNUSED" hidden="1">"c7762"</definedName>
    <definedName name="IQ_HOUSING_COMPLETIONS_SINGLE_FAM_FC_UNUSED_UNUSED_UNUSED" hidden="1">"c7762"</definedName>
    <definedName name="IQ_HOUSING_COMPLETIONS_SINGLE_FAM_POP_FC_UNUSED" hidden="1">"c7982"</definedName>
    <definedName name="IQ_HOUSING_COMPLETIONS_SINGLE_FAM_POP_FC_UNUSED_UNUSED_UNUSED" hidden="1">"c7982"</definedName>
    <definedName name="IQ_HOUSING_COMPLETIONS_SINGLE_FAM_POP_UNUSED" hidden="1">"c7102"</definedName>
    <definedName name="IQ_HOUSING_COMPLETIONS_SINGLE_FAM_POP_UNUSED_UNUSED_UNUSED" hidden="1">"c7102"</definedName>
    <definedName name="IQ_HOUSING_COMPLETIONS_SINGLE_FAM_UNUSED" hidden="1">"c6882"</definedName>
    <definedName name="IQ_HOUSING_COMPLETIONS_SINGLE_FAM_UNUSED_UNUSED_UNUSED" hidden="1">"c6882"</definedName>
    <definedName name="IQ_HOUSING_COMPLETIONS_SINGLE_FAM_YOY_FC_UNUSED" hidden="1">"c8202"</definedName>
    <definedName name="IQ_HOUSING_COMPLETIONS_SINGLE_FAM_YOY_FC_UNUSED_UNUSED_UNUSED" hidden="1">"c8202"</definedName>
    <definedName name="IQ_HOUSING_COMPLETIONS_SINGLE_FAM_YOY_UNUSED" hidden="1">"c7322"</definedName>
    <definedName name="IQ_HOUSING_COMPLETIONS_SINGLE_FAM_YOY_UNUSED_UNUSED_UNUSED" hidden="1">"c7322"</definedName>
    <definedName name="IQ_HOUSING_COMPLETIONS_YOY" hidden="1">"c7321"</definedName>
    <definedName name="IQ_HOUSING_COMPLETIONS_YOY_FC" hidden="1">"c8201"</definedName>
    <definedName name="IQ_HOUSING_PERMITS" hidden="1">"c6883"</definedName>
    <definedName name="IQ_HOUSING_PERMITS_APR" hidden="1">"c7543"</definedName>
    <definedName name="IQ_HOUSING_PERMITS_APR_FC" hidden="1">"c8423"</definedName>
    <definedName name="IQ_HOUSING_PERMITS_FC" hidden="1">"c7763"</definedName>
    <definedName name="IQ_HOUSING_PERMITS_POP" hidden="1">"c7103"</definedName>
    <definedName name="IQ_HOUSING_PERMITS_POP_FC" hidden="1">"c7983"</definedName>
    <definedName name="IQ_HOUSING_PERMITS_YOY" hidden="1">"c7323"</definedName>
    <definedName name="IQ_HOUSING_PERMITS_YOY_FC" hidden="1">"c8203"</definedName>
    <definedName name="IQ_HOUSING_STARTS" hidden="1">"c6884"</definedName>
    <definedName name="IQ_HOUSING_STARTS_APR" hidden="1">"c7544"</definedName>
    <definedName name="IQ_HOUSING_STARTS_APR_FC" hidden="1">"c8424"</definedName>
    <definedName name="IQ_HOUSING_STARTS_FC" hidden="1">"c7764"</definedName>
    <definedName name="IQ_HOUSING_STARTS_POP" hidden="1">"c7104"</definedName>
    <definedName name="IQ_HOUSING_STARTS_POP_FC" hidden="1">"c7984"</definedName>
    <definedName name="IQ_HOUSING_STARTS_SAAR" hidden="1">"c6885"</definedName>
    <definedName name="IQ_HOUSING_STARTS_SAAR_APR" hidden="1">"c7545"</definedName>
    <definedName name="IQ_HOUSING_STARTS_SAAR_APR_FC" hidden="1">"c8425"</definedName>
    <definedName name="IQ_HOUSING_STARTS_SAAR_FC" hidden="1">"c7765"</definedName>
    <definedName name="IQ_HOUSING_STARTS_SAAR_POP" hidden="1">"c7105"</definedName>
    <definedName name="IQ_HOUSING_STARTS_SAAR_POP_FC" hidden="1">"c7985"</definedName>
    <definedName name="IQ_HOUSING_STARTS_SAAR_YOY" hidden="1">"c7325"</definedName>
    <definedName name="IQ_HOUSING_STARTS_SAAR_YOY_FC" hidden="1">"c8205"</definedName>
    <definedName name="IQ_HOUSING_STARTS_YOY" hidden="1">"c7324"</definedName>
    <definedName name="IQ_HOUSING_STARTS_YOY_FC" hidden="1">"c8204"</definedName>
    <definedName name="IQ_HRS_WORKED_FULL_PT" hidden="1">"c6880"</definedName>
    <definedName name="IQ_HRS_WORKED_FULL_PT_APR" hidden="1">"c7540"</definedName>
    <definedName name="IQ_HRS_WORKED_FULL_PT_APR_FC" hidden="1">"c8420"</definedName>
    <definedName name="IQ_HRS_WORKED_FULL_PT_FC" hidden="1">"c7760"</definedName>
    <definedName name="IQ_HRS_WORKED_FULL_PT_POP" hidden="1">"c7100"</definedName>
    <definedName name="IQ_HRS_WORKED_FULL_PT_POP_FC" hidden="1">"c7980"</definedName>
    <definedName name="IQ_HRS_WORKED_FULL_PT_YOY" hidden="1">"c7320"</definedName>
    <definedName name="IQ_HRS_WORKED_FULL_PT_YOY_FC" hidden="1">"c8200"</definedName>
    <definedName name="IQ_IM_AVG_REV_PER_CLICK" hidden="1">"c9991"</definedName>
    <definedName name="IQ_IM_NUMBER_PAGE_VIEWS" hidden="1">"c9993"</definedName>
    <definedName name="IQ_IM_NUMBER_PAID_CLICKS" hidden="1">"c9995"</definedName>
    <definedName name="IQ_IM_NUMBER_PAID_CLICKS_GROWTH" hidden="1">"c9996"</definedName>
    <definedName name="IQ_IM_PAGE_VIEWS_GROWTH" hidden="1">"c9994"</definedName>
    <definedName name="IQ_IM_REV_PER_PAGE_VIEW_GROWTH" hidden="1">"c9992"</definedName>
    <definedName name="IQ_IM_TRAFFIC_ACQUISITION_CHANGE" hidden="1">"c9998"</definedName>
    <definedName name="IQ_IM_TRAFFIC_ACQUISITION_COST_TO_AD_REV_RATIO" hidden="1">"c10000"</definedName>
    <definedName name="IQ_IM_TRAFFIC_ACQUISITION_COST_TO_TOTAL_REV_RATIO" hidden="1">"c9999"</definedName>
    <definedName name="IQ_IM_TRAFFIC_ACQUISITION_COSTS" hidden="1">"c9997"</definedName>
    <definedName name="IQ_IMPAIR_OIL" hidden="1">"c547"</definedName>
    <definedName name="IQ_IMPAIRMENT_GW" hidden="1">"c548"</definedName>
    <definedName name="IQ_IMPORT_PRICE_INDEX" hidden="1">"c6886"</definedName>
    <definedName name="IQ_IMPORT_PRICE_INDEX_APR" hidden="1">"c7546"</definedName>
    <definedName name="IQ_IMPORT_PRICE_INDEX_APR_FC" hidden="1">"c8426"</definedName>
    <definedName name="IQ_IMPORT_PRICE_INDEX_FC" hidden="1">"c7766"</definedName>
    <definedName name="IQ_IMPORT_PRICE_INDEX_POP" hidden="1">"c7106"</definedName>
    <definedName name="IQ_IMPORT_PRICE_INDEX_POP_FC" hidden="1">"c7986"</definedName>
    <definedName name="IQ_IMPORT_PRICE_INDEX_YOY" hidden="1">"c7326"</definedName>
    <definedName name="IQ_IMPORT_PRICE_INDEX_YOY_FC" hidden="1">"c8206"</definedName>
    <definedName name="IQ_IMPORTS_GOODS" hidden="1">"c6887"</definedName>
    <definedName name="IQ_IMPORTS_GOODS_APR" hidden="1">"c7547"</definedName>
    <definedName name="IQ_IMPORTS_GOODS_APR_FC" hidden="1">"c8427"</definedName>
    <definedName name="IQ_IMPORTS_GOODS_FC" hidden="1">"c7767"</definedName>
    <definedName name="IQ_IMPORTS_GOODS_NONFACTOR_SERVICES" hidden="1">"c6888"</definedName>
    <definedName name="IQ_IMPORTS_GOODS_NONFACTOR_SERVICES_APR" hidden="1">"c7548"</definedName>
    <definedName name="IQ_IMPORTS_GOODS_NONFACTOR_SERVICES_APR_FC" hidden="1">"c8428"</definedName>
    <definedName name="IQ_IMPORTS_GOODS_NONFACTOR_SERVICES_FC" hidden="1">"c7768"</definedName>
    <definedName name="IQ_IMPORTS_GOODS_NONFACTOR_SERVICES_POP" hidden="1">"c7108"</definedName>
    <definedName name="IQ_IMPORTS_GOODS_NONFACTOR_SERVICES_POP_FC" hidden="1">"c7988"</definedName>
    <definedName name="IQ_IMPORTS_GOODS_NONFACTOR_SERVICES_YOY" hidden="1">"c7328"</definedName>
    <definedName name="IQ_IMPORTS_GOODS_NONFACTOR_SERVICES_YOY_FC" hidden="1">"c8208"</definedName>
    <definedName name="IQ_IMPORTS_GOODS_POP" hidden="1">"c7107"</definedName>
    <definedName name="IQ_IMPORTS_GOODS_POP_FC" hidden="1">"c7987"</definedName>
    <definedName name="IQ_IMPORTS_GOODS_REAL" hidden="1">"c11950"</definedName>
    <definedName name="IQ_IMPORTS_GOODS_REAL_APR" hidden="1">"c11953"</definedName>
    <definedName name="IQ_IMPORTS_GOODS_REAL_POP" hidden="1">"c11951"</definedName>
    <definedName name="IQ_IMPORTS_GOODS_REAL_SAAR_APR_FC_UNUSED" hidden="1">"c8523"</definedName>
    <definedName name="IQ_IMPORTS_GOODS_REAL_SAAR_APR_FC_UNUSED_UNUSED_UNUSED" hidden="1">"c8523"</definedName>
    <definedName name="IQ_IMPORTS_GOODS_REAL_SAAR_APR_UNUSED" hidden="1">"c7643"</definedName>
    <definedName name="IQ_IMPORTS_GOODS_REAL_SAAR_APR_UNUSED_UNUSED_UNUSED" hidden="1">"c7643"</definedName>
    <definedName name="IQ_IMPORTS_GOODS_REAL_SAAR_FC_UNUSED" hidden="1">"c7863"</definedName>
    <definedName name="IQ_IMPORTS_GOODS_REAL_SAAR_FC_UNUSED_UNUSED_UNUSED" hidden="1">"c7863"</definedName>
    <definedName name="IQ_IMPORTS_GOODS_REAL_SAAR_POP_FC_UNUSED" hidden="1">"c8083"</definedName>
    <definedName name="IQ_IMPORTS_GOODS_REAL_SAAR_POP_FC_UNUSED_UNUSED_UNUSED" hidden="1">"c8083"</definedName>
    <definedName name="IQ_IMPORTS_GOODS_REAL_SAAR_POP_UNUSED" hidden="1">"c7203"</definedName>
    <definedName name="IQ_IMPORTS_GOODS_REAL_SAAR_POP_UNUSED_UNUSED_UNUSED" hidden="1">"c7203"</definedName>
    <definedName name="IQ_IMPORTS_GOODS_REAL_SAAR_UNUSED" hidden="1">"c6983"</definedName>
    <definedName name="IQ_IMPORTS_GOODS_REAL_SAAR_UNUSED_UNUSED_UNUSED" hidden="1">"c6983"</definedName>
    <definedName name="IQ_IMPORTS_GOODS_REAL_SAAR_YOY_FC_UNUSED" hidden="1">"c8303"</definedName>
    <definedName name="IQ_IMPORTS_GOODS_REAL_SAAR_YOY_FC_UNUSED_UNUSED_UNUSED" hidden="1">"c8303"</definedName>
    <definedName name="IQ_IMPORTS_GOODS_REAL_SAAR_YOY_UNUSED" hidden="1">"c7423"</definedName>
    <definedName name="IQ_IMPORTS_GOODS_REAL_SAAR_YOY_UNUSED_UNUSED_UNUSED" hidden="1">"c7423"</definedName>
    <definedName name="IQ_IMPORTS_GOODS_REAL_YOY" hidden="1">"c11952"</definedName>
    <definedName name="IQ_IMPORTS_GOODS_SAAR" hidden="1">"c6891"</definedName>
    <definedName name="IQ_IMPORTS_GOODS_SAAR_APR" hidden="1">"c7551"</definedName>
    <definedName name="IQ_IMPORTS_GOODS_SAAR_APR_FC" hidden="1">"c8431"</definedName>
    <definedName name="IQ_IMPORTS_GOODS_SAAR_FC" hidden="1">"c7771"</definedName>
    <definedName name="IQ_IMPORTS_GOODS_SAAR_POP" hidden="1">"c7111"</definedName>
    <definedName name="IQ_IMPORTS_GOODS_SAAR_POP_FC" hidden="1">"c7991"</definedName>
    <definedName name="IQ_IMPORTS_GOODS_SAAR_USD_APR_FC" hidden="1">"c11849"</definedName>
    <definedName name="IQ_IMPORTS_GOODS_SAAR_USD_FC" hidden="1">"c11846"</definedName>
    <definedName name="IQ_IMPORTS_GOODS_SAAR_USD_POP_FC" hidden="1">"c11847"</definedName>
    <definedName name="IQ_IMPORTS_GOODS_SAAR_USD_YOY_FC" hidden="1">"c11848"</definedName>
    <definedName name="IQ_IMPORTS_GOODS_SAAR_YOY" hidden="1">"c7331"</definedName>
    <definedName name="IQ_IMPORTS_GOODS_SAAR_YOY_FC" hidden="1">"c8211"</definedName>
    <definedName name="IQ_IMPORTS_GOODS_SERVICES_APR_FC_UNUSED" hidden="1">"c8429"</definedName>
    <definedName name="IQ_IMPORTS_GOODS_SERVICES_APR_FC_UNUSED_UNUSED_UNUSED" hidden="1">"c8429"</definedName>
    <definedName name="IQ_IMPORTS_GOODS_SERVICES_APR_UNUSED" hidden="1">"c7549"</definedName>
    <definedName name="IQ_IMPORTS_GOODS_SERVICES_APR_UNUSED_UNUSED_UNUSED" hidden="1">"c7549"</definedName>
    <definedName name="IQ_IMPORTS_GOODS_SERVICES_FC_UNUSED" hidden="1">"c7769"</definedName>
    <definedName name="IQ_IMPORTS_GOODS_SERVICES_FC_UNUSED_UNUSED_UNUSED" hidden="1">"c7769"</definedName>
    <definedName name="IQ_IMPORTS_GOODS_SERVICES_POP_FC_UNUSED" hidden="1">"c7989"</definedName>
    <definedName name="IQ_IMPORTS_GOODS_SERVICES_POP_FC_UNUSED_UNUSED_UNUSED" hidden="1">"c7989"</definedName>
    <definedName name="IQ_IMPORTS_GOODS_SERVICES_POP_UNUSED" hidden="1">"c7109"</definedName>
    <definedName name="IQ_IMPORTS_GOODS_SERVICES_POP_UNUSED_UNUSED_UNUSED" hidden="1">"c7109"</definedName>
    <definedName name="IQ_IMPORTS_GOODS_SERVICES_REAL" hidden="1">"c6985"</definedName>
    <definedName name="IQ_IMPORTS_GOODS_SERVICES_REAL_APR" hidden="1">"c7645"</definedName>
    <definedName name="IQ_IMPORTS_GOODS_SERVICES_REAL_APR_FC" hidden="1">"c8525"</definedName>
    <definedName name="IQ_IMPORTS_GOODS_SERVICES_REAL_FC" hidden="1">"c7865"</definedName>
    <definedName name="IQ_IMPORTS_GOODS_SERVICES_REAL_POP" hidden="1">"c7205"</definedName>
    <definedName name="IQ_IMPORTS_GOODS_SERVICES_REAL_POP_FC" hidden="1">"c8085"</definedName>
    <definedName name="IQ_IMPORTS_GOODS_SERVICES_REAL_SAAR" hidden="1">"c11958"</definedName>
    <definedName name="IQ_IMPORTS_GOODS_SERVICES_REAL_SAAR_APR" hidden="1">"c11961"</definedName>
    <definedName name="IQ_IMPORTS_GOODS_SERVICES_REAL_SAAR_APR_FC_UNUSED" hidden="1">"c8524"</definedName>
    <definedName name="IQ_IMPORTS_GOODS_SERVICES_REAL_SAAR_APR_FC_UNUSED_UNUSED_UNUSED" hidden="1">"c8524"</definedName>
    <definedName name="IQ_IMPORTS_GOODS_SERVICES_REAL_SAAR_APR_UNUSED" hidden="1">"c7644"</definedName>
    <definedName name="IQ_IMPORTS_GOODS_SERVICES_REAL_SAAR_APR_UNUSED_UNUSED_UNUSED" hidden="1">"c7644"</definedName>
    <definedName name="IQ_IMPORTS_GOODS_SERVICES_REAL_SAAR_FC_UNUSED" hidden="1">"c7864"</definedName>
    <definedName name="IQ_IMPORTS_GOODS_SERVICES_REAL_SAAR_FC_UNUSED_UNUSED_UNUSED" hidden="1">"c7864"</definedName>
    <definedName name="IQ_IMPORTS_GOODS_SERVICES_REAL_SAAR_POP" hidden="1">"c11959"</definedName>
    <definedName name="IQ_IMPORTS_GOODS_SERVICES_REAL_SAAR_POP_FC_UNUSED" hidden="1">"c8084"</definedName>
    <definedName name="IQ_IMPORTS_GOODS_SERVICES_REAL_SAAR_POP_FC_UNUSED_UNUSED_UNUSED" hidden="1">"c8084"</definedName>
    <definedName name="IQ_IMPORTS_GOODS_SERVICES_REAL_SAAR_POP_UNUSED" hidden="1">"c7204"</definedName>
    <definedName name="IQ_IMPORTS_GOODS_SERVICES_REAL_SAAR_POP_UNUSED_UNUSED_UNUSED" hidden="1">"c7204"</definedName>
    <definedName name="IQ_IMPORTS_GOODS_SERVICES_REAL_SAAR_UNUSED" hidden="1">"c6984"</definedName>
    <definedName name="IQ_IMPORTS_GOODS_SERVICES_REAL_SAAR_UNUSED_UNUSED_UNUSED" hidden="1">"c6984"</definedName>
    <definedName name="IQ_IMPORTS_GOODS_SERVICES_REAL_SAAR_USD" hidden="1">"c11962"</definedName>
    <definedName name="IQ_IMPORTS_GOODS_SERVICES_REAL_SAAR_USD_APR" hidden="1">"c11965"</definedName>
    <definedName name="IQ_IMPORTS_GOODS_SERVICES_REAL_SAAR_USD_APR_FC" hidden="1">"c11969"</definedName>
    <definedName name="IQ_IMPORTS_GOODS_SERVICES_REAL_SAAR_USD_FC" hidden="1">"c11966"</definedName>
    <definedName name="IQ_IMPORTS_GOODS_SERVICES_REAL_SAAR_USD_POP" hidden="1">"c11963"</definedName>
    <definedName name="IQ_IMPORTS_GOODS_SERVICES_REAL_SAAR_USD_POP_FC" hidden="1">"c11967"</definedName>
    <definedName name="IQ_IMPORTS_GOODS_SERVICES_REAL_SAAR_USD_YOY" hidden="1">"c11964"</definedName>
    <definedName name="IQ_IMPORTS_GOODS_SERVICES_REAL_SAAR_USD_YOY_FC" hidden="1">"c11968"</definedName>
    <definedName name="IQ_IMPORTS_GOODS_SERVICES_REAL_SAAR_YOY" hidden="1">"c11960"</definedName>
    <definedName name="IQ_IMPORTS_GOODS_SERVICES_REAL_SAAR_YOY_FC_UNUSED" hidden="1">"c8304"</definedName>
    <definedName name="IQ_IMPORTS_GOODS_SERVICES_REAL_SAAR_YOY_FC_UNUSED_UNUSED_UNUSED" hidden="1">"c8304"</definedName>
    <definedName name="IQ_IMPORTS_GOODS_SERVICES_REAL_SAAR_YOY_UNUSED" hidden="1">"c7424"</definedName>
    <definedName name="IQ_IMPORTS_GOODS_SERVICES_REAL_SAAR_YOY_UNUSED_UNUSED_UNUSED" hidden="1">"c7424"</definedName>
    <definedName name="IQ_IMPORTS_GOODS_SERVICES_REAL_USD" hidden="1">"c11954"</definedName>
    <definedName name="IQ_IMPORTS_GOODS_SERVICES_REAL_USD_APR" hidden="1">"c11957"</definedName>
    <definedName name="IQ_IMPORTS_GOODS_SERVICES_REAL_USD_POP" hidden="1">"c11955"</definedName>
    <definedName name="IQ_IMPORTS_GOODS_SERVICES_REAL_USD_YOY" hidden="1">"c11956"</definedName>
    <definedName name="IQ_IMPORTS_GOODS_SERVICES_REAL_YOY" hidden="1">"c7425"</definedName>
    <definedName name="IQ_IMPORTS_GOODS_SERVICES_REAL_YOY_FC" hidden="1">"c8305"</definedName>
    <definedName name="IQ_IMPORTS_GOODS_SERVICES_SAAR" hidden="1">"c6890"</definedName>
    <definedName name="IQ_IMPORTS_GOODS_SERVICES_SAAR_APR" hidden="1">"c7550"</definedName>
    <definedName name="IQ_IMPORTS_GOODS_SERVICES_SAAR_APR_FC" hidden="1">"c8430"</definedName>
    <definedName name="IQ_IMPORTS_GOODS_SERVICES_SAAR_FC" hidden="1">"c7770"</definedName>
    <definedName name="IQ_IMPORTS_GOODS_SERVICES_SAAR_POP" hidden="1">"c7110"</definedName>
    <definedName name="IQ_IMPORTS_GOODS_SERVICES_SAAR_POP_FC" hidden="1">"c7990"</definedName>
    <definedName name="IQ_IMPORTS_GOODS_SERVICES_SAAR_YOY" hidden="1">"c7330"</definedName>
    <definedName name="IQ_IMPORTS_GOODS_SERVICES_SAAR_YOY_FC" hidden="1">"c8210"</definedName>
    <definedName name="IQ_IMPORTS_GOODS_SERVICES_UNUSED" hidden="1">"c6889"</definedName>
    <definedName name="IQ_IMPORTS_GOODS_SERVICES_UNUSED_UNUSED_UNUSED" hidden="1">"c6889"</definedName>
    <definedName name="IQ_IMPORTS_GOODS_SERVICES_USD" hidden="1">"c11842"</definedName>
    <definedName name="IQ_IMPORTS_GOODS_SERVICES_USD_APR" hidden="1">"c11845"</definedName>
    <definedName name="IQ_IMPORTS_GOODS_SERVICES_USD_POP" hidden="1">"c11843"</definedName>
    <definedName name="IQ_IMPORTS_GOODS_SERVICES_USD_YOY" hidden="1">"c11844"</definedName>
    <definedName name="IQ_IMPORTS_GOODS_SERVICES_YOY_FC_UNUSED" hidden="1">"c8209"</definedName>
    <definedName name="IQ_IMPORTS_GOODS_SERVICES_YOY_FC_UNUSED_UNUSED_UNUSED" hidden="1">"c8209"</definedName>
    <definedName name="IQ_IMPORTS_GOODS_SERVICES_YOY_UNUSED" hidden="1">"c7329"</definedName>
    <definedName name="IQ_IMPORTS_GOODS_SERVICES_YOY_UNUSED_UNUSED_UNUSED" hidden="1">"c7329"</definedName>
    <definedName name="IQ_IMPORTS_GOODS_USD_APR_FC" hidden="1">"c11841"</definedName>
    <definedName name="IQ_IMPORTS_GOODS_USD_FC" hidden="1">"c11838"</definedName>
    <definedName name="IQ_IMPORTS_GOODS_USD_POP_FC" hidden="1">"c11839"</definedName>
    <definedName name="IQ_IMPORTS_GOODS_USD_YOY_FC" hidden="1">"c11840"</definedName>
    <definedName name="IQ_IMPORTS_GOODS_YOY" hidden="1">"c7327"</definedName>
    <definedName name="IQ_IMPORTS_GOODS_YOY_FC" hidden="1">"c8207"</definedName>
    <definedName name="IQ_IMPORTS_NONFACTOR_SERVICES" hidden="1">"c6892"</definedName>
    <definedName name="IQ_IMPORTS_NONFACTOR_SERVICES_APR" hidden="1">"c7552"</definedName>
    <definedName name="IQ_IMPORTS_NONFACTOR_SERVICES_APR_FC" hidden="1">"c8432"</definedName>
    <definedName name="IQ_IMPORTS_NONFACTOR_SERVICES_FC" hidden="1">"c7772"</definedName>
    <definedName name="IQ_IMPORTS_NONFACTOR_SERVICES_POP" hidden="1">"c7112"</definedName>
    <definedName name="IQ_IMPORTS_NONFACTOR_SERVICES_POP_FC" hidden="1">"c7992"</definedName>
    <definedName name="IQ_IMPORTS_NONFACTOR_SERVICES_SAAR" hidden="1">"c6893"</definedName>
    <definedName name="IQ_IMPORTS_NONFACTOR_SERVICES_SAAR_APR" hidden="1">"c7553"</definedName>
    <definedName name="IQ_IMPORTS_NONFACTOR_SERVICES_SAAR_APR_FC" hidden="1">"c8433"</definedName>
    <definedName name="IQ_IMPORTS_NONFACTOR_SERVICES_SAAR_FC" hidden="1">"c7773"</definedName>
    <definedName name="IQ_IMPORTS_NONFACTOR_SERVICES_SAAR_POP" hidden="1">"c7113"</definedName>
    <definedName name="IQ_IMPORTS_NONFACTOR_SERVICES_SAAR_POP_FC" hidden="1">"c7993"</definedName>
    <definedName name="IQ_IMPORTS_NONFACTOR_SERVICES_SAAR_USD_APR_FC" hidden="1">"c11857"</definedName>
    <definedName name="IQ_IMPORTS_NONFACTOR_SERVICES_SAAR_USD_FC" hidden="1">"c11854"</definedName>
    <definedName name="IQ_IMPORTS_NONFACTOR_SERVICES_SAAR_USD_POP_FC" hidden="1">"c11855"</definedName>
    <definedName name="IQ_IMPORTS_NONFACTOR_SERVICES_SAAR_USD_YOY_FC" hidden="1">"c11856"</definedName>
    <definedName name="IQ_IMPORTS_NONFACTOR_SERVICES_SAAR_YOY" hidden="1">"c7333"</definedName>
    <definedName name="IQ_IMPORTS_NONFACTOR_SERVICES_SAAR_YOY_FC" hidden="1">"c8213"</definedName>
    <definedName name="IQ_IMPORTS_NONFACTOR_SERVICES_USD_APR_FC" hidden="1">"c11853"</definedName>
    <definedName name="IQ_IMPORTS_NONFACTOR_SERVICES_USD_FC" hidden="1">"c11850"</definedName>
    <definedName name="IQ_IMPORTS_NONFACTOR_SERVICES_USD_POP_FC" hidden="1">"c11851"</definedName>
    <definedName name="IQ_IMPORTS_NONFACTOR_SERVICES_USD_YOY_FC" hidden="1">"c11852"</definedName>
    <definedName name="IQ_IMPORTS_NONFACTOR_SERVICES_YOY" hidden="1">"c7332"</definedName>
    <definedName name="IQ_IMPORTS_NONFACTOR_SERVICES_YOY_FC" hidden="1">"c8212"</definedName>
    <definedName name="IQ_IMPORTS_SERVICES" hidden="1">"c11858"</definedName>
    <definedName name="IQ_IMPORTS_SERVICES_APR" hidden="1">"c11861"</definedName>
    <definedName name="IQ_IMPORTS_SERVICES_POP" hidden="1">"c11859"</definedName>
    <definedName name="IQ_IMPORTS_SERVICES_REAL" hidden="1">"c6986"</definedName>
    <definedName name="IQ_IMPORTS_SERVICES_REAL_APR" hidden="1">"c7646"</definedName>
    <definedName name="IQ_IMPORTS_SERVICES_REAL_APR_FC" hidden="1">"c8526"</definedName>
    <definedName name="IQ_IMPORTS_SERVICES_REAL_FC" hidden="1">"c7866"</definedName>
    <definedName name="IQ_IMPORTS_SERVICES_REAL_POP" hidden="1">"c7206"</definedName>
    <definedName name="IQ_IMPORTS_SERVICES_REAL_POP_FC" hidden="1">"c8086"</definedName>
    <definedName name="IQ_IMPORTS_SERVICES_REAL_YOY" hidden="1">"c7426"</definedName>
    <definedName name="IQ_IMPORTS_SERVICES_REAL_YOY_FC" hidden="1">"c8306"</definedName>
    <definedName name="IQ_IMPORTS_SERVICES_YOY" hidden="1">"c11860"</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LEADING_IND" hidden="1">"c6894"</definedName>
    <definedName name="IQ_INDEX_LEADING_IND_APR" hidden="1">"c7554"</definedName>
    <definedName name="IQ_INDEX_LEADING_IND_APR_FC" hidden="1">"c8434"</definedName>
    <definedName name="IQ_INDEX_LEADING_IND_FC" hidden="1">"c7774"</definedName>
    <definedName name="IQ_INDEX_LEADING_IND_POP" hidden="1">"c7114"</definedName>
    <definedName name="IQ_INDEX_LEADING_IND_POP_FC" hidden="1">"c7994"</definedName>
    <definedName name="IQ_INDEX_LEADING_IND_YOY" hidden="1">"c7334"</definedName>
    <definedName name="IQ_INDEX_LEADING_IND_YOY_FC" hidden="1">"c8214"</definedName>
    <definedName name="IQ_INDICATED_ATTRIB_ORE_RESOURCES_ALUM" hidden="1">"c9238"</definedName>
    <definedName name="IQ_INDICATED_ATTRIB_ORE_RESOURCES_COP" hidden="1">"c9182"</definedName>
    <definedName name="IQ_INDICATED_ATTRIB_ORE_RESOURCES_DIAM" hidden="1">"c9662"</definedName>
    <definedName name="IQ_INDICATED_ATTRIB_ORE_RESOURCES_GOLD" hidden="1">"c9023"</definedName>
    <definedName name="IQ_INDICATED_ATTRIB_ORE_RESOURCES_IRON" hidden="1">"c9397"</definedName>
    <definedName name="IQ_INDICATED_ATTRIB_ORE_RESOURCES_LEAD" hidden="1">"c9450"</definedName>
    <definedName name="IQ_INDICATED_ATTRIB_ORE_RESOURCES_MANG" hidden="1">"c9503"</definedName>
    <definedName name="IQ_INDICATED_ATTRIB_ORE_RESOURCES_MOLYB" hidden="1">"c9715"</definedName>
    <definedName name="IQ_INDICATED_ATTRIB_ORE_RESOURCES_NICK" hidden="1">"c9291"</definedName>
    <definedName name="IQ_INDICATED_ATTRIB_ORE_RESOURCES_PLAT" hidden="1">"c9129"</definedName>
    <definedName name="IQ_INDICATED_ATTRIB_ORE_RESOURCES_SILVER" hidden="1">"c9076"</definedName>
    <definedName name="IQ_INDICATED_ATTRIB_ORE_RESOURCES_TITAN" hidden="1">"c9556"</definedName>
    <definedName name="IQ_INDICATED_ATTRIB_ORE_RESOURCES_URAN" hidden="1">"c9609"</definedName>
    <definedName name="IQ_INDICATED_ATTRIB_ORE_RESOURCES_ZINC" hidden="1">"c9344"</definedName>
    <definedName name="IQ_INDICATED_ORE_RESOURCES_ALUM" hidden="1">"c9224"</definedName>
    <definedName name="IQ_INDICATED_ORE_RESOURCES_COP" hidden="1">"c9168"</definedName>
    <definedName name="IQ_INDICATED_ORE_RESOURCES_DIAM" hidden="1">"c9648"</definedName>
    <definedName name="IQ_INDICATED_ORE_RESOURCES_GOLD" hidden="1">"c9009"</definedName>
    <definedName name="IQ_INDICATED_ORE_RESOURCES_IRON" hidden="1">"c9383"</definedName>
    <definedName name="IQ_INDICATED_ORE_RESOURCES_LEAD" hidden="1">"c9436"</definedName>
    <definedName name="IQ_INDICATED_ORE_RESOURCES_MANG" hidden="1">"c9489"</definedName>
    <definedName name="IQ_INDICATED_ORE_RESOURCES_MOLYB" hidden="1">"c9701"</definedName>
    <definedName name="IQ_INDICATED_ORE_RESOURCES_NICK" hidden="1">"c9277"</definedName>
    <definedName name="IQ_INDICATED_ORE_RESOURCES_PLAT" hidden="1">"c9115"</definedName>
    <definedName name="IQ_INDICATED_ORE_RESOURCES_SILVER" hidden="1">"c9062"</definedName>
    <definedName name="IQ_INDICATED_ORE_RESOURCES_TITAN" hidden="1">"c9542"</definedName>
    <definedName name="IQ_INDICATED_ORE_RESOURCES_URAN" hidden="1">"c9595"</definedName>
    <definedName name="IQ_INDICATED_ORE_RESOURCES_ZINC" hidden="1">"c9330"</definedName>
    <definedName name="IQ_INDICATED_RECOV_ATTRIB_RESOURCES_ALUM" hidden="1">"c9243"</definedName>
    <definedName name="IQ_INDICATED_RECOV_ATTRIB_RESOURCES_COAL" hidden="1">"c9817"</definedName>
    <definedName name="IQ_INDICATED_RECOV_ATTRIB_RESOURCES_COP" hidden="1">"c9187"</definedName>
    <definedName name="IQ_INDICATED_RECOV_ATTRIB_RESOURCES_DIAM" hidden="1">"c9667"</definedName>
    <definedName name="IQ_INDICATED_RECOV_ATTRIB_RESOURCES_GOLD" hidden="1">"c9028"</definedName>
    <definedName name="IQ_INDICATED_RECOV_ATTRIB_RESOURCES_IRON" hidden="1">"c9402"</definedName>
    <definedName name="IQ_INDICATED_RECOV_ATTRIB_RESOURCES_LEAD" hidden="1">"c9455"</definedName>
    <definedName name="IQ_INDICATED_RECOV_ATTRIB_RESOURCES_MANG" hidden="1">"c9508"</definedName>
    <definedName name="IQ_INDICATED_RECOV_ATTRIB_RESOURCES_MET_COAL" hidden="1">"c9757"</definedName>
    <definedName name="IQ_INDICATED_RECOV_ATTRIB_RESOURCES_MOLYB" hidden="1">"c9720"</definedName>
    <definedName name="IQ_INDICATED_RECOV_ATTRIB_RESOURCES_NICK" hidden="1">"c9296"</definedName>
    <definedName name="IQ_INDICATED_RECOV_ATTRIB_RESOURCES_PLAT" hidden="1">"c9134"</definedName>
    <definedName name="IQ_INDICATED_RECOV_ATTRIB_RESOURCES_SILVER" hidden="1">"c9081"</definedName>
    <definedName name="IQ_INDICATED_RECOV_ATTRIB_RESOURCES_STEAM" hidden="1">"c9787"</definedName>
    <definedName name="IQ_INDICATED_RECOV_ATTRIB_RESOURCES_TITAN" hidden="1">"c9561"</definedName>
    <definedName name="IQ_INDICATED_RECOV_ATTRIB_RESOURCES_URAN" hidden="1">"c9614"</definedName>
    <definedName name="IQ_INDICATED_RECOV_ATTRIB_RESOURCES_ZINC" hidden="1">"c9349"</definedName>
    <definedName name="IQ_INDICATED_RECOV_RESOURCES_ALUM" hidden="1">"c9233"</definedName>
    <definedName name="IQ_INDICATED_RECOV_RESOURCES_COAL" hidden="1">"c9812"</definedName>
    <definedName name="IQ_INDICATED_RECOV_RESOURCES_COP" hidden="1">"c9177"</definedName>
    <definedName name="IQ_INDICATED_RECOV_RESOURCES_DIAM" hidden="1">"c9657"</definedName>
    <definedName name="IQ_INDICATED_RECOV_RESOURCES_GOLD" hidden="1">"c9018"</definedName>
    <definedName name="IQ_INDICATED_RECOV_RESOURCES_IRON" hidden="1">"c9392"</definedName>
    <definedName name="IQ_INDICATED_RECOV_RESOURCES_LEAD" hidden="1">"c9445"</definedName>
    <definedName name="IQ_INDICATED_RECOV_RESOURCES_MANG" hidden="1">"c9498"</definedName>
    <definedName name="IQ_INDICATED_RECOV_RESOURCES_MET_COAL" hidden="1">"c9752"</definedName>
    <definedName name="IQ_INDICATED_RECOV_RESOURCES_MOLYB" hidden="1">"c9710"</definedName>
    <definedName name="IQ_INDICATED_RECOV_RESOURCES_NICK" hidden="1">"c9286"</definedName>
    <definedName name="IQ_INDICATED_RECOV_RESOURCES_PLAT" hidden="1">"c9124"</definedName>
    <definedName name="IQ_INDICATED_RECOV_RESOURCES_SILVER" hidden="1">"c9071"</definedName>
    <definedName name="IQ_INDICATED_RECOV_RESOURCES_STEAM" hidden="1">"c9782"</definedName>
    <definedName name="IQ_INDICATED_RECOV_RESOURCES_TITAN" hidden="1">"c9551"</definedName>
    <definedName name="IQ_INDICATED_RECOV_RESOURCES_URAN" hidden="1">"c9604"</definedName>
    <definedName name="IQ_INDICATED_RECOV_RESOURCES_ZINC" hidden="1">"c9339"</definedName>
    <definedName name="IQ_INDICATED_RESOURCES_CALORIFIC_VALUE_COAL" hidden="1">"c9807"</definedName>
    <definedName name="IQ_INDICATED_RESOURCES_CALORIFIC_VALUE_MET_COAL" hidden="1">"c9747"</definedName>
    <definedName name="IQ_INDICATED_RESOURCES_CALORIFIC_VALUE_STEAM" hidden="1">"c9777"</definedName>
    <definedName name="IQ_INDICATED_RESOURCES_GRADE_ALUM" hidden="1">"c9225"</definedName>
    <definedName name="IQ_INDICATED_RESOURCES_GRADE_COP" hidden="1">"c9169"</definedName>
    <definedName name="IQ_INDICATED_RESOURCES_GRADE_DIAM" hidden="1">"c9649"</definedName>
    <definedName name="IQ_INDICATED_RESOURCES_GRADE_GOLD" hidden="1">"c9010"</definedName>
    <definedName name="IQ_INDICATED_RESOURCES_GRADE_IRON" hidden="1">"c9384"</definedName>
    <definedName name="IQ_INDICATED_RESOURCES_GRADE_LEAD" hidden="1">"c9437"</definedName>
    <definedName name="IQ_INDICATED_RESOURCES_GRADE_MANG" hidden="1">"c9490"</definedName>
    <definedName name="IQ_INDICATED_RESOURCES_GRADE_MOLYB" hidden="1">"c9702"</definedName>
    <definedName name="IQ_INDICATED_RESOURCES_GRADE_NICK" hidden="1">"c9278"</definedName>
    <definedName name="IQ_INDICATED_RESOURCES_GRADE_PLAT" hidden="1">"c9116"</definedName>
    <definedName name="IQ_INDICATED_RESOURCES_GRADE_SILVER" hidden="1">"c9063"</definedName>
    <definedName name="IQ_INDICATED_RESOURCES_GRADE_TITAN" hidden="1">"c9543"</definedName>
    <definedName name="IQ_INDICATED_RESOURCES_GRADE_URAN" hidden="1">"c9596"</definedName>
    <definedName name="IQ_INDICATED_RESOURCES_GRADE_ZINC" hidden="1">"c9331"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IAL_PROD" hidden="1">"c6895"</definedName>
    <definedName name="IQ_INDUSTRIAL_PROD_APR" hidden="1">"c7555"</definedName>
    <definedName name="IQ_INDUSTRIAL_PROD_APR_FC" hidden="1">"c8435"</definedName>
    <definedName name="IQ_INDUSTRIAL_PROD_FC" hidden="1">"c7775"</definedName>
    <definedName name="IQ_INDUSTRIAL_PROD_POP" hidden="1">"c7115"</definedName>
    <definedName name="IQ_INDUSTRIAL_PROD_POP_FC" hidden="1">"c7995"</definedName>
    <definedName name="IQ_INDUSTRIAL_PROD_YOY" hidden="1">"c7335"</definedName>
    <definedName name="IQ_INDUSTRIAL_PROD_YOY_FC" hidden="1">"c8215"</definedName>
    <definedName name="IQ_INDUSTRY" hidden="1">"c3601"</definedName>
    <definedName name="IQ_INDUSTRY_GROUP" hidden="1">"c3602"</definedName>
    <definedName name="IQ_INDUSTRY_SECTOR" hidden="1">"c3603"</definedName>
    <definedName name="IQ_INFERRED_ATTRIB_ORE_RESOURCES_ALUM" hidden="1">"c9240"</definedName>
    <definedName name="IQ_INFERRED_ATTRIB_ORE_RESOURCES_COP" hidden="1">"c9184"</definedName>
    <definedName name="IQ_INFERRED_ATTRIB_ORE_RESOURCES_DIAM" hidden="1">"c9664"</definedName>
    <definedName name="IQ_INFERRED_ATTRIB_ORE_RESOURCES_GOLD" hidden="1">"c9025"</definedName>
    <definedName name="IQ_INFERRED_ATTRIB_ORE_RESOURCES_IRON" hidden="1">"c9399"</definedName>
    <definedName name="IQ_INFERRED_ATTRIB_ORE_RESOURCES_LEAD" hidden="1">"c9452"</definedName>
    <definedName name="IQ_INFERRED_ATTRIB_ORE_RESOURCES_MANG" hidden="1">"c9505"</definedName>
    <definedName name="IQ_INFERRED_ATTRIB_ORE_RESOURCES_MOLYB" hidden="1">"c9717"</definedName>
    <definedName name="IQ_INFERRED_ATTRIB_ORE_RESOURCES_NICK" hidden="1">"c9293"</definedName>
    <definedName name="IQ_INFERRED_ATTRIB_ORE_RESOURCES_PLAT" hidden="1">"c9131"</definedName>
    <definedName name="IQ_INFERRED_ATTRIB_ORE_RESOURCES_SILVER" hidden="1">"c9078"</definedName>
    <definedName name="IQ_INFERRED_ATTRIB_ORE_RESOURCES_TITAN" hidden="1">"c9558"</definedName>
    <definedName name="IQ_INFERRED_ATTRIB_ORE_RESOURCES_URAN" hidden="1">"c9611"</definedName>
    <definedName name="IQ_INFERRED_ATTRIB_ORE_RESOURCES_ZINC" hidden="1">"c9346"</definedName>
    <definedName name="IQ_INFERRED_ORE_RESOURCES_ALUM" hidden="1">"c9228"</definedName>
    <definedName name="IQ_INFERRED_ORE_RESOURCES_COP" hidden="1">"c9172"</definedName>
    <definedName name="IQ_INFERRED_ORE_RESOURCES_DIAM" hidden="1">"c9652"</definedName>
    <definedName name="IQ_INFERRED_ORE_RESOURCES_GOLD" hidden="1">"c9013"</definedName>
    <definedName name="IQ_INFERRED_ORE_RESOURCES_IRON" hidden="1">"c9387"</definedName>
    <definedName name="IQ_INFERRED_ORE_RESOURCES_LEAD" hidden="1">"c9440"</definedName>
    <definedName name="IQ_INFERRED_ORE_RESOURCES_MANG" hidden="1">"c9493"</definedName>
    <definedName name="IQ_INFERRED_ORE_RESOURCES_MOLYB" hidden="1">"c9705"</definedName>
    <definedName name="IQ_INFERRED_ORE_RESOURCES_NICK" hidden="1">"c9281"</definedName>
    <definedName name="IQ_INFERRED_ORE_RESOURCES_PLAT" hidden="1">"c9119"</definedName>
    <definedName name="IQ_INFERRED_ORE_RESOURCES_SILVER" hidden="1">"c9066"</definedName>
    <definedName name="IQ_INFERRED_ORE_RESOURCES_TITAN" hidden="1">"c9546"</definedName>
    <definedName name="IQ_INFERRED_ORE_RESOURCES_URAN" hidden="1">"c9599"</definedName>
    <definedName name="IQ_INFERRED_ORE_RESOURCES_ZINC" hidden="1">"c9334"</definedName>
    <definedName name="IQ_INFERRED_RECOV_ATTRIB_RESOURCES_ALUM" hidden="1">"c9245"</definedName>
    <definedName name="IQ_INFERRED_RECOV_ATTRIB_RESOURCES_COAL" hidden="1">"c9819"</definedName>
    <definedName name="IQ_INFERRED_RECOV_ATTRIB_RESOURCES_COP" hidden="1">"c9189"</definedName>
    <definedName name="IQ_INFERRED_RECOV_ATTRIB_RESOURCES_DIAM" hidden="1">"c9669"</definedName>
    <definedName name="IQ_INFERRED_RECOV_ATTRIB_RESOURCES_GOLD" hidden="1">"c9030"</definedName>
    <definedName name="IQ_INFERRED_RECOV_ATTRIB_RESOURCES_IRON" hidden="1">"c9404"</definedName>
    <definedName name="IQ_INFERRED_RECOV_ATTRIB_RESOURCES_LEAD" hidden="1">"c9457"</definedName>
    <definedName name="IQ_INFERRED_RECOV_ATTRIB_RESOURCES_MANG" hidden="1">"c9510"</definedName>
    <definedName name="IQ_INFERRED_RECOV_ATTRIB_RESOURCES_MET_COAL" hidden="1">"c9759"</definedName>
    <definedName name="IQ_INFERRED_RECOV_ATTRIB_RESOURCES_MOLYB" hidden="1">"c9722"</definedName>
    <definedName name="IQ_INFERRED_RECOV_ATTRIB_RESOURCES_NICK" hidden="1">"c9298"</definedName>
    <definedName name="IQ_INFERRED_RECOV_ATTRIB_RESOURCES_PLAT" hidden="1">"c9136"</definedName>
    <definedName name="IQ_INFERRED_RECOV_ATTRIB_RESOURCES_SILVER" hidden="1">"c9083"</definedName>
    <definedName name="IQ_INFERRED_RECOV_ATTRIB_RESOURCES_STEAM" hidden="1">"c9789"</definedName>
    <definedName name="IQ_INFERRED_RECOV_ATTRIB_RESOURCES_TITAN" hidden="1">"c9563"</definedName>
    <definedName name="IQ_INFERRED_RECOV_ATTRIB_RESOURCES_URAN" hidden="1">"c9616"</definedName>
    <definedName name="IQ_INFERRED_RECOV_ATTRIB_RESOURCES_ZINC" hidden="1">"c9351"</definedName>
    <definedName name="IQ_INFERRED_RECOV_RESOURCES_ALUM" hidden="1">"c9235"</definedName>
    <definedName name="IQ_INFERRED_RECOV_RESOURCES_COAL" hidden="1">"c9814"</definedName>
    <definedName name="IQ_INFERRED_RECOV_RESOURCES_COP" hidden="1">"c9179"</definedName>
    <definedName name="IQ_INFERRED_RECOV_RESOURCES_DIAM" hidden="1">"c9659"</definedName>
    <definedName name="IQ_INFERRED_RECOV_RESOURCES_GOLD" hidden="1">"c9020"</definedName>
    <definedName name="IQ_INFERRED_RECOV_RESOURCES_IRON" hidden="1">"c9394"</definedName>
    <definedName name="IQ_INFERRED_RECOV_RESOURCES_LEAD" hidden="1">"c9447"</definedName>
    <definedName name="IQ_INFERRED_RECOV_RESOURCES_MANG" hidden="1">"c9500"</definedName>
    <definedName name="IQ_INFERRED_RECOV_RESOURCES_MET_COAL" hidden="1">"c9754"</definedName>
    <definedName name="IQ_INFERRED_RECOV_RESOURCES_MOLYB" hidden="1">"c9712"</definedName>
    <definedName name="IQ_INFERRED_RECOV_RESOURCES_NICK" hidden="1">"c9288"</definedName>
    <definedName name="IQ_INFERRED_RECOV_RESOURCES_PLAT" hidden="1">"c9126"</definedName>
    <definedName name="IQ_INFERRED_RECOV_RESOURCES_SILVER" hidden="1">"c9073"</definedName>
    <definedName name="IQ_INFERRED_RECOV_RESOURCES_STEAM" hidden="1">"c9784"</definedName>
    <definedName name="IQ_INFERRED_RECOV_RESOURCES_TITAN" hidden="1">"c9553"</definedName>
    <definedName name="IQ_INFERRED_RECOV_RESOURCES_URAN" hidden="1">"c9606"</definedName>
    <definedName name="IQ_INFERRED_RECOV_RESOURCES_ZINC" hidden="1">"c9341"</definedName>
    <definedName name="IQ_INFERRED_RESOURCES_CALORIFIC_VALUE_COAL" hidden="1">"c9809"</definedName>
    <definedName name="IQ_INFERRED_RESOURCES_CALORIFIC_VALUE_MET_COAL" hidden="1">"c9749"</definedName>
    <definedName name="IQ_INFERRED_RESOURCES_CALORIFIC_VALUE_STEAM" hidden="1">"c9779"</definedName>
    <definedName name="IQ_INFERRED_RESOURCES_GRADE_ALUM" hidden="1">"c9229"</definedName>
    <definedName name="IQ_INFERRED_RESOURCES_GRADE_COP" hidden="1">"c9173"</definedName>
    <definedName name="IQ_INFERRED_RESOURCES_GRADE_DIAM" hidden="1">"c9653"</definedName>
    <definedName name="IQ_INFERRED_RESOURCES_GRADE_GOLD" hidden="1">"c9014"</definedName>
    <definedName name="IQ_INFERRED_RESOURCES_GRADE_IRON" hidden="1">"c9388"</definedName>
    <definedName name="IQ_INFERRED_RESOURCES_GRADE_LEAD" hidden="1">"c9441"</definedName>
    <definedName name="IQ_INFERRED_RESOURCES_GRADE_MANG" hidden="1">"c9494"</definedName>
    <definedName name="IQ_INFERRED_RESOURCES_GRADE_MOLYB" hidden="1">"c9706"</definedName>
    <definedName name="IQ_INFERRED_RESOURCES_GRADE_NICK" hidden="1">"c9282"</definedName>
    <definedName name="IQ_INFERRED_RESOURCES_GRADE_PLAT" hidden="1">"c9120"</definedName>
    <definedName name="IQ_INFERRED_RESOURCES_GRADE_SILVER" hidden="1">"c9067"</definedName>
    <definedName name="IQ_INFERRED_RESOURCES_GRADE_TITAN" hidden="1">"c9547"</definedName>
    <definedName name="IQ_INFERRED_RESOURCES_GRADE_URAN" hidden="1">"c9600"</definedName>
    <definedName name="IQ_INFERRED_RESOURCES_GRADE_ZINC" hidden="1">"c9335"</definedName>
    <definedName name="IQ_INFLATION_RATE" hidden="1">"c6899"</definedName>
    <definedName name="IQ_INFLATION_RATE_CORE" hidden="1">"c11783"</definedName>
    <definedName name="IQ_INFLATION_RATE_CORE_POP" hidden="1">"c11784"</definedName>
    <definedName name="IQ_INFLATION_RATE_CORE_YOY" hidden="1">"c11785"</definedName>
    <definedName name="IQ_INFLATION_RATE_FC" hidden="1">"c7779"</definedName>
    <definedName name="IQ_INFLATION_RATE_POP" hidden="1">"c7119"</definedName>
    <definedName name="IQ_INFLATION_RATE_POP_FC" hidden="1">"c7999"</definedName>
    <definedName name="IQ_INFLATION_RATE_YOY" hidden="1">"c7339"</definedName>
    <definedName name="IQ_INFLATION_RATE_YOY_FC" hidden="1">"c8219"</definedName>
    <definedName name="IQ_INITIAL_CLAIMS" hidden="1">"c6900"</definedName>
    <definedName name="IQ_INITIAL_CLAIMS_APR" hidden="1">"c7560"</definedName>
    <definedName name="IQ_INITIAL_CLAIMS_APR_FC" hidden="1">"c8440"</definedName>
    <definedName name="IQ_INITIAL_CLAIMS_FC" hidden="1">"c7780"</definedName>
    <definedName name="IQ_INITIAL_CLAIMS_POP" hidden="1">"c7120"</definedName>
    <definedName name="IQ_INITIAL_CLAIMS_POP_FC" hidden="1">"c8000"</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_DEPOSITS" hidden="1">"c89"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EARING_DEPOSITS" hidden="1">"c1166"</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BNK_SUBTOTAL_AP" hidden="1">"c8977"</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BNK_SUBTOTAL_AP" hidden="1">"c8976"</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"c1407"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IES" hidden="1">"c6901"</definedName>
    <definedName name="IQ_INVENTORIES_APR" hidden="1">"c7561"</definedName>
    <definedName name="IQ_INVENTORIES_APR_FC" hidden="1">"c8441"</definedName>
    <definedName name="IQ_INVENTORIES_FC" hidden="1">"c7781"</definedName>
    <definedName name="IQ_INVENTORIES_POP" hidden="1">"c7121"</definedName>
    <definedName name="IQ_INVENTORIES_POP_FC" hidden="1">"c8001"</definedName>
    <definedName name="IQ_INVENTORIES_YOY" hidden="1">"c7341"</definedName>
    <definedName name="IQ_INVENTORIES_YOY_FC" hidden="1">"c8221"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IN" hidden="1">"c12041"</definedName>
    <definedName name="IQ_ISM_INDEX" hidden="1">"c6902"</definedName>
    <definedName name="IQ_ISM_INDEX_APR" hidden="1">"c7562"</definedName>
    <definedName name="IQ_ISM_INDEX_APR_FC" hidden="1">"c8442"</definedName>
    <definedName name="IQ_ISM_INDEX_FC" hidden="1">"c7782"</definedName>
    <definedName name="IQ_ISM_INDEX_POP" hidden="1">"c7122"</definedName>
    <definedName name="IQ_ISM_INDEX_POP_FC" hidden="1">"c8002"</definedName>
    <definedName name="IQ_ISM_INDEX_YOY" hidden="1">"c7342"</definedName>
    <definedName name="IQ_ISM_INDEX_YOY_FC" hidden="1">"c8222"</definedName>
    <definedName name="IQ_ISM_SERVICES_APR_FC_UNUSED" hidden="1">"c8443"</definedName>
    <definedName name="IQ_ISM_SERVICES_APR_FC_UNUSED_UNUSED_UNUSED" hidden="1">"c8443"</definedName>
    <definedName name="IQ_ISM_SERVICES_APR_UNUSED" hidden="1">"c7563"</definedName>
    <definedName name="IQ_ISM_SERVICES_APR_UNUSED_UNUSED_UNUSED" hidden="1">"c7563"</definedName>
    <definedName name="IQ_ISM_SERVICES_FC_UNUSED" hidden="1">"c7783"</definedName>
    <definedName name="IQ_ISM_SERVICES_FC_UNUSED_UNUSED_UNUSED" hidden="1">"c7783"</definedName>
    <definedName name="IQ_ISM_SERVICES_INDEX" hidden="1">"c11862"</definedName>
    <definedName name="IQ_ISM_SERVICES_INDEX_APR" hidden="1">"c11865"</definedName>
    <definedName name="IQ_ISM_SERVICES_INDEX_POP" hidden="1">"c11863"</definedName>
    <definedName name="IQ_ISM_SERVICES_INDEX_YOY" hidden="1">"c11864"</definedName>
    <definedName name="IQ_ISM_SERVICES_POP_FC_UNUSED" hidden="1">"c8003"</definedName>
    <definedName name="IQ_ISM_SERVICES_POP_FC_UNUSED_UNUSED_UNUSED" hidden="1">"c8003"</definedName>
    <definedName name="IQ_ISM_SERVICES_POP_UNUSED" hidden="1">"c7123"</definedName>
    <definedName name="IQ_ISM_SERVICES_POP_UNUSED_UNUSED_UNUSED" hidden="1">"c7123"</definedName>
    <definedName name="IQ_ISM_SERVICES_UNUSED" hidden="1">"c6903"</definedName>
    <definedName name="IQ_ISM_SERVICES_UNUSED_UNUSED_UNUSED" hidden="1">"c6903"</definedName>
    <definedName name="IQ_ISM_SERVICES_YOY_FC_UNUSED" hidden="1">"c8223"</definedName>
    <definedName name="IQ_ISM_SERVICES_YOY_FC_UNUSED_UNUSED_UNUSED" hidden="1">"c8223"</definedName>
    <definedName name="IQ_ISM_SERVICES_YOY_UNUSED" hidden="1">"c7343"</definedName>
    <definedName name="IQ_ISM_SERVICES_YOY_UNUSED_UNUSED_UNUSED" hidden="1">"c7343"</definedName>
    <definedName name="IQ_ISS_DEBT_NET" hidden="1">"c1391"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RGE_CAP_LABOR_COST_INDEX" hidden="1">"c6904"</definedName>
    <definedName name="IQ_LARGE_CAP_LABOR_COST_INDEX_APR" hidden="1">"c7564"</definedName>
    <definedName name="IQ_LARGE_CAP_LABOR_COST_INDEX_APR_FC" hidden="1">"c8444"</definedName>
    <definedName name="IQ_LARGE_CAP_LABOR_COST_INDEX_FC" hidden="1">"c7784"</definedName>
    <definedName name="IQ_LARGE_CAP_LABOR_COST_INDEX_POP" hidden="1">"c7124"</definedName>
    <definedName name="IQ_LARGE_CAP_LABOR_COST_INDEX_POP_FC" hidden="1">"c8004"</definedName>
    <definedName name="IQ_LARGE_CAP_LABOR_COST_INDEX_YOY" hidden="1">"c7344"</definedName>
    <definedName name="IQ_LARGE_CAP_LABOR_COST_INDEX_YOY_FC" hidden="1">"c8224"</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_MONTHLY_FACTOR" hidden="1">"c8971"</definedName>
    <definedName name="IQ_LATEST_MONTHLY_FACTOR_DATE" hidden="1">"c8972"</definedName>
    <definedName name="IQ_LATESTK" hidden="1">1000</definedName>
    <definedName name="IQ_LATESTQ" hidden="1">500</definedName>
    <definedName name="IQ_LEAD_UNDERWRITER" hidden="1">"c8957"</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AB_AP" hidden="1">"c8886"</definedName>
    <definedName name="IQ_LIAB_AP_ABS" hidden="1">"c8905"</definedName>
    <definedName name="IQ_LIAB_NAME_AP" hidden="1">"c8924"</definedName>
    <definedName name="IQ_LIAB_NAME_AP_ABS" hidden="1">"c8943"</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"c1386"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CIQ" hidden="1">"c4660"</definedName>
    <definedName name="IQ_LOW_TARGET_PRICE_REUT" hidden="1">"c5318"</definedName>
    <definedName name="IQ_LOWPRICE" hidden="1">"c673"</definedName>
    <definedName name="IQ_LT_ASSETS_AP" hidden="1">"c8882"</definedName>
    <definedName name="IQ_LT_ASSETS_AP_ABS" hidden="1">"c8901"</definedName>
    <definedName name="IQ_LT_ASSETS_NAME_AP" hidden="1">"c8920"</definedName>
    <definedName name="IQ_LT_ASSETS_NAME_AP_ABS" hidden="1">"c8939"</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LIAB_AP" hidden="1">"c8885"</definedName>
    <definedName name="IQ_LT_LIAB_AP_ABS" hidden="1">"c8904"</definedName>
    <definedName name="IQ_LT_LIAB_NAME_AP" hidden="1">"c8923"</definedName>
    <definedName name="IQ_LT_LIAB_NAME_AP_ABS" hidden="1">"c8942"</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1" hidden="1">"c6906"</definedName>
    <definedName name="IQ_M1_APR" hidden="1">"c7566"</definedName>
    <definedName name="IQ_M1_APR_FC" hidden="1">"c8446"</definedName>
    <definedName name="IQ_M1_FC" hidden="1">"c7786"</definedName>
    <definedName name="IQ_M1_POP" hidden="1">"c7126"</definedName>
    <definedName name="IQ_M1_POP_FC" hidden="1">"c8006"</definedName>
    <definedName name="IQ_M1_YOY" hidden="1">"c7346"</definedName>
    <definedName name="IQ_M1_YOY_FC" hidden="1">"c8226"</definedName>
    <definedName name="IQ_M2" hidden="1">"c6907"</definedName>
    <definedName name="IQ_M2_APR" hidden="1">"c7567"</definedName>
    <definedName name="IQ_M2_APR_FC" hidden="1">"c8447"</definedName>
    <definedName name="IQ_M2_FC" hidden="1">"c7787"</definedName>
    <definedName name="IQ_M2_POP" hidden="1">"c7127"</definedName>
    <definedName name="IQ_M2_POP_FC" hidden="1">"c8007"</definedName>
    <definedName name="IQ_M2_YOY" hidden="1">"c7347"</definedName>
    <definedName name="IQ_M2_YOY_FC" hidden="1">"c8227"</definedName>
    <definedName name="IQ_M3" hidden="1">"c6908"</definedName>
    <definedName name="IQ_M3_APR" hidden="1">"c7568"</definedName>
    <definedName name="IQ_M3_APR_FC" hidden="1">"c8448"</definedName>
    <definedName name="IQ_M3_FC" hidden="1">"c7788"</definedName>
    <definedName name="IQ_M3_POP" hidden="1">"c7128"</definedName>
    <definedName name="IQ_M3_POP_FC" hidden="1">"c8008"</definedName>
    <definedName name="IQ_M3_YOY" hidden="1">"c7348"</definedName>
    <definedName name="IQ_M3_YOY_FC" hidden="1">"c8228"</definedName>
    <definedName name="IQ_MACHINERY" hidden="1">"c711"</definedName>
    <definedName name="IQ_MAINT_CAPEX" hidden="1">"c2947"</definedName>
    <definedName name="IQ_MAINT_CAPEX_ACT_OR_EST" hidden="1">"c4458"</definedName>
    <definedName name="IQ_MAINT_CAPEX_ACT_OR_EST_CIQ" hidden="1">"c4987"</definedName>
    <definedName name="IQ_MAINT_REPAIR" hidden="1">"c2087"</definedName>
    <definedName name="IQ_MAKE_WHOLE_END_DATE" hidden="1">"c2493"</definedName>
    <definedName name="IQ_MAKE_WHOLE_SPREAD" hidden="1">"c2494"</definedName>
    <definedName name="IQ_MAKE_WHOLE_START_DATE" hidden="1">"c2492"</definedName>
    <definedName name="IQ_MAN_INVENTORIES" hidden="1">"c6913"</definedName>
    <definedName name="IQ_MAN_INVENTORIES_APR" hidden="1">"c7573"</definedName>
    <definedName name="IQ_MAN_INVENTORIES_APR_FC" hidden="1">"c8453"</definedName>
    <definedName name="IQ_MAN_INVENTORIES_FC" hidden="1">"c7793"</definedName>
    <definedName name="IQ_MAN_INVENTORIES_POP" hidden="1">"c7133"</definedName>
    <definedName name="IQ_MAN_INVENTORIES_POP_FC" hidden="1">"c8013"</definedName>
    <definedName name="IQ_MAN_INVENTORIES_YOY" hidden="1">"c7353"</definedName>
    <definedName name="IQ_MAN_INVENTORIES_YOY_FC" hidden="1">"c8233"</definedName>
    <definedName name="IQ_MAN_IS_RATIO" hidden="1">"c6912"</definedName>
    <definedName name="IQ_MAN_IS_RATIO_APR" hidden="1">"c7572"</definedName>
    <definedName name="IQ_MAN_IS_RATIO_APR_FC" hidden="1">"c8452"</definedName>
    <definedName name="IQ_MAN_IS_RATIO_FC" hidden="1">"c7792"</definedName>
    <definedName name="IQ_MAN_IS_RATIO_POP" hidden="1">"c7132"</definedName>
    <definedName name="IQ_MAN_IS_RATIO_POP_FC" hidden="1">"c8012"</definedName>
    <definedName name="IQ_MAN_IS_RATIO_YOY" hidden="1">"c7352"</definedName>
    <definedName name="IQ_MAN_IS_RATIO_YOY_FC" hidden="1">"c8232"</definedName>
    <definedName name="IQ_MAN_ORDERS" hidden="1">"c6914"</definedName>
    <definedName name="IQ_MAN_ORDERS_APR" hidden="1">"c7574"</definedName>
    <definedName name="IQ_MAN_ORDERS_APR_FC" hidden="1">"c8454"</definedName>
    <definedName name="IQ_MAN_ORDERS_FC" hidden="1">"c7794"</definedName>
    <definedName name="IQ_MAN_ORDERS_POP" hidden="1">"c7134"</definedName>
    <definedName name="IQ_MAN_ORDERS_POP_FC" hidden="1">"c8014"</definedName>
    <definedName name="IQ_MAN_ORDERS_YOY" hidden="1">"c7354"</definedName>
    <definedName name="IQ_MAN_ORDERS_YOY_FC" hidden="1">"c8234"</definedName>
    <definedName name="IQ_MAN_OUTPUT_HR" hidden="1">"c6915"</definedName>
    <definedName name="IQ_MAN_OUTPUT_HR_APR" hidden="1">"c7575"</definedName>
    <definedName name="IQ_MAN_OUTPUT_HR_APR_FC" hidden="1">"c8455"</definedName>
    <definedName name="IQ_MAN_OUTPUT_HR_FC" hidden="1">"c7795"</definedName>
    <definedName name="IQ_MAN_OUTPUT_HR_POP" hidden="1">"c7135"</definedName>
    <definedName name="IQ_MAN_OUTPUT_HR_POP_FC" hidden="1">"c8015"</definedName>
    <definedName name="IQ_MAN_OUTPUT_HR_YOY" hidden="1">"c7355"</definedName>
    <definedName name="IQ_MAN_OUTPUT_HR_YOY_FC" hidden="1">"c8235"</definedName>
    <definedName name="IQ_MAN_PAYROLLS" hidden="1">"c6916"</definedName>
    <definedName name="IQ_MAN_PAYROLLS_APR" hidden="1">"c7576"</definedName>
    <definedName name="IQ_MAN_PAYROLLS_APR_FC" hidden="1">"c8456"</definedName>
    <definedName name="IQ_MAN_PAYROLLS_FC" hidden="1">"c7796"</definedName>
    <definedName name="IQ_MAN_PAYROLLS_POP" hidden="1">"c7136"</definedName>
    <definedName name="IQ_MAN_PAYROLLS_POP_FC" hidden="1">"c8016"</definedName>
    <definedName name="IQ_MAN_PAYROLLS_YOY" hidden="1">"c7356"</definedName>
    <definedName name="IQ_MAN_PAYROLLS_YOY_FC" hidden="1">"c8236"</definedName>
    <definedName name="IQ_MAN_SHIPMENTS" hidden="1">"c6917"</definedName>
    <definedName name="IQ_MAN_SHIPMENTS_APR" hidden="1">"c7577"</definedName>
    <definedName name="IQ_MAN_SHIPMENTS_APR_FC" hidden="1">"c8457"</definedName>
    <definedName name="IQ_MAN_SHIPMENTS_FC" hidden="1">"c7797"</definedName>
    <definedName name="IQ_MAN_SHIPMENTS_POP" hidden="1">"c7137"</definedName>
    <definedName name="IQ_MAN_SHIPMENTS_POP_FC" hidden="1">"c8017"</definedName>
    <definedName name="IQ_MAN_SHIPMENTS_YOY" hidden="1">"c7357"</definedName>
    <definedName name="IQ_MAN_SHIPMENTS_YOY_FC" hidden="1">"c8237"</definedName>
    <definedName name="IQ_MAN_TOTAL_HR" hidden="1">"c6918"</definedName>
    <definedName name="IQ_MAN_TOTAL_HR_APR" hidden="1">"c7578"</definedName>
    <definedName name="IQ_MAN_TOTAL_HR_APR_FC" hidden="1">"c8458"</definedName>
    <definedName name="IQ_MAN_TOTAL_HR_FC" hidden="1">"c7798"</definedName>
    <definedName name="IQ_MAN_TOTAL_HR_POP" hidden="1">"c7138"</definedName>
    <definedName name="IQ_MAN_TOTAL_HR_POP_FC" hidden="1">"c8018"</definedName>
    <definedName name="IQ_MAN_TOTAL_HR_YOY" hidden="1">"c7358"</definedName>
    <definedName name="IQ_MAN_TOTAL_HR_YOY_FC" hidden="1">"c8238"</definedName>
    <definedName name="IQ_MAN_TRADE_INVENTORIES" hidden="1">"c6910"</definedName>
    <definedName name="IQ_MAN_TRADE_INVENTORIES_APR" hidden="1">"c7570"</definedName>
    <definedName name="IQ_MAN_TRADE_INVENTORIES_APR_FC" hidden="1">"c8450"</definedName>
    <definedName name="IQ_MAN_TRADE_INVENTORIES_FC" hidden="1">"c7790"</definedName>
    <definedName name="IQ_MAN_TRADE_INVENTORIES_POP" hidden="1">"c7130"</definedName>
    <definedName name="IQ_MAN_TRADE_INVENTORIES_POP_FC" hidden="1">"c8010"</definedName>
    <definedName name="IQ_MAN_TRADE_INVENTORIES_YOY" hidden="1">"c7350"</definedName>
    <definedName name="IQ_MAN_TRADE_INVENTORIES_YOY_FC" hidden="1">"c8230"</definedName>
    <definedName name="IQ_MAN_TRADE_IS_RATIO" hidden="1">"c6909"</definedName>
    <definedName name="IQ_MAN_TRADE_IS_RATIO_FC" hidden="1">"c7789"</definedName>
    <definedName name="IQ_MAN_TRADE_IS_RATIO_POP" hidden="1">"c7129"</definedName>
    <definedName name="IQ_MAN_TRADE_IS_RATIO_POP_FC" hidden="1">"c8009"</definedName>
    <definedName name="IQ_MAN_TRADE_IS_RATIO_YOY" hidden="1">"c7349"</definedName>
    <definedName name="IQ_MAN_TRADE_IS_RATIO_YOY_FC" hidden="1">"c8229"</definedName>
    <definedName name="IQ_MAN_TRADE_SALES" hidden="1">"c6911"</definedName>
    <definedName name="IQ_MAN_TRADE_SALES_APR" hidden="1">"c7571"</definedName>
    <definedName name="IQ_MAN_TRADE_SALES_APR_FC" hidden="1">"c8451"</definedName>
    <definedName name="IQ_MAN_TRADE_SALES_FC" hidden="1">"c7791"</definedName>
    <definedName name="IQ_MAN_TRADE_SALES_POP" hidden="1">"c7131"</definedName>
    <definedName name="IQ_MAN_TRADE_SALES_POP_FC" hidden="1">"c8011"</definedName>
    <definedName name="IQ_MAN_TRADE_SALES_YOY" hidden="1">"c7351"</definedName>
    <definedName name="IQ_MAN_TRADE_SALES_YOY_FC" hidden="1">"c8231"</definedName>
    <definedName name="IQ_MAN_WAGES" hidden="1">"c6919"</definedName>
    <definedName name="IQ_MAN_WAGES_APR" hidden="1">"c7579"</definedName>
    <definedName name="IQ_MAN_WAGES_APR_FC" hidden="1">"c8459"</definedName>
    <definedName name="IQ_MAN_WAGES_FC" hidden="1">"c7799"</definedName>
    <definedName name="IQ_MAN_WAGES_POP" hidden="1">"c7139"</definedName>
    <definedName name="IQ_MAN_WAGES_POP_FC" hidden="1">"c8019"</definedName>
    <definedName name="IQ_MAN_WAGES_YOY" hidden="1">"c7359"</definedName>
    <definedName name="IQ_MAN_WAGES_YOY_FC" hidden="1">"c8239"</definedName>
    <definedName name="IQ_MANAGED_PROP" hidden="1">"c8763"</definedName>
    <definedName name="IQ_MANAGED_SQ_FT" hidden="1">"c8779"</definedName>
    <definedName name="IQ_MANAGED_UNITS" hidden="1">"c8771"</definedName>
    <definedName name="IQ_MARGIN_ANNUAL_PREMIUM_EQUIVALENT_NEW_BUSINESS" hidden="1">"c9970"</definedName>
    <definedName name="IQ_MARGIN_PV_PREMIUMS_NEW_BUSINESS" hidden="1">"c9971"</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ASO_COVERED_LIVES" hidden="1">"c9918"</definedName>
    <definedName name="IQ_MC_ASO_MEMBERSHIP" hidden="1">"c9921"</definedName>
    <definedName name="IQ_MC_CLAIMS_RESERVES" hidden="1">"c9941"</definedName>
    <definedName name="IQ_MC_COMBINED_RATIO" hidden="1">"c9933"</definedName>
    <definedName name="IQ_MC_DAYS_CLAIMS_PAYABLE" hidden="1">"c9937"</definedName>
    <definedName name="IQ_MC_DAYS_CLAIMS_PAYABLE_EXCL_CAPITATION" hidden="1">"c9938"</definedName>
    <definedName name="IQ_MC_MEDICAL_COSTS_PMPM" hidden="1">"c9925"</definedName>
    <definedName name="IQ_MC_PARENT_CASH" hidden="1">"c9942"</definedName>
    <definedName name="IQ_MC_PREMIUMS_PMPM" hidden="1">"c9924"</definedName>
    <definedName name="IQ_MC_RATIO" hidden="1">"c2783"</definedName>
    <definedName name="IQ_MC_RECEIPT_CYCLE_TIME_DAYS" hidden="1">"c9939"</definedName>
    <definedName name="IQ_MC_RECEIPT_CYCLE_TIME_MONTHS" hidden="1">"c9940"</definedName>
    <definedName name="IQ_MC_RISK_COVERED_LIVES" hidden="1">"c9917"</definedName>
    <definedName name="IQ_MC_RISK_MEMBERSHIP" hidden="1">"c9920"</definedName>
    <definedName name="IQ_MC_SELLILNG_COSTS_RATIO" hidden="1">"c9928"</definedName>
    <definedName name="IQ_MC_SGA_PMPM" hidden="1">"c9926"</definedName>
    <definedName name="IQ_MC_STATUTORY_SURPLUS" hidden="1">"c2772"</definedName>
    <definedName name="IQ_MC_TOTAL_COVERED_LIVES" hidden="1">"c9919"</definedName>
    <definedName name="IQ_MC_TOTAL_MEMBERSHIP" hidden="1">"c9922"</definedName>
    <definedName name="IQ_MC_TOTAL_MEMBERSHIP_CAPITATION" hidden="1">"c9923"</definedName>
    <definedName name="IQ_MC_UNPROCESSED_CLAIMS_INVENTORY_DAYS" hidden="1">"c9936"</definedName>
    <definedName name="IQ_MC_UNPROCESSED_CLAIMS_INVENTORY_NUMBER" hidden="1">"c9934"</definedName>
    <definedName name="IQ_MC_UNPROCESSED_CLAIMS_INVENTORY_VALUE" hidden="1">"c9935"</definedName>
    <definedName name="IQ_MEASURED_ATTRIB_ORE_RESOURCES_ALUM" hidden="1">"c9237"</definedName>
    <definedName name="IQ_MEASURED_ATTRIB_ORE_RESOURCES_COP" hidden="1">"c9181"</definedName>
    <definedName name="IQ_MEASURED_ATTRIB_ORE_RESOURCES_DIAM" hidden="1">"c9661"</definedName>
    <definedName name="IQ_MEASURED_ATTRIB_ORE_RESOURCES_GOLD" hidden="1">"c9022"</definedName>
    <definedName name="IQ_MEASURED_ATTRIB_ORE_RESOURCES_IRON" hidden="1">"c9396"</definedName>
    <definedName name="IQ_MEASURED_ATTRIB_ORE_RESOURCES_LEAD" hidden="1">"c9449"</definedName>
    <definedName name="IQ_MEASURED_ATTRIB_ORE_RESOURCES_MANG" hidden="1">"c9502"</definedName>
    <definedName name="IQ_MEASURED_ATTRIB_ORE_RESOURCES_MOLYB" hidden="1">"c9714"</definedName>
    <definedName name="IQ_MEASURED_ATTRIB_ORE_RESOURCES_NICK" hidden="1">"c9290"</definedName>
    <definedName name="IQ_MEASURED_ATTRIB_ORE_RESOURCES_PLAT" hidden="1">"c9128"</definedName>
    <definedName name="IQ_MEASURED_ATTRIB_ORE_RESOURCES_SILVER" hidden="1">"c9075"</definedName>
    <definedName name="IQ_MEASURED_ATTRIB_ORE_RESOURCES_TITAN" hidden="1">"c9555"</definedName>
    <definedName name="IQ_MEASURED_ATTRIB_ORE_RESOURCES_URAN" hidden="1">"c9608"</definedName>
    <definedName name="IQ_MEASURED_ATTRIB_ORE_RESOURCES_ZINC" hidden="1">"c9343"</definedName>
    <definedName name="IQ_MEASURED_INDICATED_ATTRIB_ORE_RESOURCES_ALUM" hidden="1">"c9239"</definedName>
    <definedName name="IQ_MEASURED_INDICATED_ATTRIB_ORE_RESOURCES_COP" hidden="1">"c9183"</definedName>
    <definedName name="IQ_MEASURED_INDICATED_ATTRIB_ORE_RESOURCES_DIAM" hidden="1">"c9663"</definedName>
    <definedName name="IQ_MEASURED_INDICATED_ATTRIB_ORE_RESOURCES_GOLD" hidden="1">"c9024"</definedName>
    <definedName name="IQ_MEASURED_INDICATED_ATTRIB_ORE_RESOURCES_IRON" hidden="1">"c9398"</definedName>
    <definedName name="IQ_MEASURED_INDICATED_ATTRIB_ORE_RESOURCES_LEAD" hidden="1">"c9451"</definedName>
    <definedName name="IQ_MEASURED_INDICATED_ATTRIB_ORE_RESOURCES_MANG" hidden="1">"c9504"</definedName>
    <definedName name="IQ_MEASURED_INDICATED_ATTRIB_ORE_RESOURCES_MOLYB" hidden="1">"c9716"</definedName>
    <definedName name="IQ_MEASURED_INDICATED_ATTRIB_ORE_RESOURCES_NICK" hidden="1">"c9292"</definedName>
    <definedName name="IQ_MEASURED_INDICATED_ATTRIB_ORE_RESOURCES_PLAT" hidden="1">"c9130"</definedName>
    <definedName name="IQ_MEASURED_INDICATED_ATTRIB_ORE_RESOURCES_SILVER" hidden="1">"c9077"</definedName>
    <definedName name="IQ_MEASURED_INDICATED_ATTRIB_ORE_RESOURCES_TITAN" hidden="1">"c9557"</definedName>
    <definedName name="IQ_MEASURED_INDICATED_ATTRIB_ORE_RESOURCES_URAN" hidden="1">"c9610"</definedName>
    <definedName name="IQ_MEASURED_INDICATED_ATTRIB_ORE_RESOURCES_ZINC" hidden="1">"c9345"</definedName>
    <definedName name="IQ_MEASURED_INDICATED_ORE_RESOURCES_ALUM" hidden="1">"c9226"</definedName>
    <definedName name="IQ_MEASURED_INDICATED_ORE_RESOURCES_COP" hidden="1">"c9170"</definedName>
    <definedName name="IQ_MEASURED_INDICATED_ORE_RESOURCES_DIAM" hidden="1">"c9650"</definedName>
    <definedName name="IQ_MEASURED_INDICATED_ORE_RESOURCES_GOLD" hidden="1">"c9011"</definedName>
    <definedName name="IQ_MEASURED_INDICATED_ORE_RESOURCES_IRON" hidden="1">"c9385"</definedName>
    <definedName name="IQ_MEASURED_INDICATED_ORE_RESOURCES_LEAD" hidden="1">"c9438"</definedName>
    <definedName name="IQ_MEASURED_INDICATED_ORE_RESOURCES_MANG" hidden="1">"c9491"</definedName>
    <definedName name="IQ_MEASURED_INDICATED_ORE_RESOURCES_MOLYB" hidden="1">"c9703"</definedName>
    <definedName name="IQ_MEASURED_INDICATED_ORE_RESOURCES_NICK" hidden="1">"c9279"</definedName>
    <definedName name="IQ_MEASURED_INDICATED_ORE_RESOURCES_PLAT" hidden="1">"c9117"</definedName>
    <definedName name="IQ_MEASURED_INDICATED_ORE_RESOURCES_SILVER" hidden="1">"c9064"</definedName>
    <definedName name="IQ_MEASURED_INDICATED_ORE_RESOURCES_TITAN" hidden="1">"c9544"</definedName>
    <definedName name="IQ_MEASURED_INDICATED_ORE_RESOURCES_URAN" hidden="1">"c9597"</definedName>
    <definedName name="IQ_MEASURED_INDICATED_ORE_RESOURCES_ZINC" hidden="1">"c9332"</definedName>
    <definedName name="IQ_MEASURED_INDICATED_RECOV_RESOURCES_ALUM" hidden="1">"c9234"</definedName>
    <definedName name="IQ_MEASURED_INDICATED_RECOV_RESOURCES_COAL" hidden="1">"c9813"</definedName>
    <definedName name="IQ_MEASURED_INDICATED_RECOV_RESOURCES_COP" hidden="1">"c9178"</definedName>
    <definedName name="IQ_MEASURED_INDICATED_RECOV_RESOURCES_DIAM" hidden="1">"c9658"</definedName>
    <definedName name="IQ_MEASURED_INDICATED_RECOV_RESOURCES_GOLD" hidden="1">"c9019"</definedName>
    <definedName name="IQ_MEASURED_INDICATED_RECOV_RESOURCES_IRON" hidden="1">"c9393"</definedName>
    <definedName name="IQ_MEASURED_INDICATED_RECOV_RESOURCES_LEAD" hidden="1">"c9446"</definedName>
    <definedName name="IQ_MEASURED_INDICATED_RECOV_RESOURCES_MANG" hidden="1">"c9499"</definedName>
    <definedName name="IQ_MEASURED_INDICATED_RECOV_RESOURCES_MET_COAL" hidden="1">"c9753"</definedName>
    <definedName name="IQ_MEASURED_INDICATED_RECOV_RESOURCES_MOLYB" hidden="1">"c9711"</definedName>
    <definedName name="IQ_MEASURED_INDICATED_RECOV_RESOURCES_NICK" hidden="1">"c9287"</definedName>
    <definedName name="IQ_MEASURED_INDICATED_RECOV_RESOURCES_PLAT" hidden="1">"c9125"</definedName>
    <definedName name="IQ_MEASURED_INDICATED_RECOV_RESOURCES_SILVER" hidden="1">"c9072"</definedName>
    <definedName name="IQ_MEASURED_INDICATED_RECOV_RESOURCES_STEAM" hidden="1">"c9783"</definedName>
    <definedName name="IQ_MEASURED_INDICATED_RECOV_RESOURCES_TITAN" hidden="1">"c9552"</definedName>
    <definedName name="IQ_MEASURED_INDICATED_RECOV_RESOURCES_URAN" hidden="1">"c9605"</definedName>
    <definedName name="IQ_MEASURED_INDICATED_RECOV_RESOURCES_ZINC" hidden="1">"c9340"</definedName>
    <definedName name="IQ_MEASURED_INDICATED_RESOURCES_GRADE_ALUM" hidden="1">"c9227"</definedName>
    <definedName name="IQ_MEASURED_INDICATED_RESOURCES_GRADE_COP" hidden="1">"c9171"</definedName>
    <definedName name="IQ_MEASURED_INDICATED_RESOURCES_GRADE_DIAM" hidden="1">"c9651"</definedName>
    <definedName name="IQ_MEASURED_INDICATED_RESOURCES_GRADE_GOLD" hidden="1">"c9012"</definedName>
    <definedName name="IQ_MEASURED_INDICATED_RESOURCES_GRADE_IRON" hidden="1">"c9386"</definedName>
    <definedName name="IQ_MEASURED_INDICATED_RESOURCES_GRADE_LEAD" hidden="1">"c9439"</definedName>
    <definedName name="IQ_MEASURED_INDICATED_RESOURCES_GRADE_MANG" hidden="1">"c9492"</definedName>
    <definedName name="IQ_MEASURED_INDICATED_RESOURCES_GRADE_MOLYB" hidden="1">"c9704"</definedName>
    <definedName name="IQ_MEASURED_INDICATED_RESOURCES_GRADE_NICK" hidden="1">"c9280"</definedName>
    <definedName name="IQ_MEASURED_INDICATED_RESOURCES_GRADE_PLAT" hidden="1">"c9118"</definedName>
    <definedName name="IQ_MEASURED_INDICATED_RESOURCES_GRADE_SILVER" hidden="1">"c9065"</definedName>
    <definedName name="IQ_MEASURED_INDICATED_RESOURCES_GRADE_TITAN" hidden="1">"c9545"</definedName>
    <definedName name="IQ_MEASURED_INDICATED_RESOURCES_GRADE_URAN" hidden="1">"c9598"</definedName>
    <definedName name="IQ_MEASURED_INDICATED_RESOURCES_GRADE_ZINC" hidden="1">"c9333"</definedName>
    <definedName name="IQ_MEASURED_ORE_RESOURCES_ALUM" hidden="1">"c9222"</definedName>
    <definedName name="IQ_MEASURED_ORE_RESOURCES_COP" hidden="1">"c9166"</definedName>
    <definedName name="IQ_MEASURED_ORE_RESOURCES_DIAM" hidden="1">"c9646"</definedName>
    <definedName name="IQ_MEASURED_ORE_RESOURCES_GOLD" hidden="1">"c9007"</definedName>
    <definedName name="IQ_MEASURED_ORE_RESOURCES_IRON" hidden="1">"c9381"</definedName>
    <definedName name="IQ_MEASURED_ORE_RESOURCES_LEAD" hidden="1">"c9434"</definedName>
    <definedName name="IQ_MEASURED_ORE_RESOURCES_MANG" hidden="1">"c9487"</definedName>
    <definedName name="IQ_MEASURED_ORE_RESOURCES_MOLYB" hidden="1">"c9699"</definedName>
    <definedName name="IQ_MEASURED_ORE_RESOURCES_NICK" hidden="1">"c9275"</definedName>
    <definedName name="IQ_MEASURED_ORE_RESOURCES_PLAT" hidden="1">"c9113"</definedName>
    <definedName name="IQ_MEASURED_ORE_RESOURCES_SILVER" hidden="1">"c9060"</definedName>
    <definedName name="IQ_MEASURED_ORE_RESOURCES_TITAN" hidden="1">"c9540"</definedName>
    <definedName name="IQ_MEASURED_ORE_RESOURCES_URAN" hidden="1">"c9593"</definedName>
    <definedName name="IQ_MEASURED_ORE_RESOURCES_ZINC" hidden="1">"c9328"</definedName>
    <definedName name="IQ_MEASURED_RECOV_ATTRIB_RESOURCES_ALUM" hidden="1">"c9242"</definedName>
    <definedName name="IQ_MEASURED_RECOV_ATTRIB_RESOURCES_COAL" hidden="1">"c9816"</definedName>
    <definedName name="IQ_MEASURED_RECOV_ATTRIB_RESOURCES_COP" hidden="1">"c9186"</definedName>
    <definedName name="IQ_MEASURED_RECOV_ATTRIB_RESOURCES_DIAM" hidden="1">"c9666"</definedName>
    <definedName name="IQ_MEASURED_RECOV_ATTRIB_RESOURCES_GOLD" hidden="1">"c9027"</definedName>
    <definedName name="IQ_MEASURED_RECOV_ATTRIB_RESOURCES_IRON" hidden="1">"c9401"</definedName>
    <definedName name="IQ_MEASURED_RECOV_ATTRIB_RESOURCES_LEAD" hidden="1">"c9454"</definedName>
    <definedName name="IQ_MEASURED_RECOV_ATTRIB_RESOURCES_MANG" hidden="1">"c9507"</definedName>
    <definedName name="IQ_MEASURED_RECOV_ATTRIB_RESOURCES_MET_COAL" hidden="1">"c9756"</definedName>
    <definedName name="IQ_MEASURED_RECOV_ATTRIB_RESOURCES_MOLYB" hidden="1">"c9719"</definedName>
    <definedName name="IQ_MEASURED_RECOV_ATTRIB_RESOURCES_NICK" hidden="1">"c9295"</definedName>
    <definedName name="IQ_MEASURED_RECOV_ATTRIB_RESOURCES_PLAT" hidden="1">"c9133"</definedName>
    <definedName name="IQ_MEASURED_RECOV_ATTRIB_RESOURCES_SILVER" hidden="1">"c9080"</definedName>
    <definedName name="IQ_MEASURED_RECOV_ATTRIB_RESOURCES_STEAM" hidden="1">"c9786"</definedName>
    <definedName name="IQ_MEASURED_RECOV_ATTRIB_RESOURCES_TITAN" hidden="1">"c9560"</definedName>
    <definedName name="IQ_MEASURED_RECOV_ATTRIB_RESOURCES_URAN" hidden="1">"c9613"</definedName>
    <definedName name="IQ_MEASURED_RECOV_ATTRIB_RESOURCES_ZINC" hidden="1">"c9348"</definedName>
    <definedName name="IQ_MEASURED_RECOV_RESOURCES_ALUM" hidden="1">"c9232"</definedName>
    <definedName name="IQ_MEASURED_RECOV_RESOURCES_COAL" hidden="1">"c9811"</definedName>
    <definedName name="IQ_MEASURED_RECOV_RESOURCES_COP" hidden="1">"c9176"</definedName>
    <definedName name="IQ_MEASURED_RECOV_RESOURCES_DIAM" hidden="1">"c9656"</definedName>
    <definedName name="IQ_MEASURED_RECOV_RESOURCES_GOLD" hidden="1">"c9017"</definedName>
    <definedName name="IQ_MEASURED_RECOV_RESOURCES_IRON" hidden="1">"c9391"</definedName>
    <definedName name="IQ_MEASURED_RECOV_RESOURCES_LEAD" hidden="1">"c9444"</definedName>
    <definedName name="IQ_MEASURED_RECOV_RESOURCES_MANG" hidden="1">"c9497"</definedName>
    <definedName name="IQ_MEASURED_RECOV_RESOURCES_MET_COAL" hidden="1">"c9751"</definedName>
    <definedName name="IQ_MEASURED_RECOV_RESOURCES_MOLYB" hidden="1">"c9709"</definedName>
    <definedName name="IQ_MEASURED_RECOV_RESOURCES_NICK" hidden="1">"c9285"</definedName>
    <definedName name="IQ_MEASURED_RECOV_RESOURCES_PLAT" hidden="1">"c9123"</definedName>
    <definedName name="IQ_MEASURED_RECOV_RESOURCES_SILVER" hidden="1">"c9070"</definedName>
    <definedName name="IQ_MEASURED_RECOV_RESOURCES_STEAM" hidden="1">"c9781"</definedName>
    <definedName name="IQ_MEASURED_RECOV_RESOURCES_TITAN" hidden="1">"c9550"</definedName>
    <definedName name="IQ_MEASURED_RECOV_RESOURCES_URAN" hidden="1">"c9603"</definedName>
    <definedName name="IQ_MEASURED_RECOV_RESOURCES_ZINC" hidden="1">"c9338"</definedName>
    <definedName name="IQ_MEASURED_RESOURCES_CALORIFIC_VALUE_COAL" hidden="1">"c9806"</definedName>
    <definedName name="IQ_MEASURED_RESOURCES_CALORIFIC_VALUE_MET_COAL" hidden="1">"c9746"</definedName>
    <definedName name="IQ_MEASURED_RESOURCES_CALORIFIC_VALUE_STEAM" hidden="1">"c9776"</definedName>
    <definedName name="IQ_MEASURED_RESOURCES_GRADE_ALUM" hidden="1">"c9223"</definedName>
    <definedName name="IQ_MEASURED_RESOURCES_GRADE_COP" hidden="1">"c9167"</definedName>
    <definedName name="IQ_MEASURED_RESOURCES_GRADE_DIAM" hidden="1">"c9647"</definedName>
    <definedName name="IQ_MEASURED_RESOURCES_GRADE_GOLD" hidden="1">"c9008"</definedName>
    <definedName name="IQ_MEASURED_RESOURCES_GRADE_IRON" hidden="1">"c9382"</definedName>
    <definedName name="IQ_MEASURED_RESOURCES_GRADE_LEAD" hidden="1">"c9435"</definedName>
    <definedName name="IQ_MEASURED_RESOURCES_GRADE_MANG" hidden="1">"c9488"</definedName>
    <definedName name="IQ_MEASURED_RESOURCES_GRADE_MOLYB" hidden="1">"c9700"</definedName>
    <definedName name="IQ_MEASURED_RESOURCES_GRADE_NICK" hidden="1">"c9276"</definedName>
    <definedName name="IQ_MEASURED_RESOURCES_GRADE_PLAT" hidden="1">"c9114"</definedName>
    <definedName name="IQ_MEASURED_RESOURCES_GRADE_SILVER" hidden="1">"c9061"</definedName>
    <definedName name="IQ_MEASURED_RESOURCES_GRADE_TITAN" hidden="1">"c9541"</definedName>
    <definedName name="IQ_MEASURED_RESOURCES_GRADE_URAN" hidden="1">"c9594"</definedName>
    <definedName name="IQ_MEASURED_RESOURCES_GRADE_ZINC" hidden="1">"c9329"</definedName>
    <definedName name="IQ_MEDIAN_NEW_HOME_SALES_APR_FC_UNUSED" hidden="1">"c8460"</definedName>
    <definedName name="IQ_MEDIAN_NEW_HOME_SALES_APR_FC_UNUSED_UNUSED_UNUSED" hidden="1">"c8460"</definedName>
    <definedName name="IQ_MEDIAN_NEW_HOME_SALES_APR_UNUSED" hidden="1">"c7580"</definedName>
    <definedName name="IQ_MEDIAN_NEW_HOME_SALES_APR_UNUSED_UNUSED_UNUSED" hidden="1">"c7580"</definedName>
    <definedName name="IQ_MEDIAN_NEW_HOME_SALES_FC_UNUSED" hidden="1">"c7800"</definedName>
    <definedName name="IQ_MEDIAN_NEW_HOME_SALES_FC_UNUSED_UNUSED_UNUSED" hidden="1">"c7800"</definedName>
    <definedName name="IQ_MEDIAN_NEW_HOME_SALES_POP_FC_UNUSED" hidden="1">"c8020"</definedName>
    <definedName name="IQ_MEDIAN_NEW_HOME_SALES_POP_FC_UNUSED_UNUSED_UNUSED" hidden="1">"c8020"</definedName>
    <definedName name="IQ_MEDIAN_NEW_HOME_SALES_POP_UNUSED" hidden="1">"c7140"</definedName>
    <definedName name="IQ_MEDIAN_NEW_HOME_SALES_POP_UNUSED_UNUSED_UNUSED" hidden="1">"c7140"</definedName>
    <definedName name="IQ_MEDIAN_NEW_HOME_SALES_UNUSED" hidden="1">"c6920"</definedName>
    <definedName name="IQ_MEDIAN_NEW_HOME_SALES_UNUSED_UNUSED_UNUSED" hidden="1">"c6920"</definedName>
    <definedName name="IQ_MEDIAN_NEW_HOME_SALES_YOY_FC_UNUSED" hidden="1">"c8240"</definedName>
    <definedName name="IQ_MEDIAN_NEW_HOME_SALES_YOY_FC_UNUSED_UNUSED_UNUSED" hidden="1">"c8240"</definedName>
    <definedName name="IQ_MEDIAN_NEW_HOME_SALES_YOY_UNUSED" hidden="1">"c7360"</definedName>
    <definedName name="IQ_MEDIAN_NEW_HOME_SALES_YOY_UNUSED_UNUSED_UNUSED" hidden="1">"c7360"</definedName>
    <definedName name="IQ_MEDIAN_TARGET_PRICE" hidden="1">"c1650"</definedName>
    <definedName name="IQ_MEDIAN_TARGET_PRICE_CIQ" hidden="1">"c4658"</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_RECOV_ATTRIB_RESOURCES_ALUM" hidden="1">"c9244"</definedName>
    <definedName name="IQ_MI_RECOV_ATTRIB_RESOURCES_COAL" hidden="1">"c9818"</definedName>
    <definedName name="IQ_MI_RECOV_ATTRIB_RESOURCES_COP" hidden="1">"c9188"</definedName>
    <definedName name="IQ_MI_RECOV_ATTRIB_RESOURCES_DIAM" hidden="1">"c9668"</definedName>
    <definedName name="IQ_MI_RECOV_ATTRIB_RESOURCES_GOLD" hidden="1">"c9029"</definedName>
    <definedName name="IQ_MI_RECOV_ATTRIB_RESOURCES_IRON" hidden="1">"c9403"</definedName>
    <definedName name="IQ_MI_RECOV_ATTRIB_RESOURCES_LEAD" hidden="1">"c9456"</definedName>
    <definedName name="IQ_MI_RECOV_ATTRIB_RESOURCES_MANG" hidden="1">"c9509"</definedName>
    <definedName name="IQ_MI_RECOV_ATTRIB_RESOURCES_MET_COAL" hidden="1">"c9758"</definedName>
    <definedName name="IQ_MI_RECOV_ATTRIB_RESOURCES_MOLYB" hidden="1">"c9721"</definedName>
    <definedName name="IQ_MI_RECOV_ATTRIB_RESOURCES_NICK" hidden="1">"c9297"</definedName>
    <definedName name="IQ_MI_RECOV_ATTRIB_RESOURCES_PLAT" hidden="1">"c9135"</definedName>
    <definedName name="IQ_MI_RECOV_ATTRIB_RESOURCES_SILVER" hidden="1">"c9082"</definedName>
    <definedName name="IQ_MI_RECOV_ATTRIB_RESOURCES_STEAM" hidden="1">"c9788"</definedName>
    <definedName name="IQ_MI_RECOV_ATTRIB_RESOURCES_TITAN" hidden="1">"c9562"</definedName>
    <definedName name="IQ_MI_RECOV_ATTRIB_RESOURCES_URAN" hidden="1">"c9615"</definedName>
    <definedName name="IQ_MI_RECOV_ATTRIB_RESOURCES_ZINC" hidden="1">"c9350"</definedName>
    <definedName name="IQ_MI_RESOURCES_CALORIFIC_VALUE_COAL" hidden="1">"c9808"</definedName>
    <definedName name="IQ_MI_RESOURCES_CALORIFIC_VALUE_MET_COAL" hidden="1">"c9748"</definedName>
    <definedName name="IQ_MI_RESOURCES_CALORIFIC_VALUE_STEAM" hidden="1">"c9778"</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CIQ" hidden="1">"c4041"</definedName>
    <definedName name="IQ_MKTCAP_TOTAL_REV_FWD_REUT" hidden="1">"c4048"</definedName>
    <definedName name="IQ_MM_ACCOUNT" hidden="1">"c743"</definedName>
    <definedName name="IQ_MM_ACCRETION_EXPENSE" hidden="1">"c9845"</definedName>
    <definedName name="IQ_MM_ARO_BEG" hidden="1">"c9842"</definedName>
    <definedName name="IQ_MM_ARO_TOTAL" hidden="1">"c9850"</definedName>
    <definedName name="IQ_MM_CURRENT_PORT_ARO" hidden="1">"c9851"</definedName>
    <definedName name="IQ_MM_DEVELOPED_ACREAGE" hidden="1">"c9832"</definedName>
    <definedName name="IQ_MM_DEVELOPED_SQ_KMS" hidden="1">"c9831"</definedName>
    <definedName name="IQ_MM_DEVELOPED_SQ_MILES" hidden="1">"c9833"</definedName>
    <definedName name="IQ_MM_EXPLORATION_EXPENDITURE_TOT" hidden="1">"c9840"</definedName>
    <definedName name="IQ_MM_FX_ADJUSTMENT" hidden="1">"c9847"</definedName>
    <definedName name="IQ_MM_LIABILITIES_INCURRED_ACQUIRED" hidden="1">"c9843"</definedName>
    <definedName name="IQ_MM_LIABILITIES_REL_SPIN_OFFS" hidden="1">"c9848"</definedName>
    <definedName name="IQ_MM_LIABILITIES_SETTLED_DISPOSED" hidden="1">"c9844"</definedName>
    <definedName name="IQ_MM_NON_CURRENT_PORT_ARO" hidden="1">"c9852"</definedName>
    <definedName name="IQ_MM_NUMBER_MINES" hidden="1">"c9839"</definedName>
    <definedName name="IQ_MM_OTHER_ADJUSTMENTS_ARO" hidden="1">"c9849"</definedName>
    <definedName name="IQ_MM_REMAINING_MINE_LIFE" hidden="1">"c9838"</definedName>
    <definedName name="IQ_MM_RESOURCES_INCL_EXCL_RESERVES" hidden="1">"c9841"</definedName>
    <definedName name="IQ_MM_REVISIONS_ESTIMATE" hidden="1">"c9846"</definedName>
    <definedName name="IQ_MM_STRIPPING_RATIO" hidden="1">"c9837"</definedName>
    <definedName name="IQ_MM_UNDEVELOPED_ACREAGE" hidden="1">"c9835"</definedName>
    <definedName name="IQ_MM_UNDEVELOPED_SQ_KMS" hidden="1">"c9834"</definedName>
    <definedName name="IQ_MM_UNDEVELOPED_SQ_MILES" hidden="1">"c9836"</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ULTIFAMILY_RESIDENTIAL_LOANS_FDIC" hidden="1">"c6311"</definedName>
    <definedName name="IQ_NAPM_BUS_CONDITIONS" hidden="1">"c6921"</definedName>
    <definedName name="IQ_NAPM_BUS_CONDITIONS_APR" hidden="1">"c7581"</definedName>
    <definedName name="IQ_NAPM_BUS_CONDITIONS_APR_FC" hidden="1">"c8461"</definedName>
    <definedName name="IQ_NAPM_BUS_CONDITIONS_FC" hidden="1">"c7801"</definedName>
    <definedName name="IQ_NAPM_BUS_CONDITIONS_POP" hidden="1">"c7141"</definedName>
    <definedName name="IQ_NAPM_BUS_CONDITIONS_POP_FC" hidden="1">"c8021"</definedName>
    <definedName name="IQ_NAPM_BUS_CONDITIONS_YOY" hidden="1">"c7361"</definedName>
    <definedName name="IQ_NAPM_BUS_CONDITIONS_YOY_FC" hidden="1">"c8241"</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AFTER_LL_BNK_SUBTOTAL_AP" hidden="1">"c8979"</definedName>
    <definedName name="IQ_NET_INT_INC_BNK" hidden="1">"c764"</definedName>
    <definedName name="IQ_NET_INT_INC_BNK_AP" hidden="1">"c8874"</definedName>
    <definedName name="IQ_NET_INT_INC_BNK_AP_ABS" hidden="1">"c8893"</definedName>
    <definedName name="IQ_NET_INT_INC_BNK_FDIC" hidden="1">"c6570"</definedName>
    <definedName name="IQ_NET_INT_INC_BNK_NAME_AP" hidden="1">"c8912"</definedName>
    <definedName name="IQ_NET_INT_INC_BNK_NAME_AP_ABS" hidden="1">"c8931"</definedName>
    <definedName name="IQ_NET_INT_INC_BNK_SUBTOTAL_AP" hidden="1">"c8978"</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EXT_YR_PROD_EST_MAX_ALUM" hidden="1">"c9251"</definedName>
    <definedName name="IQ_NEXT_YR_PROD_EST_MAX_CATHODE_COP" hidden="1">"c9198"</definedName>
    <definedName name="IQ_NEXT_YR_PROD_EST_MAX_COP" hidden="1">"c9196"</definedName>
    <definedName name="IQ_NEXT_YR_PROD_EST_MAX_DIAM" hidden="1">"c9675"</definedName>
    <definedName name="IQ_NEXT_YR_PROD_EST_MAX_GOLD" hidden="1">"c9036"</definedName>
    <definedName name="IQ_NEXT_YR_PROD_EST_MAX_IRON" hidden="1">"c9410"</definedName>
    <definedName name="IQ_NEXT_YR_PROD_EST_MAX_LEAD" hidden="1">"c9463"</definedName>
    <definedName name="IQ_NEXT_YR_PROD_EST_MAX_MANG" hidden="1">"c9516"</definedName>
    <definedName name="IQ_NEXT_YR_PROD_EST_MAX_MOLYB" hidden="1">"c9728"</definedName>
    <definedName name="IQ_NEXT_YR_PROD_EST_MAX_NICK" hidden="1">"c9304"</definedName>
    <definedName name="IQ_NEXT_YR_PROD_EST_MAX_PLAT" hidden="1">"c9142"</definedName>
    <definedName name="IQ_NEXT_YR_PROD_EST_MAX_SILVER" hidden="1">"c9089"</definedName>
    <definedName name="IQ_NEXT_YR_PROD_EST_MAX_TITAN" hidden="1">"c9569"</definedName>
    <definedName name="IQ_NEXT_YR_PROD_EST_MAX_URAN" hidden="1">"c9622"</definedName>
    <definedName name="IQ_NEXT_YR_PROD_EST_MAX_ZINC" hidden="1">"c9357"</definedName>
    <definedName name="IQ_NEXT_YR_PROD_EST_MIN_ALUM" hidden="1">"c9250"</definedName>
    <definedName name="IQ_NEXT_YR_PROD_EST_MIN_CATHODE_COP" hidden="1">"c9197"</definedName>
    <definedName name="IQ_NEXT_YR_PROD_EST_MIN_COP" hidden="1">"c9195"</definedName>
    <definedName name="IQ_NEXT_YR_PROD_EST_MIN_DIAM" hidden="1">"c9674"</definedName>
    <definedName name="IQ_NEXT_YR_PROD_EST_MIN_GOLD" hidden="1">"c9035"</definedName>
    <definedName name="IQ_NEXT_YR_PROD_EST_MIN_IRON" hidden="1">"c9409"</definedName>
    <definedName name="IQ_NEXT_YR_PROD_EST_MIN_LEAD" hidden="1">"c9462"</definedName>
    <definedName name="IQ_NEXT_YR_PROD_EST_MIN_MANG" hidden="1">"c9515"</definedName>
    <definedName name="IQ_NEXT_YR_PROD_EST_MIN_MOLYB" hidden="1">"c9727"</definedName>
    <definedName name="IQ_NEXT_YR_PROD_EST_MIN_NICK" hidden="1">"c9303"</definedName>
    <definedName name="IQ_NEXT_YR_PROD_EST_MIN_PLAT" hidden="1">"c9141"</definedName>
    <definedName name="IQ_NEXT_YR_PROD_EST_MIN_SILVER" hidden="1">"c9088"</definedName>
    <definedName name="IQ_NEXT_YR_PROD_EST_MIN_TITAN" hidden="1">"c9568"</definedName>
    <definedName name="IQ_NEXT_YR_PROD_EST_MIN_URAN" hidden="1">"c9621"</definedName>
    <definedName name="IQ_NEXT_YR_PROD_EST_MIN_ZINC" hidden="1">"c9356"</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AVAIL_SUBTOTAL_AP" hidden="1">"c8984"</definedName>
    <definedName name="IQ_NI_BEFORE_CAPITALIZED" hidden="1">"c792"</definedName>
    <definedName name="IQ_NI_CF" hidden="1">"c793"</definedName>
    <definedName name="IQ_NI_CHARGES_AP" hidden="1">"c8879"</definedName>
    <definedName name="IQ_NI_CHARGES_AP_ABS" hidden="1">"c8898"</definedName>
    <definedName name="IQ_NI_CHARGES_NAME_AP" hidden="1">"c8917"</definedName>
    <definedName name="IQ_NI_CHARGES_NAME_AP_ABS" hidden="1">"c8936"</definedName>
    <definedName name="IQ_NI_MARGIN" hidden="1">"c794"</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SBC_ACT_OR_EST" hidden="1">"c4474"</definedName>
    <definedName name="IQ_NI_SBC_ACT_OR_EST_CIQ" hidden="1">"c5012"</definedName>
    <definedName name="IQ_NI_SBC_GW_ACT_OR_EST" hidden="1">"c4478"</definedName>
    <definedName name="IQ_NI_SBC_GW_ACT_OR_EST_CIQ" hidden="1">"c5016"</definedName>
    <definedName name="IQ_NI_SFAS" hidden="1">"c795"</definedName>
    <definedName name="IQ_NI_SUBTOTAL_AP" hidden="1">"c8983"</definedName>
    <definedName name="IQ_NLA_PCT_LEASED_CONSOL" hidden="1">"c8815"</definedName>
    <definedName name="IQ_NLA_PCT_LEASED_MANAGED" hidden="1">"c8817"</definedName>
    <definedName name="IQ_NLA_PCT_LEASED_OTHER" hidden="1">"c8818"</definedName>
    <definedName name="IQ_NLA_PCT_LEASED_TOTAL" hidden="1">"c8819"</definedName>
    <definedName name="IQ_NLA_PCT_LEASED_UNCONSOL" hidden="1">"c8816"</definedName>
    <definedName name="IQ_NLA_SQ_FT_CONSOL" hidden="1">"c8800"</definedName>
    <definedName name="IQ_NLA_SQ_FT_MANAGED" hidden="1">"c8802"</definedName>
    <definedName name="IQ_NLA_SQ_FT_OTHER" hidden="1">"c8803"</definedName>
    <definedName name="IQ_NLA_SQ_FT_TOTAL" hidden="1">"c8804"</definedName>
    <definedName name="IQ_NLA_SQ_FT_UNCONSOL" hidden="1">"c8801"</definedName>
    <definedName name="IQ_NLA_SQ_METER_CONSOL" hidden="1">"c8805"</definedName>
    <definedName name="IQ_NLA_SQ_METER_MANAGED" hidden="1">"c8807"</definedName>
    <definedName name="IQ_NLA_SQ_METER_OTHER" hidden="1">"c8808"</definedName>
    <definedName name="IQ_NLA_SQ_METER_TOTAL" hidden="1">"c8809"</definedName>
    <definedName name="IQ_NLA_SQ_METER_UNCONSOL" hidden="1">"c8806"</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BEARING_DEPOSITS" hidden="1">"c800"</definedName>
    <definedName name="IQ_NON_INT_EXP" hidden="1">"c801"</definedName>
    <definedName name="IQ_NON_INT_EXP_BNK_AP" hidden="1">"c8877"</definedName>
    <definedName name="IQ_NON_INT_EXP_BNK_AP_ABS" hidden="1">"c8896"</definedName>
    <definedName name="IQ_NON_INT_EXP_BNK_NAME_AP" hidden="1">"c8915"</definedName>
    <definedName name="IQ_NON_INT_EXP_BNK_NAME_AP_ABS" hidden="1">"c8934"</definedName>
    <definedName name="IQ_NON_INT_EXP_BNK_SUBTOTAL_AP" hidden="1">"c8981"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BNK_AP" hidden="1">"c8876"</definedName>
    <definedName name="IQ_NON_INT_INC_BNK_AP_ABS" hidden="1">"c8895"</definedName>
    <definedName name="IQ_NON_INT_INC_BNK_NAME_AP" hidden="1">"c8914"</definedName>
    <definedName name="IQ_NON_INT_INC_BNK_NAME_AP_ABS" hidden="1">"c8933"</definedName>
    <definedName name="IQ_NON_INT_INC_BNK_SUBTOTAL_AP" hidden="1">"c8980"</definedName>
    <definedName name="IQ_NON_INT_INC_FDIC" hidden="1">"c6575"</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DEF_CAPITAL_GOODS_ORDERS" hidden="1">"c6932"</definedName>
    <definedName name="IQ_NONDEF_CAPITAL_GOODS_ORDERS_APR" hidden="1">"c7592"</definedName>
    <definedName name="IQ_NONDEF_CAPITAL_GOODS_ORDERS_APR_FC" hidden="1">"c8472"</definedName>
    <definedName name="IQ_NONDEF_CAPITAL_GOODS_ORDERS_FC" hidden="1">"c7812"</definedName>
    <definedName name="IQ_NONDEF_CAPITAL_GOODS_ORDERS_POP" hidden="1">"c7152"</definedName>
    <definedName name="IQ_NONDEF_CAPITAL_GOODS_ORDERS_POP_FC" hidden="1">"c8032"</definedName>
    <definedName name="IQ_NONDEF_CAPITAL_GOODS_ORDERS_YOY" hidden="1">"c7372"</definedName>
    <definedName name="IQ_NONDEF_CAPITAL_GOODS_ORDERS_YOY_FC" hidden="1">"c8252"</definedName>
    <definedName name="IQ_NONDEF_CAPITAL_GOODS_SHIPMENTS" hidden="1">"c6933"</definedName>
    <definedName name="IQ_NONDEF_CAPITAL_GOODS_SHIPMENTS_APR" hidden="1">"c7593"</definedName>
    <definedName name="IQ_NONDEF_CAPITAL_GOODS_SHIPMENTS_APR_FC" hidden="1">"c8473"</definedName>
    <definedName name="IQ_NONDEF_CAPITAL_GOODS_SHIPMENTS_FC" hidden="1">"c7813"</definedName>
    <definedName name="IQ_NONDEF_CAPITAL_GOODS_SHIPMENTS_POP" hidden="1">"c7153"</definedName>
    <definedName name="IQ_NONDEF_CAPITAL_GOODS_SHIPMENTS_POP_FC" hidden="1">"c8033"</definedName>
    <definedName name="IQ_NONDEF_CAPITAL_GOODS_SHIPMENTS_YOY" hidden="1">"c7373"</definedName>
    <definedName name="IQ_NONDEF_CAPITAL_GOODS_SHIPMENTS_YOY_FC" hidden="1">"c8253"</definedName>
    <definedName name="IQ_NONDEF_SPENDING_SAAR" hidden="1">"c6934"</definedName>
    <definedName name="IQ_NONDEF_SPENDING_SAAR_APR" hidden="1">"c7594"</definedName>
    <definedName name="IQ_NONDEF_SPENDING_SAAR_APR_FC" hidden="1">"c8474"</definedName>
    <definedName name="IQ_NONDEF_SPENDING_SAAR_FC" hidden="1">"c7814"</definedName>
    <definedName name="IQ_NONDEF_SPENDING_SAAR_POP" hidden="1">"c7154"</definedName>
    <definedName name="IQ_NONDEF_SPENDING_SAAR_POP_FC" hidden="1">"c8034"</definedName>
    <definedName name="IQ_NONDEF_SPENDING_SAAR_YOY" hidden="1">"c7374"</definedName>
    <definedName name="IQ_NONDEF_SPENDING_SAAR_YOY_FC" hidden="1">"c8254"</definedName>
    <definedName name="IQ_NONFARM_EMP_HRS_PCT_CHANGE" hidden="1">"c6935"</definedName>
    <definedName name="IQ_NONFARM_EMP_HRS_PCT_CHANGE_FC" hidden="1">"c7815"</definedName>
    <definedName name="IQ_NONFARM_EMP_HRS_PCT_CHANGE_POP" hidden="1">"c7155"</definedName>
    <definedName name="IQ_NONFARM_EMP_HRS_PCT_CHANGE_POP_FC" hidden="1">"c8035"</definedName>
    <definedName name="IQ_NONFARM_EMP_HRS_PCT_CHANGE_YOY" hidden="1">"c7375"</definedName>
    <definedName name="IQ_NONFARM_EMP_HRS_PCT_CHANGE_YOY_FC" hidden="1">"c8255"</definedName>
    <definedName name="IQ_NONFARM_OUTPUT_PER_HR" hidden="1">"c6936"</definedName>
    <definedName name="IQ_NONFARM_OUTPUT_PER_HR_APR" hidden="1">"c7596"</definedName>
    <definedName name="IQ_NONFARM_OUTPUT_PER_HR_APR_FC" hidden="1">"c8476"</definedName>
    <definedName name="IQ_NONFARM_OUTPUT_PER_HR_FC" hidden="1">"c7816"</definedName>
    <definedName name="IQ_NONFARM_OUTPUT_PER_HR_POP" hidden="1">"c7156"</definedName>
    <definedName name="IQ_NONFARM_OUTPUT_PER_HR_POP_FC" hidden="1">"c8036"</definedName>
    <definedName name="IQ_NONFARM_OUTPUT_PER_HR_YOY" hidden="1">"c7376"</definedName>
    <definedName name="IQ_NONFARM_OUTPUT_PER_HR_YOY_FC" hidden="1">"c8256"</definedName>
    <definedName name="IQ_NONFARM_PAYROLLS" hidden="1">"c6926"</definedName>
    <definedName name="IQ_NONFARM_PAYROLLS_APR" hidden="1">"c7586"</definedName>
    <definedName name="IQ_NONFARM_PAYROLLS_APR_FC" hidden="1">"c8466"</definedName>
    <definedName name="IQ_NONFARM_PAYROLLS_FC" hidden="1">"c7806"</definedName>
    <definedName name="IQ_NONFARM_PAYROLLS_POP" hidden="1">"c7146"</definedName>
    <definedName name="IQ_NONFARM_PAYROLLS_POP_FC" hidden="1">"c8026"</definedName>
    <definedName name="IQ_NONFARM_PAYROLLS_YOY" hidden="1">"c7366"</definedName>
    <definedName name="IQ_NONFARM_PAYROLLS_YOY_FC" hidden="1">"c8246"</definedName>
    <definedName name="IQ_NONFARM_TOTAL_HR_INDEX" hidden="1">"c6937"</definedName>
    <definedName name="IQ_NONFARM_TOTAL_HR_INDEX_APR" hidden="1">"c7597"</definedName>
    <definedName name="IQ_NONFARM_TOTAL_HR_INDEX_APR_FC" hidden="1">"c8477"</definedName>
    <definedName name="IQ_NONFARM_TOTAL_HR_INDEX_FC" hidden="1">"c7817"</definedName>
    <definedName name="IQ_NONFARM_TOTAL_HR_INDEX_POP" hidden="1">"c7157"</definedName>
    <definedName name="IQ_NONFARM_TOTAL_HR_INDEX_POP_FC" hidden="1">"c8037"</definedName>
    <definedName name="IQ_NONFARM_TOTAL_HR_INDEX_YOY" hidden="1">"c7377"</definedName>
    <definedName name="IQ_NONFARM_TOTAL_HR_INDEX_YOY_FC" hidden="1">"c8257"</definedName>
    <definedName name="IQ_NONFARM_WAGES" hidden="1">"c6938"</definedName>
    <definedName name="IQ_NONFARM_WAGES_APR" hidden="1">"c7598"</definedName>
    <definedName name="IQ_NONFARM_WAGES_APR_FC" hidden="1">"c8478"</definedName>
    <definedName name="IQ_NONFARM_WAGES_FC" hidden="1">"c7818"</definedName>
    <definedName name="IQ_NONFARM_WAGES_INDEX" hidden="1">"c6939"</definedName>
    <definedName name="IQ_NONFARM_WAGES_INDEX_APR" hidden="1">"c7599"</definedName>
    <definedName name="IQ_NONFARM_WAGES_INDEX_APR_FC" hidden="1">"c8479"</definedName>
    <definedName name="IQ_NONFARM_WAGES_INDEX_FC" hidden="1">"c7819"</definedName>
    <definedName name="IQ_NONFARM_WAGES_INDEX_POP" hidden="1">"c7159"</definedName>
    <definedName name="IQ_NONFARM_WAGES_INDEX_POP_FC" hidden="1">"c8039"</definedName>
    <definedName name="IQ_NONFARM_WAGES_INDEX_YOY" hidden="1">"c7379"</definedName>
    <definedName name="IQ_NONFARM_WAGES_INDEX_YOY_FC" hidden="1">"c8259"</definedName>
    <definedName name="IQ_NONFARM_WAGES_POP" hidden="1">"c7158"</definedName>
    <definedName name="IQ_NONFARM_WAGES_POP_FC" hidden="1">"c8038"</definedName>
    <definedName name="IQ_NONFARM_WAGES_YOY" hidden="1">"c7378"</definedName>
    <definedName name="IQ_NONFARM_WAGES_YOY_FC" hidden="1">"c8258"</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 hidden="1">"c6931"</definedName>
    <definedName name="IQ_NONRES_FIXED_INVEST_APR" hidden="1">"c7591"</definedName>
    <definedName name="IQ_NONRES_FIXED_INVEST_POP" hidden="1">"c7151"</definedName>
    <definedName name="IQ_NONRES_FIXED_INVEST_PRIV_APR_FC_UNUSED" hidden="1">"c8468"</definedName>
    <definedName name="IQ_NONRES_FIXED_INVEST_PRIV_APR_FC_UNUSED_UNUSED_UNUSED" hidden="1">"c8468"</definedName>
    <definedName name="IQ_NONRES_FIXED_INVEST_PRIV_APR_UNUSED" hidden="1">"c7588"</definedName>
    <definedName name="IQ_NONRES_FIXED_INVEST_PRIV_APR_UNUSED_UNUSED_UNUSED" hidden="1">"c7588"</definedName>
    <definedName name="IQ_NONRES_FIXED_INVEST_PRIV_FC_UNUSED" hidden="1">"c7808"</definedName>
    <definedName name="IQ_NONRES_FIXED_INVEST_PRIV_FC_UNUSED_UNUSED_UNUSED" hidden="1">"c7808"</definedName>
    <definedName name="IQ_NONRES_FIXED_INVEST_PRIV_POP_FC_UNUSED" hidden="1">"c8028"</definedName>
    <definedName name="IQ_NONRES_FIXED_INVEST_PRIV_POP_FC_UNUSED_UNUSED_UNUSED" hidden="1">"c8028"</definedName>
    <definedName name="IQ_NONRES_FIXED_INVEST_PRIV_POP_UNUSED" hidden="1">"c7148"</definedName>
    <definedName name="IQ_NONRES_FIXED_INVEST_PRIV_POP_UNUSED_UNUSED_UNUSED" hidden="1">"c7148"</definedName>
    <definedName name="IQ_NONRES_FIXED_INVEST_PRIV_REAL" hidden="1">"c6989"</definedName>
    <definedName name="IQ_NONRES_FIXED_INVEST_PRIV_REAL_APR" hidden="1">"c7649"</definedName>
    <definedName name="IQ_NONRES_FIXED_INVEST_PRIV_REAL_APR_FC" hidden="1">"c8529"</definedName>
    <definedName name="IQ_NONRES_FIXED_INVEST_PRIV_REAL_FC" hidden="1">"c7869"</definedName>
    <definedName name="IQ_NONRES_FIXED_INVEST_PRIV_REAL_POP" hidden="1">"c7209"</definedName>
    <definedName name="IQ_NONRES_FIXED_INVEST_PRIV_REAL_POP_FC" hidden="1">"c8089"</definedName>
    <definedName name="IQ_NONRES_FIXED_INVEST_PRIV_REAL_SAAR" hidden="1">"c6990"</definedName>
    <definedName name="IQ_NONRES_FIXED_INVEST_PRIV_REAL_SAAR_APR" hidden="1">"c7650"</definedName>
    <definedName name="IQ_NONRES_FIXED_INVEST_PRIV_REAL_SAAR_APR_FC" hidden="1">"c8530"</definedName>
    <definedName name="IQ_NONRES_FIXED_INVEST_PRIV_REAL_SAAR_FC" hidden="1">"c7870"</definedName>
    <definedName name="IQ_NONRES_FIXED_INVEST_PRIV_REAL_SAAR_POP" hidden="1">"c7210"</definedName>
    <definedName name="IQ_NONRES_FIXED_INVEST_PRIV_REAL_SAAR_POP_FC" hidden="1">"c8090"</definedName>
    <definedName name="IQ_NONRES_FIXED_INVEST_PRIV_REAL_SAAR_USD_APR_FC" hidden="1">"c11981"</definedName>
    <definedName name="IQ_NONRES_FIXED_INVEST_PRIV_REAL_SAAR_USD_FC" hidden="1">"c11978"</definedName>
    <definedName name="IQ_NONRES_FIXED_INVEST_PRIV_REAL_SAAR_USD_POP_FC" hidden="1">"c11979"</definedName>
    <definedName name="IQ_NONRES_FIXED_INVEST_PRIV_REAL_SAAR_USD_YOY_FC" hidden="1">"c11980"</definedName>
    <definedName name="IQ_NONRES_FIXED_INVEST_PRIV_REAL_SAAR_YOY" hidden="1">"c7430"</definedName>
    <definedName name="IQ_NONRES_FIXED_INVEST_PRIV_REAL_SAAR_YOY_FC" hidden="1">"c8310"</definedName>
    <definedName name="IQ_NONRES_FIXED_INVEST_PRIV_REAL_USD_APR_FC" hidden="1">"c11977"</definedName>
    <definedName name="IQ_NONRES_FIXED_INVEST_PRIV_REAL_USD_FC" hidden="1">"c11974"</definedName>
    <definedName name="IQ_NONRES_FIXED_INVEST_PRIV_REAL_USD_POP_FC" hidden="1">"c11975"</definedName>
    <definedName name="IQ_NONRES_FIXED_INVEST_PRIV_REAL_USD_YOY_FC" hidden="1">"c11976"</definedName>
    <definedName name="IQ_NONRES_FIXED_INVEST_PRIV_REAL_YOY" hidden="1">"c7429"</definedName>
    <definedName name="IQ_NONRES_FIXED_INVEST_PRIV_REAL_YOY_FC" hidden="1">"c8309"</definedName>
    <definedName name="IQ_NONRES_FIXED_INVEST_PRIV_SAAR" hidden="1">"c6929"</definedName>
    <definedName name="IQ_NONRES_FIXED_INVEST_PRIV_SAAR_APR" hidden="1">"c7589"</definedName>
    <definedName name="IQ_NONRES_FIXED_INVEST_PRIV_SAAR_APR_FC" hidden="1">"c8469"</definedName>
    <definedName name="IQ_NONRES_FIXED_INVEST_PRIV_SAAR_FC" hidden="1">"c7809"</definedName>
    <definedName name="IQ_NONRES_FIXED_INVEST_PRIV_SAAR_POP" hidden="1">"c7149"</definedName>
    <definedName name="IQ_NONRES_FIXED_INVEST_PRIV_SAAR_POP_FC" hidden="1">"c8029"</definedName>
    <definedName name="IQ_NONRES_FIXED_INVEST_PRIV_SAAR_USD_APR_FC" hidden="1">"c11877"</definedName>
    <definedName name="IQ_NONRES_FIXED_INVEST_PRIV_SAAR_USD_FC" hidden="1">"c11874"</definedName>
    <definedName name="IQ_NONRES_FIXED_INVEST_PRIV_SAAR_USD_POP_FC" hidden="1">"c11875"</definedName>
    <definedName name="IQ_NONRES_FIXED_INVEST_PRIV_SAAR_USD_YOY_FC" hidden="1">"c11876"</definedName>
    <definedName name="IQ_NONRES_FIXED_INVEST_PRIV_SAAR_YOY" hidden="1">"c7369"</definedName>
    <definedName name="IQ_NONRES_FIXED_INVEST_PRIV_SAAR_YOY_FC" hidden="1">"c8249"</definedName>
    <definedName name="IQ_NONRES_FIXED_INVEST_PRIV_UNUSED" hidden="1">"c6928"</definedName>
    <definedName name="IQ_NONRES_FIXED_INVEST_PRIV_UNUSED_UNUSED_UNUSED" hidden="1">"c6928"</definedName>
    <definedName name="IQ_NONRES_FIXED_INVEST_PRIV_USD_APR_FC" hidden="1">"c11873"</definedName>
    <definedName name="IQ_NONRES_FIXED_INVEST_PRIV_USD_FC" hidden="1">"c11870"</definedName>
    <definedName name="IQ_NONRES_FIXED_INVEST_PRIV_USD_POP_FC" hidden="1">"c11871"</definedName>
    <definedName name="IQ_NONRES_FIXED_INVEST_PRIV_USD_YOY_FC" hidden="1">"c11872"</definedName>
    <definedName name="IQ_NONRES_FIXED_INVEST_PRIV_YOY_FC_UNUSED" hidden="1">"c8248"</definedName>
    <definedName name="IQ_NONRES_FIXED_INVEST_PRIV_YOY_FC_UNUSED_UNUSED_UNUSED" hidden="1">"c8248"</definedName>
    <definedName name="IQ_NONRES_FIXED_INVEST_PRIV_YOY_UNUSED" hidden="1">"c7368"</definedName>
    <definedName name="IQ_NONRES_FIXED_INVEST_PRIV_YOY_UNUSED_UNUSED_UNUSED" hidden="1">"c7368"</definedName>
    <definedName name="IQ_NONRES_FIXED_INVEST_REAL" hidden="1">"c6993"</definedName>
    <definedName name="IQ_NONRES_FIXED_INVEST_REAL_APR" hidden="1">"c7653"</definedName>
    <definedName name="IQ_NONRES_FIXED_INVEST_REAL_POP" hidden="1">"c7213"</definedName>
    <definedName name="IQ_NONRES_FIXED_INVEST_REAL_SAAR" hidden="1">"c6987"</definedName>
    <definedName name="IQ_NONRES_FIXED_INVEST_REAL_SAAR_APR" hidden="1">"c7647"</definedName>
    <definedName name="IQ_NONRES_FIXED_INVEST_REAL_SAAR_APR_FC" hidden="1">"c8527"</definedName>
    <definedName name="IQ_NONRES_FIXED_INVEST_REAL_SAAR_FC" hidden="1">"c7867"</definedName>
    <definedName name="IQ_NONRES_FIXED_INVEST_REAL_SAAR_POP" hidden="1">"c7207"</definedName>
    <definedName name="IQ_NONRES_FIXED_INVEST_REAL_SAAR_POP_FC" hidden="1">"c8087"</definedName>
    <definedName name="IQ_NONRES_FIXED_INVEST_REAL_SAAR_YOY" hidden="1">"c7427"</definedName>
    <definedName name="IQ_NONRES_FIXED_INVEST_REAL_SAAR_YOY_FC" hidden="1">"c8307"</definedName>
    <definedName name="IQ_NONRES_FIXED_INVEST_REAL_USD_APR_FC" hidden="1">"c11973"</definedName>
    <definedName name="IQ_NONRES_FIXED_INVEST_REAL_USD_FC" hidden="1">"c11970"</definedName>
    <definedName name="IQ_NONRES_FIXED_INVEST_REAL_USD_POP_FC" hidden="1">"c11971"</definedName>
    <definedName name="IQ_NONRES_FIXED_INVEST_REAL_USD_YOY_FC" hidden="1">"c11972"</definedName>
    <definedName name="IQ_NONRES_FIXED_INVEST_REAL_YOY" hidden="1">"c7433"</definedName>
    <definedName name="IQ_NONRES_FIXED_INVEST_STRUCT" hidden="1">"c6930"</definedName>
    <definedName name="IQ_NONRES_FIXED_INVEST_STRUCT_APR" hidden="1">"c7590"</definedName>
    <definedName name="IQ_NONRES_FIXED_INVEST_STRUCT_APR_FC" hidden="1">"c8470"</definedName>
    <definedName name="IQ_NONRES_FIXED_INVEST_STRUCT_FC" hidden="1">"c7810"</definedName>
    <definedName name="IQ_NONRES_FIXED_INVEST_STRUCT_POP" hidden="1">"c7150"</definedName>
    <definedName name="IQ_NONRES_FIXED_INVEST_STRUCT_POP_FC" hidden="1">"c8030"</definedName>
    <definedName name="IQ_NONRES_FIXED_INVEST_STRUCT_REAL" hidden="1">"c6992"</definedName>
    <definedName name="IQ_NONRES_FIXED_INVEST_STRUCT_REAL_APR" hidden="1">"c7652"</definedName>
    <definedName name="IQ_NONRES_FIXED_INVEST_STRUCT_REAL_APR_FC" hidden="1">"c8532"</definedName>
    <definedName name="IQ_NONRES_FIXED_INVEST_STRUCT_REAL_FC" hidden="1">"c7872"</definedName>
    <definedName name="IQ_NONRES_FIXED_INVEST_STRUCT_REAL_POP" hidden="1">"c7212"</definedName>
    <definedName name="IQ_NONRES_FIXED_INVEST_STRUCT_REAL_POP_FC" hidden="1">"c8092"</definedName>
    <definedName name="IQ_NONRES_FIXED_INVEST_STRUCT_REAL_SAAR" hidden="1">"c6991"</definedName>
    <definedName name="IQ_NONRES_FIXED_INVEST_STRUCT_REAL_SAAR_APR" hidden="1">"c7651"</definedName>
    <definedName name="IQ_NONRES_FIXED_INVEST_STRUCT_REAL_SAAR_APR_FC" hidden="1">"c8531"</definedName>
    <definedName name="IQ_NONRES_FIXED_INVEST_STRUCT_REAL_SAAR_FC" hidden="1">"c7871"</definedName>
    <definedName name="IQ_NONRES_FIXED_INVEST_STRUCT_REAL_SAAR_POP" hidden="1">"c7211"</definedName>
    <definedName name="IQ_NONRES_FIXED_INVEST_STRUCT_REAL_SAAR_POP_FC" hidden="1">"c8091"</definedName>
    <definedName name="IQ_NONRES_FIXED_INVEST_STRUCT_REAL_SAAR_YOY" hidden="1">"c7431"</definedName>
    <definedName name="IQ_NONRES_FIXED_INVEST_STRUCT_REAL_SAAR_YOY_FC" hidden="1">"c8311"</definedName>
    <definedName name="IQ_NONRES_FIXED_INVEST_STRUCT_REAL_USD_APR_FC" hidden="1">"c11985"</definedName>
    <definedName name="IQ_NONRES_FIXED_INVEST_STRUCT_REAL_USD_FC" hidden="1">"c11982"</definedName>
    <definedName name="IQ_NONRES_FIXED_INVEST_STRUCT_REAL_USD_POP_FC" hidden="1">"c11983"</definedName>
    <definedName name="IQ_NONRES_FIXED_INVEST_STRUCT_REAL_USD_YOY_FC" hidden="1">"c11984"</definedName>
    <definedName name="IQ_NONRES_FIXED_INVEST_STRUCT_REAL_YOY" hidden="1">"c7432"</definedName>
    <definedName name="IQ_NONRES_FIXED_INVEST_STRUCT_REAL_YOY_FC" hidden="1">"c8312"</definedName>
    <definedName name="IQ_NONRES_FIXED_INVEST_STRUCT_USD_APR_FC" hidden="1">"c11881"</definedName>
    <definedName name="IQ_NONRES_FIXED_INVEST_STRUCT_USD_FC" hidden="1">"c11878"</definedName>
    <definedName name="IQ_NONRES_FIXED_INVEST_STRUCT_USD_POP_FC" hidden="1">"c11879"</definedName>
    <definedName name="IQ_NONRES_FIXED_INVEST_STRUCT_USD_YOY_FC" hidden="1">"c11880"</definedName>
    <definedName name="IQ_NONRES_FIXED_INVEST_STRUCT_YOY" hidden="1">"c7370"</definedName>
    <definedName name="IQ_NONRES_FIXED_INVEST_STRUCT_YOY_FC" hidden="1">"c8250"</definedName>
    <definedName name="IQ_NONRES_FIXED_INVEST_USD_APR_FC" hidden="1">"c11869"</definedName>
    <definedName name="IQ_NONRES_FIXED_INVEST_USD_FC" hidden="1">"c11866"</definedName>
    <definedName name="IQ_NONRES_FIXED_INVEST_USD_POP_FC" hidden="1">"c11867"</definedName>
    <definedName name="IQ_NONRES_FIXED_INVEST_USD_YOY_FC" hidden="1">"c11868"</definedName>
    <definedName name="IQ_NONRES_FIXED_INVEST_YOY" hidden="1">"c7371"</definedName>
    <definedName name="IQ_NONTRANSACTION_ACCOUNTS_FDIC" hidden="1">"c6552"</definedName>
    <definedName name="IQ_NONUTIL_REV" hidden="1">"c2089"</definedName>
    <definedName name="IQ_NORM_EPS_ACT_OR_EST_CIQ" hidden="1">"c5069"</definedName>
    <definedName name="IQ_NORMAL_INC_AFTER" hidden="1">"c1605"</definedName>
    <definedName name="IQ_NORMAL_INC_AVAIL" hidden="1">"c1606"</definedName>
    <definedName name="IQ_NORMAL_INC_BEFORE" hidden="1">"c1607"</definedName>
    <definedName name="IQ_NOTES_PAY" hidden="1">"c1423"</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MINES_ALUM" hidden="1">"c9248"</definedName>
    <definedName name="IQ_NUMBER_MINES_COAL" hidden="1">"c9822"</definedName>
    <definedName name="IQ_NUMBER_MINES_COP" hidden="1">"c9193"</definedName>
    <definedName name="IQ_NUMBER_MINES_DIAM" hidden="1">"c9672"</definedName>
    <definedName name="IQ_NUMBER_MINES_GOLD" hidden="1">"c9033"</definedName>
    <definedName name="IQ_NUMBER_MINES_IRON" hidden="1">"c9407"</definedName>
    <definedName name="IQ_NUMBER_MINES_LEAD" hidden="1">"c9460"</definedName>
    <definedName name="IQ_NUMBER_MINES_MANG" hidden="1">"c9513"</definedName>
    <definedName name="IQ_NUMBER_MINES_MOLYB" hidden="1">"c9725"</definedName>
    <definedName name="IQ_NUMBER_MINES_NICK" hidden="1">"c9301"</definedName>
    <definedName name="IQ_NUMBER_MINES_PLAT" hidden="1">"c9139"</definedName>
    <definedName name="IQ_NUMBER_MINES_SILVER" hidden="1">"c9086"</definedName>
    <definedName name="IQ_NUMBER_MINES_TITAN" hidden="1">"c9566"</definedName>
    <definedName name="IQ_NUMBER_MINES_URAN" hidden="1">"c9619"</definedName>
    <definedName name="IQ_NUMBER_MINES_ZINC" hidden="1">"c9354"</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ANCY_CONSOL" hidden="1">"c8840"</definedName>
    <definedName name="IQ_OCCUPANCY_MANAGED" hidden="1">"c8842"</definedName>
    <definedName name="IQ_OCCUPANCY_OTHER" hidden="1">"c8843"</definedName>
    <definedName name="IQ_OCCUPANCY_SAME_PROP" hidden="1">"c8845"</definedName>
    <definedName name="IQ_OCCUPANCY_TOTAL" hidden="1">"c8844"</definedName>
    <definedName name="IQ_OCCUPANCY_UNCONSOL" hidden="1">"c8841"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GAS_EQUIV_PRODUCTION_MMCFE" hidden="1">"c10061"</definedName>
    <definedName name="IQ_OG_AVG_DAILY_OIL_EQUIV_PRODUCTION_KBOE" hidden="1">"c10060"</definedName>
    <definedName name="IQ_OG_AVG_DAILY_PROD_GAS" hidden="1">"c2910"</definedName>
    <definedName name="IQ_OG_AVG_DAILY_PROD_NGL" hidden="1">"c2911"</definedName>
    <definedName name="IQ_OG_AVG_DAILY_PROD_OIL" hidden="1">"c2909"</definedName>
    <definedName name="IQ_OG_AVG_DAILY_PRODUCTION_GAS_MMCM" hidden="1">"c10059"</definedName>
    <definedName name="IQ_OG_AVG_DAILY_SALES_VOL_EQ_INC_GAS" hidden="1">"c5797"</definedName>
    <definedName name="IQ_OG_AVG_DAILY_SALES_VOL_EQ_INC_NGL" hidden="1">"c5798"</definedName>
    <definedName name="IQ_OG_AVG_DAILY_SALES_VOL_EQ_INC_OIL" hidden="1">"c5796"</definedName>
    <definedName name="IQ_OG_AVG_GAS_PRICE_CBM_HEDGED" hidden="1">"c10054"</definedName>
    <definedName name="IQ_OG_AVG_GAS_PRICE_CBM_UNHEDGED" hidden="1">"c10055"</definedName>
    <definedName name="IQ_OG_AVG_PRODUCTION_COST_BBL" hidden="1">"c10062"</definedName>
    <definedName name="IQ_OG_AVG_PRODUCTION_COST_BOE" hidden="1">"c10064"</definedName>
    <definedName name="IQ_OG_AVG_PRODUCTION_COST_MCF" hidden="1">"c10063"</definedName>
    <definedName name="IQ_OG_AVG_PRODUCTION_COST_MCFE" hidden="1">"c10065"</definedName>
    <definedName name="IQ_OG_CLOSE_BALANCE_GAS" hidden="1">"c2049"</definedName>
    <definedName name="IQ_OG_CLOSE_BALANCE_NGL" hidden="1">"c2920"</definedName>
    <definedName name="IQ_OG_CLOSE_BALANCE_OIL" hidden="1">"c2037"</definedName>
    <definedName name="IQ_OG_DAILY_PRDUCTION_GROWTH_GAS" hidden="1">"c12732"</definedName>
    <definedName name="IQ_OG_DAILY_PRDUCTION_GROWTH_GAS_EQUIVALENT" hidden="1">"c12733"</definedName>
    <definedName name="IQ_OG_DAILY_PRDUCTION_GROWTH_NGL" hidden="1">"c12734"</definedName>
    <definedName name="IQ_OG_DAILY_PRDUCTION_GROWTH_OIL" hidden="1">"c12735"</definedName>
    <definedName name="IQ_OG_DAILY_PRDUCTION_GROWTH_OIL_EQUIVALENT" hidden="1">"c12736"</definedName>
    <definedName name="IQ_OG_DAILY_PRODUCTION_GROWTH_GAS" hidden="1">"c10073"</definedName>
    <definedName name="IQ_OG_DAILY_PRODUCTION_GROWTH_GAS_EQUIVALENT" hidden="1">"c10076"</definedName>
    <definedName name="IQ_OG_DAILY_PRODUCTION_GROWTH_NGL" hidden="1">"c10074"</definedName>
    <definedName name="IQ_OG_DAILY_PRODUCTION_GROWTH_OIL" hidden="1">"c10072"</definedName>
    <definedName name="IQ_OG_DAILY_PRODUCTION_GROWTH_OIL_EQUIVALENT" hidden="1">"c10075"</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GAS_BCM" hidden="1">"c10045"</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AFFILIATES_RESERVES_GAS_BCM" hidden="1">"c10047"</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PLORATION_DEVELOPMENT_COST" hidden="1">"c10081"</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GROSS_DEVELOPED_AREA_SQ_KM" hidden="1">"c10079"</definedName>
    <definedName name="IQ_OG_GROSS_DEVELOPMENT_DRY_WELLS_DRILLED" hidden="1">"c10098"</definedName>
    <definedName name="IQ_OG_GROSS_DEVELOPMENT_PRODUCTIVE_WELLS_DRILLED" hidden="1">"c10097"</definedName>
    <definedName name="IQ_OG_GROSS_DEVELOPMENT_TOTAL_WELLS_DRILLED" hidden="1">"c10099"</definedName>
    <definedName name="IQ_OG_GROSS_EXPLORATORY_DRY_WELLS_DRILLED" hidden="1">"c10095"</definedName>
    <definedName name="IQ_OG_GROSS_EXPLORATORY_PRODUCTIVE_WELLS_DRILLED" hidden="1">"c10094"</definedName>
    <definedName name="IQ_OG_GROSS_EXPLORATORY_TOTAL_WELLS_DRILLED" hidden="1">"c10096"</definedName>
    <definedName name="IQ_OG_GROSS_OPERATED_WELLS" hidden="1">"c10092"</definedName>
    <definedName name="IQ_OG_GROSS_PRODUCTIVE_WELLS_GAS" hidden="1">"c10087"</definedName>
    <definedName name="IQ_OG_GROSS_PRODUCTIVE_WELLS_OIL" hidden="1">"c10086"</definedName>
    <definedName name="IQ_OG_GROSS_PRODUCTIVE_WELLS_TOTAL" hidden="1">"c10088"</definedName>
    <definedName name="IQ_OG_GROSS_TOTAL_WELLS_DRILLED" hidden="1">"c10100"</definedName>
    <definedName name="IQ_OG_GROSS_UNDEVELOPED_AREA_SQ_KM" hidden="1">"c10077"</definedName>
    <definedName name="IQ_OG_GROSS_WELLS_DRILLING" hidden="1">"c10108"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DEVELOPED_AREA_SQ_KM" hidden="1">"c10080"</definedName>
    <definedName name="IQ_OG_NET_DEVELOPMENT_DRY_WELLS_DRILLED" hidden="1">"c10105"</definedName>
    <definedName name="IQ_OG_NET_DEVELOPMENT_PRODUCTIVE_WELLS_DRILLED" hidden="1">"c10104"</definedName>
    <definedName name="IQ_OG_NET_DEVELOPMENT_TOTAL_WELLS_DRILLED" hidden="1">"c10106"</definedName>
    <definedName name="IQ_OG_NET_EXPLORATORY_DRY_WELLS_DRILLED" hidden="1">"c10102"</definedName>
    <definedName name="IQ_OG_NET_EXPLORATORY_PRODUCTIVE_WELLS_DRILLED" hidden="1">"c10101"</definedName>
    <definedName name="IQ_OG_NET_EXPLORATORY_TOTAL_WELLS_DRILLED" hidden="1">"c10103"</definedName>
    <definedName name="IQ_OG_NET_FUTURE_CASH_FLOWS" hidden="1">"c1996"</definedName>
    <definedName name="IQ_OG_NET_FUTURE_CASH_FLOWS_GAS" hidden="1">"c2016"</definedName>
    <definedName name="IQ_OG_NET_FUTURE_CASH_FLOWS_OIL" hidden="1">"c2006"</definedName>
    <definedName name="IQ_OG_NET_OPERATED_WELLS" hidden="1">"c10093"</definedName>
    <definedName name="IQ_OG_NET_PRODUCTIVE_WELLS_GAS" hidden="1">"c10090"</definedName>
    <definedName name="IQ_OG_NET_PRODUCTIVE_WELLS_OIL" hidden="1">"c10089"</definedName>
    <definedName name="IQ_OG_NET_PRODUCTIVE_WELLS_TOTAL" hidden="1">"c10091"</definedName>
    <definedName name="IQ_OG_NET_TOTAL_WELLS_DRILLED" hidden="1">"c10107"</definedName>
    <definedName name="IQ_OG_NET_UNDEVELOPED_AREA_SQ_KM" hidden="1">"c10078"</definedName>
    <definedName name="IQ_OG_NET_WELLS_DRILLING" hidden="1">"c10109"</definedName>
    <definedName name="IQ_OG_NUMBER_WELLS_NEW" hidden="1">"c10085"</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DUCTION_GROWTH_GAS" hidden="1">"c12737"</definedName>
    <definedName name="IQ_OG_PRDUCTION_GROWTH_GAS_EQUIVALENT" hidden="1">"c12738"</definedName>
    <definedName name="IQ_OG_PRDUCTION_GROWTH_NGL" hidden="1">"c12739"</definedName>
    <definedName name="IQ_OG_PRDUCTION_GROWTH_OIL" hidden="1">"c12740"</definedName>
    <definedName name="IQ_OG_PRDUCTION_GROWTH_OIL_EQUIVALENT" hidden="1">"c12741"</definedName>
    <definedName name="IQ_OG_PRDUCTION_GROWTH_TOAL" hidden="1">"c12742"</definedName>
    <definedName name="IQ_OG_PRODUCTION_GAS" hidden="1">"c2047"</definedName>
    <definedName name="IQ_OG_PRODUCTION_GROWTH_GAS" hidden="1">"c10067"</definedName>
    <definedName name="IQ_OG_PRODUCTION_GROWTH_GAS_EQUIVALENT" hidden="1">"c10070"</definedName>
    <definedName name="IQ_OG_PRODUCTION_GROWTH_NGL" hidden="1">"c10068"</definedName>
    <definedName name="IQ_OG_PRODUCTION_GROWTH_OIL" hidden="1">"c10066"</definedName>
    <definedName name="IQ_OG_PRODUCTION_GROWTH_OIL_EQUIVALENT" hidden="1">"c10069"</definedName>
    <definedName name="IQ_OG_PRODUCTION_GROWTH_TOTAL" hidden="1">"c10071"</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RIGS_NON_OPERATED" hidden="1">"c10083"</definedName>
    <definedName name="IQ_OG_RIGS_OPERATED" hidden="1">"c10082"</definedName>
    <definedName name="IQ_OG_RIGS_TOTAL" hidden="1">"c10084"</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EQUIV_PRODUCTION_BCFE" hidden="1">"c10058"</definedName>
    <definedName name="IQ_OG_TOTAL_GAS_PRODUCTION" hidden="1">"c2060"</definedName>
    <definedName name="IQ_OG_TOTAL_LIQUID_GAS_PRODUCTION" hidden="1">"c2235"</definedName>
    <definedName name="IQ_OG_TOTAL_OIL_EQUIV_PRODUCTION_MMBOE" hidden="1">"c10057"</definedName>
    <definedName name="IQ_OG_TOTAL_OIL_PRODUCTION" hidden="1">"c2059"</definedName>
    <definedName name="IQ_OG_TOTAL_POSSIBLE_RESERVES_GAS_BCF" hidden="1">"c10050"</definedName>
    <definedName name="IQ_OG_TOTAL_POSSIBLE_RESERVES_GAS_BCM" hidden="1">"c10051"</definedName>
    <definedName name="IQ_OG_TOTAL_POSSIBLE_RESERVES_OIL_MMBBLS" hidden="1">"c10053"</definedName>
    <definedName name="IQ_OG_TOTAL_PROBABLE_RESERVES_GAS_BCF" hidden="1">"c10048"</definedName>
    <definedName name="IQ_OG_TOTAL_PROBABLE_RESERVES_GAS_BCM" hidden="1">"c10049"</definedName>
    <definedName name="IQ_OG_TOTAL_PROBABLE_RESERVES_OIL_MMBBLS" hidden="1">"c10052"</definedName>
    <definedName name="IQ_OG_TOTAL_PRODUCTION_GAS_BCM" hidden="1">"c10056"</definedName>
    <definedName name="IQ_OG_TOTAL_PROVED_RESERVES_GAS_BCM" hidden="1">"c10046"</definedName>
    <definedName name="IQ_OG_UNDEVELOPED_ACRE_GROSS_EQ_INC" hidden="1">"c5800"</definedName>
    <definedName name="IQ_OG_UNDEVELOPED_ACRE_NET_EQ_INC" hidden="1">"c5801"</definedName>
    <definedName name="IQ_OG_UNDEVELOPED_RESERVES_GAS" hidden="1">"c2051"</definedName>
    <definedName name="IQ_OG_UNDEVELOPED_RESERVES_GAS_BCM" hidden="1">"c10044"</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 hidden="1">"c6240"</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DJUSTMENTS_COVERED" hidden="1">"c9961"</definedName>
    <definedName name="IQ_OTHER_ADJUSTMENTS_GROUP" hidden="1">"c9947"</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DS" hidden="1">"c8784"</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PROP" hidden="1">"c8764"</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"c1410"</definedName>
    <definedName name="IQ_OTHER_ROOMS" hidden="1">"c8788"</definedName>
    <definedName name="IQ_OTHER_SAVINGS_DEPOSITS_FDIC" hidden="1">"c6554"</definedName>
    <definedName name="IQ_OTHER_SQ_FT" hidden="1">"c8780"</definedName>
    <definedName name="IQ_OTHER_STRIKE_PRICE_GRANTED" hidden="1">"c2692"</definedName>
    <definedName name="IQ_OTHER_TRANSACTIONS_FDIC" hidden="1">"c6504"</definedName>
    <definedName name="IQ_OTHER_UNDRAWN" hidden="1">"c2522"</definedName>
    <definedName name="IQ_OTHER_UNITS" hidden="1">"c8772"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RTNERSHIP_INC_RE" hidden="1">"c12039"</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CIQ" hidden="1">"c4042"</definedName>
    <definedName name="IQ_PE_EXCL_FWD_REUT" hidden="1">"c4049"</definedName>
    <definedName name="IQ_PE_NORMALIZED" hidden="1">"c2207"</definedName>
    <definedName name="IQ_PE_RATIO" hidden="1">"c1610"</definedName>
    <definedName name="IQ_PEG_FWD" hidden="1">"c1863"</definedName>
    <definedName name="IQ_PEG_FWD_CIQ" hidden="1">"c4045"</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CIQ" hidden="1">"c3790"</definedName>
    <definedName name="IQ_PERCENT_CHANGE_EST_5YR_GROWTH_RATE_18MONTHS" hidden="1">"c1853"</definedName>
    <definedName name="IQ_PERCENT_CHANGE_EST_5YR_GROWTH_RATE_18MONTHS_CIQ" hidden="1">"c3791"</definedName>
    <definedName name="IQ_PERCENT_CHANGE_EST_5YR_GROWTH_RATE_3MONTHS" hidden="1">"c1849"</definedName>
    <definedName name="IQ_PERCENT_CHANGE_EST_5YR_GROWTH_RATE_3MONTHS_CIQ" hidden="1">"c3787"</definedName>
    <definedName name="IQ_PERCENT_CHANGE_EST_5YR_GROWTH_RATE_6MONTHS" hidden="1">"c1850"</definedName>
    <definedName name="IQ_PERCENT_CHANGE_EST_5YR_GROWTH_RATE_6MONTHS_CIQ" hidden="1">"c3788"</definedName>
    <definedName name="IQ_PERCENT_CHANGE_EST_5YR_GROWTH_RATE_9MONTHS" hidden="1">"c1851"</definedName>
    <definedName name="IQ_PERCENT_CHANGE_EST_5YR_GROWTH_RATE_9MONTHS_CIQ" hidden="1">"c3789"</definedName>
    <definedName name="IQ_PERCENT_CHANGE_EST_5YR_GROWTH_RATE_DAY" hidden="1">"c1846"</definedName>
    <definedName name="IQ_PERCENT_CHANGE_EST_5YR_GROWTH_RATE_DAY_CIQ" hidden="1">"c3785"</definedName>
    <definedName name="IQ_PERCENT_CHANGE_EST_5YR_GROWTH_RATE_MONTH" hidden="1">"c1848"</definedName>
    <definedName name="IQ_PERCENT_CHANGE_EST_5YR_GROWTH_RATE_MONTH_CIQ" hidden="1">"c3786"</definedName>
    <definedName name="IQ_PERCENT_CHANGE_EST_5YR_GROWTH_RATE_WEEK" hidden="1">"c1847"</definedName>
    <definedName name="IQ_PERCENT_CHANGE_EST_5YR_GROWTH_RATE_WEEK_CIQ" hidden="1">"c3797"</definedName>
    <definedName name="IQ_PERCENT_CHANGE_EST_EBITDA_12MONTHS" hidden="1">"c1804"</definedName>
    <definedName name="IQ_PERCENT_CHANGE_EST_EBITDA_12MONTHS_CIQ" hidden="1">"c3748"</definedName>
    <definedName name="IQ_PERCENT_CHANGE_EST_EBITDA_18MONTHS" hidden="1">"c1805"</definedName>
    <definedName name="IQ_PERCENT_CHANGE_EST_EBITDA_18MONTHS_CIQ" hidden="1">"c3749"</definedName>
    <definedName name="IQ_PERCENT_CHANGE_EST_EBITDA_3MONTHS" hidden="1">"c1801"</definedName>
    <definedName name="IQ_PERCENT_CHANGE_EST_EBITDA_3MONTHS_CIQ" hidden="1">"c3745"</definedName>
    <definedName name="IQ_PERCENT_CHANGE_EST_EBITDA_6MONTHS" hidden="1">"c1802"</definedName>
    <definedName name="IQ_PERCENT_CHANGE_EST_EBITDA_6MONTHS_CIQ" hidden="1">"c3746"</definedName>
    <definedName name="IQ_PERCENT_CHANGE_EST_EBITDA_9MONTHS" hidden="1">"c1803"</definedName>
    <definedName name="IQ_PERCENT_CHANGE_EST_EBITDA_9MONTHS_CIQ" hidden="1">"c3747"</definedName>
    <definedName name="IQ_PERCENT_CHANGE_EST_EBITDA_DAY" hidden="1">"c1798"</definedName>
    <definedName name="IQ_PERCENT_CHANGE_EST_EBITDA_DAY_CIQ" hidden="1">"c3743"</definedName>
    <definedName name="IQ_PERCENT_CHANGE_EST_EBITDA_MONTH" hidden="1">"c1800"</definedName>
    <definedName name="IQ_PERCENT_CHANGE_EST_EBITDA_MONTH_CIQ" hidden="1">"c3744"</definedName>
    <definedName name="IQ_PERCENT_CHANGE_EST_EBITDA_WEEK" hidden="1">"c1799"</definedName>
    <definedName name="IQ_PERCENT_CHANGE_EST_EBITDA_WEEK_CIQ" hidden="1">"c3792"</definedName>
    <definedName name="IQ_PERCENT_CHANGE_EST_EPS_12MONTHS" hidden="1">"c1788"</definedName>
    <definedName name="IQ_PERCENT_CHANGE_EST_EPS_12MONTHS_CIQ" hidden="1">"c3733"</definedName>
    <definedName name="IQ_PERCENT_CHANGE_EST_EPS_18MONTHS" hidden="1">"c1789"</definedName>
    <definedName name="IQ_PERCENT_CHANGE_EST_EPS_18MONTHS_CIQ" hidden="1">"c3734"</definedName>
    <definedName name="IQ_PERCENT_CHANGE_EST_EPS_3MONTHS" hidden="1">"c1785"</definedName>
    <definedName name="IQ_PERCENT_CHANGE_EST_EPS_3MONTHS_CIQ" hidden="1">"c3730"</definedName>
    <definedName name="IQ_PERCENT_CHANGE_EST_EPS_6MONTHS" hidden="1">"c1786"</definedName>
    <definedName name="IQ_PERCENT_CHANGE_EST_EPS_6MONTHS_CIQ" hidden="1">"c3731"</definedName>
    <definedName name="IQ_PERCENT_CHANGE_EST_EPS_9MONTHS" hidden="1">"c1787"</definedName>
    <definedName name="IQ_PERCENT_CHANGE_EST_EPS_9MONTHS_CIQ" hidden="1">"c3732"</definedName>
    <definedName name="IQ_PERCENT_CHANGE_EST_EPS_DAY" hidden="1">"c1782"</definedName>
    <definedName name="IQ_PERCENT_CHANGE_EST_EPS_DAY_CIQ" hidden="1">"c3727"</definedName>
    <definedName name="IQ_PERCENT_CHANGE_EST_EPS_MONTH" hidden="1">"c1784"</definedName>
    <definedName name="IQ_PERCENT_CHANGE_EST_EPS_MONTH_CIQ" hidden="1">"c3729"</definedName>
    <definedName name="IQ_PERCENT_CHANGE_EST_EPS_WEEK" hidden="1">"c1783"</definedName>
    <definedName name="IQ_PERCENT_CHANGE_EST_EPS_WEEK_CIQ" hidden="1">"c3728"</definedName>
    <definedName name="IQ_PERCENT_CHANGE_EST_PRICE_TARGET_12MONTHS" hidden="1">"c1844"</definedName>
    <definedName name="IQ_PERCENT_CHANGE_EST_PRICE_TARGET_12MONTHS_CIQ" hidden="1">"c3783"</definedName>
    <definedName name="IQ_PERCENT_CHANGE_EST_PRICE_TARGET_18MONTHS" hidden="1">"c1845"</definedName>
    <definedName name="IQ_PERCENT_CHANGE_EST_PRICE_TARGET_18MONTHS_CIQ" hidden="1">"c3784"</definedName>
    <definedName name="IQ_PERCENT_CHANGE_EST_PRICE_TARGET_3MONTHS" hidden="1">"c1841"</definedName>
    <definedName name="IQ_PERCENT_CHANGE_EST_PRICE_TARGET_3MONTHS_CIQ" hidden="1">"c3780"</definedName>
    <definedName name="IQ_PERCENT_CHANGE_EST_PRICE_TARGET_6MONTHS" hidden="1">"c1842"</definedName>
    <definedName name="IQ_PERCENT_CHANGE_EST_PRICE_TARGET_6MONTHS_CIQ" hidden="1">"c3781"</definedName>
    <definedName name="IQ_PERCENT_CHANGE_EST_PRICE_TARGET_9MONTHS" hidden="1">"c1843"</definedName>
    <definedName name="IQ_PERCENT_CHANGE_EST_PRICE_TARGET_9MONTHS_CIQ" hidden="1">"c3782"</definedName>
    <definedName name="IQ_PERCENT_CHANGE_EST_PRICE_TARGET_DAY" hidden="1">"c1838"</definedName>
    <definedName name="IQ_PERCENT_CHANGE_EST_PRICE_TARGET_DAY_CIQ" hidden="1">"c3778"</definedName>
    <definedName name="IQ_PERCENT_CHANGE_EST_PRICE_TARGET_MONTH" hidden="1">"c1840"</definedName>
    <definedName name="IQ_PERCENT_CHANGE_EST_PRICE_TARGET_MONTH_CIQ" hidden="1">"c3779"</definedName>
    <definedName name="IQ_PERCENT_CHANGE_EST_PRICE_TARGET_WEEK" hidden="1">"c1839"</definedName>
    <definedName name="IQ_PERCENT_CHANGE_EST_PRICE_TARGET_WEEK_CIQ" hidden="1">"c3798"</definedName>
    <definedName name="IQ_PERCENT_CHANGE_EST_RECO_12MONTHS" hidden="1">"c1836"</definedName>
    <definedName name="IQ_PERCENT_CHANGE_EST_RECO_12MONTHS_CIQ" hidden="1">"c3776"</definedName>
    <definedName name="IQ_PERCENT_CHANGE_EST_RECO_18MONTHS" hidden="1">"c1837"</definedName>
    <definedName name="IQ_PERCENT_CHANGE_EST_RECO_18MONTHS_CIQ" hidden="1">"c3777"</definedName>
    <definedName name="IQ_PERCENT_CHANGE_EST_RECO_3MONTHS" hidden="1">"c1833"</definedName>
    <definedName name="IQ_PERCENT_CHANGE_EST_RECO_3MONTHS_CIQ" hidden="1">"c3773"</definedName>
    <definedName name="IQ_PERCENT_CHANGE_EST_RECO_6MONTHS" hidden="1">"c1834"</definedName>
    <definedName name="IQ_PERCENT_CHANGE_EST_RECO_6MONTHS_CIQ" hidden="1">"c3774"</definedName>
    <definedName name="IQ_PERCENT_CHANGE_EST_RECO_9MONTHS" hidden="1">"c1835"</definedName>
    <definedName name="IQ_PERCENT_CHANGE_EST_RECO_9MONTHS_CIQ" hidden="1">"c3775"</definedName>
    <definedName name="IQ_PERCENT_CHANGE_EST_RECO_DAY" hidden="1">"c1830"</definedName>
    <definedName name="IQ_PERCENT_CHANGE_EST_RECO_DAY_CIQ" hidden="1">"c3771"</definedName>
    <definedName name="IQ_PERCENT_CHANGE_EST_RECO_MONTH" hidden="1">"c1832"</definedName>
    <definedName name="IQ_PERCENT_CHANGE_EST_RECO_MONTH_CIQ" hidden="1">"c3772"</definedName>
    <definedName name="IQ_PERCENT_CHANGE_EST_RECO_WEEK" hidden="1">"c1831"</definedName>
    <definedName name="IQ_PERCENT_CHANGE_EST_RECO_WEEK_CIQ" hidden="1">"c3796"</definedName>
    <definedName name="IQ_PERCENT_CHANGE_EST_REV_12MONTHS" hidden="1">"c1796"</definedName>
    <definedName name="IQ_PERCENT_CHANGE_EST_REV_12MONTHS_CIQ" hidden="1">"c3741"</definedName>
    <definedName name="IQ_PERCENT_CHANGE_EST_REV_18MONTHS" hidden="1">"c1797"</definedName>
    <definedName name="IQ_PERCENT_CHANGE_EST_REV_18MONTHS_CIQ" hidden="1">"c3742"</definedName>
    <definedName name="IQ_PERCENT_CHANGE_EST_REV_3MONTHS" hidden="1">"c1793"</definedName>
    <definedName name="IQ_PERCENT_CHANGE_EST_REV_3MONTHS_CIQ" hidden="1">"c3738"</definedName>
    <definedName name="IQ_PERCENT_CHANGE_EST_REV_6MONTHS" hidden="1">"c1794"</definedName>
    <definedName name="IQ_PERCENT_CHANGE_EST_REV_6MONTHS_CIQ" hidden="1">"c3739"</definedName>
    <definedName name="IQ_PERCENT_CHANGE_EST_REV_9MONTHS" hidden="1">"c1795"</definedName>
    <definedName name="IQ_PERCENT_CHANGE_EST_REV_9MONTHS_CIQ" hidden="1">"c3740"</definedName>
    <definedName name="IQ_PERCENT_CHANGE_EST_REV_DAY" hidden="1">"c1790"</definedName>
    <definedName name="IQ_PERCENT_CHANGE_EST_REV_DAY_CIQ" hidden="1">"c3735"</definedName>
    <definedName name="IQ_PERCENT_CHANGE_EST_REV_MONTH" hidden="1">"c1792"</definedName>
    <definedName name="IQ_PERCENT_CHANGE_EST_REV_MONTH_CIQ" hidden="1">"c3737"</definedName>
    <definedName name="IQ_PERCENT_CHANGE_EST_REV_WEEK" hidden="1">"c1791"</definedName>
    <definedName name="IQ_PERCENT_CHANGE_EST_REV_WEEK_CIQ" hidden="1">"c3736"</definedName>
    <definedName name="IQ_PERCENT_INSURED_FDIC" hidden="1">"c6374"</definedName>
    <definedName name="IQ_PERIODDATE" hidden="1">"c1414"</definedName>
    <definedName name="IQ_PERIODDATE_AP" hidden="1">"c11745"</definedName>
    <definedName name="IQ_PERIODDATE_BS" hidden="1">"c1032"</definedName>
    <definedName name="IQ_PERIODDATE_CF" hidden="1">"c1033"</definedName>
    <definedName name="IQ_PERIODDATE_IS" hidden="1">"c1034"</definedName>
    <definedName name="IQ_PERIODLENGTH_AP" hidden="1">"c11746"</definedName>
    <definedName name="IQ_PERIODLENGTH_CF" hidden="1">"c1502"</definedName>
    <definedName name="IQ_PERIODLENGTH_IS" hidden="1">"c1503"</definedName>
    <definedName name="IQ_PERSONAL_CONSUMER_SPENDING_DURABLE" hidden="1">"c6942"</definedName>
    <definedName name="IQ_PERSONAL_CONSUMER_SPENDING_DURABLE_APR" hidden="1">"c7602"</definedName>
    <definedName name="IQ_PERSONAL_CONSUMER_SPENDING_DURABLE_APR_FC" hidden="1">"c8482"</definedName>
    <definedName name="IQ_PERSONAL_CONSUMER_SPENDING_DURABLE_FC" hidden="1">"c7822"</definedName>
    <definedName name="IQ_PERSONAL_CONSUMER_SPENDING_DURABLE_POP" hidden="1">"c7162"</definedName>
    <definedName name="IQ_PERSONAL_CONSUMER_SPENDING_DURABLE_POP_FC" hidden="1">"c8042"</definedName>
    <definedName name="IQ_PERSONAL_CONSUMER_SPENDING_DURABLE_YOY" hidden="1">"c7382"</definedName>
    <definedName name="IQ_PERSONAL_CONSUMER_SPENDING_DURABLE_YOY_FC" hidden="1">"c8262"</definedName>
    <definedName name="IQ_PERSONAL_CONSUMER_SPENDING_NONDURABLE" hidden="1">"c6940"</definedName>
    <definedName name="IQ_PERSONAL_CONSUMER_SPENDING_NONDURABLE_APR" hidden="1">"c7600"</definedName>
    <definedName name="IQ_PERSONAL_CONSUMER_SPENDING_NONDURABLE_APR_FC" hidden="1">"c8480"</definedName>
    <definedName name="IQ_PERSONAL_CONSUMER_SPENDING_NONDURABLE_FC" hidden="1">"c7820"</definedName>
    <definedName name="IQ_PERSONAL_CONSUMER_SPENDING_NONDURABLE_POP" hidden="1">"c7160"</definedName>
    <definedName name="IQ_PERSONAL_CONSUMER_SPENDING_NONDURABLE_POP_FC" hidden="1">"c8040"</definedName>
    <definedName name="IQ_PERSONAL_CONSUMER_SPENDING_NONDURABLE_YOY" hidden="1">"c7380"</definedName>
    <definedName name="IQ_PERSONAL_CONSUMER_SPENDING_NONDURABLE_YOY_FC" hidden="1">"c8260"</definedName>
    <definedName name="IQ_PERSONAL_CONSUMER_SPENDING_REAL" hidden="1">"c6994"</definedName>
    <definedName name="IQ_PERSONAL_CONSUMER_SPENDING_REAL_APR" hidden="1">"c7654"</definedName>
    <definedName name="IQ_PERSONAL_CONSUMER_SPENDING_REAL_APR_FC" hidden="1">"c8534"</definedName>
    <definedName name="IQ_PERSONAL_CONSUMER_SPENDING_REAL_FC" hidden="1">"c7874"</definedName>
    <definedName name="IQ_PERSONAL_CONSUMER_SPENDING_REAL_POP" hidden="1">"c7214"</definedName>
    <definedName name="IQ_PERSONAL_CONSUMER_SPENDING_REAL_POP_FC" hidden="1">"c8094"</definedName>
    <definedName name="IQ_PERSONAL_CONSUMER_SPENDING_REAL_YOY" hidden="1">"c7434"</definedName>
    <definedName name="IQ_PERSONAL_CONSUMER_SPENDING_REAL_YOY_FC" hidden="1">"c8314"</definedName>
    <definedName name="IQ_PERSONAL_CONSUMER_SPENDING_SERVICES" hidden="1">"c6941"</definedName>
    <definedName name="IQ_PERSONAL_CONSUMER_SPENDING_SERVICES_APR" hidden="1">"c7601"</definedName>
    <definedName name="IQ_PERSONAL_CONSUMER_SPENDING_SERVICES_APR_FC" hidden="1">"c8481"</definedName>
    <definedName name="IQ_PERSONAL_CONSUMER_SPENDING_SERVICES_FC" hidden="1">"c7821"</definedName>
    <definedName name="IQ_PERSONAL_CONSUMER_SPENDING_SERVICES_POP" hidden="1">"c7161"</definedName>
    <definedName name="IQ_PERSONAL_CONSUMER_SPENDING_SERVICES_POP_FC" hidden="1">"c8041"</definedName>
    <definedName name="IQ_PERSONAL_CONSUMER_SPENDING_SERVICES_YOY" hidden="1">"c7381"</definedName>
    <definedName name="IQ_PERSONAL_CONSUMER_SPENDING_SERVICES_YOY_FC" hidden="1">"c8261"</definedName>
    <definedName name="IQ_PERSONAL_INCOME" hidden="1">"c6943"</definedName>
    <definedName name="IQ_PERSONAL_INCOME_APR" hidden="1">"c7603"</definedName>
    <definedName name="IQ_PERSONAL_INCOME_APR_FC" hidden="1">"c8483"</definedName>
    <definedName name="IQ_PERSONAL_INCOME_FC" hidden="1">"c7823"</definedName>
    <definedName name="IQ_PERSONAL_INCOME_POP" hidden="1">"c7163"</definedName>
    <definedName name="IQ_PERSONAL_INCOME_POP_FC" hidden="1">"c8043"</definedName>
    <definedName name="IQ_PERSONAL_INCOME_SAAR" hidden="1">"c6944"</definedName>
    <definedName name="IQ_PERSONAL_INCOME_SAAR_APR" hidden="1">"c7604"</definedName>
    <definedName name="IQ_PERSONAL_INCOME_SAAR_APR_FC" hidden="1">"c8484"</definedName>
    <definedName name="IQ_PERSONAL_INCOME_SAAR_FC" hidden="1">"c7824"</definedName>
    <definedName name="IQ_PERSONAL_INCOME_SAAR_POP" hidden="1">"c7164"</definedName>
    <definedName name="IQ_PERSONAL_INCOME_SAAR_POP_FC" hidden="1">"c8044"</definedName>
    <definedName name="IQ_PERSONAL_INCOME_SAAR_YOY" hidden="1">"c7384"</definedName>
    <definedName name="IQ_PERSONAL_INCOME_SAAR_YOY_FC" hidden="1">"c8264"</definedName>
    <definedName name="IQ_PERSONAL_INCOME_USD_APR_FC" hidden="1">"c11885"</definedName>
    <definedName name="IQ_PERSONAL_INCOME_USD_FC" hidden="1">"c11882"</definedName>
    <definedName name="IQ_PERSONAL_INCOME_USD_POP_FC" hidden="1">"c11883"</definedName>
    <definedName name="IQ_PERSONAL_INCOME_USD_YOY_FC" hidden="1">"c11884"</definedName>
    <definedName name="IQ_PERSONAL_INCOME_YOY" hidden="1">"c7383"</definedName>
    <definedName name="IQ_PERSONAL_INCOME_YOY_FC" hidden="1">"c8263"</definedName>
    <definedName name="IQ_PERTYPE" hidden="1">"c1611"</definedName>
    <definedName name="IQ_PHARMBIO_NUMBER_LICENSED_PATENT_APP" hidden="1">"c10018"</definedName>
    <definedName name="IQ_PHARMBIO_NUMBER_LICENSED_PATENTS" hidden="1">"c10017"</definedName>
    <definedName name="IQ_PHARMBIO_NUMBER_PATENTS" hidden="1">"c10015"</definedName>
    <definedName name="IQ_PHARMBIO_NUMBER_PROD__APPROVED_DURING_PERIOD" hidden="1">"c12750"</definedName>
    <definedName name="IQ_PHARMBIO_NUMBER_PROD__CLINICAL_DEV" hidden="1">"c12745"</definedName>
    <definedName name="IQ_PHARMBIO_NUMBER_PROD__LAUNCHED_DURING_PERIOD" hidden="1">"c12751"</definedName>
    <definedName name="IQ_PHARMBIO_NUMBER_PROD__PHASE_I" hidden="1">"c12746"</definedName>
    <definedName name="IQ_PHARMBIO_NUMBER_PROD__PHASE_II" hidden="1">"c12747"</definedName>
    <definedName name="IQ_PHARMBIO_NUMBER_PROD__PHASE_III" hidden="1">"c12748"</definedName>
    <definedName name="IQ_PHARMBIO_NUMBER_PROD__PRE_CLINICAL_TRIALS" hidden="1">"c12744"</definedName>
    <definedName name="IQ_PHARMBIO_NUMBER_PROD__PRE_REGISTRATION" hidden="1">"c12749"</definedName>
    <definedName name="IQ_PHARMBIO_NUMBER_PROD__RESEARCH_DEV" hidden="1">"c12743"</definedName>
    <definedName name="IQ_PHARMBIO_NUMBER_PROD_APPROVED_DURING_PERIOD" hidden="1">"c10027"</definedName>
    <definedName name="IQ_PHARMBIO_NUMBER_PROD_CLINICAL_DEV" hidden="1">"c10022"</definedName>
    <definedName name="IQ_PHARMBIO_NUMBER_PROD_DISCOVERY_RESEARCH" hidden="1">"c10019"</definedName>
    <definedName name="IQ_PHARMBIO_NUMBER_PROD_LAUNCHED_DURING_PERIOD" hidden="1">"c10028"</definedName>
    <definedName name="IQ_PHARMBIO_NUMBER_PROD_PHASE_I" hidden="1">"c10023"</definedName>
    <definedName name="IQ_PHARMBIO_NUMBER_PROD_PHASE_II" hidden="1">"c10024"</definedName>
    <definedName name="IQ_PHARMBIO_NUMBER_PROD_PHASE_III" hidden="1">"c10025"</definedName>
    <definedName name="IQ_PHARMBIO_NUMBER_PROD_PRE_CLINICAL_TRIALS" hidden="1">"c10021"</definedName>
    <definedName name="IQ_PHARMBIO_NUMBER_PROD_PRE_REGISTRATION" hidden="1">"c10026"</definedName>
    <definedName name="IQ_PHARMBIO_NUMBER_PROD_RESEARCH_DEV" hidden="1">"c10020"</definedName>
    <definedName name="IQ_PHARMBIO_PATENT_APP" hidden="1">"c10016"</definedName>
    <definedName name="IQ_PHILADELPHIA_FED_DIFFUSION_INDEX" hidden="1">"c6945"</definedName>
    <definedName name="IQ_PHILADELPHIA_FED_DIFFUSION_INDEX_APR" hidden="1">"c7605"</definedName>
    <definedName name="IQ_PHILADELPHIA_FED_DIFFUSION_INDEX_APR_FC" hidden="1">"c8485"</definedName>
    <definedName name="IQ_PHILADELPHIA_FED_DIFFUSION_INDEX_FC" hidden="1">"c7825"</definedName>
    <definedName name="IQ_PHILADELPHIA_FED_DIFFUSION_INDEX_POP" hidden="1">"c7165"</definedName>
    <definedName name="IQ_PHILADELPHIA_FED_DIFFUSION_INDEX_POP_FC" hidden="1">"c8045"</definedName>
    <definedName name="IQ_PHILADELPHIA_FED_DIFFUSION_INDEX_YOY" hidden="1">"c7385"</definedName>
    <definedName name="IQ_PHILADELPHIA_FED_DIFFUSION_INDEX_YOY_FC" hidden="1">"c8265"</definedName>
    <definedName name="IQ_PLEDGED_SECURITIES_FDIC" hidden="1">"c6401"</definedName>
    <definedName name="IQ_PLL" hidden="1">"c2114"</definedName>
    <definedName name="IQ_PMAC_DIFFUSION_INDEX" hidden="1">"c6946"</definedName>
    <definedName name="IQ_PMAC_DIFFUSION_INDEX_APR" hidden="1">"c7606"</definedName>
    <definedName name="IQ_PMAC_DIFFUSION_INDEX_APR_FC" hidden="1">"c8486"</definedName>
    <definedName name="IQ_PMAC_DIFFUSION_INDEX_FC" hidden="1">"c7826"</definedName>
    <definedName name="IQ_PMAC_DIFFUSION_INDEX_POP" hidden="1">"c7166"</definedName>
    <definedName name="IQ_PMAC_DIFFUSION_INDEX_POP_FC" hidden="1">"c8046"</definedName>
    <definedName name="IQ_PMAC_DIFFUSION_INDEX_YOY" hidden="1">"c7386"</definedName>
    <definedName name="IQ_PMAC_DIFFUSION_INDEX_YOY_FC" hidden="1">"c8266"</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OL_AMT_ORIGINAL" hidden="1">"c8970"</definedName>
    <definedName name="IQ_POOL_NAME" hidden="1">"c8967"</definedName>
    <definedName name="IQ_POOL_NUMBER" hidden="1">"c8968"</definedName>
    <definedName name="IQ_POOL_TYPE" hidden="1">"c8969"</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CIQ" hidden="1">"c3799"</definedName>
    <definedName name="IQ_PP_ATTRIB_ORE_RESERVES_ALUM" hidden="1">"c9218"</definedName>
    <definedName name="IQ_PP_ATTRIB_ORE_RESERVES_COP" hidden="1">"c9162"</definedName>
    <definedName name="IQ_PP_ATTRIB_ORE_RESERVES_DIAM" hidden="1">"c9642"</definedName>
    <definedName name="IQ_PP_ATTRIB_ORE_RESERVES_GOLD" hidden="1">"c9003"</definedName>
    <definedName name="IQ_PP_ATTRIB_ORE_RESERVES_IRON" hidden="1">"c9377"</definedName>
    <definedName name="IQ_PP_ATTRIB_ORE_RESERVES_LEAD" hidden="1">"c9430"</definedName>
    <definedName name="IQ_PP_ATTRIB_ORE_RESERVES_MANG" hidden="1">"c9483"</definedName>
    <definedName name="IQ_PP_ATTRIB_ORE_RESERVES_MOLYB" hidden="1">"c9695"</definedName>
    <definedName name="IQ_PP_ATTRIB_ORE_RESERVES_NICK" hidden="1">"c9271"</definedName>
    <definedName name="IQ_PP_ATTRIB_ORE_RESERVES_PLAT" hidden="1">"c9109"</definedName>
    <definedName name="IQ_PP_ATTRIB_ORE_RESERVES_SILVER" hidden="1">"c9056"</definedName>
    <definedName name="IQ_PP_ATTRIB_ORE_RESERVES_TITAN" hidden="1">"c9536"</definedName>
    <definedName name="IQ_PP_ATTRIB_ORE_RESERVES_URAN" hidden="1">"c9589"</definedName>
    <definedName name="IQ_PP_ATTRIB_ORE_RESERVES_ZINC" hidden="1">"c9324"</definedName>
    <definedName name="IQ_PP_ORE_RESERVES_ALUM" hidden="1">"c9211"</definedName>
    <definedName name="IQ_PP_ORE_RESERVES_COP" hidden="1">"c9155"</definedName>
    <definedName name="IQ_PP_ORE_RESERVES_DIAM" hidden="1">"c9635"</definedName>
    <definedName name="IQ_PP_ORE_RESERVES_GOLD" hidden="1">"c8996"</definedName>
    <definedName name="IQ_PP_ORE_RESERVES_IRON" hidden="1">"c9370"</definedName>
    <definedName name="IQ_PP_ORE_RESERVES_LEAD" hidden="1">"c9423"</definedName>
    <definedName name="IQ_PP_ORE_RESERVES_MANG" hidden="1">"c9476"</definedName>
    <definedName name="IQ_PP_ORE_RESERVES_MOLYB" hidden="1">"c9688"</definedName>
    <definedName name="IQ_PP_ORE_RESERVES_NICK" hidden="1">"c9264"</definedName>
    <definedName name="IQ_PP_ORE_RESERVES_PLAT" hidden="1">"c9102"</definedName>
    <definedName name="IQ_PP_ORE_RESERVES_SILVER" hidden="1">"c9049"</definedName>
    <definedName name="IQ_PP_ORE_RESERVES_TITAN" hidden="1">"c9529"</definedName>
    <definedName name="IQ_PP_ORE_RESERVES_URAN" hidden="1">"c9582"</definedName>
    <definedName name="IQ_PP_ORE_RESERVES_ZINC" hidden="1">"c9317"</definedName>
    <definedName name="IQ_PP_RECOV_ATTRIB_RESERVES_ALUM" hidden="1">"c9221"</definedName>
    <definedName name="IQ_PP_RECOV_ATTRIB_RESERVES_COAL" hidden="1">"c9805"</definedName>
    <definedName name="IQ_PP_RECOV_ATTRIB_RESERVES_COP" hidden="1">"c9165"</definedName>
    <definedName name="IQ_PP_RECOV_ATTRIB_RESERVES_DIAM" hidden="1">"c9645"</definedName>
    <definedName name="IQ_PP_RECOV_ATTRIB_RESERVES_GOLD" hidden="1">"c9006"</definedName>
    <definedName name="IQ_PP_RECOV_ATTRIB_RESERVES_IRON" hidden="1">"c9380"</definedName>
    <definedName name="IQ_PP_RECOV_ATTRIB_RESERVES_LEAD" hidden="1">"c9433"</definedName>
    <definedName name="IQ_PP_RECOV_ATTRIB_RESERVES_MANG" hidden="1">"c9486"</definedName>
    <definedName name="IQ_PP_RECOV_ATTRIB_RESERVES_MET_COAL" hidden="1">"c9745"</definedName>
    <definedName name="IQ_PP_RECOV_ATTRIB_RESERVES_MOLYB" hidden="1">"c9698"</definedName>
    <definedName name="IQ_PP_RECOV_ATTRIB_RESERVES_NICK" hidden="1">"c9274"</definedName>
    <definedName name="IQ_PP_RECOV_ATTRIB_RESERVES_PLAT" hidden="1">"c9112"</definedName>
    <definedName name="IQ_PP_RECOV_ATTRIB_RESERVES_SILVER" hidden="1">"c9059"</definedName>
    <definedName name="IQ_PP_RECOV_ATTRIB_RESERVES_STEAM" hidden="1">"c9775"</definedName>
    <definedName name="IQ_PP_RECOV_ATTRIB_RESERVES_TITAN" hidden="1">"c9539"</definedName>
    <definedName name="IQ_PP_RECOV_ATTRIB_RESERVES_URAN" hidden="1">"c9592"</definedName>
    <definedName name="IQ_PP_RECOV_ATTRIB_RESERVES_ZINC" hidden="1">"c9327"</definedName>
    <definedName name="IQ_PP_RECOV_RESERVES_ALUM" hidden="1">"c9215"</definedName>
    <definedName name="IQ_PP_RECOV_RESERVES_COAL" hidden="1">"c9802"</definedName>
    <definedName name="IQ_PP_RECOV_RESERVES_COP" hidden="1">"c9159"</definedName>
    <definedName name="IQ_PP_RECOV_RESERVES_DIAM" hidden="1">"c9639"</definedName>
    <definedName name="IQ_PP_RECOV_RESERVES_GOLD" hidden="1">"c9000"</definedName>
    <definedName name="IQ_PP_RECOV_RESERVES_IRON" hidden="1">"c9374"</definedName>
    <definedName name="IQ_PP_RECOV_RESERVES_LEAD" hidden="1">"c9427"</definedName>
    <definedName name="IQ_PP_RECOV_RESERVES_MANG" hidden="1">"c9480"</definedName>
    <definedName name="IQ_PP_RECOV_RESERVES_MET_COAL" hidden="1">"c9742"</definedName>
    <definedName name="IQ_PP_RECOV_RESERVES_MOLYB" hidden="1">"c9692"</definedName>
    <definedName name="IQ_PP_RECOV_RESERVES_NICK" hidden="1">"c9268"</definedName>
    <definedName name="IQ_PP_RECOV_RESERVES_PLAT" hidden="1">"c9106"</definedName>
    <definedName name="IQ_PP_RECOV_RESERVES_SILVER" hidden="1">"c9053"</definedName>
    <definedName name="IQ_PP_RECOV_RESERVES_STEAM" hidden="1">"c9772"</definedName>
    <definedName name="IQ_PP_RECOV_RESERVES_TITAN" hidden="1">"c9533"</definedName>
    <definedName name="IQ_PP_RECOV_RESERVES_URAN" hidden="1">"c9586"</definedName>
    <definedName name="IQ_PP_RECOV_RESERVES_ZINC" hidden="1">"c9321"</definedName>
    <definedName name="IQ_PP_RESERVES_CALORIFIC_VALUE_COAL" hidden="1">"c9799"</definedName>
    <definedName name="IQ_PP_RESERVES_CALORIFIC_VALUE_MET_COAL" hidden="1">"c9739"</definedName>
    <definedName name="IQ_PP_RESERVES_CALORIFIC_VALUE_STEAM" hidden="1">"c9769"</definedName>
    <definedName name="IQ_PP_RESERVES_GRADE_ALUM" hidden="1">"c9212"</definedName>
    <definedName name="IQ_PP_RESERVES_GRADE_COP" hidden="1">"c9156"</definedName>
    <definedName name="IQ_PP_RESERVES_GRADE_DIAM" hidden="1">"c9636"</definedName>
    <definedName name="IQ_PP_RESERVES_GRADE_GOLD" hidden="1">"c8997"</definedName>
    <definedName name="IQ_PP_RESERVES_GRADE_IRON" hidden="1">"c9371"</definedName>
    <definedName name="IQ_PP_RESERVES_GRADE_LEAD" hidden="1">"c9424"</definedName>
    <definedName name="IQ_PP_RESERVES_GRADE_MANG" hidden="1">"c9477"</definedName>
    <definedName name="IQ_PP_RESERVES_GRADE_MOLYB" hidden="1">"c9689"</definedName>
    <definedName name="IQ_PP_RESERVES_GRADE_NICK" hidden="1">"c9265"</definedName>
    <definedName name="IQ_PP_RESERVES_GRADE_PLAT" hidden="1">"c9103"</definedName>
    <definedName name="IQ_PP_RESERVES_GRADE_SILVER" hidden="1">"c9050"</definedName>
    <definedName name="IQ_PP_RESERVES_GRADE_TITAN" hidden="1">"c9530"</definedName>
    <definedName name="IQ_PP_RESERVES_GRADE_URAN" hidden="1">"c9583"</definedName>
    <definedName name="IQ_PP_RESERVES_GRADE_ZINC" hidden="1">"c9318"</definedName>
    <definedName name="IQ_PPI" hidden="1">"c6810"</definedName>
    <definedName name="IQ_PPI_APR" hidden="1">"c7470"</definedName>
    <definedName name="IQ_PPI_APR_FC" hidden="1">"c8350"</definedName>
    <definedName name="IQ_PPI_CORE" hidden="1">"c6840"</definedName>
    <definedName name="IQ_PPI_CORE_APR" hidden="1">"c7500"</definedName>
    <definedName name="IQ_PPI_CORE_APR_FC" hidden="1">"c8380"</definedName>
    <definedName name="IQ_PPI_CORE_FC" hidden="1">"c7720"</definedName>
    <definedName name="IQ_PPI_CORE_POP" hidden="1">"c7060"</definedName>
    <definedName name="IQ_PPI_CORE_POP_FC" hidden="1">"c7940"</definedName>
    <definedName name="IQ_PPI_CORE_YOY" hidden="1">"c7280"</definedName>
    <definedName name="IQ_PPI_CORE_YOY_FC" hidden="1">"c8160"</definedName>
    <definedName name="IQ_PPI_FC" hidden="1">"c7690"</definedName>
    <definedName name="IQ_PPI_POP" hidden="1">"c7030"</definedName>
    <definedName name="IQ_PPI_POP_FC" hidden="1">"c7910"</definedName>
    <definedName name="IQ_PPI_YOY" hidden="1">"c7250"</definedName>
    <definedName name="IQ_PPI_YOY_FC" hidden="1">"c8130"</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"c1416"</definedName>
    <definedName name="IQ_PREF_TOT" hidden="1">"c1415"</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RETURN_ASSETS_FDIC" hidden="1">"c6731"</definedName>
    <definedName name="IQ_PREV_MONTHLY_FACTOR" hidden="1">"c8973"</definedName>
    <definedName name="IQ_PREV_MONTHLY_FACTOR_DATE" hidden="1">"c8974"</definedName>
    <definedName name="IQ_PRICE_OVER_BVPS" hidden="1">"c1412"</definedName>
    <definedName name="IQ_PRICE_OVER_LTM_EPS" hidden="1">"c1413"</definedName>
    <definedName name="IQ_PRICE_PAID_FARM_INDEX" hidden="1">"c6948"</definedName>
    <definedName name="IQ_PRICE_PAID_FARM_INDEX_APR" hidden="1">"c7608"</definedName>
    <definedName name="IQ_PRICE_PAID_FARM_INDEX_APR_FC" hidden="1">"c8488"</definedName>
    <definedName name="IQ_PRICE_PAID_FARM_INDEX_FC" hidden="1">"c7828"</definedName>
    <definedName name="IQ_PRICE_PAID_FARM_INDEX_POP" hidden="1">"c7168"</definedName>
    <definedName name="IQ_PRICE_PAID_FARM_INDEX_POP_FC" hidden="1">"c8048"</definedName>
    <definedName name="IQ_PRICE_PAID_FARM_INDEX_YOY" hidden="1">"c7388"</definedName>
    <definedName name="IQ_PRICE_PAID_FARM_INDEX_YOY_FC" hidden="1">"c8268"</definedName>
    <definedName name="IQ_PRICE_TARGET" hidden="1">"c82"</definedName>
    <definedName name="IQ_PRICE_TARGET_CIQ" hidden="1">"c3613"</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IVATE_CONST_TOTAL_APR_FC_UNUSED" hidden="1">"c8559"</definedName>
    <definedName name="IQ_PRIVATE_CONST_TOTAL_APR_FC_UNUSED_UNUSED_UNUSED" hidden="1">"c8559"</definedName>
    <definedName name="IQ_PRIVATE_CONST_TOTAL_APR_UNUSED" hidden="1">"c7679"</definedName>
    <definedName name="IQ_PRIVATE_CONST_TOTAL_APR_UNUSED_UNUSED_UNUSED" hidden="1">"c7679"</definedName>
    <definedName name="IQ_PRIVATE_CONST_TOTAL_FC_UNUSED" hidden="1">"c7899"</definedName>
    <definedName name="IQ_PRIVATE_CONST_TOTAL_FC_UNUSED_UNUSED_UNUSED" hidden="1">"c7899"</definedName>
    <definedName name="IQ_PRIVATE_CONST_TOTAL_POP_FC_UNUSED" hidden="1">"c8119"</definedName>
    <definedName name="IQ_PRIVATE_CONST_TOTAL_POP_FC_UNUSED_UNUSED_UNUSED" hidden="1">"c8119"</definedName>
    <definedName name="IQ_PRIVATE_CONST_TOTAL_POP_UNUSED" hidden="1">"c7239"</definedName>
    <definedName name="IQ_PRIVATE_CONST_TOTAL_POP_UNUSED_UNUSED_UNUSED" hidden="1">"c7239"</definedName>
    <definedName name="IQ_PRIVATE_CONST_TOTAL_UNUSED" hidden="1">"c7019"</definedName>
    <definedName name="IQ_PRIVATE_CONST_TOTAL_UNUSED_UNUSED_UNUSED" hidden="1">"c7019"</definedName>
    <definedName name="IQ_PRIVATE_CONST_TOTAL_YOY_FC_UNUSED" hidden="1">"c8339"</definedName>
    <definedName name="IQ_PRIVATE_CONST_TOTAL_YOY_FC_UNUSED_UNUSED_UNUSED" hidden="1">"c8339"</definedName>
    <definedName name="IQ_PRIVATE_CONST_TOTAL_YOY_UNUSED" hidden="1">"c7459"</definedName>
    <definedName name="IQ_PRIVATE_CONST_TOTAL_YOY_UNUSED_UNUSED_UNUSED" hidden="1">"c7459"</definedName>
    <definedName name="IQ_PRIVATE_FIXED_INVEST_TOTAL" hidden="1">"c12006"</definedName>
    <definedName name="IQ_PRIVATE_FIXED_INVEST_TOTAL_APR" hidden="1">"c12009"</definedName>
    <definedName name="IQ_PRIVATE_FIXED_INVEST_TOTAL_POP" hidden="1">"c12007"</definedName>
    <definedName name="IQ_PRIVATE_FIXED_INVEST_TOTAL_YOY" hidden="1">"c12008"</definedName>
    <definedName name="IQ_PRIVATE_NONRES_CONST_IMPROV" hidden="1">"c6949"</definedName>
    <definedName name="IQ_PRIVATE_NONRES_CONST_IMPROV_APR" hidden="1">"c7609"</definedName>
    <definedName name="IQ_PRIVATE_NONRES_CONST_IMPROV_APR_FC" hidden="1">"c8489"</definedName>
    <definedName name="IQ_PRIVATE_NONRES_CONST_IMPROV_FC" hidden="1">"c7829"</definedName>
    <definedName name="IQ_PRIVATE_NONRES_CONST_IMPROV_POP" hidden="1">"c7169"</definedName>
    <definedName name="IQ_PRIVATE_NONRES_CONST_IMPROV_POP_FC" hidden="1">"c8049"</definedName>
    <definedName name="IQ_PRIVATE_NONRES_CONST_IMPROV_YOY" hidden="1">"c7389"</definedName>
    <definedName name="IQ_PRIVATE_NONRES_CONST_IMPROV_YOY_FC" hidden="1">"c8269"</definedName>
    <definedName name="IQ_PRIVATE_RES_CONST_IMPROV" hidden="1">"c6950"</definedName>
    <definedName name="IQ_PRIVATE_RES_CONST_IMPROV_APR" hidden="1">"c7610"</definedName>
    <definedName name="IQ_PRIVATE_RES_CONST_IMPROV_APR_FC" hidden="1">"c8490"</definedName>
    <definedName name="IQ_PRIVATE_RES_CONST_IMPROV_FC" hidden="1">"c7830"</definedName>
    <definedName name="IQ_PRIVATE_RES_CONST_IMPROV_POP" hidden="1">"c7170"</definedName>
    <definedName name="IQ_PRIVATE_RES_CONST_IMPROV_POP_FC" hidden="1">"c8050"</definedName>
    <definedName name="IQ_PRIVATE_RES_CONST_IMPROV_YOY" hidden="1">"c7390"</definedName>
    <definedName name="IQ_PRIVATE_RES_CONST_IMPROV_YOY_FC" hidden="1">"c8270"</definedName>
    <definedName name="IQ_PRIVATE_RES_CONST_REAL_APR_FC_UNUSED" hidden="1">"c8535"</definedName>
    <definedName name="IQ_PRIVATE_RES_CONST_REAL_APR_FC_UNUSED_UNUSED_UNUSED" hidden="1">"c8535"</definedName>
    <definedName name="IQ_PRIVATE_RES_CONST_REAL_APR_UNUSED" hidden="1">"c7655"</definedName>
    <definedName name="IQ_PRIVATE_RES_CONST_REAL_APR_UNUSED_UNUSED_UNUSED" hidden="1">"c7655"</definedName>
    <definedName name="IQ_PRIVATE_RES_CONST_REAL_FC_UNUSED" hidden="1">"c7875"</definedName>
    <definedName name="IQ_PRIVATE_RES_CONST_REAL_FC_UNUSED_UNUSED_UNUSED" hidden="1">"c7875"</definedName>
    <definedName name="IQ_PRIVATE_RES_CONST_REAL_POP_FC_UNUSED" hidden="1">"c8095"</definedName>
    <definedName name="IQ_PRIVATE_RES_CONST_REAL_POP_FC_UNUSED_UNUSED_UNUSED" hidden="1">"c8095"</definedName>
    <definedName name="IQ_PRIVATE_RES_CONST_REAL_POP_UNUSED" hidden="1">"c7215"</definedName>
    <definedName name="IQ_PRIVATE_RES_CONST_REAL_POP_UNUSED_UNUSED_UNUSED" hidden="1">"c7215"</definedName>
    <definedName name="IQ_PRIVATE_RES_CONST_REAL_UNUSED" hidden="1">"c6995"</definedName>
    <definedName name="IQ_PRIVATE_RES_CONST_REAL_UNUSED_UNUSED_UNUSED" hidden="1">"c6995"</definedName>
    <definedName name="IQ_PRIVATE_RES_CONST_REAL_YOY_FC_UNUSED" hidden="1">"c8315"</definedName>
    <definedName name="IQ_PRIVATE_RES_CONST_REAL_YOY_FC_UNUSED_UNUSED_UNUSED" hidden="1">"c8315"</definedName>
    <definedName name="IQ_PRIVATE_RES_CONST_REAL_YOY_UNUSED" hidden="1">"c7435"</definedName>
    <definedName name="IQ_PRIVATE_RES_CONST_REAL_YOY_UNUSED_UNUSED_UNUSED" hidden="1">"c7435"</definedName>
    <definedName name="IQ_PRIVATE_RES_FIXED_INVEST_REAL" hidden="1">"c11986"</definedName>
    <definedName name="IQ_PRIVATE_RES_FIXED_INVEST_REAL_APR" hidden="1">"c11989"</definedName>
    <definedName name="IQ_PRIVATE_RES_FIXED_INVEST_REAL_POP" hidden="1">"c11987"</definedName>
    <definedName name="IQ_PRIVATE_RES_FIXED_INVEST_REAL_YOY" hidden="1">"c11988"</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"c1452"</definedName>
    <definedName name="IQ_PROBABLE_ATTRIB_ORE_RESERVES_ALUM" hidden="1">"c9217"</definedName>
    <definedName name="IQ_PROBABLE_ATTRIB_ORE_RESERVES_COP" hidden="1">"c9161"</definedName>
    <definedName name="IQ_PROBABLE_ATTRIB_ORE_RESERVES_DIAM" hidden="1">"c9641"</definedName>
    <definedName name="IQ_PROBABLE_ATTRIB_ORE_RESERVES_GOLD" hidden="1">"c9002"</definedName>
    <definedName name="IQ_PROBABLE_ATTRIB_ORE_RESERVES_IRON" hidden="1">"c9376"</definedName>
    <definedName name="IQ_PROBABLE_ATTRIB_ORE_RESERVES_LEAD" hidden="1">"c9429"</definedName>
    <definedName name="IQ_PROBABLE_ATTRIB_ORE_RESERVES_MANG" hidden="1">"c9482"</definedName>
    <definedName name="IQ_PROBABLE_ATTRIB_ORE_RESERVES_MOLYB" hidden="1">"c9694"</definedName>
    <definedName name="IQ_PROBABLE_ATTRIB_ORE_RESERVES_NICK" hidden="1">"c9270"</definedName>
    <definedName name="IQ_PROBABLE_ATTRIB_ORE_RESERVES_PLAT" hidden="1">"c9108"</definedName>
    <definedName name="IQ_PROBABLE_ATTRIB_ORE_RESERVES_SILVER" hidden="1">"c9055"</definedName>
    <definedName name="IQ_PROBABLE_ATTRIB_ORE_RESERVES_TITAN" hidden="1">"c9535"</definedName>
    <definedName name="IQ_PROBABLE_ATTRIB_ORE_RESERVES_URAN" hidden="1">"c9588"</definedName>
    <definedName name="IQ_PROBABLE_ATTRIB_ORE_RESERVES_ZINC" hidden="1">"c9323"</definedName>
    <definedName name="IQ_PROBABLE_ORE_RESERVES_ALUM" hidden="1">"c9209"</definedName>
    <definedName name="IQ_PROBABLE_ORE_RESERVES_COP" hidden="1">"c9153"</definedName>
    <definedName name="IQ_PROBABLE_ORE_RESERVES_DIAM" hidden="1">"c9633"</definedName>
    <definedName name="IQ_PROBABLE_ORE_RESERVES_GOLD" hidden="1">"c8994"</definedName>
    <definedName name="IQ_PROBABLE_ORE_RESERVES_IRON" hidden="1">"c9368"</definedName>
    <definedName name="IQ_PROBABLE_ORE_RESERVES_LEAD" hidden="1">"c9421"</definedName>
    <definedName name="IQ_PROBABLE_ORE_RESERVES_MANG" hidden="1">"c9474"</definedName>
    <definedName name="IQ_PROBABLE_ORE_RESERVES_MOLYB" hidden="1">"c9686"</definedName>
    <definedName name="IQ_PROBABLE_ORE_RESERVES_NICK" hidden="1">"c9262"</definedName>
    <definedName name="IQ_PROBABLE_ORE_RESERVES_PLAT" hidden="1">"c9100"</definedName>
    <definedName name="IQ_PROBABLE_ORE_RESERVES_SILVER" hidden="1">"c9047"</definedName>
    <definedName name="IQ_PROBABLE_ORE_RESERVES_TITAN" hidden="1">"c9527"</definedName>
    <definedName name="IQ_PROBABLE_ORE_RESERVES_URAN" hidden="1">"c9580"</definedName>
    <definedName name="IQ_PROBABLE_ORE_RESERVES_ZINC" hidden="1">"c9315"</definedName>
    <definedName name="IQ_PROBABLE_RECOV_ATTRIB_RESERVES_ALUM" hidden="1">"c9220"</definedName>
    <definedName name="IQ_PROBABLE_RECOV_ATTRIB_RESERVES_COAL" hidden="1">"c9804"</definedName>
    <definedName name="IQ_PROBABLE_RECOV_ATTRIB_RESERVES_COP" hidden="1">"c9164"</definedName>
    <definedName name="IQ_PROBABLE_RECOV_ATTRIB_RESERVES_DIAM" hidden="1">"c9644"</definedName>
    <definedName name="IQ_PROBABLE_RECOV_ATTRIB_RESERVES_GOLD" hidden="1">"c9005"</definedName>
    <definedName name="IQ_PROBABLE_RECOV_ATTRIB_RESERVES_IRON" hidden="1">"c9379"</definedName>
    <definedName name="IQ_PROBABLE_RECOV_ATTRIB_RESERVES_LEAD" hidden="1">"c9432"</definedName>
    <definedName name="IQ_PROBABLE_RECOV_ATTRIB_RESERVES_MANG" hidden="1">"c9485"</definedName>
    <definedName name="IQ_PROBABLE_RECOV_ATTRIB_RESERVES_MET_COAL" hidden="1">"c9744"</definedName>
    <definedName name="IQ_PROBABLE_RECOV_ATTRIB_RESERVES_MOLYB" hidden="1">"c9697"</definedName>
    <definedName name="IQ_PROBABLE_RECOV_ATTRIB_RESERVES_NICK" hidden="1">"c9273"</definedName>
    <definedName name="IQ_PROBABLE_RECOV_ATTRIB_RESERVES_PLAT" hidden="1">"c9111"</definedName>
    <definedName name="IQ_PROBABLE_RECOV_ATTRIB_RESERVES_SILVER" hidden="1">"c9058"</definedName>
    <definedName name="IQ_PROBABLE_RECOV_ATTRIB_RESERVES_STEAM" hidden="1">"c9774"</definedName>
    <definedName name="IQ_PROBABLE_RECOV_ATTRIB_RESERVES_TITAN" hidden="1">"c9538"</definedName>
    <definedName name="IQ_PROBABLE_RECOV_ATTRIB_RESERVES_URAN" hidden="1">"c9591"</definedName>
    <definedName name="IQ_PROBABLE_RECOV_ATTRIB_RESERVES_ZINC" hidden="1">"c9326"</definedName>
    <definedName name="IQ_PROBABLE_RECOV_RESERVES_ALUM" hidden="1">"c9214"</definedName>
    <definedName name="IQ_PROBABLE_RECOV_RESERVES_COAL" hidden="1">"c9801"</definedName>
    <definedName name="IQ_PROBABLE_RECOV_RESERVES_COP" hidden="1">"c9158"</definedName>
    <definedName name="IQ_PROBABLE_RECOV_RESERVES_DIAM" hidden="1">"c9638"</definedName>
    <definedName name="IQ_PROBABLE_RECOV_RESERVES_GOLD" hidden="1">"c8999"</definedName>
    <definedName name="IQ_PROBABLE_RECOV_RESERVES_IRON" hidden="1">"c9373"</definedName>
    <definedName name="IQ_PROBABLE_RECOV_RESERVES_LEAD" hidden="1">"c9426"</definedName>
    <definedName name="IQ_PROBABLE_RECOV_RESERVES_MANG" hidden="1">"c9479"</definedName>
    <definedName name="IQ_PROBABLE_RECOV_RESERVES_MET_COAL" hidden="1">"c9741"</definedName>
    <definedName name="IQ_PROBABLE_RECOV_RESERVES_MOLYB" hidden="1">"c9691"</definedName>
    <definedName name="IQ_PROBABLE_RECOV_RESERVES_NICK" hidden="1">"c9267"</definedName>
    <definedName name="IQ_PROBABLE_RECOV_RESERVES_PLAT" hidden="1">"c9105"</definedName>
    <definedName name="IQ_PROBABLE_RECOV_RESERVES_SILVER" hidden="1">"c9052"</definedName>
    <definedName name="IQ_PROBABLE_RECOV_RESERVES_STEAM" hidden="1">"c9771"</definedName>
    <definedName name="IQ_PROBABLE_RECOV_RESERVES_TITAN" hidden="1">"c9532"</definedName>
    <definedName name="IQ_PROBABLE_RECOV_RESERVES_URAN" hidden="1">"c9585"</definedName>
    <definedName name="IQ_PROBABLE_RECOV_RESERVES_ZINC" hidden="1">"c9320"</definedName>
    <definedName name="IQ_PROBABLE_RESERVES_CALORIFIC_VALUE_COAL" hidden="1">"c9798"</definedName>
    <definedName name="IQ_PROBABLE_RESERVES_CALORIFIC_VALUE_MET_COAL" hidden="1">"c9738"</definedName>
    <definedName name="IQ_PROBABLE_RESERVES_CALORIFIC_VALUE_STEAM" hidden="1">"c9768"</definedName>
    <definedName name="IQ_PROBABLE_RESERVES_GRADE_ALUM" hidden="1">"c9210"</definedName>
    <definedName name="IQ_PROBABLE_RESERVES_GRADE_COP" hidden="1">"c9154"</definedName>
    <definedName name="IQ_PROBABLE_RESERVES_GRADE_DIAM" hidden="1">"c9634"</definedName>
    <definedName name="IQ_PROBABLE_RESERVES_GRADE_GOLD" hidden="1">"c8995"</definedName>
    <definedName name="IQ_PROBABLE_RESERVES_GRADE_IRON" hidden="1">"c9369"</definedName>
    <definedName name="IQ_PROBABLE_RESERVES_GRADE_LEAD" hidden="1">"c9422"</definedName>
    <definedName name="IQ_PROBABLE_RESERVES_GRADE_MANG" hidden="1">"c9475"</definedName>
    <definedName name="IQ_PROBABLE_RESERVES_GRADE_MOLYB" hidden="1">"c9687"</definedName>
    <definedName name="IQ_PROBABLE_RESERVES_GRADE_NICK" hidden="1">"c9263"</definedName>
    <definedName name="IQ_PROBABLE_RESERVES_GRADE_PLAT" hidden="1">"c9101"</definedName>
    <definedName name="IQ_PROBABLE_RESERVES_GRADE_SILVER" hidden="1">"c9048"</definedName>
    <definedName name="IQ_PROBABLE_RESERVES_GRADE_TITAN" hidden="1">"c9528"</definedName>
    <definedName name="IQ_PROBABLE_RESERVES_GRADE_URAN" hidden="1">"c9581"</definedName>
    <definedName name="IQ_PROBABLE_RESERVES_GRADE_ZINC" hidden="1">"c9316"</definedName>
    <definedName name="IQ_PRODUCTION_COST_ALUM" hidden="1">"c9253"</definedName>
    <definedName name="IQ_PRODUCTION_COST_COAL" hidden="1">"c9826"</definedName>
    <definedName name="IQ_PRODUCTION_COST_COP" hidden="1">"c9200"</definedName>
    <definedName name="IQ_PRODUCTION_COST_DIAM" hidden="1">"c9677"</definedName>
    <definedName name="IQ_PRODUCTION_COST_GOLD" hidden="1">"c9038"</definedName>
    <definedName name="IQ_PRODUCTION_COST_IRON" hidden="1">"c9412"</definedName>
    <definedName name="IQ_PRODUCTION_COST_LEAD" hidden="1">"c9465"</definedName>
    <definedName name="IQ_PRODUCTION_COST_MANG" hidden="1">"c9518"</definedName>
    <definedName name="IQ_PRODUCTION_COST_MET_COAL" hidden="1">"c9763"</definedName>
    <definedName name="IQ_PRODUCTION_COST_MOLYB" hidden="1">"c9730"</definedName>
    <definedName name="IQ_PRODUCTION_COST_NICK" hidden="1">"c9306"</definedName>
    <definedName name="IQ_PRODUCTION_COST_PLAT" hidden="1">"c9144"</definedName>
    <definedName name="IQ_PRODUCTION_COST_SILVER" hidden="1">"c9091"</definedName>
    <definedName name="IQ_PRODUCTION_COST_STEAM" hidden="1">"c9793"</definedName>
    <definedName name="IQ_PRODUCTION_COST_TITAN" hidden="1">"c9571"</definedName>
    <definedName name="IQ_PRODUCTION_COST_URAN" hidden="1">"c9624"</definedName>
    <definedName name="IQ_PRODUCTION_COST_ZINC" hidden="1">"c9359"</definedName>
    <definedName name="IQ_PROFESSIONAL" hidden="1">"c1071"</definedName>
    <definedName name="IQ_PROFESSIONAL_TITLE" hidden="1">"c1072"</definedName>
    <definedName name="IQ_PROFIT_AFTER_COST_CAPITAL_NEW_BUSINESS" hidden="1">"c9969"</definedName>
    <definedName name="IQ_PROFIT_BEFORE_COST_CAPITAL_NEW_BUSINESS" hidden="1">"c9967"</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ED_ATTRIB_ORE_RESERVES_ALUM" hidden="1">"c9216"</definedName>
    <definedName name="IQ_PROVED_ATTRIB_ORE_RESERVES_COP" hidden="1">"c9160"</definedName>
    <definedName name="IQ_PROVED_ATTRIB_ORE_RESERVES_DIAM" hidden="1">"c9640"</definedName>
    <definedName name="IQ_PROVED_ATTRIB_ORE_RESERVES_GOLD" hidden="1">"c9001"</definedName>
    <definedName name="IQ_PROVED_ATTRIB_ORE_RESERVES_IRON" hidden="1">"c9375"</definedName>
    <definedName name="IQ_PROVED_ATTRIB_ORE_RESERVES_LEAD" hidden="1">"c9428"</definedName>
    <definedName name="IQ_PROVED_ATTRIB_ORE_RESERVES_MANG" hidden="1">"c9481"</definedName>
    <definedName name="IQ_PROVED_ATTRIB_ORE_RESERVES_MOLYB" hidden="1">"c9693"</definedName>
    <definedName name="IQ_PROVED_ATTRIB_ORE_RESERVES_NICK" hidden="1">"c9269"</definedName>
    <definedName name="IQ_PROVED_ATTRIB_ORE_RESERVES_PLAT" hidden="1">"c9107"</definedName>
    <definedName name="IQ_PROVED_ATTRIB_ORE_RESERVES_SILVER" hidden="1">"c9054"</definedName>
    <definedName name="IQ_PROVED_ATTRIB_ORE_RESERVES_TITAN" hidden="1">"c9534"</definedName>
    <definedName name="IQ_PROVED_ATTRIB_ORE_RESERVES_URAN" hidden="1">"c9587"</definedName>
    <definedName name="IQ_PROVED_ATTRIB_ORE_RESERVES_ZINC" hidden="1">"c9322"</definedName>
    <definedName name="IQ_PROVED_ORE_RESERVES_ALUM" hidden="1">"c9207"</definedName>
    <definedName name="IQ_PROVED_ORE_RESERVES_COP" hidden="1">"c9151"</definedName>
    <definedName name="IQ_PROVED_ORE_RESERVES_DIAM" hidden="1">"c9631"</definedName>
    <definedName name="IQ_PROVED_ORE_RESERVES_GOLD" hidden="1">"c8992"</definedName>
    <definedName name="IQ_PROVED_ORE_RESERVES_IRON" hidden="1">"c9366"</definedName>
    <definedName name="IQ_PROVED_ORE_RESERVES_LEAD" hidden="1">"c9419"</definedName>
    <definedName name="IQ_PROVED_ORE_RESERVES_MANG" hidden="1">"c9472"</definedName>
    <definedName name="IQ_PROVED_ORE_RESERVES_MOLYB" hidden="1">"c9684"</definedName>
    <definedName name="IQ_PROVED_ORE_RESERVES_NICK" hidden="1">"c9260"</definedName>
    <definedName name="IQ_PROVED_ORE_RESERVES_PLAT" hidden="1">"c9098"</definedName>
    <definedName name="IQ_PROVED_ORE_RESERVES_SILVER" hidden="1">"c9045"</definedName>
    <definedName name="IQ_PROVED_ORE_RESERVES_TITAN" hidden="1">"c9525"</definedName>
    <definedName name="IQ_PROVED_ORE_RESERVES_URAN" hidden="1">"c9578"</definedName>
    <definedName name="IQ_PROVED_ORE_RESERVES_ZINC" hidden="1">"c9313"</definedName>
    <definedName name="IQ_PROVED_RECOV_ATTRIB_RESERVES_ALUM" hidden="1">"c9219"</definedName>
    <definedName name="IQ_PROVED_RECOV_ATTRIB_RESERVES_COAL" hidden="1">"c9803"</definedName>
    <definedName name="IQ_PROVED_RECOV_ATTRIB_RESERVES_COP" hidden="1">"c9163"</definedName>
    <definedName name="IQ_PROVED_RECOV_ATTRIB_RESERVES_DIAM" hidden="1">"c9643"</definedName>
    <definedName name="IQ_PROVED_RECOV_ATTRIB_RESERVES_GOLD" hidden="1">"c9004"</definedName>
    <definedName name="IQ_PROVED_RECOV_ATTRIB_RESERVES_IRON" hidden="1">"c9378"</definedName>
    <definedName name="IQ_PROVED_RECOV_ATTRIB_RESERVES_LEAD" hidden="1">"c9431"</definedName>
    <definedName name="IQ_PROVED_RECOV_ATTRIB_RESERVES_MANG" hidden="1">"c9484"</definedName>
    <definedName name="IQ_PROVED_RECOV_ATTRIB_RESERVES_MET_COAL" hidden="1">"c9743"</definedName>
    <definedName name="IQ_PROVED_RECOV_ATTRIB_RESERVES_MOLYB" hidden="1">"c9696"</definedName>
    <definedName name="IQ_PROVED_RECOV_ATTRIB_RESERVES_NICK" hidden="1">"c9272"</definedName>
    <definedName name="IQ_PROVED_RECOV_ATTRIB_RESERVES_PLAT" hidden="1">"c9110"</definedName>
    <definedName name="IQ_PROVED_RECOV_ATTRIB_RESERVES_SILVER" hidden="1">"c9057"</definedName>
    <definedName name="IQ_PROVED_RECOV_ATTRIB_RESERVES_STEAM" hidden="1">"c9773"</definedName>
    <definedName name="IQ_PROVED_RECOV_ATTRIB_RESERVES_TITAN" hidden="1">"c9537"</definedName>
    <definedName name="IQ_PROVED_RECOV_ATTRIB_RESERVES_URAN" hidden="1">"c9590"</definedName>
    <definedName name="IQ_PROVED_RECOV_ATTRIB_RESERVES_ZINC" hidden="1">"c9325"</definedName>
    <definedName name="IQ_PROVED_RECOV_RESERVES_ALUM" hidden="1">"c9213"</definedName>
    <definedName name="IQ_PROVED_RECOV_RESERVES_COAL" hidden="1">"c9800"</definedName>
    <definedName name="IQ_PROVED_RECOV_RESERVES_COP" hidden="1">"c9157"</definedName>
    <definedName name="IQ_PROVED_RECOV_RESERVES_DIAM" hidden="1">"c9637"</definedName>
    <definedName name="IQ_PROVED_RECOV_RESERVES_GOLD" hidden="1">"c8998"</definedName>
    <definedName name="IQ_PROVED_RECOV_RESERVES_IRON" hidden="1">"c9372"</definedName>
    <definedName name="IQ_PROVED_RECOV_RESERVES_LEAD" hidden="1">"c9425"</definedName>
    <definedName name="IQ_PROVED_RECOV_RESERVES_MANG" hidden="1">"c9478"</definedName>
    <definedName name="IQ_PROVED_RECOV_RESERVES_MET_COAL" hidden="1">"c9740"</definedName>
    <definedName name="IQ_PROVED_RECOV_RESERVES_MOLYB" hidden="1">"c9690"</definedName>
    <definedName name="IQ_PROVED_RECOV_RESERVES_NICK" hidden="1">"c9266"</definedName>
    <definedName name="IQ_PROVED_RECOV_RESERVES_PLAT" hidden="1">"c9104"</definedName>
    <definedName name="IQ_PROVED_RECOV_RESERVES_SILVER" hidden="1">"c9051"</definedName>
    <definedName name="IQ_PROVED_RECOV_RESERVES_STEAM" hidden="1">"c9770"</definedName>
    <definedName name="IQ_PROVED_RECOV_RESERVES_TITAN" hidden="1">"c9531"</definedName>
    <definedName name="IQ_PROVED_RECOV_RESERVES_URAN" hidden="1">"c9584"</definedName>
    <definedName name="IQ_PROVED_RECOV_RESERVES_ZINC" hidden="1">"c9319"</definedName>
    <definedName name="IQ_PROVED_RESERVES_CALORIFIC_VALUE_COAL" hidden="1">"c9797"</definedName>
    <definedName name="IQ_PROVED_RESERVES_CALORIFIC_VALUE_MET_COAL" hidden="1">"c9737"</definedName>
    <definedName name="IQ_PROVED_RESERVES_CALORIFIC_VALUE_STEAM" hidden="1">"c9767"</definedName>
    <definedName name="IQ_PROVED_RESERVES_GRADE_ALUM" hidden="1">"c9208"</definedName>
    <definedName name="IQ_PROVED_RESERVES_GRADE_COP" hidden="1">"c9152"</definedName>
    <definedName name="IQ_PROVED_RESERVES_GRADE_DIAM" hidden="1">"c9632"</definedName>
    <definedName name="IQ_PROVED_RESERVES_GRADE_GOLD" hidden="1">"c8993"</definedName>
    <definedName name="IQ_PROVED_RESERVES_GRADE_IRON" hidden="1">"c9367"</definedName>
    <definedName name="IQ_PROVED_RESERVES_GRADE_LEAD" hidden="1">"c9420"</definedName>
    <definedName name="IQ_PROVED_RESERVES_GRADE_MANG" hidden="1">"c9473"</definedName>
    <definedName name="IQ_PROVED_RESERVES_GRADE_MOLYB" hidden="1">"c9685"</definedName>
    <definedName name="IQ_PROVED_RESERVES_GRADE_NICK" hidden="1">"c9261"</definedName>
    <definedName name="IQ_PROVED_RESERVES_GRADE_PLAT" hidden="1">"c9099"</definedName>
    <definedName name="IQ_PROVED_RESERVES_GRADE_SILVER" hidden="1">"c9046"</definedName>
    <definedName name="IQ_PROVED_RESERVES_GRADE_TITAN" hidden="1">"c9526"</definedName>
    <definedName name="IQ_PROVED_RESERVES_GRADE_URAN" hidden="1">"c9579"</definedName>
    <definedName name="IQ_PROVED_RESERVES_GRADE_ZINC" hidden="1">"c9314"</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 hidden="1">"c8491"</definedName>
    <definedName name="IQ_PURCHASES_EQUIP_NONRES_SAAR_APR_FC_UNUSED_UNUSED_UNUSED" hidden="1">"c8491"</definedName>
    <definedName name="IQ_PURCHASES_EQUIP_NONRES_SAAR_APR_UNUSED" hidden="1">"c7611"</definedName>
    <definedName name="IQ_PURCHASES_EQUIP_NONRES_SAAR_APR_UNUSED_UNUSED_UNUSED" hidden="1">"c7611"</definedName>
    <definedName name="IQ_PURCHASES_EQUIP_NONRES_SAAR_FC_UNUSED" hidden="1">"c7831"</definedName>
    <definedName name="IQ_PURCHASES_EQUIP_NONRES_SAAR_FC_UNUSED_UNUSED_UNUSED" hidden="1">"c7831"</definedName>
    <definedName name="IQ_PURCHASES_EQUIP_NONRES_SAAR_POP_FC_UNUSED" hidden="1">"c8051"</definedName>
    <definedName name="IQ_PURCHASES_EQUIP_NONRES_SAAR_POP_FC_UNUSED_UNUSED_UNUSED" hidden="1">"c8051"</definedName>
    <definedName name="IQ_PURCHASES_EQUIP_NONRES_SAAR_POP_UNUSED" hidden="1">"c7171"</definedName>
    <definedName name="IQ_PURCHASES_EQUIP_NONRES_SAAR_POP_UNUSED_UNUSED_UNUSED" hidden="1">"c7171"</definedName>
    <definedName name="IQ_PURCHASES_EQUIP_NONRES_SAAR_UNUSED" hidden="1">"c6951"</definedName>
    <definedName name="IQ_PURCHASES_EQUIP_NONRES_SAAR_UNUSED_UNUSED_UNUSED" hidden="1">"c6951"</definedName>
    <definedName name="IQ_PURCHASES_EQUIP_NONRES_SAAR_YOY_FC_UNUSED" hidden="1">"c8271"</definedName>
    <definedName name="IQ_PURCHASES_EQUIP_NONRES_SAAR_YOY_FC_UNUSED_UNUSED_UNUSED" hidden="1">"c8271"</definedName>
    <definedName name="IQ_PURCHASES_EQUIP_NONRES_SAAR_YOY_UNUSED" hidden="1">"c7391"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PV_PREMIUMS_NEW_BUSINESS" hidden="1">"c9973"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DEPR_AMORT" hidden="1">"c8750"</definedName>
    <definedName name="IQ_RE_FCCR" hidden="1">"c8858"</definedName>
    <definedName name="IQ_RE_FCCR_CONT_OPS" hidden="1">"c8859"</definedName>
    <definedName name="IQ_RE_FCCR_INCL_DISC_OPS" hidden="1">"c8860"</definedName>
    <definedName name="IQ_RE_FCCR_INCL_PREF_DIV" hidden="1">"c8861"</definedName>
    <definedName name="IQ_RE_FCCR_INCL_PREF_DIV_CONT_OPS" hidden="1">"c8862"</definedName>
    <definedName name="IQ_RE_FCCR_INCL_PREF_DIV_INCL_DISC_OPS" hidden="1">"c8863"</definedName>
    <definedName name="IQ_RE_FIXED_CHARGES" hidden="1">"c8856"</definedName>
    <definedName name="IQ_RE_FIXED_CHARGES_INCL_PREF_DIV" hidden="1">"c8857"</definedName>
    <definedName name="IQ_RE_FORECLOSURE_FDIC" hidden="1">"c6332"</definedName>
    <definedName name="IQ_RE_GAIN_LOSS_SALE_ASSETS" hidden="1">"c8751"</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_MAINT_CAPEX" hidden="1">"c8755"</definedName>
    <definedName name="IQ_RE_MINORITY_INTEREST" hidden="1">"c8752"</definedName>
    <definedName name="IQ_RE_NET_INCOME" hidden="1">"c8749"</definedName>
    <definedName name="IQ_RE_NOI" hidden="1">"c8864"</definedName>
    <definedName name="IQ_RE_NOI_GROWTH_SAME_PROP" hidden="1">"c8866"</definedName>
    <definedName name="IQ_RE_NOI_SAME_PROP" hidden="1">"c8865"</definedName>
    <definedName name="IQ_RE_OTHER_ITEMS" hidden="1">"c8753"</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ACT_OR_EST_CIQ" hidden="1">"c5045"</definedName>
    <definedName name="IQ_RECURRING_PROFIT_SHARE_ACT_OR_EST" hidden="1">"c4508"</definedName>
    <definedName name="IQ_RECURRING_PROFIT_SHARE_ACT_OR_EST_CIQ" hidden="1">"c5046"</definedName>
    <definedName name="IQ_REDEEM_PREF_STOCK" hidden="1">"c1417"</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_PER_SQ_FT_AVG_CONSOL" hidden="1">"c8846"</definedName>
    <definedName name="IQ_RENT_PER_SQ_FT_AVG_MANAGED" hidden="1">"c8848"</definedName>
    <definedName name="IQ_RENT_PER_SQ_FT_AVG_OTHER" hidden="1">"c8849"</definedName>
    <definedName name="IQ_RENT_PER_SQ_FT_AVG_TOTAL" hidden="1">"c8850"</definedName>
    <definedName name="IQ_RENT_PER_SQ_FT_AVG_UNCONSOL" hidden="1">"c8847"</definedName>
    <definedName name="IQ_RENT_PER_SQ_METER_AVG_CONSOL" hidden="1">"c8851"</definedName>
    <definedName name="IQ_RENT_PER_SQ_METER_AVG_MANAGED" hidden="1">"c8853"</definedName>
    <definedName name="IQ_RENT_PER_SQ_METER_AVG_OTHER" hidden="1">"c8854"</definedName>
    <definedName name="IQ_RENT_PER_SQ_METER_AVG_TOTAL" hidden="1">"c8855"</definedName>
    <definedName name="IQ_RENT_PER_SQ_METER_AVG_UNCONSOL" hidden="1">"c8852"</definedName>
    <definedName name="IQ_RENTAL_REV" hidden="1">"c1101"</definedName>
    <definedName name="IQ_RES_CONST_REAL_APR_FC_UNUSED" hidden="1">"c8536"</definedName>
    <definedName name="IQ_RES_CONST_REAL_APR_FC_UNUSED_UNUSED_UNUSED" hidden="1">"c8536"</definedName>
    <definedName name="IQ_RES_CONST_REAL_APR_UNUSED" hidden="1">"c7656"</definedName>
    <definedName name="IQ_RES_CONST_REAL_APR_UNUSED_UNUSED_UNUSED" hidden="1">"c7656"</definedName>
    <definedName name="IQ_RES_CONST_REAL_FC_UNUSED" hidden="1">"c7876"</definedName>
    <definedName name="IQ_RES_CONST_REAL_FC_UNUSED_UNUSED_UNUSED" hidden="1">"c7876"</definedName>
    <definedName name="IQ_RES_CONST_REAL_POP_FC_UNUSED" hidden="1">"c8096"</definedName>
    <definedName name="IQ_RES_CONST_REAL_POP_FC_UNUSED_UNUSED_UNUSED" hidden="1">"c8096"</definedName>
    <definedName name="IQ_RES_CONST_REAL_POP_UNUSED" hidden="1">"c7216"</definedName>
    <definedName name="IQ_RES_CONST_REAL_POP_UNUSED_UNUSED_UNUSED" hidden="1">"c7216"</definedName>
    <definedName name="IQ_RES_CONST_REAL_SAAR_APR_FC_UNUSED" hidden="1">"c8537"</definedName>
    <definedName name="IQ_RES_CONST_REAL_SAAR_APR_FC_UNUSED_UNUSED_UNUSED" hidden="1">"c8537"</definedName>
    <definedName name="IQ_RES_CONST_REAL_SAAR_APR_UNUSED" hidden="1">"c7657"</definedName>
    <definedName name="IQ_RES_CONST_REAL_SAAR_APR_UNUSED_UNUSED_UNUSED" hidden="1">"c7657"</definedName>
    <definedName name="IQ_RES_CONST_REAL_SAAR_FC_UNUSED" hidden="1">"c7877"</definedName>
    <definedName name="IQ_RES_CONST_REAL_SAAR_FC_UNUSED_UNUSED_UNUSED" hidden="1">"c7877"</definedName>
    <definedName name="IQ_RES_CONST_REAL_SAAR_POP_FC_UNUSED" hidden="1">"c8097"</definedName>
    <definedName name="IQ_RES_CONST_REAL_SAAR_POP_FC_UNUSED_UNUSED_UNUSED" hidden="1">"c8097"</definedName>
    <definedName name="IQ_RES_CONST_REAL_SAAR_POP_UNUSED" hidden="1">"c7217"</definedName>
    <definedName name="IQ_RES_CONST_REAL_SAAR_POP_UNUSED_UNUSED_UNUSED" hidden="1">"c7217"</definedName>
    <definedName name="IQ_RES_CONST_REAL_SAAR_UNUSED" hidden="1">"c6997"</definedName>
    <definedName name="IQ_RES_CONST_REAL_SAAR_UNUSED_UNUSED_UNUSED" hidden="1">"c6997"</definedName>
    <definedName name="IQ_RES_CONST_REAL_SAAR_YOY_FC_UNUSED" hidden="1">"c8317"</definedName>
    <definedName name="IQ_RES_CONST_REAL_SAAR_YOY_FC_UNUSED_UNUSED_UNUSED" hidden="1">"c8317"</definedName>
    <definedName name="IQ_RES_CONST_REAL_SAAR_YOY_UNUSED" hidden="1">"c7437"</definedName>
    <definedName name="IQ_RES_CONST_REAL_SAAR_YOY_UNUSED_UNUSED_UNUSED" hidden="1">"c7437"</definedName>
    <definedName name="IQ_RES_CONST_REAL_UNUSED" hidden="1">"c6996"</definedName>
    <definedName name="IQ_RES_CONST_REAL_UNUSED_UNUSED_UNUSED" hidden="1">"c6996"</definedName>
    <definedName name="IQ_RES_CONST_REAL_YOY_FC_UNUSED" hidden="1">"c8316"</definedName>
    <definedName name="IQ_RES_CONST_REAL_YOY_FC_UNUSED_UNUSED_UNUSED" hidden="1">"c8316"</definedName>
    <definedName name="IQ_RES_CONST_REAL_YOY_UNUSED" hidden="1">"c7436"</definedName>
    <definedName name="IQ_RES_CONST_REAL_YOY_UNUSED_UNUSED_UNUSED" hidden="1">"c7436"</definedName>
    <definedName name="IQ_RES_CONST_SAAR_APR_FC_UNUSED" hidden="1">"c8540"</definedName>
    <definedName name="IQ_RES_CONST_SAAR_APR_FC_UNUSED_UNUSED_UNUSED" hidden="1">"c8540"</definedName>
    <definedName name="IQ_RES_CONST_SAAR_APR_UNUSED" hidden="1">"c7660"</definedName>
    <definedName name="IQ_RES_CONST_SAAR_APR_UNUSED_UNUSED_UNUSED" hidden="1">"c7660"</definedName>
    <definedName name="IQ_RES_CONST_SAAR_FC_UNUSED" hidden="1">"c7880"</definedName>
    <definedName name="IQ_RES_CONST_SAAR_FC_UNUSED_UNUSED_UNUSED" hidden="1">"c7880"</definedName>
    <definedName name="IQ_RES_CONST_SAAR_POP_FC_UNUSED" hidden="1">"c8100"</definedName>
    <definedName name="IQ_RES_CONST_SAAR_POP_FC_UNUSED_UNUSED_UNUSED" hidden="1">"c8100"</definedName>
    <definedName name="IQ_RES_CONST_SAAR_POP_UNUSED" hidden="1">"c7220"</definedName>
    <definedName name="IQ_RES_CONST_SAAR_POP_UNUSED_UNUSED_UNUSED" hidden="1">"c7220"</definedName>
    <definedName name="IQ_RES_CONST_SAAR_UNUSED" hidden="1">"c7000"</definedName>
    <definedName name="IQ_RES_CONST_SAAR_UNUSED_UNUSED_UNUSED" hidden="1">"c7000"</definedName>
    <definedName name="IQ_RES_CONST_SAAR_YOY_FC_UNUSED" hidden="1">"c8320"</definedName>
    <definedName name="IQ_RES_CONST_SAAR_YOY_FC_UNUSED_UNUSED_UNUSED" hidden="1">"c8320"</definedName>
    <definedName name="IQ_RES_CONST_SAAR_YOY_UNUSED" hidden="1">"c7440"</definedName>
    <definedName name="IQ_RES_CONST_SAAR_YOY_UNUSED_UNUSED_UNUSED" hidden="1">"c7440"</definedName>
    <definedName name="IQ_RES_FIXED_INVEST" hidden="1">"c7001"</definedName>
    <definedName name="IQ_RES_FIXED_INVEST_APR" hidden="1">"c7661"</definedName>
    <definedName name="IQ_RES_FIXED_INVEST_APR_FC" hidden="1">"c8541"</definedName>
    <definedName name="IQ_RES_FIXED_INVEST_FC" hidden="1">"c7881"</definedName>
    <definedName name="IQ_RES_FIXED_INVEST_POP" hidden="1">"c7221"</definedName>
    <definedName name="IQ_RES_FIXED_INVEST_POP_FC" hidden="1">"c8101"</definedName>
    <definedName name="IQ_RES_FIXED_INVEST_REAL" hidden="1">"c6998"</definedName>
    <definedName name="IQ_RES_FIXED_INVEST_REAL_APR" hidden="1">"c7658"</definedName>
    <definedName name="IQ_RES_FIXED_INVEST_REAL_APR_FC" hidden="1">"c8538"</definedName>
    <definedName name="IQ_RES_FIXED_INVEST_REAL_FC" hidden="1">"c7878"</definedName>
    <definedName name="IQ_RES_FIXED_INVEST_REAL_POP" hidden="1">"c7218"</definedName>
    <definedName name="IQ_RES_FIXED_INVEST_REAL_POP_FC" hidden="1">"c8098"</definedName>
    <definedName name="IQ_RES_FIXED_INVEST_REAL_YOY" hidden="1">"c7438"</definedName>
    <definedName name="IQ_RES_FIXED_INVEST_REAL_YOY_FC" hidden="1">"c8318"</definedName>
    <definedName name="IQ_RES_FIXED_INVEST_SAAR" hidden="1">"c11994"</definedName>
    <definedName name="IQ_RES_FIXED_INVEST_SAAR_APR" hidden="1">"c11997"</definedName>
    <definedName name="IQ_RES_FIXED_INVEST_SAAR_POP" hidden="1">"c11995"</definedName>
    <definedName name="IQ_RES_FIXED_INVEST_SAAR_REAL" hidden="1">"c11990"</definedName>
    <definedName name="IQ_RES_FIXED_INVEST_SAAR_REAL_APR" hidden="1">"c11993"</definedName>
    <definedName name="IQ_RES_FIXED_INVEST_SAAR_REAL_POP" hidden="1">"c11991"</definedName>
    <definedName name="IQ_RES_FIXED_INVEST_SAAR_REAL_YOY" hidden="1">"c11992"</definedName>
    <definedName name="IQ_RES_FIXED_INVEST_SAAR_YOY" hidden="1">"c11996"</definedName>
    <definedName name="IQ_RES_FIXED_INVEST_YOY" hidden="1">"c7441"</definedName>
    <definedName name="IQ_RES_FIXED_INVEST_YOY_FC" hidden="1">"c8321"</definedName>
    <definedName name="IQ_RESEARCH_DEV" hidden="1">"c1419"</definedName>
    <definedName name="IQ_RESIDENTIAL_LOANS" hidden="1">"c1102"</definedName>
    <definedName name="IQ_REST_ACQUIRED_AFFILIATED_OTHER_RESTAURANTS" hidden="1">"c9873"</definedName>
    <definedName name="IQ_REST_ACQUIRED_FRANCHISE_RESTAURANTS" hidden="1">"c9867"</definedName>
    <definedName name="IQ_REST_ACQUIRED_OWNED_RESTAURANTS" hidden="1">"c9861"</definedName>
    <definedName name="IQ_REST_ACQUIRED_RESTAURANTS" hidden="1">"c9855"</definedName>
    <definedName name="IQ_REST_AFFILIATED_OTHER_RESTAURANTS_BEG" hidden="1">"c9871"</definedName>
    <definedName name="IQ_REST_AVG_VALUE_TRANSACTION" hidden="1">"c9887"</definedName>
    <definedName name="IQ_REST_AVG_VALUE_TRANSACTION_GROWTH" hidden="1">"c9888"</definedName>
    <definedName name="IQ_REST_AVG_WEEKLY_SALES" hidden="1">"c9879"</definedName>
    <definedName name="IQ_REST_AVG_WEEKLY_SALES_FRANCHISE" hidden="1">"c9877"</definedName>
    <definedName name="IQ_REST_AVG_WEEKLY_SALES_OWNED" hidden="1">"c9878"</definedName>
    <definedName name="IQ_REST_CLOSED_AFFILIATED_OTHER_RESTAURANTS" hidden="1">"c9874"</definedName>
    <definedName name="IQ_REST_CLOSED_FRANCHISE_RESTAURANTS" hidden="1">"c9868"</definedName>
    <definedName name="IQ_REST_CLOSED_OWNED_RESTAURANTS" hidden="1">"c9862"</definedName>
    <definedName name="IQ_REST_CLOSED_RESTAURANTS" hidden="1">"c9856"</definedName>
    <definedName name="IQ_REST_FRANCHISE_RESTAURANTS_BEG" hidden="1">"c9865"</definedName>
    <definedName name="IQ_REST_GUEST_COUNT_GROWTH" hidden="1">"c9889"</definedName>
    <definedName name="IQ_REST_OPENED_AFFILIATED_OTHER_RESTAURANTS" hidden="1">"c9872"</definedName>
    <definedName name="IQ_REST_OPENED_FRANCHISE_RESTAURANTS" hidden="1">"c9866"</definedName>
    <definedName name="IQ_REST_OPENED_OWNED_RESTAURANTS" hidden="1">"c9860"</definedName>
    <definedName name="IQ_REST_OPENED_RESTAURANTS" hidden="1">"c9854"</definedName>
    <definedName name="IQ_REST_OPERATING_MARGIN" hidden="1">"c9886"</definedName>
    <definedName name="IQ_REST_OWNED_RESTAURANTS_BEG" hidden="1">"c9859"</definedName>
    <definedName name="IQ_REST_RESTAURANTS_BEG" hidden="1">"c9853"</definedName>
    <definedName name="IQ_REST_SAME_RESTAURANT_SALES" hidden="1">"c9885"</definedName>
    <definedName name="IQ_REST_SAME_RESTAURANT_SALES_FRANCHISE" hidden="1">"c9883"</definedName>
    <definedName name="IQ_REST_SAME_RESTAURANT_SALES_GROWTH" hidden="1">"c9882"</definedName>
    <definedName name="IQ_REST_SAME_RESTAURANT_SALES_GROWTH_FRANCHISE" hidden="1">"c9880"</definedName>
    <definedName name="IQ_REST_SAME_RESTAURANT_SALES_GROWTH_OWNED" hidden="1">"c9881"</definedName>
    <definedName name="IQ_REST_SAME_RESTAURANT_SALES_OWNED" hidden="1">"c9884"</definedName>
    <definedName name="IQ_REST_SOLD_AFFILIATED_OTHER_RESTAURANTS" hidden="1">"c9875"</definedName>
    <definedName name="IQ_REST_SOLD_FRANCHISE_RESTAURANTS" hidden="1">"c9869"</definedName>
    <definedName name="IQ_REST_SOLD_OWNED_RESTAURANTS" hidden="1">"c9863"</definedName>
    <definedName name="IQ_REST_SOLD_RESTAURANTS" hidden="1">"c9857"</definedName>
    <definedName name="IQ_REST_TOTAL_AFFILIATED_OTHER_RESTAURANTS" hidden="1">"c9876"</definedName>
    <definedName name="IQ_REST_TOTAL_FRANCHISE_RESTAURANTS" hidden="1">"c9870"</definedName>
    <definedName name="IQ_REST_TOTAL_OWNED_RESTAURANTS" hidden="1">"c9864"</definedName>
    <definedName name="IQ_REST_TOTAL_RESTAURANTS" hidden="1">"c9858"</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AFFILIATED_OTHER_STORES" hidden="1">"c9892"</definedName>
    <definedName name="IQ_RETAIL_ACQUIRED_FRANCHISE_STORES" hidden="1">"c2895"</definedName>
    <definedName name="IQ_RETAIL_ACQUIRED_OWNED_STORES" hidden="1">"c2903"</definedName>
    <definedName name="IQ_RETAIL_ACQUIRED_STORES" hidden="1">"c2887"</definedName>
    <definedName name="IQ_RETAIL_AFFILIATED_OTHER_STORES_BEG" hidden="1">"c9890"</definedName>
    <definedName name="IQ_RETAIL_AVG_SQ_METERS_GROSS" hidden="1">"c9908"</definedName>
    <definedName name="IQ_RETAIL_AVG_SQ_METERS_NET" hidden="1">"c9907"</definedName>
    <definedName name="IQ_RETAIL_AVG_STORE_SIZE_GROSS" hidden="1">"c2066"</definedName>
    <definedName name="IQ_RETAIL_AVG_STORE_SIZE_NET" hidden="1">"c2067"</definedName>
    <definedName name="IQ_RETAIL_AVG_VALUE_TRANSACTION" hidden="1">"c9915"</definedName>
    <definedName name="IQ_RETAIL_AVG_VALUE_TRANSACTION_GROWTH" hidden="1">"c9916"</definedName>
    <definedName name="IQ_RETAIL_AVG_WK_SALES" hidden="1">"c2891"</definedName>
    <definedName name="IQ_RETAIL_AVG_WK_SALES_FRANCHISE" hidden="1">"c2899"</definedName>
    <definedName name="IQ_RETAIL_AVG_WK_SALES_OWNED" hidden="1">"c2907"</definedName>
    <definedName name="IQ_RETAIL_CLOSED_AFFILIATED_OTHER_STORES" hidden="1">"c9893"</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GROSS_MARGIN" hidden="1">"c9899"</definedName>
    <definedName name="IQ_RETAIL_IS_RATIO" hidden="1">"c7002"</definedName>
    <definedName name="IQ_RETAIL_IS_RATIO_FC" hidden="1">"c7882"</definedName>
    <definedName name="IQ_RETAIL_IS_RATIO_POP" hidden="1">"c7222"</definedName>
    <definedName name="IQ_RETAIL_IS_RATIO_POP_FC" hidden="1">"c8102"</definedName>
    <definedName name="IQ_RETAIL_IS_RATIO_YOY" hidden="1">"c7442"</definedName>
    <definedName name="IQ_RETAIL_IS_RATIO_YOY_FC" hidden="1">"c8322"</definedName>
    <definedName name="IQ_RETAIL_MERCHANDISE_MARGIN" hidden="1">"c9901"</definedName>
    <definedName name="IQ_RETAIL_OPENED_AFFILIATED_OTHER_STORES" hidden="1">"c9891"</definedName>
    <definedName name="IQ_RETAIL_OPENED_FRANCHISE_STORES" hidden="1">"c2894"</definedName>
    <definedName name="IQ_RETAIL_OPENED_OWNED_STORES" hidden="1">"c2902"</definedName>
    <definedName name="IQ_RETAIL_OPENED_STORES" hidden="1">"c2062"</definedName>
    <definedName name="IQ_RETAIL_OPERATING_MARGIN" hidden="1">"c9900"</definedName>
    <definedName name="IQ_RETAIL_OWNED_STORES_BEG" hidden="1">"c2901"</definedName>
    <definedName name="IQ_RETAIL_SALES" hidden="1">"c7003"</definedName>
    <definedName name="IQ_RETAIL_SALES_APR" hidden="1">"c7663"</definedName>
    <definedName name="IQ_RETAIL_SALES_APR_FC" hidden="1">"c8543"</definedName>
    <definedName name="IQ_RETAIL_SALES_CATALOG" hidden="1">"c9903"</definedName>
    <definedName name="IQ_RETAIL_SALES_FC" hidden="1">"c7883"</definedName>
    <definedName name="IQ_RETAIL_SALES_FOOD" hidden="1">"c7004"</definedName>
    <definedName name="IQ_RETAIL_SALES_FOOD_APR" hidden="1">"c7664"</definedName>
    <definedName name="IQ_RETAIL_SALES_FOOD_APR_FC" hidden="1">"c8544"</definedName>
    <definedName name="IQ_RETAIL_SALES_FOOD_EXCL_VEHICLE" hidden="1">"c7005"</definedName>
    <definedName name="IQ_RETAIL_SALES_FOOD_EXCL_VEHICLE_APR" hidden="1">"c7665"</definedName>
    <definedName name="IQ_RETAIL_SALES_FOOD_EXCL_VEHICLE_APR_FC" hidden="1">"c8545"</definedName>
    <definedName name="IQ_RETAIL_SALES_FOOD_EXCL_VEHICLE_FC" hidden="1">"c7885"</definedName>
    <definedName name="IQ_RETAIL_SALES_FOOD_EXCL_VEHICLE_POP" hidden="1">"c7225"</definedName>
    <definedName name="IQ_RETAIL_SALES_FOOD_EXCL_VEHICLE_POP_FC" hidden="1">"c8105"</definedName>
    <definedName name="IQ_RETAIL_SALES_FOOD_EXCL_VEHICLE_YOY" hidden="1">"c7445"</definedName>
    <definedName name="IQ_RETAIL_SALES_FOOD_EXCL_VEHICLE_YOY_FC" hidden="1">"c8325"</definedName>
    <definedName name="IQ_RETAIL_SALES_FOOD_FC" hidden="1">"c7884"</definedName>
    <definedName name="IQ_RETAIL_SALES_FOOD_POP" hidden="1">"c7224"</definedName>
    <definedName name="IQ_RETAIL_SALES_FOOD_POP_FC" hidden="1">"c8104"</definedName>
    <definedName name="IQ_RETAIL_SALES_FOOD_YOY" hidden="1">"c7444"</definedName>
    <definedName name="IQ_RETAIL_SALES_FOOD_YOY_FC" hidden="1">"c8324"</definedName>
    <definedName name="IQ_RETAIL_SALES_ONLINE" hidden="1">"c9904"</definedName>
    <definedName name="IQ_RETAIL_SALES_POP" hidden="1">"c7223"</definedName>
    <definedName name="IQ_RETAIL_SALES_POP_FC" hidden="1">"c8103"</definedName>
    <definedName name="IQ_RETAIL_SALES_RETAIL" hidden="1">"c9902"</definedName>
    <definedName name="IQ_RETAIL_SALES_SAAR" hidden="1">"c7009"</definedName>
    <definedName name="IQ_RETAIL_SALES_SAAR_APR" hidden="1">"c7669"</definedName>
    <definedName name="IQ_RETAIL_SALES_SAAR_APR_FC" hidden="1">"c8549"</definedName>
    <definedName name="IQ_RETAIL_SALES_SAAR_FC" hidden="1">"c7889"</definedName>
    <definedName name="IQ_RETAIL_SALES_SAAR_POP" hidden="1">"c7229"</definedName>
    <definedName name="IQ_RETAIL_SALES_SAAR_POP_FC" hidden="1">"c8109"</definedName>
    <definedName name="IQ_RETAIL_SALES_SAAR_YOY" hidden="1">"c7449"</definedName>
    <definedName name="IQ_RETAIL_SALES_SAAR_YOY_FC" hidden="1">"c8329"</definedName>
    <definedName name="IQ_RETAIL_SALES_SQ_METER_COMPARABLE_GROSS" hidden="1">"c9914"</definedName>
    <definedName name="IQ_RETAIL_SALES_SQ_METER_COMPARABLE_NET" hidden="1">"c9913"</definedName>
    <definedName name="IQ_RETAIL_SALES_SQ_METER_GROSS" hidden="1">"c9910"</definedName>
    <definedName name="IQ_RETAIL_SALES_SQ_METER_NET" hidden="1">"c9909"</definedName>
    <definedName name="IQ_RETAIL_SALES_SQ_METER_OWNED_GROSS" hidden="1">"c9912"</definedName>
    <definedName name="IQ_RETAIL_SALES_SQ_METER_OWNED_NET" hidden="1">"c9911"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ALES_VALUE_INDEX" hidden="1">"c7006"</definedName>
    <definedName name="IQ_RETAIL_SALES_VALUE_INDEX_APR" hidden="1">"c7666"</definedName>
    <definedName name="IQ_RETAIL_SALES_VALUE_INDEX_APR_FC" hidden="1">"c8546"</definedName>
    <definedName name="IQ_RETAIL_SALES_VALUE_INDEX_FC" hidden="1">"c7886"</definedName>
    <definedName name="IQ_RETAIL_SALES_VALUE_INDEX_POP" hidden="1">"c7226"</definedName>
    <definedName name="IQ_RETAIL_SALES_VALUE_INDEX_POP_FC" hidden="1">"c8106"</definedName>
    <definedName name="IQ_RETAIL_SALES_VALUE_INDEX_YOY" hidden="1">"c7446"</definedName>
    <definedName name="IQ_RETAIL_SALES_VALUE_INDEX_YOY_FC" hidden="1">"c8326"</definedName>
    <definedName name="IQ_RETAIL_SALES_VOL_INDEX" hidden="1">"c7007"</definedName>
    <definedName name="IQ_RETAIL_SALES_VOL_INDEX_APR" hidden="1">"c7667"</definedName>
    <definedName name="IQ_RETAIL_SALES_VOL_INDEX_APR_FC" hidden="1">"c8547"</definedName>
    <definedName name="IQ_RETAIL_SALES_VOL_INDEX_EXCL_MOTOR" hidden="1">"c7008"</definedName>
    <definedName name="IQ_RETAIL_SALES_VOL_INDEX_EXCL_MOTOR_APR" hidden="1">"c7668"</definedName>
    <definedName name="IQ_RETAIL_SALES_VOL_INDEX_EXCL_MOTOR_APR_FC" hidden="1">"c8548"</definedName>
    <definedName name="IQ_RETAIL_SALES_VOL_INDEX_EXCL_MOTOR_FC" hidden="1">"c7888"</definedName>
    <definedName name="IQ_RETAIL_SALES_VOL_INDEX_EXCL_MOTOR_POP" hidden="1">"c7228"</definedName>
    <definedName name="IQ_RETAIL_SALES_VOL_INDEX_EXCL_MOTOR_POP_FC" hidden="1">"c8108"</definedName>
    <definedName name="IQ_RETAIL_SALES_VOL_INDEX_EXCL_MOTOR_YOY" hidden="1">"c7448"</definedName>
    <definedName name="IQ_RETAIL_SALES_VOL_INDEX_EXCL_MOTOR_YOY_FC" hidden="1">"c8328"</definedName>
    <definedName name="IQ_RETAIL_SALES_VOL_INDEX_FC" hidden="1">"c7887"</definedName>
    <definedName name="IQ_RETAIL_SALES_VOL_INDEX_POP" hidden="1">"c7227"</definedName>
    <definedName name="IQ_RETAIL_SALES_VOL_INDEX_POP_FC" hidden="1">"c8107"</definedName>
    <definedName name="IQ_RETAIL_SALES_VOL_INDEX_YOY" hidden="1">"c7447"</definedName>
    <definedName name="IQ_RETAIL_SALES_VOL_INDEX_YOY_FC" hidden="1">"c8327"</definedName>
    <definedName name="IQ_RETAIL_SALES_YOY" hidden="1">"c7443"</definedName>
    <definedName name="IQ_RETAIL_SALES_YOY_FC" hidden="1">"c8323"</definedName>
    <definedName name="IQ_RETAIL_SAME_STORE_SALES" hidden="1">"c9898"</definedName>
    <definedName name="IQ_RETAIL_SAME_STORE_SALES_FRANCHISE" hidden="1">"c9896"</definedName>
    <definedName name="IQ_RETAIL_SAME_STORE_SALES_OWNED" hidden="1">"c9897"</definedName>
    <definedName name="IQ_RETAIL_SOLD_AFFILIATED_OTHER_STORES" hidden="1">"c9894"</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AFFILIATED_OTHER_STORES" hidden="1">"c9895"</definedName>
    <definedName name="IQ_RETAIL_TOTAL_FRANCHISE_STORES" hidden="1">"c2898"</definedName>
    <definedName name="IQ_RETAIL_TOTAL_OWNED_STORES" hidden="1">"c2906"</definedName>
    <definedName name="IQ_RETAIL_TOTAL_SQ_METERS_GROSS" hidden="1">"c9906"</definedName>
    <definedName name="IQ_RETAIL_TOTAL_SQ_METERS_NET" hidden="1">"c9905"</definedName>
    <definedName name="IQ_RETAIL_TOTAL_STORES" hidden="1">"c2061"</definedName>
    <definedName name="IQ_RETAINED_EARN" hidden="1">"c1420"</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MBEDDED_VALUE" hidden="1">"c9974"</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"c1421"</definedName>
    <definedName name="IQ_REV" hidden="1">"c1122"</definedName>
    <definedName name="IQ_REV_AP" hidden="1">"c8873"</definedName>
    <definedName name="IQ_REV_AP_ABS" hidden="1">"c8892"</definedName>
    <definedName name="IQ_REV_BEFORE_LL" hidden="1">"c1123"</definedName>
    <definedName name="IQ_REV_NAME_AP" hidden="1">"c8911"</definedName>
    <definedName name="IQ_REV_NAME_AP_ABS" hidden="1">"c8930"</definedName>
    <definedName name="IQ_REV_STDDEV_EST" hidden="1">"c1124"</definedName>
    <definedName name="IQ_REV_STDDEV_EST_CIQ" hidden="1">"c3621"</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"c1422"</definedName>
    <definedName name="IQ_REVENUE_ACT_OR_EST" hidden="1">"c2214"</definedName>
    <definedName name="IQ_REVENUE_ACT_OR_EST_CIQ" hidden="1">"c5059"</definedName>
    <definedName name="IQ_REVENUE_EST" hidden="1">"c1126"</definedName>
    <definedName name="IQ_REVENUE_EST_CIQ" hidden="1">"c3616"</definedName>
    <definedName name="IQ_REVENUE_EST_REUT" hidden="1">"c3634"</definedName>
    <definedName name="IQ_REVENUE_HIGH_EST" hidden="1">"c1127"</definedName>
    <definedName name="IQ_REVENUE_HIGH_EST_CIQ" hidden="1">"c3618"</definedName>
    <definedName name="IQ_REVENUE_HIGH_EST_REUT" hidden="1">"c3636"</definedName>
    <definedName name="IQ_REVENUE_LOW_EST" hidden="1">"c1128"</definedName>
    <definedName name="IQ_REVENUE_LOW_EST_CIQ" hidden="1">"c3619"</definedName>
    <definedName name="IQ_REVENUE_LOW_EST_REUT" hidden="1">"c3637"</definedName>
    <definedName name="IQ_REVENUE_MEDIAN_EST" hidden="1">"c1662"</definedName>
    <definedName name="IQ_REVENUE_MEDIAN_EST_CIQ" hidden="1">"c3617"</definedName>
    <definedName name="IQ_REVENUE_MEDIAN_EST_REUT" hidden="1">"c3635"</definedName>
    <definedName name="IQ_REVENUE_NUM_EST" hidden="1">"c1129"</definedName>
    <definedName name="IQ_REVENUE_NUM_EST_CIQ" hidden="1">"c3620"</definedName>
    <definedName name="IQ_REVENUE_NUM_EST_REUT" hidden="1">"c3638"</definedName>
    <definedName name="IQ_REVISION_DATE_" hidden="1">39358.4284837963</definedName>
    <definedName name="IQ_RISK_ADJ_BANK_ASSETS" hidden="1">"c2670"</definedName>
    <definedName name="IQ_RISK_WEIGHTED_ASSETS_FDIC" hidden="1">"c6370"</definedName>
    <definedName name="IQ_RSI" hidden="1">"c12704"</definedName>
    <definedName name="IQ_RSI_ADJ" hidden="1">"c12705"</definedName>
    <definedName name="IQ_SALARIED_WORKFORCE" hidden="1">"c7010"</definedName>
    <definedName name="IQ_SALARIED_WORKFORCE_APR" hidden="1">"c7670"</definedName>
    <definedName name="IQ_SALARIED_WORKFORCE_APR_FC" hidden="1">"c8550"</definedName>
    <definedName name="IQ_SALARIED_WORKFORCE_FC" hidden="1">"c7890"</definedName>
    <definedName name="IQ_SALARIED_WORKFORCE_POP" hidden="1">"c7230"</definedName>
    <definedName name="IQ_SALARIED_WORKFORCE_POP_FC" hidden="1">"c8110"</definedName>
    <definedName name="IQ_SALARIED_WORKFORCE_YOY" hidden="1">"c7450"</definedName>
    <definedName name="IQ_SALARIED_WORKFORCE_YOY_FC" hidden="1">"c8330"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AVINGS_RATE_DISP_INC_PCT" hidden="1">"c7011"</definedName>
    <definedName name="IQ_SAVINGS_RATE_DISP_INC_PCT_FC" hidden="1">"c7891"</definedName>
    <definedName name="IQ_SAVINGS_RATE_DISP_INC_PCT_POP" hidden="1">"c7231"</definedName>
    <definedName name="IQ_SAVINGS_RATE_DISP_INC_PCT_POP_FC" hidden="1">"c8111"</definedName>
    <definedName name="IQ_SAVINGS_RATE_DISP_INC_PCT_YOY" hidden="1">"c7451"</definedName>
    <definedName name="IQ_SAVINGS_RATE_DISP_INC_PCT_YOY_FC" hidden="1">"c8331"</definedName>
    <definedName name="IQ_SAVINGS_RATE_GDP_PCT" hidden="1">"c7012"</definedName>
    <definedName name="IQ_SAVINGS_RATE_GDP_PCT_FC" hidden="1">"c7892"</definedName>
    <definedName name="IQ_SAVINGS_RATE_GDP_PCT_POP" hidden="1">"c7232"</definedName>
    <definedName name="IQ_SAVINGS_RATE_GDP_PCT_POP_FC" hidden="1">"c8112"</definedName>
    <definedName name="IQ_SAVINGS_RATE_GDP_PCT_YOY" hidden="1">"c7452"</definedName>
    <definedName name="IQ_SAVINGS_RATE_GDP_PCT_YOY_FC" hidden="1">"c8332"</definedName>
    <definedName name="IQ_SAVINGS_RATE_PERSONAL_INC_PCT" hidden="1">"c7013"</definedName>
    <definedName name="IQ_SAVINGS_RATE_PERSONAL_INC_PCT_FC" hidden="1">"c7893"</definedName>
    <definedName name="IQ_SAVINGS_RATE_PERSONAL_INC_PCT_POP" hidden="1">"c7233"</definedName>
    <definedName name="IQ_SAVINGS_RATE_PERSONAL_INC_PCT_POP_FC" hidden="1">"c8113"</definedName>
    <definedName name="IQ_SAVINGS_RATE_PERSONAL_INC_PCT_YOY" hidden="1">"c7453"</definedName>
    <definedName name="IQ_SAVINGS_RATE_PERSONAL_INC_PCT_YOY_FC" hidden="1">"c8333"</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MI_BACKLOG" hidden="1">"c10005"</definedName>
    <definedName name="IQ_SEMI_BACKLOG_AVG_PRICE" hidden="1">"c10006"</definedName>
    <definedName name="IQ_SEMI_BACKLOG_VALUE" hidden="1">"c10007"</definedName>
    <definedName name="IQ_SEMI_BOOK_TO_BILL_RATIO" hidden="1">"c10008"</definedName>
    <definedName name="IQ_SEMI_ORDER_AVG_PRICE" hidden="1">"c10002"</definedName>
    <definedName name="IQ_SEMI_ORDER_VALUE" hidden="1">"c10003"</definedName>
    <definedName name="IQ_SEMI_ORDER_VALUE_CHANGE" hidden="1">"c10004"</definedName>
    <definedName name="IQ_SEMI_ORDERS" hidden="1">"c10001"</definedName>
    <definedName name="IQ_SEMI_WARRANTY_RES_ACQ" hidden="1">"c10011"</definedName>
    <definedName name="IQ_SEMI_WARRANTY_RES_BEG" hidden="1">"c10009"</definedName>
    <definedName name="IQ_SEMI_WARRANTY_RES_END" hidden="1">"c10014"</definedName>
    <definedName name="IQ_SEMI_WARRANTY_RES_ISS" hidden="1">"c10010"</definedName>
    <definedName name="IQ_SEMI_WARRANTY_RES_OTHER" hidden="1">"c10013"</definedName>
    <definedName name="IQ_SEMI_WARRANTY_RES_PAY" hidden="1">"c10012"</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ERVICE_FEE" hidden="1">"c8951"</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C_SEC_RECEIPTS_SAAR_USD_APR_FC" hidden="1">"c12005"</definedName>
    <definedName name="IQ_SOC_SEC_RECEIPTS_SAAR_USD_FC" hidden="1">"c12002"</definedName>
    <definedName name="IQ_SOC_SEC_RECEIPTS_SAAR_USD_POP_FC" hidden="1">"c12003"</definedName>
    <definedName name="IQ_SOC_SEC_RECEIPTS_SAAR_USD_YOY_FC" hidden="1">"c12004"</definedName>
    <definedName name="IQ_SOC_SEC_RECEIPTS_USD_APR_FC" hidden="1">"c12001"</definedName>
    <definedName name="IQ_SOC_SEC_RECEIPTS_USD_FC" hidden="1">"c11998"</definedName>
    <definedName name="IQ_SOC_SEC_RECEIPTS_USD_POP_FC" hidden="1">"c11999"</definedName>
    <definedName name="IQ_SOC_SEC_RECEIPTS_USD_YOY_FC" hidden="1">"c12000"</definedName>
    <definedName name="IQ_SOCIAL_SEC_RECEIPTS" hidden="1">"c7015"</definedName>
    <definedName name="IQ_SOCIAL_SEC_RECEIPTS_APR" hidden="1">"c7675"</definedName>
    <definedName name="IQ_SOCIAL_SEC_RECEIPTS_APR_FC" hidden="1">"c8555"</definedName>
    <definedName name="IQ_SOCIAL_SEC_RECEIPTS_FC" hidden="1">"c7895"</definedName>
    <definedName name="IQ_SOCIAL_SEC_RECEIPTS_POP" hidden="1">"c7235"</definedName>
    <definedName name="IQ_SOCIAL_SEC_RECEIPTS_POP_FC" hidden="1">"c8115"</definedName>
    <definedName name="IQ_SOCIAL_SEC_RECEIPTS_SAAR" hidden="1">"c7016"</definedName>
    <definedName name="IQ_SOCIAL_SEC_RECEIPTS_SAAR_APR" hidden="1">"c7676"</definedName>
    <definedName name="IQ_SOCIAL_SEC_RECEIPTS_SAAR_APR_FC" hidden="1">"c8556"</definedName>
    <definedName name="IQ_SOCIAL_SEC_RECEIPTS_SAAR_FC" hidden="1">"c7896"</definedName>
    <definedName name="IQ_SOCIAL_SEC_RECEIPTS_SAAR_POP" hidden="1">"c7236"</definedName>
    <definedName name="IQ_SOCIAL_SEC_RECEIPTS_SAAR_POP_FC" hidden="1">"c8116"</definedName>
    <definedName name="IQ_SOCIAL_SEC_RECEIPTS_SAAR_YOY" hidden="1">"c7456"</definedName>
    <definedName name="IQ_SOCIAL_SEC_RECEIPTS_SAAR_YOY_FC" hidden="1">"c8336"</definedName>
    <definedName name="IQ_SOCIAL_SEC_RECEIPTS_YOY" hidden="1">"c7455"</definedName>
    <definedName name="IQ_SOCIAL_SEC_RECEIPTS_YOY_FC" hidden="1">"c8335"</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Q_FT_LEASED_GROSS_CONSOL" hidden="1">"c8820"</definedName>
    <definedName name="IQ_SQ_FT_LEASED_GROSS_MANAGED" hidden="1">"c8822"</definedName>
    <definedName name="IQ_SQ_FT_LEASED_GROSS_OTHER" hidden="1">"c8823"</definedName>
    <definedName name="IQ_SQ_FT_LEASED_GROSS_TOTAL" hidden="1">"c8824"</definedName>
    <definedName name="IQ_SQ_FT_LEASED_GROSS_UNCONSOL" hidden="1">"c8821"</definedName>
    <definedName name="IQ_SQ_FT_LEASED_NET_CONSOL" hidden="1">"c8825"</definedName>
    <definedName name="IQ_SQ_FT_LEASED_NET_MANAGED" hidden="1">"c8827"</definedName>
    <definedName name="IQ_SQ_FT_LEASED_NET_OTHER" hidden="1">"c8828"</definedName>
    <definedName name="IQ_SQ_FT_LEASED_NET_TOTAL" hidden="1">"c8829"</definedName>
    <definedName name="IQ_SQ_FT_LEASED_NET_UNCONSOL" hidden="1">"c8826"</definedName>
    <definedName name="IQ_SQ_METER_LEASED_GROSS_CONSOL" hidden="1">"c8830"</definedName>
    <definedName name="IQ_SQ_METER_LEASED_GROSS_MANAGED" hidden="1">"c8832"</definedName>
    <definedName name="IQ_SQ_METER_LEASED_GROSS_OTHER" hidden="1">"c8833"</definedName>
    <definedName name="IQ_SQ_METER_LEASED_GROSS_TOTAL" hidden="1">"c8834"</definedName>
    <definedName name="IQ_SQ_METER_LEASED_GROSS_UNCONSOL" hidden="1">"c8831"</definedName>
    <definedName name="IQ_SQ_METER_LEASED_NET_CONSOL" hidden="1">"c8835"</definedName>
    <definedName name="IQ_SQ_METER_LEASED_NET_MANAGED" hidden="1">"c8837"</definedName>
    <definedName name="IQ_SQ_METER_LEASED_NET_OTHER" hidden="1">"c8838"</definedName>
    <definedName name="IQ_SQ_METER_LEASED_NET_TOTAL" hidden="1">"c8839"</definedName>
    <definedName name="IQ_SQ_METER_LEASED_NET_UNCONSOL" hidden="1">"c8836"</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_LOCAL_SPENDING_SAAR" hidden="1">"c7017"</definedName>
    <definedName name="IQ_STATE_LOCAL_SPENDING_SAAR_APR" hidden="1">"c7677"</definedName>
    <definedName name="IQ_STATE_LOCAL_SPENDING_SAAR_APR_FC" hidden="1">"c8557"</definedName>
    <definedName name="IQ_STATE_LOCAL_SPENDING_SAAR_FC" hidden="1">"c7897"</definedName>
    <definedName name="IQ_STATE_LOCAL_SPENDING_SAAR_POP" hidden="1">"c7237"</definedName>
    <definedName name="IQ_STATE_LOCAL_SPENDING_SAAR_POP_FC" hidden="1">"c8117"</definedName>
    <definedName name="IQ_STATE_LOCAL_SPENDING_SAAR_YOY" hidden="1">"c7457"</definedName>
    <definedName name="IQ_STATE_LOCAL_SPENDING_SAAR_YOY_FC" hidden="1">"c8337"</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RUCT_FIN_CLASS" hidden="1">"c8950"</definedName>
    <definedName name="IQ_STRUCT_FIN_SERIES" hidden="1">"c8956"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CIQ" hidden="1">"c4661"</definedName>
    <definedName name="IQ_TARGET_PRICE_NUM_REUT" hidden="1">"c5319"</definedName>
    <definedName name="IQ_TARGET_PRICE_STDDEV" hidden="1">"c1654"</definedName>
    <definedName name="IQ_TARGET_PRICE_STDDEV_CIQ" hidden="1">"c4662"</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AX_OTHER_EXP_AP" hidden="1">"c8878"</definedName>
    <definedName name="IQ_TAX_OTHER_EXP_AP_ABS" hidden="1">"c8897"</definedName>
    <definedName name="IQ_TAX_OTHER_EXP_NAME_AP" hidden="1">"c8916"</definedName>
    <definedName name="IQ_TAX_OTHER_EXP_NAME_AP_ABS" hidden="1">"c8935"</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CIQ" hidden="1">"c4043"</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CIQ" hidden="1">"c4044"</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SSETS_SUBTOTAL_AP" hidden="1">"c8985"</definedName>
    <definedName name="IQ_TOTAL_ATTRIB_ORE_RESOURCES_ALUM" hidden="1">"c9241"</definedName>
    <definedName name="IQ_TOTAL_ATTRIB_ORE_RESOURCES_COP" hidden="1">"c9185"</definedName>
    <definedName name="IQ_TOTAL_ATTRIB_ORE_RESOURCES_DIAM" hidden="1">"c9665"</definedName>
    <definedName name="IQ_TOTAL_ATTRIB_ORE_RESOURCES_GOLD" hidden="1">"c9026"</definedName>
    <definedName name="IQ_TOTAL_ATTRIB_ORE_RESOURCES_IRON" hidden="1">"c9400"</definedName>
    <definedName name="IQ_TOTAL_ATTRIB_ORE_RESOURCES_LEAD" hidden="1">"c9453"</definedName>
    <definedName name="IQ_TOTAL_ATTRIB_ORE_RESOURCES_MANG" hidden="1">"c9506"</definedName>
    <definedName name="IQ_TOTAL_ATTRIB_ORE_RESOURCES_MOLYB" hidden="1">"c9718"</definedName>
    <definedName name="IQ_TOTAL_ATTRIB_ORE_RESOURCES_NICK" hidden="1">"c9294"</definedName>
    <definedName name="IQ_TOTAL_ATTRIB_ORE_RESOURCES_PLAT" hidden="1">"c9132"</definedName>
    <definedName name="IQ_TOTAL_ATTRIB_ORE_RESOURCES_SILVER" hidden="1">"c9079"</definedName>
    <definedName name="IQ_TOTAL_ATTRIB_ORE_RESOURCES_TITAN" hidden="1">"c9559"</definedName>
    <definedName name="IQ_TOTAL_ATTRIB_ORE_RESOURCES_URAN" hidden="1">"c9612"</definedName>
    <definedName name="IQ_TOTAL_ATTRIB_ORE_RESOURCES_ZINC" hidden="1">"c9347"</definedName>
    <definedName name="IQ_TOTAL_AVG_CE_TOTAL_AVG_ASSETS" hidden="1">"c1241"</definedName>
    <definedName name="IQ_TOTAL_AVG_EQUITY_TOTAL_AVG_ASSETS" hidden="1">"c1242"</definedName>
    <definedName name="IQ_TOTAL_BANK_CAPITAL" hidden="1">"c2668"</definedName>
    <definedName name="IQ_TOTAL_BEDS" hidden="1">"c8785"</definedName>
    <definedName name="IQ_TOTAL_CA" hidden="1">"c1243"</definedName>
    <definedName name="IQ_TOTAL_CA_SUBTOTAL_AP" hidden="1">"c8986"</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ARGE_OFFS_FDIC" hidden="1">"c6603"</definedName>
    <definedName name="IQ_TOTAL_CHURN" hidden="1">"c2122"</definedName>
    <definedName name="IQ_TOTAL_CL" hidden="1">"c1245"</definedName>
    <definedName name="IQ_TOTAL_CL_SUBTOTAL_AP" hidden="1">"c8987"</definedName>
    <definedName name="IQ_TOTAL_COAL_PRODUCTION_COAL" hidden="1">"c9824"</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CURRENT" hidden="1">"c6190"</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NON_CURRENT" hidden="1">"c6191"</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"c2141"</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EQUITY_SUBTOTAL_AP" hidden="1">"c8989"</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EQUITY_SUBTOTAL_AP" hidden="1">"c8988"</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"c1435"</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RE_RESOURCES_ALUM" hidden="1">"c9230"</definedName>
    <definedName name="IQ_TOTAL_ORE_RESOURCES_COP" hidden="1">"c9174"</definedName>
    <definedName name="IQ_TOTAL_ORE_RESOURCES_DIAM" hidden="1">"c9654"</definedName>
    <definedName name="IQ_TOTAL_ORE_RESOURCES_GOLD" hidden="1">"c9015"</definedName>
    <definedName name="IQ_TOTAL_ORE_RESOURCES_IRON" hidden="1">"c9389"</definedName>
    <definedName name="IQ_TOTAL_ORE_RESOURCES_LEAD" hidden="1">"c9442"</definedName>
    <definedName name="IQ_TOTAL_ORE_RESOURCES_MANG" hidden="1">"c9495"</definedName>
    <definedName name="IQ_TOTAL_ORE_RESOURCES_MOLYB" hidden="1">"c9707"</definedName>
    <definedName name="IQ_TOTAL_ORE_RESOURCES_NICK" hidden="1">"c9283"</definedName>
    <definedName name="IQ_TOTAL_ORE_RESOURCES_PLAT" hidden="1">"c9121"</definedName>
    <definedName name="IQ_TOTAL_ORE_RESOURCES_SILVER" hidden="1">"c9068"</definedName>
    <definedName name="IQ_TOTAL_ORE_RESOURCES_TITAN" hidden="1">"c9548"</definedName>
    <definedName name="IQ_TOTAL_ORE_RESOURCES_URAN" hidden="1">"c9601"</definedName>
    <definedName name="IQ_TOTAL_ORE_RESOURCES_ZINC" hidden="1">"c9336"</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P" hidden="1">"c8765"</definedName>
    <definedName name="IQ_TOTAL_PROVED_RESERVES_NGL" hidden="1">"c2924"</definedName>
    <definedName name="IQ_TOTAL_PROVED_RESERVES_OIL" hidden="1">"c2040"</definedName>
    <definedName name="IQ_TOTAL_RECEIV" hidden="1">"c1293"</definedName>
    <definedName name="IQ_TOTAL_RECOV_ATTRIB_RESOURCES_ALUM" hidden="1">"c9246"</definedName>
    <definedName name="IQ_TOTAL_RECOV_ATTRIB_RESOURCES_COAL" hidden="1">"c9820"</definedName>
    <definedName name="IQ_TOTAL_RECOV_ATTRIB_RESOURCES_COP" hidden="1">"c9190"</definedName>
    <definedName name="IQ_TOTAL_RECOV_ATTRIB_RESOURCES_DIAM" hidden="1">"c9670"</definedName>
    <definedName name="IQ_TOTAL_RECOV_ATTRIB_RESOURCES_GOLD" hidden="1">"c9031"</definedName>
    <definedName name="IQ_TOTAL_RECOV_ATTRIB_RESOURCES_IRON" hidden="1">"c9405"</definedName>
    <definedName name="IQ_TOTAL_RECOV_ATTRIB_RESOURCES_LEAD" hidden="1">"c9458"</definedName>
    <definedName name="IQ_TOTAL_RECOV_ATTRIB_RESOURCES_MANG" hidden="1">"c9511"</definedName>
    <definedName name="IQ_TOTAL_RECOV_ATTRIB_RESOURCES_MET_COAL" hidden="1">"c9760"</definedName>
    <definedName name="IQ_TOTAL_RECOV_ATTRIB_RESOURCES_MOLYB" hidden="1">"c9723"</definedName>
    <definedName name="IQ_TOTAL_RECOV_ATTRIB_RESOURCES_NICK" hidden="1">"c9299"</definedName>
    <definedName name="IQ_TOTAL_RECOV_ATTRIB_RESOURCES_PLAT" hidden="1">"c9137"</definedName>
    <definedName name="IQ_TOTAL_RECOV_ATTRIB_RESOURCES_SILVER" hidden="1">"c9084"</definedName>
    <definedName name="IQ_TOTAL_RECOV_ATTRIB_RESOURCES_STEAM" hidden="1">"c9790"</definedName>
    <definedName name="IQ_TOTAL_RECOV_ATTRIB_RESOURCES_TITAN" hidden="1">"c9564"</definedName>
    <definedName name="IQ_TOTAL_RECOV_ATTRIB_RESOURCES_URAN" hidden="1">"c9617"</definedName>
    <definedName name="IQ_TOTAL_RECOV_ATTRIB_RESOURCES_ZINC" hidden="1">"c9352"</definedName>
    <definedName name="IQ_TOTAL_RECOV_RESOURCES_ALUM" hidden="1">"c9236"</definedName>
    <definedName name="IQ_TOTAL_RECOV_RESOURCES_COAL" hidden="1">"c9815"</definedName>
    <definedName name="IQ_TOTAL_RECOV_RESOURCES_COP" hidden="1">"c9180"</definedName>
    <definedName name="IQ_TOTAL_RECOV_RESOURCES_DIAM" hidden="1">"c9660"</definedName>
    <definedName name="IQ_TOTAL_RECOV_RESOURCES_GOLD" hidden="1">"c9021"</definedName>
    <definedName name="IQ_TOTAL_RECOV_RESOURCES_IRON" hidden="1">"c9395"</definedName>
    <definedName name="IQ_TOTAL_RECOV_RESOURCES_LEAD" hidden="1">"c9448"</definedName>
    <definedName name="IQ_TOTAL_RECOV_RESOURCES_MANG" hidden="1">"c9501"</definedName>
    <definedName name="IQ_TOTAL_RECOV_RESOURCES_MET_COAL" hidden="1">"c9755"</definedName>
    <definedName name="IQ_TOTAL_RECOV_RESOURCES_MOLYB" hidden="1">"c9713"</definedName>
    <definedName name="IQ_TOTAL_RECOV_RESOURCES_NICK" hidden="1">"c9289"</definedName>
    <definedName name="IQ_TOTAL_RECOV_RESOURCES_PLAT" hidden="1">"c9127"</definedName>
    <definedName name="IQ_TOTAL_RECOV_RESOURCES_SILVER" hidden="1">"c9074"</definedName>
    <definedName name="IQ_TOTAL_RECOV_RESOURCES_STEAM" hidden="1">"c9785"</definedName>
    <definedName name="IQ_TOTAL_RECOV_RESOURCES_TITAN" hidden="1">"c9554"</definedName>
    <definedName name="IQ_TOTAL_RECOV_RESOURCES_URAN" hidden="1">"c9607"</definedName>
    <definedName name="IQ_TOTAL_RECOV_RESOURCES_ZINC" hidden="1">"c9342"</definedName>
    <definedName name="IQ_TOTAL_RECOVERIES_FDIC" hidden="1">"c6622"</definedName>
    <definedName name="IQ_TOTAL_RESOURCES_CALORIFIC_VALUE_COAL" hidden="1">"c9810"</definedName>
    <definedName name="IQ_TOTAL_RESOURCES_CALORIFIC_VALUE_MET_COAL" hidden="1">"c9750"</definedName>
    <definedName name="IQ_TOTAL_RESOURCES_CALORIFIC_VALUE_STEAM" hidden="1">"c9780"</definedName>
    <definedName name="IQ_TOTAL_RESOURCES_GRADE_ALUM" hidden="1">"c9231"</definedName>
    <definedName name="IQ_TOTAL_RESOURCES_GRADE_COP" hidden="1">"c9175"</definedName>
    <definedName name="IQ_TOTAL_RESOURCES_GRADE_DIAM" hidden="1">"c9655"</definedName>
    <definedName name="IQ_TOTAL_RESOURCES_GRADE_GOLD" hidden="1">"c9016"</definedName>
    <definedName name="IQ_TOTAL_RESOURCES_GRADE_IRON" hidden="1">"c9390"</definedName>
    <definedName name="IQ_TOTAL_RESOURCES_GRADE_LEAD" hidden="1">"c9443"</definedName>
    <definedName name="IQ_TOTAL_RESOURCES_GRADE_MANG" hidden="1">"c9496"</definedName>
    <definedName name="IQ_TOTAL_RESOURCES_GRADE_MOLYB" hidden="1">"c9708"</definedName>
    <definedName name="IQ_TOTAL_RESOURCES_GRADE_NICK" hidden="1">"c9284"</definedName>
    <definedName name="IQ_TOTAL_RESOURCES_GRADE_PLAT" hidden="1">"c9122"</definedName>
    <definedName name="IQ_TOTAL_RESOURCES_GRADE_SILVER" hidden="1">"c9069"</definedName>
    <definedName name="IQ_TOTAL_RESOURCES_GRADE_TITAN" hidden="1">"c9549"</definedName>
    <definedName name="IQ_TOTAL_RESOURCES_GRADE_URAN" hidden="1">"c9602"</definedName>
    <definedName name="IQ_TOTAL_RESOURCES_GRADE_ZINC" hidden="1">"c9337"</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SUBTOTAL_AP" hidden="1">"c8975"</definedName>
    <definedName name="IQ_TOTAL_REV_UTI" hidden="1">"c1308"</definedName>
    <definedName name="IQ_TOTAL_REVENUE" hidden="1">"c1436"</definedName>
    <definedName name="IQ_TOTAL_RISK_BASED_CAPITAL_RATIO_FDIC" hidden="1">"c6747"</definedName>
    <definedName name="IQ_TOTAL_ROOMS" hidden="1">"c8789"</definedName>
    <definedName name="IQ_TOTAL_SECURITIES_FDIC" hidden="1">"c6306"</definedName>
    <definedName name="IQ_TOTAL_SPECIAL" hidden="1">"c1618"</definedName>
    <definedName name="IQ_TOTAL_SQ_FT" hidden="1">"c8781"</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ITS" hidden="1">"c8773"</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PPROACH" hidden="1">"c12706"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ITEM_CIQID" hidden="1">"c8949"</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"c1438"</definedName>
    <definedName name="IQ_TREASURY_STOCK_TRANSACTIONS_FDIC" hidden="1">"c6501"</definedName>
    <definedName name="IQ_TRUCK_ASSEMBLIES" hidden="1">"c7021"</definedName>
    <definedName name="IQ_TRUCK_ASSEMBLIES_APR" hidden="1">"c7681"</definedName>
    <definedName name="IQ_TRUCK_ASSEMBLIES_APR_FC" hidden="1">"c8561"</definedName>
    <definedName name="IQ_TRUCK_ASSEMBLIES_FC" hidden="1">"c7901"</definedName>
    <definedName name="IQ_TRUCK_ASSEMBLIES_POP" hidden="1">"c7241"</definedName>
    <definedName name="IQ_TRUCK_ASSEMBLIES_POP_FC" hidden="1">"c8121"</definedName>
    <definedName name="IQ_TRUCK_ASSEMBLIES_YOY" hidden="1">"c7461"</definedName>
    <definedName name="IQ_TRUCK_ASSEMBLIES_YOY_FC" hidden="1">"c8341"</definedName>
    <definedName name="IQ_TRUST_INC" hidden="1">"c1319"</definedName>
    <definedName name="IQ_TRUST_PREF" hidden="1">"c1320"</definedName>
    <definedName name="IQ_TRUST_PREFERRED" hidden="1">"c3029"</definedName>
    <definedName name="IQ_TRUST_PREFERRED_PCT" hidden="1">"c3030"</definedName>
    <definedName name="IQ_TRUSTEE" hidden="1">"c8959"</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CONSOL_BEDS" hidden="1">"c8783"</definedName>
    <definedName name="IQ_UNCONSOL_PROP" hidden="1">"c8762"</definedName>
    <definedName name="IQ_UNCONSOL_ROOMS" hidden="1">"c8787"</definedName>
    <definedName name="IQ_UNCONSOL_SQ_FT" hidden="1">"c8778"</definedName>
    <definedName name="IQ_UNCONSOL_UNITS" hidden="1">"c8770"</definedName>
    <definedName name="IQ_UNDERWRITER" hidden="1">"c8958"</definedName>
    <definedName name="IQ_UNDERWRITING_PROFIT" hidden="1">"c9975"</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EMPLOYMENT_RATE" hidden="1">"c7023"</definedName>
    <definedName name="IQ_UNEMPLOYMENT_RATE_FC" hidden="1">"c7903"</definedName>
    <definedName name="IQ_UNEMPLOYMENT_RATE_POP" hidden="1">"c7243"</definedName>
    <definedName name="IQ_UNEMPLOYMENT_RATE_POP_FC" hidden="1">"c8123"</definedName>
    <definedName name="IQ_UNEMPLOYMENT_RATE_YOY" hidden="1">"c7463"</definedName>
    <definedName name="IQ_UNEMPLOYMENT_RATE_YOY_FC" hidden="1">"c8343"</definedName>
    <definedName name="IQ_UNIT_LABOR_COST_INDEX" hidden="1">"c7025"</definedName>
    <definedName name="IQ_UNIT_LABOR_COST_INDEX_APR" hidden="1">"c7685"</definedName>
    <definedName name="IQ_UNIT_LABOR_COST_INDEX_APR_FC" hidden="1">"c8565"</definedName>
    <definedName name="IQ_UNIT_LABOR_COST_INDEX_FC" hidden="1">"c7905"</definedName>
    <definedName name="IQ_UNIT_LABOR_COST_INDEX_PCT_CHANGE" hidden="1">"c7024"</definedName>
    <definedName name="IQ_UNIT_LABOR_COST_INDEX_PCT_CHANGE_FC" hidden="1">"c7904"</definedName>
    <definedName name="IQ_UNIT_LABOR_COST_INDEX_PCT_CHANGE_POP" hidden="1">"c7244"</definedName>
    <definedName name="IQ_UNIT_LABOR_COST_INDEX_PCT_CHANGE_POP_FC" hidden="1">"c8124"</definedName>
    <definedName name="IQ_UNIT_LABOR_COST_INDEX_PCT_CHANGE_YOY" hidden="1">"c7464"</definedName>
    <definedName name="IQ_UNIT_LABOR_COST_INDEX_PCT_CHANGE_YOY_FC" hidden="1">"c8344"</definedName>
    <definedName name="IQ_UNIT_LABOR_COST_INDEX_POP" hidden="1">"c7245"</definedName>
    <definedName name="IQ_UNIT_LABOR_COST_INDEX_POP_FC" hidden="1">"c8125"</definedName>
    <definedName name="IQ_UNIT_LABOR_COST_INDEX_YOY" hidden="1">"c7465"</definedName>
    <definedName name="IQ_UNIT_LABOR_COST_INDEX_YOY_FC" hidden="1">"c8345"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EHICLE_ASSEMBLIES_LIGHT" hidden="1">"c6905"</definedName>
    <definedName name="IQ_VEHICLE_ASSEMBLIES_LIGHT_APR" hidden="1">"c7565"</definedName>
    <definedName name="IQ_VEHICLE_ASSEMBLIES_LIGHT_APR_FC" hidden="1">"c8445"</definedName>
    <definedName name="IQ_VEHICLE_ASSEMBLIES_LIGHT_FC" hidden="1">"c7785"</definedName>
    <definedName name="IQ_VEHICLE_ASSEMBLIES_LIGHT_NEW" hidden="1">"c6925"</definedName>
    <definedName name="IQ_VEHICLE_ASSEMBLIES_LIGHT_NEW_APR" hidden="1">"c7585"</definedName>
    <definedName name="IQ_VEHICLE_ASSEMBLIES_LIGHT_NEW_APR_FC" hidden="1">"c8465"</definedName>
    <definedName name="IQ_VEHICLE_ASSEMBLIES_LIGHT_NEW_FC" hidden="1">"c7805"</definedName>
    <definedName name="IQ_VEHICLE_ASSEMBLIES_LIGHT_NEW_POP" hidden="1">"c7145"</definedName>
    <definedName name="IQ_VEHICLE_ASSEMBLIES_LIGHT_NEW_POP_FC" hidden="1">"c8025"</definedName>
    <definedName name="IQ_VEHICLE_ASSEMBLIES_LIGHT_NEW_YOY" hidden="1">"c7365"</definedName>
    <definedName name="IQ_VEHICLE_ASSEMBLIES_LIGHT_NEW_YOY_FC" hidden="1">"c8245"</definedName>
    <definedName name="IQ_VEHICLE_ASSEMBLIES_LIGHT_POP" hidden="1">"c7125"</definedName>
    <definedName name="IQ_VEHICLE_ASSEMBLIES_LIGHT_POP_FC" hidden="1">"c8005"</definedName>
    <definedName name="IQ_VEHICLE_ASSEMBLIES_LIGHT_YOY" hidden="1">"c7345"</definedName>
    <definedName name="IQ_VEHICLE_ASSEMBLIES_LIGHT_YOY_FC" hidden="1">"c8225"</definedName>
    <definedName name="IQ_VEHICLE_ASSEMBLIES_TOTAL" hidden="1">"c7020"</definedName>
    <definedName name="IQ_VEHICLE_ASSEMBLIES_TOTAL_APR" hidden="1">"c7680"</definedName>
    <definedName name="IQ_VEHICLE_ASSEMBLIES_TOTAL_APR_FC" hidden="1">"c8560"</definedName>
    <definedName name="IQ_VEHICLE_ASSEMBLIES_TOTAL_FC" hidden="1">"c7900"</definedName>
    <definedName name="IQ_VEHICLE_ASSEMBLIES_TOTAL_POP" hidden="1">"c7240"</definedName>
    <definedName name="IQ_VEHICLE_ASSEMBLIES_TOTAL_POP_FC" hidden="1">"c8120"</definedName>
    <definedName name="IQ_VEHICLE_ASSEMBLIES_TOTAL_YOY" hidden="1">"c7460"</definedName>
    <definedName name="IQ_VEHICLE_ASSEMBLIES_TOTAL_YOY_FC" hidden="1">"c8340"</definedName>
    <definedName name="IQ_VIF_AFTER_COST_CAPITAL_COVERED" hidden="1">"c9966"</definedName>
    <definedName name="IQ_VIF_AFTER_COST_CAPITAL_GROUP" hidden="1">"c9952"</definedName>
    <definedName name="IQ_VIF_BEFORE_COST_CAPITAL_COVERED" hidden="1">"c9964"</definedName>
    <definedName name="IQ_VIF_BEFORE_COST_CAPITAL_GROUP" hidden="1">"c9950"</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C_CURRENT" hidden="1">"c8961"</definedName>
    <definedName name="IQ_WAC_ORIGINAL" hidden="1">"c8953"</definedName>
    <definedName name="IQ_WAM_CURRENT" hidden="1">"c8962"</definedName>
    <definedName name="IQ_WAM_ORIGINAL" hidden="1">"c8952"</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HOLESALE_INVENTORIES" hidden="1">"c7027"</definedName>
    <definedName name="IQ_WHOLESALE_INVENTORIES_APR" hidden="1">"c7687"</definedName>
    <definedName name="IQ_WHOLESALE_INVENTORIES_APR_FC" hidden="1">"c8567"</definedName>
    <definedName name="IQ_WHOLESALE_INVENTORIES_FC" hidden="1">"c7907"</definedName>
    <definedName name="IQ_WHOLESALE_INVENTORIES_POP" hidden="1">"c7247"</definedName>
    <definedName name="IQ_WHOLESALE_INVENTORIES_POP_FC" hidden="1">"c8127"</definedName>
    <definedName name="IQ_WHOLESALE_INVENTORIES_YOY" hidden="1">"c7467"</definedName>
    <definedName name="IQ_WHOLESALE_INVENTORIES_YOY_FC" hidden="1">"c8347"</definedName>
    <definedName name="IQ_WHOLESALE_IS_RATIO" hidden="1">"c7026"</definedName>
    <definedName name="IQ_WHOLESALE_IS_RATIO_FC" hidden="1">"c7906"</definedName>
    <definedName name="IQ_WHOLESALE_IS_RATIO_POP" hidden="1">"c7246"</definedName>
    <definedName name="IQ_WHOLESALE_IS_RATIO_POP_FC" hidden="1">"c8126"</definedName>
    <definedName name="IQ_WHOLESALE_IS_RATIO_YOY" hidden="1">"c7466"</definedName>
    <definedName name="IQ_WHOLESALE_IS_RATIO_YOY_FC" hidden="1">"c8346"</definedName>
    <definedName name="IQ_WHOLESALE_SALES" hidden="1">"c7028"</definedName>
    <definedName name="IQ_WHOLESALE_SALES_APR" hidden="1">"c7688"</definedName>
    <definedName name="IQ_WHOLESALE_SALES_APR_FC" hidden="1">"c8568"</definedName>
    <definedName name="IQ_WHOLESALE_SALES_FC" hidden="1">"c7908"</definedName>
    <definedName name="IQ_WHOLESALE_SALES_INDEX" hidden="1">"c7029"</definedName>
    <definedName name="IQ_WHOLESALE_SALES_INDEX_APR" hidden="1">"c7689"</definedName>
    <definedName name="IQ_WHOLESALE_SALES_INDEX_APR_FC" hidden="1">"c8569"</definedName>
    <definedName name="IQ_WHOLESALE_SALES_INDEX_FC" hidden="1">"c7909"</definedName>
    <definedName name="IQ_WHOLESALE_SALES_INDEX_POP" hidden="1">"c7249"</definedName>
    <definedName name="IQ_WHOLESALE_SALES_INDEX_POP_FC" hidden="1">"c8129"</definedName>
    <definedName name="IQ_WHOLESALE_SALES_INDEX_YOY" hidden="1">"c7469"</definedName>
    <definedName name="IQ_WHOLESALE_SALES_INDEX_YOY_FC" hidden="1">"c8349"</definedName>
    <definedName name="IQ_WHOLESALE_SALES_POP" hidden="1">"c7248"</definedName>
    <definedName name="IQ_WHOLESALE_SALES_POP_FC" hidden="1">"c8128"</definedName>
    <definedName name="IQ_WHOLESALE_SALES_YOY" hidden="1">"c7468"</definedName>
    <definedName name="IQ_WHOLESALE_SALES_YOY_FC" hidden="1">"c8348"</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S">[31]Inc.St.!$A$1:$T$69</definedName>
    <definedName name="IsColHidden" hidden="1">FALSE</definedName>
    <definedName name="IsLTMColHidden" hidden="1">FALSE</definedName>
    <definedName name="itoacet">'[17]Area Budget'!$I$510</definedName>
    <definedName name="ITOBAlfa">'[17]Area Budget'!$I$525</definedName>
    <definedName name="ITOBCorn">'[17]Area Budget'!$I$523</definedName>
    <definedName name="ITOBCotton">'[17]Area Budget'!$I$527</definedName>
    <definedName name="ITOBSorghum">'[17]Area Budget'!$I$524</definedName>
    <definedName name="ITOBSoy">'[17]Area Budget'!$I$522</definedName>
    <definedName name="ITOBSun">'[17]Area Budget'!$I$526</definedName>
    <definedName name="itoCanolat">'[17]Area Budget'!$I$517</definedName>
    <definedName name="itoCornT">'[17]Area Budget'!$I$516</definedName>
    <definedName name="ITOCotT">'[17]Area Budget'!$I$519</definedName>
    <definedName name="itohalo">'[17]Area Budget'!$I$511</definedName>
    <definedName name="ITORUP">'[17]Area Budget'!$I$508</definedName>
    <definedName name="itoSBT">'[17]Area Budget'!$I$518</definedName>
    <definedName name="itoSoy">'[17]Area Budget'!$I$515</definedName>
    <definedName name="itosulfo">'[17]Area Budget'!$I$512</definedName>
    <definedName name="J" hidden="1">{#N/A,#N/A,TRUE,"lawa";#N/A,#N/A,TRUE,"brazil";#N/A,#N/A,TRUE,"argentina";#N/A,#N/A,TRUE,"mexico";#N/A,#N/A,TRUE,"colombia";#N/A,#N/A,TRUE,"cent amer";#N/A,#N/A,TRUE,"venezuela";#N/A,#N/A,TRUE,"caribbean";#N/A,#N/A,TRUE,"HQ"}</definedName>
    <definedName name="JAP">'[19]PRICE SET'!$AD$5:$AD$45</definedName>
    <definedName name="KeepVersions" localSheetId="8">IndexInformation!$B$8</definedName>
    <definedName name="KOS">'[19]PRICE SET'!$AC$5:$AC$45</definedName>
    <definedName name="LA">'[19]PRICE SET'!$F$5:$F$45</definedName>
    <definedName name="LanguageCode">IndexInformation!$B$38</definedName>
    <definedName name="LastCell" localSheetId="0">ImportantDisclosures!$A$22</definedName>
    <definedName name="LDPE_MN">'[25]Price T'!$AF$293:$IV$16419</definedName>
    <definedName name="LIB">'[19]PRICE SET'!$T$5:$T$45</definedName>
    <definedName name="Linking_13">CF!$B$1:$U$58</definedName>
    <definedName name="Linking_5">IS!$B$1:$U$50</definedName>
    <definedName name="Linking_6">BS!$B$1:$U$38</definedName>
    <definedName name="Linking_9">Segments!$B$1:$U$29</definedName>
    <definedName name="Linking_Range_209">[32]Sheet1!$O$7:$S$17</definedName>
    <definedName name="Linking_Range_22">CF!$B$2:$O$58</definedName>
    <definedName name="Linking_Range_23">BS!$B$2:$O$38</definedName>
    <definedName name="Linking_Text_49">[33]Inputs!$U$300</definedName>
    <definedName name="Linking_Text_50">[33]Inputs!$V$300</definedName>
    <definedName name="Linking_Text_51">[33]Inputs!$X$280</definedName>
    <definedName name="Linking_Text_52">[33]Inputs!$X$425</definedName>
    <definedName name="Linking_Text_53">[33]Inputs!$T$425</definedName>
    <definedName name="Linking_Text_54">'[33]MWA RR'!$C$11</definedName>
    <definedName name="Linking_Text_55">[33]Summary!$X$70</definedName>
    <definedName name="Linking_Text_56">[33]Summary!$Y$70</definedName>
    <definedName name="Linking_Text_57">[33]DCF!$E$39</definedName>
    <definedName name="Linking_Text_58">[33]DCF!$N$22</definedName>
    <definedName name="Linking_Text_59">[33]DCF!$N$23</definedName>
    <definedName name="Linking_Text_60">[33]DCF!$C$56</definedName>
    <definedName name="Linking_Text_61">[33]DCF!$C$53</definedName>
    <definedName name="Linking_Text_62">[33]DCF!$C$44</definedName>
    <definedName name="Linking_Text_63">[33]DCF!$G$39</definedName>
    <definedName name="Linking_Text_64">[33]IS!$T$77</definedName>
    <definedName name="Linking_Text_65">[33]DCF!$F$39</definedName>
    <definedName name="Linking_Text_66">[33]IS!$T$42</definedName>
    <definedName name="Linking_Text_67">[33]DCF!$C$54</definedName>
    <definedName name="LONG">[29]ETHECON!$A$49:$J$90</definedName>
    <definedName name="ltdquarter"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LTN">[19]FACTORS!$C$9:$W$9</definedName>
    <definedName name="LTNAP">'[19]PRICE SET'!$E$10:$AF$10</definedName>
    <definedName name="MacroVersion" localSheetId="8">IndexInformation!$B$1</definedName>
    <definedName name="MAIN">'[19]PRICE SET'!$E$33:$AF$33</definedName>
    <definedName name="mapping">[27]mapping!$A$2:$B$404</definedName>
    <definedName name="MaxChange" localSheetId="1">CircularReferenceAlert!$B$9</definedName>
    <definedName name="MaxIterations" localSheetId="1">CircularReferenceAlert!$B$8</definedName>
    <definedName name="MED">'[19]PRICE SET'!$S$5:$S$45</definedName>
    <definedName name="MEG">#N/A</definedName>
    <definedName name="MEX">'[19]PRICE SET'!$I$5:$I$45</definedName>
    <definedName name="MMR">[29]ETHECON!$A$172:$J$190</definedName>
    <definedName name="MMR_Long">[29]ETHECON!$A$172:$J$194</definedName>
    <definedName name="ModelPrice" localSheetId="0">ImportantDisclosures!$A$14</definedName>
    <definedName name="Months">[34]Control!$A$9:$B$20</definedName>
    <definedName name="MOPG1">[16]VINYLS!$A$7:$B$30</definedName>
    <definedName name="MOPG3">[16]VINYLS!$A$7:$B$42</definedName>
    <definedName name="MTH">'[35]Combo Box'!$B$1</definedName>
    <definedName name="Multiplier" localSheetId="8">IndexInformation!$B$35</definedName>
    <definedName name="NAGAS">'[19]PRICE SET'!$E$5:$AF$5</definedName>
    <definedName name="NBUT">'[19]PRICE SET'!$E$8:$AF$8</definedName>
    <definedName name="NCEACET">'[17]Area Budget'!$E$509</definedName>
    <definedName name="NCeBAlfa">'[17]Area Budget'!$E$525</definedName>
    <definedName name="NCeBCorn">'[17]Area Budget'!$E$523</definedName>
    <definedName name="NCEBCotton">'[17]Area Budget'!$E$527</definedName>
    <definedName name="NCeBSorghum">'[17]Area Budget'!$E$524</definedName>
    <definedName name="NCeBSoy">'[17]Area Budget'!$E$522</definedName>
    <definedName name="NCeBSun">'[17]Area Budget'!$E$526</definedName>
    <definedName name="NCeCanolat">'[17]Area Budget'!$E$517</definedName>
    <definedName name="NCeCornT">'[17]Area Budget'!$E$516</definedName>
    <definedName name="NCeCotT">'[17]Area Budget'!$E$519</definedName>
    <definedName name="ncehalo">'[17]Area Budget'!$E$511</definedName>
    <definedName name="NCERUP">'[17]Area Budget'!$E$508</definedName>
    <definedName name="NCeSBT">'[17]Area Budget'!$E$518</definedName>
    <definedName name="NCeSoy">'[17]Area Budget'!$E$515</definedName>
    <definedName name="NCesulfo">'[17]Area Budget'!$E$512</definedName>
    <definedName name="NCETRL">'[17]Area Budget'!$E$510</definedName>
    <definedName name="NCWACET">'[17]Area Budget'!$D$509</definedName>
    <definedName name="NCWBAlfa">'[17]Area Budget'!$D$525</definedName>
    <definedName name="NCWBCorn">'[17]Area Budget'!$D$523</definedName>
    <definedName name="NCWBSorghum">'[17]Area Budget'!$D$524</definedName>
    <definedName name="NCWBSoy">'[17]Area Budget'!$D$522</definedName>
    <definedName name="NCWBSun">'[17]Area Budget'!$D$526</definedName>
    <definedName name="NCWCanolat">'[17]Area Budget'!$D$517</definedName>
    <definedName name="NCWCornT">'[17]Area Budget'!$D$516</definedName>
    <definedName name="NCWCotT">'[17]Area Budget'!$D$519</definedName>
    <definedName name="ncwhalo">'[17]Area Budget'!$D$511</definedName>
    <definedName name="NCWRUP">'[17]Area Budget'!$D$508</definedName>
    <definedName name="NCWSBT">'[17]Area Budget'!$D$518</definedName>
    <definedName name="NCWSoy">'[17]Area Budget'!$D$515</definedName>
    <definedName name="NCWsulfo">'[17]Area Budget'!$D$512</definedName>
    <definedName name="NCWTRL">'[17]Area Budget'!$D$510</definedName>
    <definedName name="new" hidden="1">[36]Sheet1!$A:$IV</definedName>
    <definedName name="NextMthYr">[23]Dates!$B$10</definedName>
    <definedName name="nextmthyrs">[24]Dates!$B$10</definedName>
    <definedName name="NextYearEPS" localSheetId="8">IndexInformation!$B$13</definedName>
    <definedName name="NextYearTotalRevenue" localSheetId="8">IndexInformation!$B$12</definedName>
    <definedName name="NextYearTotalRevenueActual" localSheetId="8">IndexInformation!$B$33</definedName>
    <definedName name="nohelp" hidden="1">{"Page 1",#N/A,FALSE,"Daily calendar";"Backlog",#N/A,FALSE,"Daily calendar"}</definedName>
    <definedName name="NOR">'[19]PRICE SET'!$O$5:$O$45</definedName>
    <definedName name="ObjectType">IndexInformation!$B$37</definedName>
    <definedName name="OIL_MN">'[25]Price T'!$F$378:$AF$380</definedName>
    <definedName name="one" hidden="1">'[3]chart-EBIT'!$A:$IV</definedName>
    <definedName name="ONT">'[19]PRICE SET'!$H$5:$H$45</definedName>
    <definedName name="OPS">'[19]PRICE SET'!$E$29:$AF$29</definedName>
    <definedName name="other" hidden="1">{"Schedule_1D",#N/A,FALSE,"I-D"}</definedName>
    <definedName name="PANA" localSheetId="9">ModPubIndex!$A$11</definedName>
    <definedName name="PathName" localSheetId="8">IndexInformation!$B$25</definedName>
    <definedName name="PERPETUITY__DECLINING_RATE___20Y">'[37]CASH FLOW-BASE BIZ'!$H$177</definedName>
    <definedName name="PerpGrowthRate">[28]Inputs!$C$88</definedName>
    <definedName name="Pioneer" hidden="1">{"Page 1",#N/A,FALSE,"Daily calendar";"Backlog",#N/A,FALSE,"Daily calendar"}</definedName>
    <definedName name="PlainsACET">'[17]Area Budget'!$F$509</definedName>
    <definedName name="PlainsBAlfa">'[17]Area Budget'!$F$525</definedName>
    <definedName name="PlainsBCorn">'[17]Area Budget'!$F$523</definedName>
    <definedName name="PlainsBCotton">'[17]Area Budget'!$F$527</definedName>
    <definedName name="PlainsBSorghum">'[17]Area Budget'!$F$524</definedName>
    <definedName name="PlainsBSoy">'[17]Area Budget'!$F$522</definedName>
    <definedName name="PlainsBSun">'[17]Area Budget'!$F$526</definedName>
    <definedName name="PlainsCanolat">'[17]Area Budget'!$F$517</definedName>
    <definedName name="PlainsCornT">'[17]Area Budget'!$F$516</definedName>
    <definedName name="PlainsCotT">'[17]Area Budget'!$F$519</definedName>
    <definedName name="plainshalo">'[17]Area Budget'!$F$511</definedName>
    <definedName name="PLAINSRUP">'[17]Area Budget'!$F$508</definedName>
    <definedName name="PlainsSBT">'[17]Area Budget'!$F$518</definedName>
    <definedName name="PlainsSoy">'[17]Area Budget'!$F$515</definedName>
    <definedName name="plainssulfo">'[17]Area Budget'!$F$512</definedName>
    <definedName name="PLAINSTRL">'[17]Area Budget'!$F$510</definedName>
    <definedName name="pooo" hidden="1">{#N/A,#N/A,TRUE,"lawa";#N/A,#N/A,TRUE,"brazil";#N/A,#N/A,TRUE,"argentina";#N/A,#N/A,TRUE,"mexico";#N/A,#N/A,TRUE,"colombia";#N/A,#N/A,TRUE,"cent amer";#N/A,#N/A,TRUE,"venezuela";#N/A,#N/A,TRUE,"caribbean";#N/A,#N/A,TRUE,"HQ"}</definedName>
    <definedName name="_xlnm.Print_Area" localSheetId="6">BS!$B$2:$O$38</definedName>
    <definedName name="_xlnm.Print_Area" localSheetId="7">CF!$B$2:$O$58</definedName>
    <definedName name="_xlnm.Print_Area">[38]CENMODEL!#REF!</definedName>
    <definedName name="Print_Area_MI">'[25]Price T'!$X$185:$AM$504</definedName>
    <definedName name="print_full">#N/A</definedName>
    <definedName name="print_full1">#N/A</definedName>
    <definedName name="Print_Presentation">[39]!Print_Presentation</definedName>
    <definedName name="_xlnm.Print_Titles">#REF!</definedName>
    <definedName name="Print2Area2">'[18]Ag Sector P&amp;L 01F'!$A$27:$N$48,'[18]Ag Sector P&amp;L 01F'!$P$27:$AB$48,'[18]Ag Sector P&amp;L 01F'!$AD$27:$AI$48,'[18]Ag Sector P&amp;L 01F'!$A$50:$N$95,'[18]Ag Sector P&amp;L 01F'!$P$50:$AB$95,'[18]Ag Sector P&amp;L 01F'!$AD$50:$AI$95,'[18]Ag Sector P&amp;L 01F'!$A$97:$N$147,'[18]Ag Sector P&amp;L 01F'!$P$97:$AB$147</definedName>
    <definedName name="printareafull">#N/A</definedName>
    <definedName name="PrintAreanew">[40]Projections!$A$1:$AK$154</definedName>
    <definedName name="printfull2">#N/A</definedName>
    <definedName name="Prior_Year">[23]Dates!$B$18</definedName>
    <definedName name="prior_years">[24]Dates!$B$18</definedName>
    <definedName name="PRO">[19]FACTORS!$C$7:$W$7</definedName>
    <definedName name="PRODUCT" localSheetId="9">ModPubIndex!$A$6</definedName>
    <definedName name="profit">[41]NKEBALST!$BH$60:$BO$62</definedName>
    <definedName name="ProjectName">{"Cereva Networks, Inc"}</definedName>
    <definedName name="PROPANE">'[19]PRICE SET'!$E$7:$AF$7</definedName>
    <definedName name="PROPY">'[19]PRICE SET'!$E$15:$AF$15</definedName>
    <definedName name="PROTITLE">#N/A</definedName>
    <definedName name="PrYear">[23]Dates!$B$18</definedName>
    <definedName name="pryears">[24]Dates!$B$18</definedName>
    <definedName name="PSYM" localSheetId="9">ModPubIndex!$A$4</definedName>
    <definedName name="PublishDate" localSheetId="8">IndexInformation!$B$2</definedName>
    <definedName name="PVC_MN">'[25]Price T'!$E$282:$AF$314</definedName>
    <definedName name="q">{"Qtr Op Mgd Q2",#N/A,FALSE,"Qtr-Op (Mng)";"Qtr Op Rpt Q2",#N/A,FALSE,"Qtr-Op (Rpt)";"Operating Vs Reported",#N/A,FALSE,"Rpt-Op Inc"}</definedName>
    <definedName name="q_1993">[41]NKEQTRIN!$BH$6:$BO$39</definedName>
    <definedName name="q_1994">[41]NKEQTRIN!$BP$6:$BW$39</definedName>
    <definedName name="q_1995">[41]NKEQTRIN!$BX$6:$CK$39</definedName>
    <definedName name="q_1996">[41]NKEQTRIN!$CN$6:$DA$39</definedName>
    <definedName name="Q402Inv">[1]Assumptions!$B$97:$R$113</definedName>
    <definedName name="QTR">'[35]Combo Box'!$E$1</definedName>
    <definedName name="qtr_bs">'[42]Old BKS'!$X$371:$AI$436</definedName>
    <definedName name="qtr_is_2">'[42]Old BKS'!$AE$1:$AO$90</definedName>
    <definedName name="QtrDts">[43]Dates!$A$2:$IV$5,[43]Dates!$A$9:$IV$12,[43]Dates!$A$16:$IV$19,[43]Dates!$A$23:$IV$26,[43]Dates!$A$30:$IV$33,[43]Dates!$A$37:$IV$40,[43]Dates!$A$44:$IV$47,[43]Dates!$A$51:$IV$54,[43]Dates!$A$58:$IV$61,[43]Dates!$A$65:$IV$68,[43]Dates!$A$72:$IV$75,[43]Dates!$A$79:$IV$82,[43]Dates!$A$86:$IV$89,[43]Dates!$A$93:$IV$96,[43]Dates!$A$100:$IV$103,[43]Dates!$A$107:$IV$110,[43]Dates!$A$114:$IV$117,[43]Dates!$A$121:$IV$124,[43]Dates!$A$128:$IV$131,[43]Dates!$A$135:$IV$138</definedName>
    <definedName name="qtrending">[23]Dates!$B$14</definedName>
    <definedName name="qtrendings">[24]Dates!$B$14</definedName>
    <definedName name="Rating" localSheetId="8">IndexInformation!$B$9</definedName>
    <definedName name="RatingsDefined" localSheetId="0">ImportantDisclosures!$A$21</definedName>
    <definedName name="RatingsDefs" localSheetId="0">ImportantDisclosures!#REF!</definedName>
    <definedName name="rec">[41]NKEBALST!$BH$20:$BO$20</definedName>
    <definedName name="_xlnm.Recorder">[44]Macro2!$A:$A</definedName>
    <definedName name="RegACDisclosure" localSheetId="0">ImportantDisclosures!#REF!</definedName>
    <definedName name="remap">[27]Sheet2!$A$3:$B$24</definedName>
    <definedName name="rentx">[45]Switches!$D$53</definedName>
    <definedName name="rep" hidden="1">{#N/A,#N/A,FALSE,"COVER";#N/A,#N/A,FALSE,"VALUATION";#N/A,#N/A,FALSE,"FORECAST";#N/A,#N/A,FALSE,"FY ANALYSIS ";#N/A,#N/A,FALSE," HY ANALYSIS"}</definedName>
    <definedName name="ResearchTopic" localSheetId="8">IndexInformation!$B$4</definedName>
    <definedName name="RIC" localSheetId="8">IndexInformation!$B$21</definedName>
    <definedName name="ROT">'[19]PRICE SET'!$Q$5:$Q$45</definedName>
    <definedName name="rowheight">[41]NKEQTRIN!$6:$39</definedName>
    <definedName name="rrrevenue">[46]Model!$126:$126</definedName>
    <definedName name="RX_Costs">'[47]Successor data'!$A$96:$G$120</definedName>
    <definedName name="SADts">[43]Dates!$A$6:$IV$7,[43]Dates!$A$13:$IV$14,[43]Dates!$A$20:$IV$21,[43]Dates!$A$27:$IV$28,[43]Dates!$A$34:$IV$35,[43]Dates!$A$41:$IV$42,[43]Dates!$A$48:$IV$49,[43]Dates!$A$55:$IV$56,[43]Dates!$A$62:$IV$63,[43]Dates!$A$69:$IV$70,[43]Dates!$A$76:$IV$77,[43]Dates!$A$83:$IV$84,[43]Dates!$A$90:$IV$91,[43]Dates!$A$97:$IV$98,[43]Dates!$A$104:$IV$105,[43]Dates!$A$111:$IV$112,[43]Dates!$A$118:$IV$119,[43]Dates!$A$125:$IV$126,[43]Dates!$A$132:$IV$133,[43]Dates!$A$139:$IV$140</definedName>
    <definedName name="SAF">'[19]PRICE SET'!$AE$5:$AE$45</definedName>
    <definedName name="SAR">'[19]PRICE SET'!$U$5:$U$45</definedName>
    <definedName name="SB_netDbt98">'[48]B-Sbis'!$E$58</definedName>
    <definedName name="scenario_title">[49]is!$Q$1</definedName>
    <definedName name="SECONDHALF">[50]Globals!$C$13</definedName>
    <definedName name="SECSettlement" localSheetId="0">ImportantDisclosures!#REF!</definedName>
    <definedName name="SEDOL" localSheetId="8">IndexInformation!$B$22</definedName>
    <definedName name="Seeds">'[18]Ag Sector P&amp;L 01F'!$A$120:$N$148,'[18]Ag Sector P&amp;L 01F'!$P$120:$AI$148</definedName>
    <definedName name="segments">[51]database!$B$4:$K$4</definedName>
    <definedName name="Share_Price">[52]Breakdown!$D$6</definedName>
    <definedName name="sheq">[41]NKEBALST!$BH$27:$BO$27</definedName>
    <definedName name="SIN">'[19]PRICE SET'!$AA$5:$AA$45</definedName>
    <definedName name="SourceDefined" localSheetId="0">ImportantDisclosures!$A$19</definedName>
    <definedName name="SOUTHACET">'[17]Area Budget'!$G$509</definedName>
    <definedName name="SouthBAlfa">'[17]Area Budget'!$G$525</definedName>
    <definedName name="SouthBCorn">'[17]Area Budget'!$G$523</definedName>
    <definedName name="SouthBSorghum">'[17]Area Budget'!$G$524</definedName>
    <definedName name="SouthBSoy">'[17]Area Budget'!$G$522</definedName>
    <definedName name="SouthBSun">'[17]Area Budget'!$G$526</definedName>
    <definedName name="SouthCanolat">'[17]Area Budget'!$G$517</definedName>
    <definedName name="SouthCornT">'[17]Area Budget'!$G$516</definedName>
    <definedName name="SouthCotT">'[17]Area Budget'!$G$519</definedName>
    <definedName name="southhalo">'[17]Area Budget'!$G$511</definedName>
    <definedName name="SOUTHRUP">'[17]Area Budget'!$G$508</definedName>
    <definedName name="SouthSBT">'[17]Area Budget'!$G$518</definedName>
    <definedName name="SouthSoy">'[17]Area Budget'!$G$515</definedName>
    <definedName name="southsulfo">'[17]Area Budget'!$G$512</definedName>
    <definedName name="Southtrl">'[17]Area Budget'!$G$510</definedName>
    <definedName name="StockRating" localSheetId="0">ImportantDisclosures!$A$11</definedName>
    <definedName name="STYLE">#N/A</definedName>
    <definedName name="STYR_MN">'[25]Price T'!$X$135:$AF$379</definedName>
    <definedName name="Subheader">[49]inputs!$F$5</definedName>
    <definedName name="SubjectCode" localSheetId="8">IndexInformation!$B$6</definedName>
    <definedName name="SubmitterUserId">IndexInformation!$B$39</definedName>
    <definedName name="Summary">[21]Summary!$A$1:$AA$55,[21]Summary!$A$56:$AA$108,[21]Summary!$A$109:$AA$158</definedName>
    <definedName name="SUPPRESSED" localSheetId="9">ModPubIndex!$A$13</definedName>
    <definedName name="SWE">'[19]PRICE SET'!$N$5:$N$45</definedName>
    <definedName name="t" hidden="1">{"Annual",#N/A,FALSE,"PETC";"Balance Sheet",#N/A,FALSE,"PETC";"Funds Flow",#N/A,FALSE,"PETC";"Quarterly Earnings",#N/A,FALSE,"PETC";"Quarterly Margins",#N/A,FALSE,"PETC";"Ratio Analysis",#N/A,FALSE,"PETC";"Q Sales",#N/A,FALSE,"PETC";"Unit Analysis",#N/A,FALSE,"PETC";"Inventory Analysis",#N/A,FALSE,"PETC";"Valuation",#N/A,FALSE,"PETC";"Comps",#N/A,FALSE,"PETC"}</definedName>
    <definedName name="Table__4">[53]Inc.St.!$A$154:$R$233</definedName>
    <definedName name="Table_17">'[54]Three-Year'!$A$1:$E$14</definedName>
    <definedName name="TAI">'[19]PRICE SET'!$AB$5:$AB$45</definedName>
    <definedName name="TARGET">[55]Inputs!$E$10</definedName>
    <definedName name="TargetPrice" localSheetId="0">ImportantDisclosures!$A$15</definedName>
    <definedName name="TemplateRegion">IndexInformation!$B$36</definedName>
    <definedName name="TFI">[19]FACTORS!$W$6:$W$11</definedName>
    <definedName name="TFIFAC">'[19]PRICE SET'!$E$45:$AF$45</definedName>
    <definedName name="THA">'[19]PRICE SET'!$Z$5:$Z$45</definedName>
    <definedName name="three" hidden="1">'[3]chart-all3'!$A:$IV</definedName>
    <definedName name="Ticker" localSheetId="0">ImportantDisclosures!$A$10</definedName>
    <definedName name="ticker">OFFSET('[56]Exclusion List'!$A$1,1,0,COUNTA('[56]Exclusion List'!$A:$A)-1,1)</definedName>
    <definedName name="TickerRegion">IndexInformation!$B$41</definedName>
    <definedName name="Tickers" localSheetId="8">IndexInformation!$B$19</definedName>
    <definedName name="Title_Date">[57]variables!$C$3</definedName>
    <definedName name="TNVACET">'[17]Area Budget'!$H$509</definedName>
    <definedName name="TNVBAlfa">'[17]Area Budget'!$H$525</definedName>
    <definedName name="TNVBCorn">'[17]Area Budget'!$H$523</definedName>
    <definedName name="TNVBCotton">'[17]Area Budget'!$H$527</definedName>
    <definedName name="TNVBSorghum">'[17]Area Budget'!$H$524</definedName>
    <definedName name="TNVBSoy">'[17]Area Budget'!$H$522</definedName>
    <definedName name="TNVBSun">'[17]Area Budget'!$H$526</definedName>
    <definedName name="TNVCanolat">'[17]Area Budget'!$H$517</definedName>
    <definedName name="tnvCornT">'[17]Area Budget'!$H$516</definedName>
    <definedName name="TNVCotT">'[17]Area Budget'!$H$519</definedName>
    <definedName name="tnvhalo">'[17]Area Budget'!$H$511</definedName>
    <definedName name="TNVRUP">'[17]Area Budget'!$H$508</definedName>
    <definedName name="TNVSBT">'[17]Area Budget'!$H$518</definedName>
    <definedName name="tnvSoy">'[17]Area Budget'!$H$515</definedName>
    <definedName name="tnvsulfo">'[17]Area Budget'!$H$512</definedName>
    <definedName name="tnvtrl">'[17]Area Budget'!$H$510</definedName>
    <definedName name="top">[58]Transpose!$A$1</definedName>
    <definedName name="totass">[41]NKEBALST!$BH$22:$BO$22</definedName>
    <definedName name="toto">'[59]CASH FLOW-BASE BIZ'!$H$177</definedName>
    <definedName name="two" hidden="1">'[3]chart-EPS'!$A:$IV</definedName>
    <definedName name="TX">'[19]PRICE SET'!$E$5:$E$45</definedName>
    <definedName name="UKG">'[19]PRICE SET'!$P$5:$P$45</definedName>
    <definedName name="UpdateReason" localSheetId="8">IndexInformation!$B$17</definedName>
    <definedName name="USETHEC">[29]ETHECON!$A$172:$K$190</definedName>
    <definedName name="USRegDisclosures" localSheetId="0">ImportantDisclosures!#REF!</definedName>
    <definedName name="v" hidden="1">[15]ｾｸﾞﾒﾝﾄ!$E$164:$I$164</definedName>
    <definedName name="VEN">'[19]PRICE SET'!$L$5:$L$45</definedName>
    <definedName name="Version">"June 29, 2004"</definedName>
    <definedName name="W">[15]単独!$AR$14:$AR$18</definedName>
    <definedName name="workcap">[41]NKEBALST!$BH$31:$BO$31</definedName>
    <definedName name="wre.Print_All"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lient._.cfbs." hidden="1">{"client cfbs",#N/A,FALSE,"Client"}</definedName>
    <definedName name="wrn.Client._.is." hidden="1">{"Client is",#N/A,FALSE,"Client"}</definedName>
    <definedName name="wrn.Client._.stats." hidden="1">{"Client stats",#N/A,FALSE,"Client"}</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Income._.Stmt." hidden="1">{"Income Stmt",#N/A,FALSE,"Model"}</definedName>
    <definedName name="wrn.Internal._.is." hidden="1">{"Internal is",#N/A,FALSE,"Model"}</definedName>
    <definedName name="wrn.Leases.xls." hidden="1">{#N/A,#N/A,FALSE,"Initial Year";#N/A,#N/A,FALSE,"Historical";#N/A,#N/A,FALSE,"balsheet";#N/A,#N/A,FALSE,"incstate";#N/A,#N/A,FALSE,"Fleet"}</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ortrait._.IS." hidden="1">{"Portrait letter is",#N/A,FALSE,"Model"}</definedName>
    <definedName name="wrn.Portrait._.letter._.is." hidden="1">{"Portrait letter is",#N/A,FALSE,"Model"}</definedName>
    <definedName name="wrn.Print_All." hidden="1">{"Index",#N/A,FALSE,"Index";"Schedule_I",#N/A,FALSE,"I";"Schedule_IA",#N/A,FALSE,"I-A";"Schedule_1B",#N/A,FALSE,"I-B";"Schedule_1C",#N/A,FALSE,"I-C";"Schedule_1D",#N/A,FALSE,"I-D";"Schedule_1E",#N/A,FALSE,"I-E";"Schedule_1F",#N/A,FALSE,"I-F";"Schedule_1G",#N/A,FALSE,"I-G";"Schedule_II",#N/A,FALSE,"II";"Schedule_IIA",#N/A,FALSE,"II-A";"Schedule_III",#N/A,FALSE,"III";"Schedule_IV",#N/A,FALSE,"IV";"Schedule_V",#N/A,FALSE,"V"}</definedName>
    <definedName name="wrn.Print_Index." hidden="1">{"Index",#N/A,FALSE,"Index"}</definedName>
    <definedName name="wrn.prtall." hidden="1">{#N/A,#N/A,TRUE,"lawa";#N/A,#N/A,TRUE,"brazil";#N/A,#N/A,TRUE,"argentina";#N/A,#N/A,TRUE,"mexico";#N/A,#N/A,TRUE,"colombia";#N/A,#N/A,TRUE,"cent amer";#N/A,#N/A,TRUE,"venezuela";#N/A,#N/A,TRUE,"caribbean";#N/A,#N/A,TRUE,"HQ"}</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port." hidden="1">{#N/A,#N/A,FALSE,"COVER";#N/A,#N/A,FALSE,"FORECAST";#N/A,#N/A,FALSE,"VALUATION";#N/A,#N/A,FALSE,"FY ANALYSIS ";#N/A,#N/A,FALSE," HY ANALYSIS"}</definedName>
    <definedName name="wrn.Report._.1." hidden="1">{"Page 1",#N/A,FALSE,"Daily calendar";"Backlog",#N/A,FALSE,"Daily calendar"}</definedName>
    <definedName name="wrn.Schedule_1A." hidden="1">{"Schedule_IA",#N/A,FALSE,"I-A"}</definedName>
    <definedName name="wrn.Schedule_1B." hidden="1">{"Schedule_1B",#N/A,FALSE,"I-B"}</definedName>
    <definedName name="wrn.Schedule_1C." hidden="1">{"Schedule_1C",#N/A,FALSE,"I-C"}</definedName>
    <definedName name="wrn.Schedule_1D." hidden="1">{"Schedule_1D",#N/A,FALSE,"I-D"}</definedName>
    <definedName name="wrn.Schedule_I." hidden="1">{"Schedule_I",#N/A,FALSE,"I"}</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xxx">[60]Dates!$B$3</definedName>
    <definedName name="Year">[23]Dates!$B$17</definedName>
    <definedName name="YearQtr_title">#N/A</definedName>
    <definedName name="years">[24]Dates!$B$17</definedName>
    <definedName name="zdf" hidden="1">{"Page 1",#N/A,FALSE,"Daily calendar";"Backlog",#N/A,FALSE,"Daily calendar"}</definedName>
    <definedName name="Zelnorm_EU_02">[61]Zelnorm!$B$204</definedName>
    <definedName name="Zelnorm_EU_03">[61]Zelnorm!$C$204</definedName>
    <definedName name="Zelnorm_EU_04">[61]Zelnorm!$D$204</definedName>
    <definedName name="Zelnorm_EU_05">[61]Zelnorm!$E$204</definedName>
    <definedName name="Zelnorm_EU_06">[61]Zelnorm!$F$204</definedName>
    <definedName name="Zelnorm_EU_07">[61]Zelnorm!$G$204</definedName>
    <definedName name="Zelnorm_EU_09">[61]Zelnorm!$I$204</definedName>
    <definedName name="Zelnorm_EU_093">[61]Zelnorm!$C$204</definedName>
    <definedName name="Zelnorm_Japan_02">[61]Zelnorm!$B$205</definedName>
    <definedName name="Zelnorm_Japan_03">[61]Zelnorm!$C$205</definedName>
    <definedName name="Zelnorm_Japan_04">[61]Zelnorm!$D$205</definedName>
    <definedName name="Zelnorm_Japan_05">[61]Zelnorm!$E$205</definedName>
    <definedName name="Zelnorm_Japan_06">[61]Zelnorm!$F$205</definedName>
    <definedName name="Zelnorm_Japan_07">[61]Zelnorm!$G$205</definedName>
    <definedName name="Zelnorm_Japan_08">[61]Zelnorm!$H$205</definedName>
    <definedName name="Zelnorm_Japan_09">[61]Zelnorm!$I$205</definedName>
    <definedName name="Zelnorm_Sales_02">[61]Zelnorm!$B$206</definedName>
    <definedName name="Zelnorm_Sales_03">[61]Zelnorm!$C$206</definedName>
    <definedName name="Zelnorm_Sales_04">[61]Zelnorm!$D$206</definedName>
    <definedName name="Zelnorm_Sales_05">[61]Zelnorm!$E$206</definedName>
    <definedName name="Zelnorm_Sales_06">[61]Zelnorm!$F$206</definedName>
    <definedName name="Zelnorm_Sales_07">[61]Zelnorm!$G$206</definedName>
    <definedName name="Zelnorm_Sales_08">[61]Zelnorm!$H$206</definedName>
    <definedName name="Zelnorm_Sales_09">[61]Zelnorm!$I$206</definedName>
    <definedName name="Zelnorm_US_02">[61]Zelnorm!$B$204</definedName>
    <definedName name="Zelnorm_US_03">[61]Zelnorm!$C$204</definedName>
    <definedName name="Zelnorm_US_04">[61]Zelnorm!$D$203</definedName>
    <definedName name="Zelnorm_US_05">[61]Zelnorm!$E$203</definedName>
    <definedName name="Zelnorm_US_06">[61]Zelnorm!$F$203</definedName>
    <definedName name="Zelnorm_US_07">[61]Zelnorm!$G$203</definedName>
    <definedName name="Zelnorm_US_08">[61]Zelnorm!$H$203</definedName>
    <definedName name="Zelorm_EU_08">[61]Zelnorm!$H$204</definedName>
    <definedName name="Zelorm_US_03">[61]Zelnorm!$C$203</definedName>
    <definedName name="Zenorm_US_09">[61]Zelnorm!$I$203</definedName>
  </definedNames>
  <calcPr calcId="145621" iterate="1" iterateDelta="1.0000000000000002E-3"/>
</workbook>
</file>

<file path=xl/calcChain.xml><?xml version="1.0" encoding="utf-8"?>
<calcChain xmlns="http://schemas.openxmlformats.org/spreadsheetml/2006/main">
  <c r="BN143" i="91" l="1"/>
  <c r="BU319" i="103" l="1"/>
  <c r="BV319" i="103" s="1"/>
  <c r="BW319" i="103" s="1"/>
  <c r="BX319" i="103" s="1"/>
  <c r="BY319" i="103" s="1"/>
  <c r="BZ319" i="103" s="1"/>
  <c r="CA319" i="103" s="1"/>
  <c r="CB319" i="103" s="1"/>
  <c r="CC319" i="103" s="1"/>
  <c r="CD319" i="103" s="1"/>
  <c r="BT319" i="103"/>
  <c r="BP109" i="91" l="1"/>
  <c r="BO109" i="91"/>
  <c r="BN109" i="91"/>
  <c r="BM109" i="91"/>
  <c r="CA122" i="103"/>
  <c r="CA136" i="103" l="1"/>
  <c r="CB376" i="103" l="1"/>
  <c r="CC376" i="103" s="1"/>
  <c r="CD376" i="103" s="1"/>
  <c r="V376" i="103" l="1"/>
  <c r="W376" i="103" s="1"/>
  <c r="X376" i="103" s="1"/>
  <c r="Y376" i="103" s="1"/>
  <c r="BP54" i="92" l="1"/>
  <c r="BQ54" i="92"/>
  <c r="BR54" i="92"/>
  <c r="BO54" i="92"/>
  <c r="Q121" i="91"/>
  <c r="R121" i="91"/>
  <c r="R120" i="91"/>
  <c r="Q120" i="91"/>
  <c r="BO122" i="91"/>
  <c r="BP122" i="91"/>
  <c r="BQ122" i="91"/>
  <c r="BR122" i="91"/>
  <c r="BL122" i="91"/>
  <c r="BM122" i="91"/>
  <c r="BN122" i="91"/>
  <c r="BK122" i="91"/>
  <c r="U136" i="91" l="1"/>
  <c r="T136" i="91"/>
  <c r="S136" i="91"/>
  <c r="BJ148" i="91"/>
  <c r="BJ153" i="91" s="1"/>
  <c r="BN160" i="91"/>
  <c r="BM160" i="91"/>
  <c r="BL160" i="91"/>
  <c r="BN159" i="91"/>
  <c r="BM159" i="91"/>
  <c r="BL159" i="91"/>
  <c r="BN158" i="91"/>
  <c r="BM158" i="91"/>
  <c r="BL158" i="91"/>
  <c r="BM153" i="91"/>
  <c r="BM161" i="91" s="1"/>
  <c r="BM148" i="91"/>
  <c r="BM157" i="91" s="1"/>
  <c r="BL148" i="91"/>
  <c r="BL157" i="91" s="1"/>
  <c r="BL153" i="91" l="1"/>
  <c r="BM154" i="91"/>
  <c r="BL154" i="91" l="1"/>
  <c r="BL161" i="91"/>
  <c r="R54" i="92" l="1"/>
  <c r="Q109" i="91" l="1"/>
  <c r="R109" i="91"/>
  <c r="BN210" i="91" l="1"/>
  <c r="BN219" i="91" s="1"/>
  <c r="BN125" i="91"/>
  <c r="BN56" i="91"/>
  <c r="BN48" i="91"/>
  <c r="BN55" i="91" s="1"/>
  <c r="BN47" i="91"/>
  <c r="BN54" i="91" s="1"/>
  <c r="BN131" i="91" l="1"/>
  <c r="BN148" i="91"/>
  <c r="BL107" i="91"/>
  <c r="BL111" i="91" s="1"/>
  <c r="BN107" i="91"/>
  <c r="BM107" i="91"/>
  <c r="BN153" i="91" l="1"/>
  <c r="BN157" i="91"/>
  <c r="BN111" i="91"/>
  <c r="BM108" i="91"/>
  <c r="BM111" i="91"/>
  <c r="BN161" i="91" l="1"/>
  <c r="BN154" i="91"/>
  <c r="U132" i="2" l="1"/>
  <c r="T132" i="2"/>
  <c r="S132" i="2"/>
  <c r="R132" i="2"/>
  <c r="P132" i="2"/>
  <c r="O132" i="2"/>
  <c r="O131" i="2"/>
  <c r="P131" i="2"/>
  <c r="R131" i="2"/>
  <c r="S131" i="2" s="1"/>
  <c r="T131" i="2" s="1"/>
  <c r="U131" i="2" s="1"/>
  <c r="Q131" i="2"/>
  <c r="Q132" i="2"/>
  <c r="Q141" i="2"/>
  <c r="R141" i="2"/>
  <c r="Q142" i="2"/>
  <c r="R142" i="2"/>
  <c r="R140" i="2"/>
  <c r="Q140" i="2"/>
  <c r="R138" i="2"/>
  <c r="Q138" i="2"/>
  <c r="R137" i="2"/>
  <c r="Q137" i="2"/>
  <c r="R14" i="2"/>
  <c r="R25" i="8" s="1"/>
  <c r="BP42" i="92"/>
  <c r="BQ42" i="92"/>
  <c r="BR42" i="92"/>
  <c r="BO42" i="92"/>
  <c r="R113" i="2" l="1"/>
  <c r="P145" i="2"/>
  <c r="Q145" i="2" s="1"/>
  <c r="R42" i="92"/>
  <c r="R43" i="92"/>
  <c r="R44" i="92"/>
  <c r="R41" i="92"/>
  <c r="T32" i="8"/>
  <c r="S32" i="8"/>
  <c r="U32" i="8"/>
  <c r="CB18" i="103"/>
  <c r="CC18" i="103"/>
  <c r="CD18" i="103"/>
  <c r="CA18" i="103"/>
  <c r="P86" i="2" l="1"/>
  <c r="P87" i="2" s="1"/>
  <c r="O70" i="2"/>
  <c r="P70" i="2"/>
  <c r="N70" i="2"/>
  <c r="U20" i="92"/>
  <c r="BN59" i="92"/>
  <c r="BN60" i="92"/>
  <c r="BN58" i="92"/>
  <c r="BN64" i="92"/>
  <c r="BN63" i="92"/>
  <c r="S72" i="8" l="1"/>
  <c r="S71" i="8"/>
  <c r="X18" i="103" l="1"/>
  <c r="Y18" i="103" s="1"/>
  <c r="Q2" i="8"/>
  <c r="Q2" i="2"/>
  <c r="U2" i="103"/>
  <c r="BN2" i="92"/>
  <c r="CC122" i="103"/>
  <c r="CB122" i="103"/>
  <c r="BX18" i="103"/>
  <c r="BY18" i="103"/>
  <c r="BZ18" i="103"/>
  <c r="BW18" i="103"/>
  <c r="CB372" i="103" l="1"/>
  <c r="CC372" i="103" s="1"/>
  <c r="CD372" i="103" s="1"/>
  <c r="CB371" i="103"/>
  <c r="CC371" i="103" s="1"/>
  <c r="CD371" i="103" s="1"/>
  <c r="N63" i="8"/>
  <c r="O63" i="8"/>
  <c r="P63" i="8"/>
  <c r="Q63" i="8"/>
  <c r="R63" i="8"/>
  <c r="S63" i="8"/>
  <c r="T63" i="8"/>
  <c r="U63" i="8"/>
  <c r="M63" i="8"/>
  <c r="R252" i="91"/>
  <c r="R250" i="91"/>
  <c r="R249" i="91"/>
  <c r="R248" i="91"/>
  <c r="R247" i="91"/>
  <c r="R44" i="8"/>
  <c r="S145" i="2"/>
  <c r="T145" i="2" s="1"/>
  <c r="U145" i="2" s="1"/>
  <c r="Q98" i="2"/>
  <c r="Q94" i="2"/>
  <c r="Q72" i="2"/>
  <c r="Q65" i="2"/>
  <c r="Q52" i="2"/>
  <c r="Q49" i="2"/>
  <c r="Q46" i="2"/>
  <c r="Q10" i="2"/>
  <c r="Q67" i="2" s="1"/>
  <c r="Y215" i="103"/>
  <c r="X215" i="103"/>
  <c r="W215" i="103"/>
  <c r="CD215" i="103"/>
  <c r="CC215" i="103"/>
  <c r="CB215" i="103"/>
  <c r="CA215" i="103"/>
  <c r="BZ215" i="103"/>
  <c r="BZ27" i="103"/>
  <c r="BZ24" i="103"/>
  <c r="BZ9" i="103"/>
  <c r="BZ21" i="103" l="1"/>
  <c r="BZ25" i="103"/>
  <c r="BZ28" i="103"/>
  <c r="BN20" i="92"/>
  <c r="BN43" i="92" l="1"/>
  <c r="BN38" i="92"/>
  <c r="BN18" i="92"/>
  <c r="BN8" i="92"/>
  <c r="BN252" i="91"/>
  <c r="BN196" i="91"/>
  <c r="BN198" i="91"/>
  <c r="BN199" i="91" s="1"/>
  <c r="BN206" i="91"/>
  <c r="BN117" i="91"/>
  <c r="BN114" i="91"/>
  <c r="BN105" i="91"/>
  <c r="BN35" i="91"/>
  <c r="BN40" i="91"/>
  <c r="BN33" i="91"/>
  <c r="BN57" i="91" s="1"/>
  <c r="BM49" i="92" l="1"/>
  <c r="BL49" i="92"/>
  <c r="BK49" i="92"/>
  <c r="BG49" i="92"/>
  <c r="BC49" i="92"/>
  <c r="AY49" i="92"/>
  <c r="AX49" i="92"/>
  <c r="AW49" i="92"/>
  <c r="AV49" i="92"/>
  <c r="AU49" i="92"/>
  <c r="AT49" i="92"/>
  <c r="AS49" i="92"/>
  <c r="AR49" i="92"/>
  <c r="AQ49" i="92"/>
  <c r="AP49" i="92"/>
  <c r="AO49" i="92"/>
  <c r="AN49" i="92"/>
  <c r="AM49" i="92"/>
  <c r="AI49" i="92"/>
  <c r="AH49" i="92"/>
  <c r="AE49" i="92"/>
  <c r="AA49" i="92"/>
  <c r="W49" i="92"/>
  <c r="AI55" i="92"/>
  <c r="AH55" i="92"/>
  <c r="AG55" i="92"/>
  <c r="AF55" i="92"/>
  <c r="AE55" i="92"/>
  <c r="AD55" i="92"/>
  <c r="AC55" i="92"/>
  <c r="AB55" i="92"/>
  <c r="AA55" i="92"/>
  <c r="N57" i="8" l="1"/>
  <c r="P52" i="8"/>
  <c r="O52" i="8"/>
  <c r="N52" i="8"/>
  <c r="M52" i="8"/>
  <c r="L52" i="8"/>
  <c r="K52" i="8"/>
  <c r="J52" i="8"/>
  <c r="I52" i="8"/>
  <c r="H52" i="8"/>
  <c r="G52" i="8"/>
  <c r="R49" i="8"/>
  <c r="S49" i="8" s="1"/>
  <c r="T49" i="8" s="1"/>
  <c r="U49" i="8" s="1"/>
  <c r="U44" i="8"/>
  <c r="T44" i="8"/>
  <c r="S44" i="8"/>
  <c r="U41" i="8"/>
  <c r="R41" i="8"/>
  <c r="P41" i="8"/>
  <c r="O41" i="8"/>
  <c r="N41" i="8"/>
  <c r="J41" i="8"/>
  <c r="M39" i="8"/>
  <c r="M41" i="8" s="1"/>
  <c r="L39" i="8"/>
  <c r="L41" i="8" s="1"/>
  <c r="K39" i="8"/>
  <c r="K41" i="8" s="1"/>
  <c r="J39" i="8"/>
  <c r="I39" i="8"/>
  <c r="I41" i="8" s="1"/>
  <c r="H39" i="8"/>
  <c r="H41" i="8" s="1"/>
  <c r="G39" i="8"/>
  <c r="G33" i="8"/>
  <c r="G41" i="8" s="1"/>
  <c r="T41" i="8"/>
  <c r="S41" i="8"/>
  <c r="Q41" i="8"/>
  <c r="P28" i="8"/>
  <c r="O28" i="8"/>
  <c r="N28" i="8"/>
  <c r="M28" i="8"/>
  <c r="L28" i="8"/>
  <c r="K28" i="8"/>
  <c r="J28" i="8"/>
  <c r="I28" i="8"/>
  <c r="H28" i="8"/>
  <c r="G28" i="8"/>
  <c r="M11" i="8"/>
  <c r="L11" i="8"/>
  <c r="K11" i="8"/>
  <c r="K86" i="2" s="1"/>
  <c r="J11" i="8"/>
  <c r="I11" i="8"/>
  <c r="H11" i="8"/>
  <c r="G11" i="8"/>
  <c r="G30" i="8" s="1"/>
  <c r="G55" i="8" s="1"/>
  <c r="G58" i="8" s="1"/>
  <c r="P11" i="8"/>
  <c r="O11" i="8"/>
  <c r="O86" i="2" s="1"/>
  <c r="N11" i="8"/>
  <c r="N86" i="2" s="1"/>
  <c r="U6" i="8"/>
  <c r="T6" i="8"/>
  <c r="S6" i="8"/>
  <c r="R6" i="8"/>
  <c r="O2" i="8"/>
  <c r="P2" i="8" s="1"/>
  <c r="R2" i="8" s="1"/>
  <c r="S2" i="8" s="1"/>
  <c r="T2" i="8" s="1"/>
  <c r="U2" i="8" s="1"/>
  <c r="H2" i="8"/>
  <c r="I2" i="8" s="1"/>
  <c r="J2" i="8" s="1"/>
  <c r="K2" i="8" s="1"/>
  <c r="L2" i="8" s="1"/>
  <c r="M2" i="8" s="1"/>
  <c r="Q148" i="2"/>
  <c r="Q147" i="2"/>
  <c r="R147" i="2" s="1"/>
  <c r="S147" i="2" s="1"/>
  <c r="T147" i="2" s="1"/>
  <c r="U147" i="2" s="1"/>
  <c r="Q146" i="2"/>
  <c r="R146" i="2" s="1"/>
  <c r="S146" i="2" s="1"/>
  <c r="T146" i="2" s="1"/>
  <c r="U146" i="2" s="1"/>
  <c r="Q143" i="2"/>
  <c r="R143" i="2" s="1"/>
  <c r="S143" i="2" s="1"/>
  <c r="T143" i="2" s="1"/>
  <c r="U143" i="2" s="1"/>
  <c r="S141" i="2"/>
  <c r="T141" i="2" s="1"/>
  <c r="U141" i="2" s="1"/>
  <c r="S140" i="2"/>
  <c r="T140" i="2" s="1"/>
  <c r="U140" i="2" s="1"/>
  <c r="S138" i="2"/>
  <c r="T138" i="2" s="1"/>
  <c r="U138" i="2" s="1"/>
  <c r="R151" i="2"/>
  <c r="S151" i="2" s="1"/>
  <c r="T151" i="2" s="1"/>
  <c r="U151" i="2" s="1"/>
  <c r="R150" i="2"/>
  <c r="S150" i="2" s="1"/>
  <c r="T150" i="2" s="1"/>
  <c r="U150" i="2" s="1"/>
  <c r="R149" i="2"/>
  <c r="S149" i="2" s="1"/>
  <c r="T149" i="2" s="1"/>
  <c r="U149" i="2" s="1"/>
  <c r="R148" i="2"/>
  <c r="S148" i="2" s="1"/>
  <c r="T148" i="2" s="1"/>
  <c r="U148" i="2" s="1"/>
  <c r="R144" i="2"/>
  <c r="S144" i="2" s="1"/>
  <c r="T144" i="2" s="1"/>
  <c r="U144" i="2" s="1"/>
  <c r="S142" i="2"/>
  <c r="T142" i="2" s="1"/>
  <c r="U142" i="2" s="1"/>
  <c r="R139" i="2"/>
  <c r="S139" i="2" s="1"/>
  <c r="T139" i="2" s="1"/>
  <c r="U139" i="2" s="1"/>
  <c r="S137" i="2"/>
  <c r="T137" i="2" s="1"/>
  <c r="P128" i="2"/>
  <c r="P152" i="2" s="1"/>
  <c r="P156" i="2" s="1"/>
  <c r="O128" i="2"/>
  <c r="O152" i="2" s="1"/>
  <c r="O156" i="2" s="1"/>
  <c r="Q133" i="2"/>
  <c r="Q130" i="2"/>
  <c r="R130" i="2" s="1"/>
  <c r="S130" i="2" s="1"/>
  <c r="T130" i="2" s="1"/>
  <c r="U130" i="2" s="1"/>
  <c r="Q129" i="2"/>
  <c r="R129" i="2" s="1"/>
  <c r="S129" i="2" s="1"/>
  <c r="T129" i="2" s="1"/>
  <c r="U129" i="2" s="1"/>
  <c r="Q127" i="2"/>
  <c r="R127" i="2" s="1"/>
  <c r="S127" i="2" s="1"/>
  <c r="T127" i="2" s="1"/>
  <c r="U127" i="2" s="1"/>
  <c r="Q126" i="2"/>
  <c r="R126" i="2" s="1"/>
  <c r="S126" i="2" s="1"/>
  <c r="T126" i="2" s="1"/>
  <c r="U126" i="2" s="1"/>
  <c r="Q125" i="2"/>
  <c r="R125" i="2" s="1"/>
  <c r="S125" i="2" s="1"/>
  <c r="T125" i="2" s="1"/>
  <c r="U125" i="2" s="1"/>
  <c r="Q124" i="2"/>
  <c r="R124" i="2" s="1"/>
  <c r="S124" i="2" s="1"/>
  <c r="T124" i="2" s="1"/>
  <c r="U124" i="2" s="1"/>
  <c r="Q123" i="2"/>
  <c r="R123" i="2" s="1"/>
  <c r="S123" i="2" s="1"/>
  <c r="T123" i="2" s="1"/>
  <c r="U123" i="2" s="1"/>
  <c r="Q122" i="2"/>
  <c r="R122" i="2" s="1"/>
  <c r="S122" i="2" s="1"/>
  <c r="T122" i="2" s="1"/>
  <c r="U122" i="2" s="1"/>
  <c r="Q119" i="2"/>
  <c r="Q118" i="2"/>
  <c r="R118" i="2" s="1"/>
  <c r="S118" i="2" s="1"/>
  <c r="T118" i="2" s="1"/>
  <c r="U118" i="2" s="1"/>
  <c r="Q117" i="2"/>
  <c r="Q116" i="2"/>
  <c r="R116" i="2" s="1"/>
  <c r="S116" i="2" s="1"/>
  <c r="T116" i="2" s="1"/>
  <c r="U116" i="2" s="1"/>
  <c r="R120" i="2"/>
  <c r="S120" i="2" s="1"/>
  <c r="T120" i="2" s="1"/>
  <c r="U120" i="2" s="1"/>
  <c r="R119" i="2"/>
  <c r="S119" i="2" s="1"/>
  <c r="T119" i="2" s="1"/>
  <c r="U119" i="2" s="1"/>
  <c r="R117" i="2"/>
  <c r="S117" i="2" s="1"/>
  <c r="T117" i="2" s="1"/>
  <c r="U117" i="2" s="1"/>
  <c r="R115" i="2"/>
  <c r="S115" i="2" s="1"/>
  <c r="T115" i="2" s="1"/>
  <c r="U115" i="2" s="1"/>
  <c r="R114" i="2"/>
  <c r="S114" i="2" s="1"/>
  <c r="T114" i="2" s="1"/>
  <c r="U114" i="2" s="1"/>
  <c r="S113" i="2"/>
  <c r="T113" i="2" s="1"/>
  <c r="Q113" i="2"/>
  <c r="J108" i="2"/>
  <c r="U105" i="2"/>
  <c r="T105" i="2"/>
  <c r="S105" i="2"/>
  <c r="R105" i="2"/>
  <c r="Q105" i="2"/>
  <c r="P105" i="2"/>
  <c r="O105" i="2"/>
  <c r="N105" i="2"/>
  <c r="M105" i="2"/>
  <c r="L105" i="2"/>
  <c r="K105" i="2"/>
  <c r="J105" i="2"/>
  <c r="I105" i="2"/>
  <c r="H105" i="2"/>
  <c r="G105" i="2"/>
  <c r="P98" i="2"/>
  <c r="O98" i="2"/>
  <c r="O101" i="2" s="1"/>
  <c r="N98" i="2"/>
  <c r="N101" i="2" s="1"/>
  <c r="M98" i="2"/>
  <c r="M101" i="2" s="1"/>
  <c r="L98" i="2"/>
  <c r="K98" i="2"/>
  <c r="K101" i="2" s="1"/>
  <c r="J98" i="2"/>
  <c r="J101" i="2" s="1"/>
  <c r="I98" i="2"/>
  <c r="I101" i="2" s="1"/>
  <c r="H98" i="2"/>
  <c r="O97" i="2"/>
  <c r="O99" i="2" s="1"/>
  <c r="N97" i="2"/>
  <c r="M97" i="2"/>
  <c r="L97" i="2"/>
  <c r="K97" i="2"/>
  <c r="K99" i="2" s="1"/>
  <c r="J97" i="2"/>
  <c r="I97" i="2"/>
  <c r="H97" i="2"/>
  <c r="P94" i="2"/>
  <c r="P88" i="2" s="1"/>
  <c r="Q85" i="2" s="1"/>
  <c r="O94" i="2"/>
  <c r="O88" i="2" s="1"/>
  <c r="P85" i="2" s="1"/>
  <c r="N94" i="2"/>
  <c r="N88" i="2"/>
  <c r="O85" i="2" s="1"/>
  <c r="I88" i="2"/>
  <c r="H88" i="2"/>
  <c r="I85" i="2" s="1"/>
  <c r="G88" i="2"/>
  <c r="M86" i="2"/>
  <c r="L86" i="2"/>
  <c r="J86" i="2"/>
  <c r="I86" i="2"/>
  <c r="H86" i="2"/>
  <c r="H87" i="2" s="1"/>
  <c r="J85" i="2"/>
  <c r="H85" i="2"/>
  <c r="M83" i="2"/>
  <c r="M88" i="2" s="1"/>
  <c r="L83" i="2"/>
  <c r="L88" i="2" s="1"/>
  <c r="K83" i="2"/>
  <c r="K88" i="2" s="1"/>
  <c r="J83" i="2"/>
  <c r="J88" i="2" s="1"/>
  <c r="U81" i="2"/>
  <c r="T81" i="2"/>
  <c r="S81" i="2"/>
  <c r="R81" i="2"/>
  <c r="Q80" i="2"/>
  <c r="P80" i="2"/>
  <c r="O80" i="2"/>
  <c r="N80" i="2"/>
  <c r="J80" i="2"/>
  <c r="I80" i="2"/>
  <c r="H80" i="2"/>
  <c r="P72" i="2"/>
  <c r="O72" i="2"/>
  <c r="N72" i="2"/>
  <c r="O69" i="2" s="1"/>
  <c r="O71" i="2" s="1"/>
  <c r="M72" i="2"/>
  <c r="N69" i="2" s="1"/>
  <c r="L72" i="2"/>
  <c r="K72" i="2"/>
  <c r="L69" i="2" s="1"/>
  <c r="J72" i="2"/>
  <c r="K69" i="2" s="1"/>
  <c r="I72" i="2"/>
  <c r="J69" i="2" s="1"/>
  <c r="H72" i="2"/>
  <c r="G72" i="2"/>
  <c r="M70" i="2"/>
  <c r="L70" i="2"/>
  <c r="K70" i="2"/>
  <c r="J70" i="2"/>
  <c r="I70" i="2"/>
  <c r="H70" i="2"/>
  <c r="G70" i="2"/>
  <c r="G76" i="2" s="1"/>
  <c r="Q69" i="2"/>
  <c r="P69" i="2"/>
  <c r="P71" i="2" s="1"/>
  <c r="M69" i="2"/>
  <c r="I69" i="2"/>
  <c r="H69" i="2"/>
  <c r="P67" i="2"/>
  <c r="P78" i="2" s="1"/>
  <c r="O67" i="2"/>
  <c r="N67" i="2"/>
  <c r="N78" i="2" s="1"/>
  <c r="M67" i="2"/>
  <c r="M78" i="2" s="1"/>
  <c r="L67" i="2"/>
  <c r="L78" i="2" s="1"/>
  <c r="K67" i="2"/>
  <c r="K78" i="2" s="1"/>
  <c r="J67" i="2"/>
  <c r="I67" i="2"/>
  <c r="I78" i="2" s="1"/>
  <c r="H67" i="2"/>
  <c r="H78" i="2" s="1"/>
  <c r="G67" i="2"/>
  <c r="G78" i="2" s="1"/>
  <c r="U66" i="2"/>
  <c r="T66" i="2"/>
  <c r="S66" i="2"/>
  <c r="R66" i="2"/>
  <c r="U65" i="2"/>
  <c r="S65" i="2"/>
  <c r="R65" i="2"/>
  <c r="P65" i="2"/>
  <c r="P75" i="2" s="1"/>
  <c r="O65" i="2"/>
  <c r="N65" i="2"/>
  <c r="M65" i="2"/>
  <c r="L65" i="2"/>
  <c r="K65" i="2"/>
  <c r="J65" i="2"/>
  <c r="I65" i="2"/>
  <c r="H65" i="2"/>
  <c r="G65" i="2"/>
  <c r="G66" i="2" s="1"/>
  <c r="Q64" i="2"/>
  <c r="P64" i="2"/>
  <c r="P76" i="2" s="1"/>
  <c r="O64" i="2"/>
  <c r="O76" i="2" s="1"/>
  <c r="M64" i="2"/>
  <c r="L64" i="2"/>
  <c r="L76" i="2" s="1"/>
  <c r="K64" i="2"/>
  <c r="I64" i="2"/>
  <c r="H64" i="2"/>
  <c r="H76" i="2" s="1"/>
  <c r="P60" i="2"/>
  <c r="O60" i="2"/>
  <c r="P52" i="2"/>
  <c r="O52" i="2"/>
  <c r="N52" i="2"/>
  <c r="M52" i="2"/>
  <c r="L52" i="2"/>
  <c r="K52" i="2"/>
  <c r="J52" i="2"/>
  <c r="I52" i="2"/>
  <c r="H52" i="2"/>
  <c r="G52" i="2"/>
  <c r="P49" i="2"/>
  <c r="O49" i="2"/>
  <c r="N49" i="2"/>
  <c r="M49" i="2"/>
  <c r="L49" i="2"/>
  <c r="K49" i="2"/>
  <c r="J49" i="2"/>
  <c r="I49" i="2"/>
  <c r="H49" i="2"/>
  <c r="G49" i="2"/>
  <c r="P46" i="2"/>
  <c r="O46" i="2"/>
  <c r="N46" i="2"/>
  <c r="P36" i="2"/>
  <c r="O36" i="2"/>
  <c r="N36" i="2"/>
  <c r="M36" i="2"/>
  <c r="L36" i="2"/>
  <c r="K36" i="2"/>
  <c r="J36" i="2"/>
  <c r="I36" i="2"/>
  <c r="H36" i="2"/>
  <c r="G36" i="2"/>
  <c r="R33" i="2"/>
  <c r="S33" i="2" s="1"/>
  <c r="T33" i="2" s="1"/>
  <c r="U33" i="2" s="1"/>
  <c r="R32" i="2"/>
  <c r="S32" i="2" s="1"/>
  <c r="R28" i="2"/>
  <c r="S28" i="2" s="1"/>
  <c r="R26" i="2"/>
  <c r="S26" i="2" s="1"/>
  <c r="T26" i="2" s="1"/>
  <c r="U26" i="2" s="1"/>
  <c r="R97" i="2"/>
  <c r="P23" i="2"/>
  <c r="P29" i="2" s="1"/>
  <c r="O23" i="2"/>
  <c r="O29" i="2" s="1"/>
  <c r="O38" i="2" s="1"/>
  <c r="N23" i="2"/>
  <c r="N29" i="2" s="1"/>
  <c r="M23" i="2"/>
  <c r="M29" i="2" s="1"/>
  <c r="L23" i="2"/>
  <c r="L29" i="2" s="1"/>
  <c r="K23" i="2"/>
  <c r="K29" i="2" s="1"/>
  <c r="K38" i="2" s="1"/>
  <c r="J23" i="2"/>
  <c r="J29" i="2" s="1"/>
  <c r="I23" i="2"/>
  <c r="I29" i="2" s="1"/>
  <c r="H23" i="2"/>
  <c r="H29" i="2" s="1"/>
  <c r="G23" i="2"/>
  <c r="G29" i="2" s="1"/>
  <c r="G38" i="2" s="1"/>
  <c r="R22" i="2"/>
  <c r="S22" i="2" s="1"/>
  <c r="T22" i="2" s="1"/>
  <c r="U22" i="2" s="1"/>
  <c r="R21" i="2"/>
  <c r="S21" i="2" s="1"/>
  <c r="T21" i="2" s="1"/>
  <c r="U21" i="2" s="1"/>
  <c r="R19" i="2"/>
  <c r="M14" i="2"/>
  <c r="L14" i="2"/>
  <c r="K14" i="2"/>
  <c r="J14" i="2"/>
  <c r="I14" i="2"/>
  <c r="G14" i="2"/>
  <c r="P12" i="2"/>
  <c r="O12" i="2"/>
  <c r="N12" i="2"/>
  <c r="M12" i="2"/>
  <c r="L12" i="2"/>
  <c r="K12" i="2"/>
  <c r="J12" i="2"/>
  <c r="I12" i="2"/>
  <c r="H12" i="2"/>
  <c r="G12" i="2"/>
  <c r="R16" i="2"/>
  <c r="S16" i="2" s="1"/>
  <c r="T16" i="2" s="1"/>
  <c r="U16" i="2" s="1"/>
  <c r="R13" i="2"/>
  <c r="S13" i="2" s="1"/>
  <c r="T13" i="2" s="1"/>
  <c r="U13" i="2" s="1"/>
  <c r="N7" i="2"/>
  <c r="N60" i="2" s="1"/>
  <c r="M7" i="2"/>
  <c r="L7" i="2"/>
  <c r="K7" i="2"/>
  <c r="J7" i="2"/>
  <c r="I7" i="2"/>
  <c r="H7" i="2"/>
  <c r="G7" i="2"/>
  <c r="M4" i="2"/>
  <c r="L4" i="2"/>
  <c r="K4" i="2"/>
  <c r="J4" i="2"/>
  <c r="I4" i="2"/>
  <c r="H4" i="2"/>
  <c r="G4" i="2"/>
  <c r="M3" i="2"/>
  <c r="M60" i="8" s="1"/>
  <c r="R7" i="2"/>
  <c r="S7" i="2" s="1"/>
  <c r="T7" i="2" s="1"/>
  <c r="U7" i="2" s="1"/>
  <c r="R5" i="2"/>
  <c r="S5" i="2" s="1"/>
  <c r="T5" i="2" s="1"/>
  <c r="U5" i="2" s="1"/>
  <c r="O2" i="2"/>
  <c r="P2" i="2" s="1"/>
  <c r="R2" i="2" s="1"/>
  <c r="S2" i="2" s="1"/>
  <c r="T2" i="2" s="1"/>
  <c r="U2" i="2" s="1"/>
  <c r="H2" i="2"/>
  <c r="I2" i="2" s="1"/>
  <c r="J2" i="2" s="1"/>
  <c r="K2" i="2" s="1"/>
  <c r="L2" i="2" s="1"/>
  <c r="M2" i="2" s="1"/>
  <c r="AT79" i="92"/>
  <c r="AS79" i="92"/>
  <c r="AR79" i="92"/>
  <c r="AQ79" i="92"/>
  <c r="AP79" i="92"/>
  <c r="AO79" i="92"/>
  <c r="AN79" i="92"/>
  <c r="AM79" i="92"/>
  <c r="AL79" i="92"/>
  <c r="AK79" i="92"/>
  <c r="AJ79" i="92"/>
  <c r="AI79" i="92"/>
  <c r="AH79" i="92"/>
  <c r="AG79" i="92"/>
  <c r="AF79" i="92"/>
  <c r="AE79" i="92"/>
  <c r="AD79" i="92"/>
  <c r="AC79" i="92"/>
  <c r="AB79" i="92"/>
  <c r="AA79" i="92"/>
  <c r="Z79" i="92"/>
  <c r="Y79" i="92"/>
  <c r="X79" i="92"/>
  <c r="W79" i="92"/>
  <c r="BR73" i="92"/>
  <c r="BQ73" i="92"/>
  <c r="BP73" i="92"/>
  <c r="BO73" i="92"/>
  <c r="BN73" i="92"/>
  <c r="BM73" i="92"/>
  <c r="BL73" i="92"/>
  <c r="BK73" i="92"/>
  <c r="BJ73" i="92"/>
  <c r="BI73" i="92"/>
  <c r="BH73" i="92"/>
  <c r="BG73" i="92"/>
  <c r="BF73" i="92"/>
  <c r="BE73" i="92"/>
  <c r="BD73" i="92"/>
  <c r="BC73" i="92"/>
  <c r="BB73" i="92"/>
  <c r="BA73" i="92"/>
  <c r="AZ73" i="92"/>
  <c r="AY73" i="92"/>
  <c r="AX73" i="92"/>
  <c r="AW73" i="92"/>
  <c r="AV73" i="92"/>
  <c r="AU73" i="92"/>
  <c r="AT73" i="92"/>
  <c r="AS73" i="92"/>
  <c r="AR73" i="92"/>
  <c r="AQ73" i="92"/>
  <c r="AP73" i="92"/>
  <c r="AO73" i="92"/>
  <c r="AN73" i="92"/>
  <c r="AM73" i="92"/>
  <c r="AL73" i="92"/>
  <c r="AK73" i="92"/>
  <c r="AJ73" i="92"/>
  <c r="AI73" i="92"/>
  <c r="AH73" i="92"/>
  <c r="AG73" i="92"/>
  <c r="AF73" i="92"/>
  <c r="AE73" i="92"/>
  <c r="AD73" i="92"/>
  <c r="AC73" i="92"/>
  <c r="AB73" i="92"/>
  <c r="AA73" i="92"/>
  <c r="U73" i="92"/>
  <c r="T73" i="92"/>
  <c r="BM64" i="92"/>
  <c r="BL64" i="92"/>
  <c r="BK64" i="92"/>
  <c r="BJ64" i="92"/>
  <c r="BI64" i="92"/>
  <c r="BH64" i="92"/>
  <c r="BG64" i="92"/>
  <c r="BF64" i="92"/>
  <c r="BE64" i="92"/>
  <c r="BD64" i="92"/>
  <c r="BC64" i="92"/>
  <c r="BB64" i="92"/>
  <c r="BA64" i="92"/>
  <c r="AZ64" i="92"/>
  <c r="AY64" i="92"/>
  <c r="AX64" i="92"/>
  <c r="AW64" i="92"/>
  <c r="AV64" i="92"/>
  <c r="AU64" i="92"/>
  <c r="AT64" i="92"/>
  <c r="AS64" i="92"/>
  <c r="AR64" i="92"/>
  <c r="AQ64" i="92"/>
  <c r="AP64" i="92"/>
  <c r="AO64" i="92"/>
  <c r="AN64" i="92"/>
  <c r="AM64" i="92"/>
  <c r="AL64" i="92"/>
  <c r="AK64" i="92"/>
  <c r="AJ64" i="92"/>
  <c r="AI64" i="92"/>
  <c r="AH64" i="92"/>
  <c r="AG64" i="92"/>
  <c r="AF64" i="92"/>
  <c r="AE64" i="92"/>
  <c r="AD64" i="92"/>
  <c r="AC64" i="92"/>
  <c r="AB64" i="92"/>
  <c r="AA64" i="92"/>
  <c r="BM63" i="92"/>
  <c r="BL63" i="92"/>
  <c r="BK63" i="92"/>
  <c r="BJ63" i="92"/>
  <c r="BI63" i="92"/>
  <c r="BH63" i="92"/>
  <c r="BG63" i="92"/>
  <c r="BF63" i="92"/>
  <c r="BE63" i="92"/>
  <c r="BD63" i="92"/>
  <c r="BC63" i="92"/>
  <c r="BB63" i="92"/>
  <c r="BA63" i="92"/>
  <c r="AZ63" i="92"/>
  <c r="AY63" i="92"/>
  <c r="AX63" i="92"/>
  <c r="AW63" i="92"/>
  <c r="AV63" i="92"/>
  <c r="AU63" i="92"/>
  <c r="AT63" i="92"/>
  <c r="AS63" i="92"/>
  <c r="AR63" i="92"/>
  <c r="AQ63" i="92"/>
  <c r="AP63" i="92"/>
  <c r="AO63" i="92"/>
  <c r="AN63" i="92"/>
  <c r="AM63" i="92"/>
  <c r="AL63" i="92"/>
  <c r="AK63" i="92"/>
  <c r="AJ63" i="92"/>
  <c r="AI63" i="92"/>
  <c r="AH63" i="92"/>
  <c r="AG63" i="92"/>
  <c r="AF63" i="92"/>
  <c r="AE63" i="92"/>
  <c r="AD63" i="92"/>
  <c r="AC63" i="92"/>
  <c r="AB63" i="92"/>
  <c r="AA63" i="92"/>
  <c r="P64" i="92"/>
  <c r="O64" i="92"/>
  <c r="N64" i="92"/>
  <c r="M64" i="92"/>
  <c r="L64" i="92"/>
  <c r="K64" i="92"/>
  <c r="J64" i="92"/>
  <c r="I64" i="92"/>
  <c r="H64" i="92"/>
  <c r="G64" i="92"/>
  <c r="P63" i="92"/>
  <c r="O63" i="92"/>
  <c r="N63" i="92"/>
  <c r="M63" i="92"/>
  <c r="L63" i="92"/>
  <c r="K63" i="92"/>
  <c r="J63" i="92"/>
  <c r="I63" i="92"/>
  <c r="H63" i="92"/>
  <c r="G63" i="92"/>
  <c r="BB60" i="92"/>
  <c r="BB59" i="92" s="1"/>
  <c r="BA60" i="92"/>
  <c r="AZ60" i="92"/>
  <c r="AY60" i="92"/>
  <c r="AX60" i="92"/>
  <c r="AW60" i="92"/>
  <c r="AV60" i="92"/>
  <c r="AU60" i="92"/>
  <c r="AI59" i="92"/>
  <c r="AE59" i="92"/>
  <c r="AA59" i="92"/>
  <c r="P60" i="92"/>
  <c r="O60" i="92"/>
  <c r="BR59" i="92"/>
  <c r="BQ59" i="92"/>
  <c r="BP59" i="92"/>
  <c r="BO59" i="92"/>
  <c r="BM59" i="92"/>
  <c r="BL59" i="92"/>
  <c r="BL60" i="92" s="1"/>
  <c r="BL55" i="92" s="1"/>
  <c r="BL54" i="92" s="1"/>
  <c r="BK59" i="92"/>
  <c r="BK60" i="92" s="1"/>
  <c r="BK55" i="92" s="1"/>
  <c r="BJ59" i="92"/>
  <c r="BI59" i="92"/>
  <c r="BH59" i="92"/>
  <c r="BG59" i="92"/>
  <c r="BF59" i="92"/>
  <c r="BE59" i="92"/>
  <c r="BD59" i="92"/>
  <c r="BC59" i="92"/>
  <c r="AY59" i="92"/>
  <c r="AW59" i="92"/>
  <c r="AU59" i="92"/>
  <c r="AT59" i="92"/>
  <c r="AS59" i="92"/>
  <c r="AO59" i="92"/>
  <c r="AN59" i="92"/>
  <c r="AM59" i="92"/>
  <c r="AL59" i="92"/>
  <c r="AK59" i="92"/>
  <c r="AJ59" i="92"/>
  <c r="AH59" i="92"/>
  <c r="AG59" i="92"/>
  <c r="AF59" i="92"/>
  <c r="AD59" i="92"/>
  <c r="AC59" i="92"/>
  <c r="AB59" i="92"/>
  <c r="R59" i="92"/>
  <c r="R58" i="92"/>
  <c r="BO58" i="92" s="1"/>
  <c r="BO60" i="92" s="1"/>
  <c r="BO55" i="92" s="1"/>
  <c r="BA58" i="92"/>
  <c r="BA59" i="92" s="1"/>
  <c r="AZ58" i="92"/>
  <c r="AZ59" i="92" s="1"/>
  <c r="AY58" i="92"/>
  <c r="AX58" i="92"/>
  <c r="AW58" i="92"/>
  <c r="AV58" i="92"/>
  <c r="AV59" i="92" s="1"/>
  <c r="AU58" i="92"/>
  <c r="AR58" i="92"/>
  <c r="AR59" i="92" s="1"/>
  <c r="AQ58" i="92"/>
  <c r="AQ59" i="92" s="1"/>
  <c r="AP58" i="92"/>
  <c r="AP59" i="92" s="1"/>
  <c r="AO58" i="92"/>
  <c r="S61" i="92"/>
  <c r="T61" i="92" s="1"/>
  <c r="U61" i="92" s="1"/>
  <c r="S59" i="92"/>
  <c r="U58" i="92"/>
  <c r="T58" i="92"/>
  <c r="S58" i="92"/>
  <c r="S60" i="92" s="1"/>
  <c r="S55" i="92" s="1"/>
  <c r="Q58" i="92"/>
  <c r="BM58" i="92" s="1"/>
  <c r="BM60" i="92" s="1"/>
  <c r="BM55" i="92" s="1"/>
  <c r="BM54" i="92" s="1"/>
  <c r="P58" i="92"/>
  <c r="P59" i="92" s="1"/>
  <c r="O58" i="92"/>
  <c r="O59" i="92" s="1"/>
  <c r="P55" i="92"/>
  <c r="O55" i="92"/>
  <c r="BJ55" i="92"/>
  <c r="BI55" i="92"/>
  <c r="BH55" i="92"/>
  <c r="BG55" i="92"/>
  <c r="BF55" i="92"/>
  <c r="BE55" i="92"/>
  <c r="BD55" i="92"/>
  <c r="BC55" i="92"/>
  <c r="BC54" i="92" s="1"/>
  <c r="BB55" i="92"/>
  <c r="BA55" i="92"/>
  <c r="AZ55" i="92"/>
  <c r="AY55" i="92"/>
  <c r="N55" i="92" s="1"/>
  <c r="AX55" i="92"/>
  <c r="AW55" i="92"/>
  <c r="AV55" i="92"/>
  <c r="AU55" i="92"/>
  <c r="M55" i="92" s="1"/>
  <c r="AT55" i="92"/>
  <c r="AS55" i="92"/>
  <c r="AR55" i="92"/>
  <c r="AQ55" i="92"/>
  <c r="L55" i="92" s="1"/>
  <c r="AP55" i="92"/>
  <c r="AO55" i="92"/>
  <c r="AN55" i="92"/>
  <c r="AM55" i="92"/>
  <c r="K55" i="92" s="1"/>
  <c r="AL55" i="92"/>
  <c r="J55" i="92" s="1"/>
  <c r="AK55" i="92"/>
  <c r="AJ55" i="92"/>
  <c r="BI54" i="92"/>
  <c r="BH54" i="92"/>
  <c r="BE54" i="92"/>
  <c r="BD54" i="92"/>
  <c r="AZ54" i="92"/>
  <c r="AV54" i="92"/>
  <c r="AR54" i="92"/>
  <c r="AN54" i="92"/>
  <c r="AJ54" i="92"/>
  <c r="AF54" i="92"/>
  <c r="AB54" i="92"/>
  <c r="BN53" i="92"/>
  <c r="BM53" i="92"/>
  <c r="BL53" i="92"/>
  <c r="BK53" i="92"/>
  <c r="BK54" i="92" s="1"/>
  <c r="BJ53" i="92"/>
  <c r="BJ54" i="92" s="1"/>
  <c r="BI53" i="92"/>
  <c r="BH53" i="92"/>
  <c r="BG53" i="92"/>
  <c r="BG54" i="92" s="1"/>
  <c r="P54" i="92" s="1"/>
  <c r="BF53" i="92"/>
  <c r="BF54" i="92" s="1"/>
  <c r="BE53" i="92"/>
  <c r="BD53" i="92"/>
  <c r="BB53" i="92"/>
  <c r="BB54" i="92" s="1"/>
  <c r="BA53" i="92"/>
  <c r="BA54" i="92" s="1"/>
  <c r="AZ53" i="92"/>
  <c r="AY53" i="92"/>
  <c r="AY54" i="92" s="1"/>
  <c r="AX53" i="92"/>
  <c r="AX54" i="92" s="1"/>
  <c r="AW53" i="92"/>
  <c r="AW54" i="92" s="1"/>
  <c r="AV53" i="92"/>
  <c r="AU53" i="92"/>
  <c r="AU54" i="92" s="1"/>
  <c r="AT53" i="92"/>
  <c r="AT54" i="92" s="1"/>
  <c r="AS53" i="92"/>
  <c r="AS54" i="92" s="1"/>
  <c r="AR53" i="92"/>
  <c r="AQ53" i="92"/>
  <c r="AQ54" i="92" s="1"/>
  <c r="AP53" i="92"/>
  <c r="AP54" i="92" s="1"/>
  <c r="AO53" i="92"/>
  <c r="AO54" i="92" s="1"/>
  <c r="AN53" i="92"/>
  <c r="AM53" i="92"/>
  <c r="AM54" i="92" s="1"/>
  <c r="AL53" i="92"/>
  <c r="AL54" i="92" s="1"/>
  <c r="AK53" i="92"/>
  <c r="AK54" i="92" s="1"/>
  <c r="AJ53" i="92"/>
  <c r="AI53" i="92"/>
  <c r="AI54" i="92" s="1"/>
  <c r="AH53" i="92"/>
  <c r="AH54" i="92" s="1"/>
  <c r="AG53" i="92"/>
  <c r="AG54" i="92" s="1"/>
  <c r="AF53" i="92"/>
  <c r="AE53" i="92"/>
  <c r="AE54" i="92" s="1"/>
  <c r="AD53" i="92"/>
  <c r="AD54" i="92" s="1"/>
  <c r="AC53" i="92"/>
  <c r="AC54" i="92" s="1"/>
  <c r="AB53" i="92"/>
  <c r="AA53" i="92"/>
  <c r="AA54" i="92" s="1"/>
  <c r="Z53" i="92"/>
  <c r="Y53" i="92"/>
  <c r="X53" i="92"/>
  <c r="S54" i="92"/>
  <c r="T54" i="92" s="1"/>
  <c r="U54" i="92" s="1"/>
  <c r="O53" i="92"/>
  <c r="H53" i="92"/>
  <c r="M49" i="92"/>
  <c r="M21" i="91" s="1"/>
  <c r="L49" i="92"/>
  <c r="L21" i="91" s="1"/>
  <c r="K49" i="92"/>
  <c r="K21" i="91" s="1"/>
  <c r="BR45" i="92"/>
  <c r="BR20" i="92" s="1"/>
  <c r="BQ45" i="92"/>
  <c r="BQ20" i="92" s="1"/>
  <c r="BP45" i="92"/>
  <c r="BP20" i="92" s="1"/>
  <c r="BO45" i="92"/>
  <c r="BO20" i="92" s="1"/>
  <c r="BN45" i="92"/>
  <c r="BM45" i="92"/>
  <c r="BM20" i="92" s="1"/>
  <c r="Q20" i="92" s="1"/>
  <c r="BL45" i="92"/>
  <c r="BK45" i="92"/>
  <c r="BJ45" i="92"/>
  <c r="BI45" i="92"/>
  <c r="BH45" i="92"/>
  <c r="BG45" i="92"/>
  <c r="BF45" i="92"/>
  <c r="BE45" i="92"/>
  <c r="BD45" i="92"/>
  <c r="BC45" i="92"/>
  <c r="BB45" i="92"/>
  <c r="BA45" i="92"/>
  <c r="AZ45" i="92"/>
  <c r="AY45" i="92"/>
  <c r="AX45" i="92"/>
  <c r="AW45" i="92"/>
  <c r="AV45" i="92"/>
  <c r="AU45" i="92"/>
  <c r="AT45" i="92"/>
  <c r="AS45" i="92"/>
  <c r="AR45" i="92"/>
  <c r="AQ45" i="92"/>
  <c r="AP45" i="92"/>
  <c r="AO45" i="92"/>
  <c r="AN45" i="92"/>
  <c r="AM45" i="92"/>
  <c r="AL45" i="92"/>
  <c r="AK45" i="92"/>
  <c r="AJ45" i="92"/>
  <c r="AI45" i="92"/>
  <c r="AH45" i="92"/>
  <c r="AG45" i="92"/>
  <c r="AF45" i="92"/>
  <c r="AE45" i="92"/>
  <c r="AD45" i="92"/>
  <c r="AC45" i="92"/>
  <c r="AB45" i="92"/>
  <c r="AA45" i="92"/>
  <c r="Z45" i="92"/>
  <c r="Y45" i="92"/>
  <c r="X45" i="92"/>
  <c r="W45" i="92"/>
  <c r="U45" i="92"/>
  <c r="T45" i="92"/>
  <c r="T20" i="92" s="1"/>
  <c r="S45" i="92"/>
  <c r="S20" i="92" s="1"/>
  <c r="R45" i="92"/>
  <c r="J45" i="92"/>
  <c r="Q44" i="92"/>
  <c r="P44" i="92"/>
  <c r="O44" i="92"/>
  <c r="N44" i="92"/>
  <c r="N45" i="92" s="1"/>
  <c r="M44" i="92"/>
  <c r="L44" i="92"/>
  <c r="K44" i="92"/>
  <c r="J44" i="92"/>
  <c r="I44" i="92"/>
  <c r="H44" i="92"/>
  <c r="G44" i="92"/>
  <c r="Q43" i="92"/>
  <c r="P43" i="92"/>
  <c r="O43" i="92"/>
  <c r="N43" i="92"/>
  <c r="M43" i="92"/>
  <c r="L43" i="92"/>
  <c r="K43" i="92"/>
  <c r="J43" i="92"/>
  <c r="I43" i="92"/>
  <c r="H43" i="92"/>
  <c r="G43" i="92"/>
  <c r="Q42" i="92"/>
  <c r="P42" i="92"/>
  <c r="O42" i="92"/>
  <c r="N42" i="92"/>
  <c r="M42" i="92"/>
  <c r="L42" i="92"/>
  <c r="K42" i="92"/>
  <c r="J42" i="92"/>
  <c r="I42" i="92"/>
  <c r="H42" i="92"/>
  <c r="G42" i="92"/>
  <c r="Q41" i="92"/>
  <c r="P41" i="92"/>
  <c r="P45" i="92" s="1"/>
  <c r="O41" i="92"/>
  <c r="O45" i="92" s="1"/>
  <c r="N41" i="92"/>
  <c r="M41" i="92"/>
  <c r="M45" i="92" s="1"/>
  <c r="L41" i="92"/>
  <c r="L45" i="92" s="1"/>
  <c r="K41" i="92"/>
  <c r="K45" i="92" s="1"/>
  <c r="J41" i="92"/>
  <c r="I41" i="92"/>
  <c r="I45" i="92" s="1"/>
  <c r="H41" i="92"/>
  <c r="H45" i="92" s="1"/>
  <c r="G41" i="92"/>
  <c r="G45" i="92" s="1"/>
  <c r="BM38" i="92"/>
  <c r="BL38" i="92"/>
  <c r="BK38" i="92"/>
  <c r="BJ38" i="92"/>
  <c r="BI38" i="92"/>
  <c r="BH38" i="92"/>
  <c r="BG38" i="92"/>
  <c r="BE38" i="92"/>
  <c r="BD38" i="92"/>
  <c r="BC38" i="92"/>
  <c r="BB38" i="92"/>
  <c r="BA38" i="92"/>
  <c r="AZ38" i="92"/>
  <c r="AY38" i="92"/>
  <c r="AX38" i="92"/>
  <c r="AW38" i="92"/>
  <c r="AV38" i="92"/>
  <c r="AU38" i="92"/>
  <c r="AT38" i="92"/>
  <c r="AS38" i="92"/>
  <c r="AR38" i="92"/>
  <c r="AQ38" i="92"/>
  <c r="AP38" i="92"/>
  <c r="AO38" i="92"/>
  <c r="AN38" i="92"/>
  <c r="AM38" i="92"/>
  <c r="AL38" i="92"/>
  <c r="AK38" i="92"/>
  <c r="AJ38" i="92"/>
  <c r="AI38" i="92"/>
  <c r="AH38" i="92"/>
  <c r="AG38" i="92"/>
  <c r="AF38" i="92"/>
  <c r="AE38" i="92"/>
  <c r="AD38" i="92"/>
  <c r="AC38" i="92"/>
  <c r="AB38" i="92"/>
  <c r="AA38" i="92"/>
  <c r="Z38" i="92"/>
  <c r="Y38" i="92"/>
  <c r="X38" i="92"/>
  <c r="W38" i="92"/>
  <c r="R37" i="92"/>
  <c r="Q37" i="92"/>
  <c r="P37" i="92"/>
  <c r="P38" i="92" s="1"/>
  <c r="O37" i="92"/>
  <c r="O73" i="92" s="1"/>
  <c r="N37" i="92"/>
  <c r="N73" i="92" s="1"/>
  <c r="M37" i="92"/>
  <c r="L37" i="92"/>
  <c r="L38" i="92" s="1"/>
  <c r="K37" i="92"/>
  <c r="K73" i="92" s="1"/>
  <c r="J37" i="92"/>
  <c r="J73" i="92" s="1"/>
  <c r="I37" i="92"/>
  <c r="H37" i="92"/>
  <c r="G37" i="92"/>
  <c r="G38" i="92" s="1"/>
  <c r="R26" i="92"/>
  <c r="Q26" i="92"/>
  <c r="P26" i="92"/>
  <c r="O26" i="92"/>
  <c r="N26" i="92"/>
  <c r="M26" i="92"/>
  <c r="L26" i="92"/>
  <c r="K26" i="92"/>
  <c r="J26" i="92"/>
  <c r="I26" i="92"/>
  <c r="H26" i="92"/>
  <c r="G26" i="92"/>
  <c r="BP25" i="92"/>
  <c r="BL25" i="92"/>
  <c r="BH25" i="92"/>
  <c r="BD25" i="92"/>
  <c r="AZ25" i="92"/>
  <c r="AV25" i="92"/>
  <c r="AR25" i="92"/>
  <c r="AN25" i="92"/>
  <c r="AJ25" i="92"/>
  <c r="AF25" i="92"/>
  <c r="AB25" i="92"/>
  <c r="X25" i="92"/>
  <c r="BR25" i="92"/>
  <c r="BQ25" i="92"/>
  <c r="BN25" i="92"/>
  <c r="BL20" i="92"/>
  <c r="BK20" i="92"/>
  <c r="BJ20" i="92"/>
  <c r="BJ25" i="92" s="1"/>
  <c r="BI20" i="92"/>
  <c r="BI18" i="92" s="1"/>
  <c r="BH20" i="92"/>
  <c r="BG20" i="92"/>
  <c r="BF20" i="92"/>
  <c r="BF25" i="92" s="1"/>
  <c r="BE20" i="92"/>
  <c r="BE18" i="92" s="1"/>
  <c r="BD20" i="92"/>
  <c r="BC20" i="92"/>
  <c r="BB20" i="92"/>
  <c r="BB25" i="92" s="1"/>
  <c r="BA20" i="92"/>
  <c r="BA18" i="92" s="1"/>
  <c r="AZ20" i="92"/>
  <c r="AY20" i="92"/>
  <c r="AY18" i="92" s="1"/>
  <c r="AX20" i="92"/>
  <c r="AX25" i="92" s="1"/>
  <c r="AW20" i="92"/>
  <c r="AW18" i="92" s="1"/>
  <c r="AV20" i="92"/>
  <c r="AU20" i="92"/>
  <c r="AT20" i="92"/>
  <c r="AT25" i="92" s="1"/>
  <c r="AS20" i="92"/>
  <c r="AS18" i="92" s="1"/>
  <c r="AR20" i="92"/>
  <c r="AQ20" i="92"/>
  <c r="AP20" i="92"/>
  <c r="AP25" i="92" s="1"/>
  <c r="AO20" i="92"/>
  <c r="AO18" i="92" s="1"/>
  <c r="AN20" i="92"/>
  <c r="AM20" i="92"/>
  <c r="AL20" i="92"/>
  <c r="AL25" i="92" s="1"/>
  <c r="AK20" i="92"/>
  <c r="AK18" i="92" s="1"/>
  <c r="AJ20" i="92"/>
  <c r="AI20" i="92"/>
  <c r="AI18" i="92" s="1"/>
  <c r="AH20" i="92"/>
  <c r="AH25" i="92" s="1"/>
  <c r="AG20" i="92"/>
  <c r="AG18" i="92" s="1"/>
  <c r="AF20" i="92"/>
  <c r="AE20" i="92"/>
  <c r="AD20" i="92"/>
  <c r="AD25" i="92" s="1"/>
  <c r="AC20" i="92"/>
  <c r="AC18" i="92" s="1"/>
  <c r="AB20" i="92"/>
  <c r="AA20" i="92"/>
  <c r="Z20" i="92"/>
  <c r="Z25" i="92" s="1"/>
  <c r="Y20" i="92"/>
  <c r="Y18" i="92" s="1"/>
  <c r="X20" i="92"/>
  <c r="W20" i="92"/>
  <c r="BL18" i="92"/>
  <c r="BK18" i="92"/>
  <c r="BH18" i="92"/>
  <c r="BG18" i="92"/>
  <c r="BF18" i="92"/>
  <c r="BD18" i="92"/>
  <c r="BC18" i="92"/>
  <c r="BB18" i="92"/>
  <c r="AZ18" i="92"/>
  <c r="AX18" i="92"/>
  <c r="AV18" i="92"/>
  <c r="AU18" i="92"/>
  <c r="AR18" i="92"/>
  <c r="AQ18" i="92"/>
  <c r="AP18" i="92"/>
  <c r="AN18" i="92"/>
  <c r="AM18" i="92"/>
  <c r="AL18" i="92"/>
  <c r="AJ18" i="92"/>
  <c r="AH18" i="92"/>
  <c r="AF18" i="92"/>
  <c r="AE18" i="92"/>
  <c r="AB18" i="92"/>
  <c r="AA18" i="92"/>
  <c r="Z18" i="92"/>
  <c r="X18" i="92"/>
  <c r="W18" i="92"/>
  <c r="U25" i="92"/>
  <c r="S25" i="92"/>
  <c r="P20" i="92"/>
  <c r="O20" i="92"/>
  <c r="M20" i="92"/>
  <c r="M18" i="92" s="1"/>
  <c r="L20" i="92"/>
  <c r="K20" i="92"/>
  <c r="K18" i="92" s="1"/>
  <c r="H20" i="92"/>
  <c r="G20" i="92"/>
  <c r="G18" i="92" s="1"/>
  <c r="P19" i="92"/>
  <c r="O19" i="92"/>
  <c r="N19" i="92"/>
  <c r="M19" i="92"/>
  <c r="L19" i="92"/>
  <c r="K19" i="92"/>
  <c r="J19" i="92"/>
  <c r="I19" i="92"/>
  <c r="H19" i="92"/>
  <c r="H18" i="92" s="1"/>
  <c r="G19" i="92"/>
  <c r="O18" i="92"/>
  <c r="R15" i="92"/>
  <c r="S15" i="92" s="1"/>
  <c r="T15" i="92" s="1"/>
  <c r="U15" i="92" s="1"/>
  <c r="Q15" i="92"/>
  <c r="P15" i="92"/>
  <c r="O15" i="92"/>
  <c r="N15" i="92"/>
  <c r="M15" i="92"/>
  <c r="L15" i="92"/>
  <c r="K15" i="92"/>
  <c r="J15" i="92"/>
  <c r="I15" i="92"/>
  <c r="H15" i="92"/>
  <c r="G15" i="92"/>
  <c r="P14" i="92"/>
  <c r="O14" i="92"/>
  <c r="N14" i="92"/>
  <c r="M14" i="92"/>
  <c r="L14" i="92"/>
  <c r="K14" i="92"/>
  <c r="J14" i="92"/>
  <c r="I14" i="92"/>
  <c r="H14" i="92"/>
  <c r="G14" i="92"/>
  <c r="R13" i="92"/>
  <c r="Q13" i="92"/>
  <c r="P13" i="92"/>
  <c r="O13" i="92"/>
  <c r="N13" i="92"/>
  <c r="M13" i="92"/>
  <c r="L13" i="92"/>
  <c r="K13" i="92"/>
  <c r="J13" i="92"/>
  <c r="I13" i="92"/>
  <c r="H13" i="92"/>
  <c r="G13" i="92"/>
  <c r="R10" i="92"/>
  <c r="Q10" i="92"/>
  <c r="P10" i="92"/>
  <c r="O10" i="92"/>
  <c r="N10" i="92"/>
  <c r="M10" i="92"/>
  <c r="L10" i="92"/>
  <c r="K10" i="92"/>
  <c r="J10" i="92"/>
  <c r="I10" i="92"/>
  <c r="H10" i="92"/>
  <c r="G10" i="92"/>
  <c r="U9" i="92"/>
  <c r="T9" i="92"/>
  <c r="S9" i="92"/>
  <c r="BR9" i="92"/>
  <c r="BQ9" i="92"/>
  <c r="BP9" i="92"/>
  <c r="BO9" i="92"/>
  <c r="BN9" i="92"/>
  <c r="BM9" i="92"/>
  <c r="BL9" i="92"/>
  <c r="BK9" i="92"/>
  <c r="BJ9" i="92"/>
  <c r="BI9" i="92"/>
  <c r="BH9" i="92"/>
  <c r="BF9" i="92"/>
  <c r="BE9" i="92"/>
  <c r="BD9" i="92"/>
  <c r="BC9" i="92"/>
  <c r="BB9" i="92"/>
  <c r="BA9" i="92"/>
  <c r="AZ9" i="92"/>
  <c r="AY9" i="92"/>
  <c r="AX9" i="92"/>
  <c r="AW9" i="92"/>
  <c r="AV9" i="92"/>
  <c r="AU9" i="92"/>
  <c r="AT9" i="92"/>
  <c r="AS9" i="92"/>
  <c r="AR9" i="92"/>
  <c r="AQ9" i="92"/>
  <c r="AP9" i="92"/>
  <c r="AO9" i="92"/>
  <c r="AN9" i="92"/>
  <c r="AM9" i="92"/>
  <c r="AL9" i="92"/>
  <c r="AK9" i="92"/>
  <c r="AJ9" i="92"/>
  <c r="AI9" i="92"/>
  <c r="AH9" i="92"/>
  <c r="AG9" i="92"/>
  <c r="AF9" i="92"/>
  <c r="AE9" i="92"/>
  <c r="AD9" i="92"/>
  <c r="AC9" i="92"/>
  <c r="AB9" i="92"/>
  <c r="AA9" i="92"/>
  <c r="Z9" i="92"/>
  <c r="Y9" i="92"/>
  <c r="X9" i="92"/>
  <c r="W9" i="92"/>
  <c r="BR8" i="92"/>
  <c r="BQ8" i="92"/>
  <c r="BP8" i="92"/>
  <c r="BO8" i="92"/>
  <c r="BM8" i="92"/>
  <c r="BL8" i="92"/>
  <c r="BK8" i="92"/>
  <c r="BJ8" i="92"/>
  <c r="BI8" i="92"/>
  <c r="BH8" i="92"/>
  <c r="BG8" i="92"/>
  <c r="BF8" i="92"/>
  <c r="BE8" i="92"/>
  <c r="BD8" i="92"/>
  <c r="BC8" i="92"/>
  <c r="BB8" i="92"/>
  <c r="BA8" i="92"/>
  <c r="AZ8" i="92"/>
  <c r="AY8" i="92"/>
  <c r="AX8" i="92"/>
  <c r="AW8" i="92"/>
  <c r="AV8" i="92"/>
  <c r="AU8" i="92"/>
  <c r="AT8" i="92"/>
  <c r="AS8" i="92"/>
  <c r="AR8" i="92"/>
  <c r="AQ8" i="92"/>
  <c r="AP8" i="92"/>
  <c r="AO8" i="92"/>
  <c r="AN8" i="92"/>
  <c r="AM8" i="92"/>
  <c r="AL8" i="92"/>
  <c r="AK8" i="92"/>
  <c r="AJ8" i="92"/>
  <c r="AI8" i="92"/>
  <c r="AH8" i="92"/>
  <c r="AG8" i="92"/>
  <c r="AF8" i="92"/>
  <c r="AE8" i="92"/>
  <c r="AD8" i="92"/>
  <c r="AC8" i="92"/>
  <c r="AB8" i="92"/>
  <c r="AA8" i="92"/>
  <c r="Z8" i="92"/>
  <c r="Y8" i="92"/>
  <c r="X8" i="92"/>
  <c r="W8" i="92"/>
  <c r="P7" i="92"/>
  <c r="O7" i="92"/>
  <c r="N7" i="92"/>
  <c r="M7" i="92"/>
  <c r="L7" i="92"/>
  <c r="K7" i="92"/>
  <c r="J7" i="92"/>
  <c r="I7" i="92"/>
  <c r="H7" i="92"/>
  <c r="G7" i="92"/>
  <c r="BR2" i="92"/>
  <c r="BQ2" i="92"/>
  <c r="BP2" i="92"/>
  <c r="BO2" i="92"/>
  <c r="BM2" i="92"/>
  <c r="BL2" i="92"/>
  <c r="BK2" i="92"/>
  <c r="BJ2" i="92"/>
  <c r="BI2" i="92"/>
  <c r="BH2" i="92"/>
  <c r="BG2" i="92"/>
  <c r="BF2" i="92"/>
  <c r="BE2" i="92"/>
  <c r="BD2" i="92"/>
  <c r="BC2" i="92"/>
  <c r="BB2" i="92"/>
  <c r="BA2" i="92"/>
  <c r="AZ2" i="92"/>
  <c r="AY2" i="92"/>
  <c r="AX2" i="92"/>
  <c r="AW2" i="92"/>
  <c r="AV2" i="92"/>
  <c r="AU2" i="92"/>
  <c r="AT2" i="92"/>
  <c r="AS2" i="92"/>
  <c r="AR2" i="92"/>
  <c r="AQ2" i="92"/>
  <c r="AP2" i="92"/>
  <c r="AO2" i="92"/>
  <c r="AN2" i="92"/>
  <c r="AM2" i="92"/>
  <c r="AL2" i="92"/>
  <c r="AK2" i="92"/>
  <c r="AJ2" i="92"/>
  <c r="AI2" i="92"/>
  <c r="AH2" i="92"/>
  <c r="AG2" i="92"/>
  <c r="AF2" i="92"/>
  <c r="AE2" i="92"/>
  <c r="AD2" i="92"/>
  <c r="AC2" i="92"/>
  <c r="AB2" i="92"/>
  <c r="AA2" i="92"/>
  <c r="Z2" i="92"/>
  <c r="Y2" i="92"/>
  <c r="X2" i="92"/>
  <c r="W2" i="92"/>
  <c r="K2" i="92"/>
  <c r="G2" i="92"/>
  <c r="Y467" i="103"/>
  <c r="Y470" i="103" s="1"/>
  <c r="X467" i="103"/>
  <c r="X470" i="103" s="1"/>
  <c r="W467" i="103"/>
  <c r="W470" i="103" s="1"/>
  <c r="V467" i="103"/>
  <c r="V470" i="103" s="1"/>
  <c r="U467" i="103"/>
  <c r="U470" i="103" s="1"/>
  <c r="T467" i="103"/>
  <c r="T470" i="103" s="1"/>
  <c r="CD469" i="103"/>
  <c r="CC469" i="103"/>
  <c r="CB469" i="103"/>
  <c r="CA469" i="103"/>
  <c r="BZ469" i="103"/>
  <c r="BY469" i="103"/>
  <c r="BX469" i="103"/>
  <c r="BW469" i="103"/>
  <c r="BV469" i="103"/>
  <c r="BU469" i="103"/>
  <c r="BT469" i="103"/>
  <c r="BS469" i="103"/>
  <c r="CD468" i="103"/>
  <c r="CC468" i="103"/>
  <c r="CB468" i="103"/>
  <c r="CA468" i="103"/>
  <c r="BZ468" i="103"/>
  <c r="BY468" i="103"/>
  <c r="BX468" i="103"/>
  <c r="BW468" i="103"/>
  <c r="BV468" i="103"/>
  <c r="BU468" i="103"/>
  <c r="BT468" i="103"/>
  <c r="BS468" i="103"/>
  <c r="BT467" i="103"/>
  <c r="BT176" i="103" s="1"/>
  <c r="BT178" i="103" s="1"/>
  <c r="BT137" i="103" s="1"/>
  <c r="CD466" i="103"/>
  <c r="CC466" i="103"/>
  <c r="CB466" i="103"/>
  <c r="CA466" i="103"/>
  <c r="BZ466" i="103"/>
  <c r="BY466" i="103"/>
  <c r="BX466" i="103"/>
  <c r="BW466" i="103"/>
  <c r="BV466" i="103"/>
  <c r="BU466" i="103"/>
  <c r="BT466" i="103"/>
  <c r="BS466" i="103"/>
  <c r="CD465" i="103"/>
  <c r="CD467" i="103" s="1"/>
  <c r="CD470" i="103" s="1"/>
  <c r="CC465" i="103"/>
  <c r="CC467" i="103" s="1"/>
  <c r="CC470" i="103" s="1"/>
  <c r="CB465" i="103"/>
  <c r="CB467" i="103" s="1"/>
  <c r="CA465" i="103"/>
  <c r="CA467" i="103" s="1"/>
  <c r="CA470" i="103" s="1"/>
  <c r="BZ465" i="103"/>
  <c r="BZ467" i="103" s="1"/>
  <c r="BZ470" i="103" s="1"/>
  <c r="BY465" i="103"/>
  <c r="BY467" i="103" s="1"/>
  <c r="BY470" i="103" s="1"/>
  <c r="BX465" i="103"/>
  <c r="BX467" i="103" s="1"/>
  <c r="BW465" i="103"/>
  <c r="BW467" i="103" s="1"/>
  <c r="BW470" i="103" s="1"/>
  <c r="BV465" i="103"/>
  <c r="BV467" i="103" s="1"/>
  <c r="BV470" i="103" s="1"/>
  <c r="BU465" i="103"/>
  <c r="BU467" i="103" s="1"/>
  <c r="BU470" i="103" s="1"/>
  <c r="BT465" i="103"/>
  <c r="BS465" i="103"/>
  <c r="BS467" i="103" s="1"/>
  <c r="BS470" i="103" s="1"/>
  <c r="CD460" i="103"/>
  <c r="BZ460" i="103"/>
  <c r="BT460" i="103"/>
  <c r="W461" i="103"/>
  <c r="W185" i="103" s="1"/>
  <c r="CD459" i="103"/>
  <c r="BX459" i="103"/>
  <c r="BS459" i="103"/>
  <c r="S461" i="103"/>
  <c r="Y456" i="103"/>
  <c r="X456" i="103"/>
  <c r="W456" i="103"/>
  <c r="CD455" i="103"/>
  <c r="CD456" i="103" s="1"/>
  <c r="BY455" i="103"/>
  <c r="BY456" i="103" s="1"/>
  <c r="BU455" i="103"/>
  <c r="BU456" i="103" s="1"/>
  <c r="S456" i="103"/>
  <c r="R456" i="103"/>
  <c r="Q456" i="103"/>
  <c r="CA451" i="103"/>
  <c r="BY451" i="103"/>
  <c r="BT451" i="103"/>
  <c r="CC450" i="103"/>
  <c r="BX450" i="103"/>
  <c r="CB449" i="103"/>
  <c r="BU449" i="103"/>
  <c r="CC448" i="103"/>
  <c r="BU448" i="103"/>
  <c r="CC447" i="103"/>
  <c r="BT447" i="103"/>
  <c r="BX446" i="103"/>
  <c r="BU446" i="103"/>
  <c r="CB445" i="103"/>
  <c r="BY445" i="103"/>
  <c r="BY444" i="103"/>
  <c r="BY443" i="103"/>
  <c r="BT443" i="103"/>
  <c r="CD439" i="103"/>
  <c r="BZ439" i="103"/>
  <c r="BV439" i="103"/>
  <c r="CD438" i="103"/>
  <c r="BZ438" i="103"/>
  <c r="BV438" i="103"/>
  <c r="CD437" i="103"/>
  <c r="BZ437" i="103"/>
  <c r="BV437" i="103"/>
  <c r="X279" i="103"/>
  <c r="CD436" i="103"/>
  <c r="BZ436" i="103"/>
  <c r="BZ279" i="103" s="1"/>
  <c r="BV436" i="103"/>
  <c r="BV279" i="103" s="1"/>
  <c r="CD430" i="103"/>
  <c r="BZ430" i="103"/>
  <c r="CD429" i="103"/>
  <c r="BX429" i="103"/>
  <c r="BV429" i="103"/>
  <c r="BZ428" i="103"/>
  <c r="BV428" i="103"/>
  <c r="CD427" i="103"/>
  <c r="BZ427" i="103"/>
  <c r="BV427" i="103"/>
  <c r="CD426" i="103"/>
  <c r="BZ426" i="103"/>
  <c r="BS419" i="103"/>
  <c r="CB423" i="103"/>
  <c r="BX423" i="103"/>
  <c r="BT423" i="103"/>
  <c r="CB422" i="103"/>
  <c r="BX422" i="103"/>
  <c r="CA421" i="103"/>
  <c r="BS421" i="103"/>
  <c r="BW420" i="103"/>
  <c r="BV420" i="103"/>
  <c r="CA419" i="103"/>
  <c r="BW419" i="103"/>
  <c r="BS411" i="103"/>
  <c r="CD413" i="103"/>
  <c r="BZ413" i="103"/>
  <c r="CD412" i="103"/>
  <c r="BV412" i="103"/>
  <c r="BZ411" i="103"/>
  <c r="BU411" i="103"/>
  <c r="CD410" i="103"/>
  <c r="BX410" i="103"/>
  <c r="BV410" i="103"/>
  <c r="CB409" i="103"/>
  <c r="BZ409" i="103"/>
  <c r="BT409" i="103"/>
  <c r="BS402" i="103"/>
  <c r="CC406" i="103"/>
  <c r="BX406" i="103"/>
  <c r="BS406" i="103"/>
  <c r="CB405" i="103"/>
  <c r="BW405" i="103"/>
  <c r="BV405" i="103"/>
  <c r="CD404" i="103"/>
  <c r="BS404" i="103"/>
  <c r="BX403" i="103"/>
  <c r="BV403" i="103"/>
  <c r="CB402" i="103"/>
  <c r="BW402" i="103"/>
  <c r="G297" i="103"/>
  <c r="Y168" i="103"/>
  <c r="Y170" i="103" s="1"/>
  <c r="Y150" i="103" s="1"/>
  <c r="X168" i="103"/>
  <c r="X170" i="103" s="1"/>
  <c r="W168" i="103"/>
  <c r="W170" i="103" s="1"/>
  <c r="AV369" i="103"/>
  <c r="BB368" i="103"/>
  <c r="BB369" i="103" s="1"/>
  <c r="BA368" i="103"/>
  <c r="BA369" i="103" s="1"/>
  <c r="AZ368" i="103"/>
  <c r="AY368" i="103"/>
  <c r="AY369" i="103" s="1"/>
  <c r="AX368" i="103"/>
  <c r="AX369" i="103" s="1"/>
  <c r="AW368" i="103"/>
  <c r="AW369" i="103" s="1"/>
  <c r="AV368" i="103"/>
  <c r="AU368" i="103"/>
  <c r="AU369" i="103" s="1"/>
  <c r="O367" i="103"/>
  <c r="N367" i="103"/>
  <c r="BW357" i="103"/>
  <c r="BX357" i="103" s="1"/>
  <c r="BY357" i="103" s="1"/>
  <c r="BZ357" i="103" s="1"/>
  <c r="CA357" i="103" s="1"/>
  <c r="CB357" i="103" s="1"/>
  <c r="CC357" i="103" s="1"/>
  <c r="CD357" i="103" s="1"/>
  <c r="BT357" i="103"/>
  <c r="BU357" i="103" s="1"/>
  <c r="BV357" i="103" s="1"/>
  <c r="V352" i="103"/>
  <c r="U352" i="103"/>
  <c r="T352" i="103"/>
  <c r="CA338" i="103"/>
  <c r="CD337" i="103"/>
  <c r="CD338" i="103" s="1"/>
  <c r="CC337" i="103"/>
  <c r="CC338" i="103" s="1"/>
  <c r="CB337" i="103"/>
  <c r="CB338" i="103" s="1"/>
  <c r="CA337" i="103"/>
  <c r="BZ337" i="103"/>
  <c r="BY337" i="103"/>
  <c r="BY338" i="103" s="1"/>
  <c r="BX337" i="103"/>
  <c r="BX338" i="103" s="1"/>
  <c r="BW337" i="103"/>
  <c r="BW338" i="103" s="1"/>
  <c r="BV337" i="103"/>
  <c r="BV338" i="103" s="1"/>
  <c r="BU337" i="103"/>
  <c r="BU338" i="103" s="1"/>
  <c r="BT337" i="103"/>
  <c r="BT338" i="103" s="1"/>
  <c r="BS337" i="103"/>
  <c r="CD332" i="103"/>
  <c r="CC332" i="103"/>
  <c r="CB332" i="103"/>
  <c r="CA332" i="103"/>
  <c r="CD331" i="103"/>
  <c r="CD333" i="103" s="1"/>
  <c r="BY331" i="103"/>
  <c r="BY333" i="103" s="1"/>
  <c r="BU331" i="103"/>
  <c r="BU333" i="103" s="1"/>
  <c r="Y331" i="103"/>
  <c r="Y333" i="103" s="1"/>
  <c r="Y295" i="103" s="1"/>
  <c r="X331" i="103"/>
  <c r="X333" i="103" s="1"/>
  <c r="X295" i="103" s="1"/>
  <c r="W331" i="103"/>
  <c r="W333" i="103" s="1"/>
  <c r="W295" i="103" s="1"/>
  <c r="BT307" i="103"/>
  <c r="BU307" i="103" s="1"/>
  <c r="BV307" i="103" s="1"/>
  <c r="BW307" i="103" s="1"/>
  <c r="BX307" i="103" s="1"/>
  <c r="BY307" i="103" s="1"/>
  <c r="BZ307" i="103" s="1"/>
  <c r="CA307" i="103" s="1"/>
  <c r="CB307" i="103" s="1"/>
  <c r="CC307" i="103" s="1"/>
  <c r="CD307" i="103" s="1"/>
  <c r="BU294" i="103"/>
  <c r="BU70" i="103" s="1"/>
  <c r="BT294" i="103"/>
  <c r="BT70" i="103" s="1"/>
  <c r="Y294" i="103"/>
  <c r="Y296" i="103" s="1"/>
  <c r="Y51" i="103" s="1"/>
  <c r="X294" i="103"/>
  <c r="X70" i="103" s="1"/>
  <c r="W294" i="103"/>
  <c r="CD279" i="103"/>
  <c r="BZ278" i="103"/>
  <c r="Y279" i="103"/>
  <c r="W279" i="103"/>
  <c r="V279" i="103"/>
  <c r="U279" i="103"/>
  <c r="W278" i="103"/>
  <c r="BT267" i="103"/>
  <c r="BU267" i="103" s="1"/>
  <c r="BV267" i="103" s="1"/>
  <c r="BW267" i="103" s="1"/>
  <c r="BX267" i="103" s="1"/>
  <c r="BY267" i="103" s="1"/>
  <c r="BZ267" i="103" s="1"/>
  <c r="CA267" i="103" s="1"/>
  <c r="CB267" i="103" s="1"/>
  <c r="CC267" i="103" s="1"/>
  <c r="CD267" i="103" s="1"/>
  <c r="BT262" i="103"/>
  <c r="BU262" i="103" s="1"/>
  <c r="BV262" i="103" s="1"/>
  <c r="BW262" i="103" s="1"/>
  <c r="BX262" i="103" s="1"/>
  <c r="BY262" i="103" s="1"/>
  <c r="BZ262" i="103" s="1"/>
  <c r="CA262" i="103" s="1"/>
  <c r="CB262" i="103" s="1"/>
  <c r="CC262" i="103" s="1"/>
  <c r="CD262" i="103" s="1"/>
  <c r="BT254" i="103"/>
  <c r="BU254" i="103" s="1"/>
  <c r="BV254" i="103" s="1"/>
  <c r="BW254" i="103" s="1"/>
  <c r="BX254" i="103" s="1"/>
  <c r="BY254" i="103" s="1"/>
  <c r="BF253" i="103"/>
  <c r="BE253" i="103"/>
  <c r="BD253" i="103"/>
  <c r="BC253" i="103"/>
  <c r="X254" i="103"/>
  <c r="Y254" i="103" s="1"/>
  <c r="BT246" i="103"/>
  <c r="BU246" i="103" s="1"/>
  <c r="BV246" i="103" s="1"/>
  <c r="BW246" i="103" s="1"/>
  <c r="X246" i="103"/>
  <c r="Y246" i="103" s="1"/>
  <c r="CC216" i="103"/>
  <c r="BY215" i="103"/>
  <c r="BY216" i="103" s="1"/>
  <c r="BX215" i="103"/>
  <c r="BW215" i="103"/>
  <c r="BW216" i="103" s="1"/>
  <c r="BV215" i="103"/>
  <c r="BU215" i="103"/>
  <c r="BU216" i="103" s="1"/>
  <c r="BT215" i="103"/>
  <c r="BS215" i="103"/>
  <c r="W216" i="103"/>
  <c r="X216" i="103"/>
  <c r="V215" i="103"/>
  <c r="BU190" i="103"/>
  <c r="BV190" i="103" s="1"/>
  <c r="BW190" i="103" s="1"/>
  <c r="BX190" i="103" s="1"/>
  <c r="BY190" i="103" s="1"/>
  <c r="BZ190" i="103" s="1"/>
  <c r="CA190" i="103" s="1"/>
  <c r="CB190" i="103" s="1"/>
  <c r="CC190" i="103" s="1"/>
  <c r="CD190" i="103" s="1"/>
  <c r="BT190" i="103"/>
  <c r="BT181" i="103"/>
  <c r="BU181" i="103" s="1"/>
  <c r="BV181" i="103" s="1"/>
  <c r="BW181" i="103" s="1"/>
  <c r="BX181" i="103" s="1"/>
  <c r="BY181" i="103" s="1"/>
  <c r="BZ181" i="103" s="1"/>
  <c r="CA181" i="103" s="1"/>
  <c r="CB181" i="103" s="1"/>
  <c r="CC181" i="103" s="1"/>
  <c r="CD181" i="103" s="1"/>
  <c r="BS178" i="103"/>
  <c r="BS137" i="103" s="1"/>
  <c r="BT177" i="103"/>
  <c r="BU177" i="103" s="1"/>
  <c r="BV177" i="103" s="1"/>
  <c r="BW177" i="103" s="1"/>
  <c r="CD176" i="103"/>
  <c r="CC176" i="103"/>
  <c r="CA176" i="103"/>
  <c r="BZ176" i="103"/>
  <c r="BY176" i="103"/>
  <c r="BX176" i="103"/>
  <c r="BW176" i="103"/>
  <c r="BV176" i="103"/>
  <c r="BU176" i="103"/>
  <c r="BS176" i="103"/>
  <c r="Y176" i="103"/>
  <c r="X176" i="103"/>
  <c r="W176" i="103"/>
  <c r="V176" i="103"/>
  <c r="U176" i="103"/>
  <c r="T176" i="103"/>
  <c r="CD136" i="103"/>
  <c r="CC136" i="103"/>
  <c r="V136" i="103" s="1"/>
  <c r="CB136" i="103"/>
  <c r="BZ136" i="103"/>
  <c r="BY136" i="103"/>
  <c r="BX136" i="103"/>
  <c r="U136" i="103" s="1"/>
  <c r="BW136" i="103"/>
  <c r="BV136" i="103"/>
  <c r="BU136" i="103"/>
  <c r="BT136" i="103"/>
  <c r="BS136" i="103"/>
  <c r="BN125" i="103"/>
  <c r="BM125" i="103"/>
  <c r="BL125" i="103"/>
  <c r="BK125" i="103"/>
  <c r="BJ125" i="103"/>
  <c r="BI125" i="103"/>
  <c r="BH125" i="103"/>
  <c r="BG125" i="103"/>
  <c r="V125" i="103"/>
  <c r="CD122" i="103"/>
  <c r="BZ122" i="103"/>
  <c r="BY122" i="103"/>
  <c r="BX122" i="103"/>
  <c r="BW122" i="103"/>
  <c r="BV122" i="103"/>
  <c r="BU122" i="103"/>
  <c r="BT122" i="103"/>
  <c r="BS122" i="103"/>
  <c r="Y122" i="103"/>
  <c r="X122" i="103"/>
  <c r="W122" i="103"/>
  <c r="U107" i="103"/>
  <c r="T107" i="103"/>
  <c r="BT99" i="103"/>
  <c r="BU99" i="103" s="1"/>
  <c r="BV99" i="103" s="1"/>
  <c r="BT98" i="103"/>
  <c r="BU98" i="103" s="1"/>
  <c r="BT80" i="103"/>
  <c r="BU80" i="103" s="1"/>
  <c r="BV80" i="103" s="1"/>
  <c r="BW80" i="103" s="1"/>
  <c r="BX80" i="103" s="1"/>
  <c r="BY80" i="103" s="1"/>
  <c r="BZ80" i="103" s="1"/>
  <c r="CA80" i="103" s="1"/>
  <c r="CB80" i="103" s="1"/>
  <c r="CC80" i="103" s="1"/>
  <c r="CD80" i="103" s="1"/>
  <c r="BT79" i="103"/>
  <c r="BU79" i="103" s="1"/>
  <c r="BV79" i="103" s="1"/>
  <c r="BW79" i="103" s="1"/>
  <c r="BX79" i="103" s="1"/>
  <c r="BY79" i="103" s="1"/>
  <c r="BZ79" i="103" s="1"/>
  <c r="CA79" i="103" s="1"/>
  <c r="CB79" i="103" s="1"/>
  <c r="CC79" i="103" s="1"/>
  <c r="CD79" i="103" s="1"/>
  <c r="BT78" i="103"/>
  <c r="BS70" i="103"/>
  <c r="BV67" i="103"/>
  <c r="BW67" i="103" s="1"/>
  <c r="BU67" i="103"/>
  <c r="BT67" i="103"/>
  <c r="BZ66" i="103"/>
  <c r="CA66" i="103" s="1"/>
  <c r="CB66" i="103" s="1"/>
  <c r="BT66" i="103"/>
  <c r="BU66" i="103" s="1"/>
  <c r="BS65" i="103"/>
  <c r="BT65" i="103" s="1"/>
  <c r="W70" i="103"/>
  <c r="Y67" i="103"/>
  <c r="G61" i="103"/>
  <c r="G62" i="103" s="1"/>
  <c r="V59" i="103"/>
  <c r="W59" i="103" s="1"/>
  <c r="X59" i="103" s="1"/>
  <c r="Y59" i="103" s="1"/>
  <c r="U59" i="103"/>
  <c r="T59" i="103"/>
  <c r="BY27" i="103"/>
  <c r="BX27" i="103"/>
  <c r="BW27" i="103"/>
  <c r="BV27" i="103"/>
  <c r="BU27" i="103"/>
  <c r="BT27" i="103"/>
  <c r="BS27" i="103"/>
  <c r="BY24" i="103"/>
  <c r="BX24" i="103"/>
  <c r="BW24" i="103"/>
  <c r="BU24" i="103"/>
  <c r="BT24" i="103"/>
  <c r="BS24" i="103"/>
  <c r="U18" i="103"/>
  <c r="T18" i="103"/>
  <c r="BY9" i="103"/>
  <c r="BY108" i="103" s="1"/>
  <c r="BX9" i="103"/>
  <c r="BX108" i="103" s="1"/>
  <c r="BW9" i="103"/>
  <c r="BW108" i="103" s="1"/>
  <c r="BV9" i="103"/>
  <c r="BU9" i="103"/>
  <c r="BU108" i="103" s="1"/>
  <c r="BT9" i="103"/>
  <c r="BT108" i="103" s="1"/>
  <c r="BS9" i="103"/>
  <c r="BS108" i="103" s="1"/>
  <c r="BR9" i="103"/>
  <c r="BD9" i="103"/>
  <c r="BC9" i="103"/>
  <c r="BB9" i="103"/>
  <c r="BA9" i="103"/>
  <c r="AZ9" i="103"/>
  <c r="AY9" i="103"/>
  <c r="AX9" i="103"/>
  <c r="AW9" i="103"/>
  <c r="AV9" i="103"/>
  <c r="AU9" i="103"/>
  <c r="AT9" i="103"/>
  <c r="AS9" i="103"/>
  <c r="AR9" i="103"/>
  <c r="AQ9" i="103"/>
  <c r="AP9" i="103"/>
  <c r="AO9" i="103"/>
  <c r="AN9" i="103"/>
  <c r="AM9" i="103"/>
  <c r="AL9" i="103"/>
  <c r="AK9" i="103"/>
  <c r="AJ9" i="103"/>
  <c r="AI9" i="103"/>
  <c r="P2" i="103"/>
  <c r="J2" i="103"/>
  <c r="K2" i="103" s="1"/>
  <c r="L2" i="103" s="1"/>
  <c r="M2" i="103" s="1"/>
  <c r="N2" i="103" s="1"/>
  <c r="BL253" i="91"/>
  <c r="BL13" i="91" s="1"/>
  <c r="BK253" i="91"/>
  <c r="BK13" i="91" s="1"/>
  <c r="BJ253" i="91"/>
  <c r="BJ13" i="91" s="1"/>
  <c r="BI253" i="91"/>
  <c r="BH253" i="91"/>
  <c r="BH13" i="91" s="1"/>
  <c r="BF253" i="91"/>
  <c r="BF13" i="91" s="1"/>
  <c r="BE253" i="91"/>
  <c r="BE13" i="91" s="1"/>
  <c r="BD253" i="91"/>
  <c r="BC253" i="91"/>
  <c r="BC13" i="91" s="1"/>
  <c r="BB253" i="91"/>
  <c r="BB13" i="91" s="1"/>
  <c r="BA253" i="91"/>
  <c r="BA13" i="91" s="1"/>
  <c r="AZ253" i="91"/>
  <c r="AZ13" i="91" s="1"/>
  <c r="AY253" i="91"/>
  <c r="AY13" i="91" s="1"/>
  <c r="AX253" i="91"/>
  <c r="AX13" i="91" s="1"/>
  <c r="AW253" i="91"/>
  <c r="AW13" i="91" s="1"/>
  <c r="AV253" i="91"/>
  <c r="AV13" i="91" s="1"/>
  <c r="AU253" i="91"/>
  <c r="AU13" i="91" s="1"/>
  <c r="AT253" i="91"/>
  <c r="AT13" i="91" s="1"/>
  <c r="AS253" i="91"/>
  <c r="AS13" i="91" s="1"/>
  <c r="AR253" i="91"/>
  <c r="AQ253" i="91"/>
  <c r="AQ13" i="91" s="1"/>
  <c r="AP253" i="91"/>
  <c r="AP13" i="91" s="1"/>
  <c r="AO253" i="91"/>
  <c r="AO13" i="91" s="1"/>
  <c r="AN253" i="91"/>
  <c r="AM253" i="91"/>
  <c r="AM13" i="91" s="1"/>
  <c r="AL253" i="91"/>
  <c r="AL13" i="91" s="1"/>
  <c r="AK253" i="91"/>
  <c r="AK13" i="91" s="1"/>
  <c r="AJ253" i="91"/>
  <c r="AJ13" i="91" s="1"/>
  <c r="AI253" i="91"/>
  <c r="AI13" i="91" s="1"/>
  <c r="AH253" i="91"/>
  <c r="AH13" i="91" s="1"/>
  <c r="AG253" i="91"/>
  <c r="AG13" i="91" s="1"/>
  <c r="AF253" i="91"/>
  <c r="AF13" i="91" s="1"/>
  <c r="AE253" i="91"/>
  <c r="AE13" i="91" s="1"/>
  <c r="AD253" i="91"/>
  <c r="AD13" i="91" s="1"/>
  <c r="AC253" i="91"/>
  <c r="AC13" i="91" s="1"/>
  <c r="AB253" i="91"/>
  <c r="AA253" i="91"/>
  <c r="AA13" i="91" s="1"/>
  <c r="Z253" i="91"/>
  <c r="Z13" i="91" s="1"/>
  <c r="Y253" i="91"/>
  <c r="Y13" i="91" s="1"/>
  <c r="X253" i="91"/>
  <c r="W253" i="91"/>
  <c r="W13" i="91" s="1"/>
  <c r="BG252" i="91"/>
  <c r="BG253" i="91" s="1"/>
  <c r="BG13" i="91" s="1"/>
  <c r="BM251" i="91"/>
  <c r="Q252" i="91"/>
  <c r="O252" i="91"/>
  <c r="N252" i="91"/>
  <c r="M252" i="91"/>
  <c r="L252" i="91"/>
  <c r="K252" i="91"/>
  <c r="J252" i="91"/>
  <c r="I252" i="91"/>
  <c r="H252" i="91"/>
  <c r="G252" i="91"/>
  <c r="P251" i="91"/>
  <c r="O251" i="91"/>
  <c r="N251" i="91"/>
  <c r="M251" i="91"/>
  <c r="L251" i="91"/>
  <c r="K251" i="91"/>
  <c r="J251" i="91"/>
  <c r="I251" i="91"/>
  <c r="H251" i="91"/>
  <c r="G251" i="91"/>
  <c r="Q250" i="91"/>
  <c r="P250" i="91"/>
  <c r="O250" i="91"/>
  <c r="N250" i="91"/>
  <c r="M250" i="91"/>
  <c r="L250" i="91"/>
  <c r="K250" i="91"/>
  <c r="J250" i="91"/>
  <c r="I250" i="91"/>
  <c r="H250" i="91"/>
  <c r="G250" i="91"/>
  <c r="Q249" i="91"/>
  <c r="P249" i="91"/>
  <c r="O249" i="91"/>
  <c r="N249" i="91"/>
  <c r="M249" i="91"/>
  <c r="L249" i="91"/>
  <c r="K249" i="91"/>
  <c r="J249" i="91"/>
  <c r="I249" i="91"/>
  <c r="H249" i="91"/>
  <c r="G249" i="91"/>
  <c r="Q248" i="91"/>
  <c r="P248" i="91"/>
  <c r="O248" i="91"/>
  <c r="N248" i="91"/>
  <c r="M248" i="91"/>
  <c r="L248" i="91"/>
  <c r="K248" i="91"/>
  <c r="J248" i="91"/>
  <c r="I248" i="91"/>
  <c r="H248" i="91"/>
  <c r="G248" i="91"/>
  <c r="Q247" i="91"/>
  <c r="P247" i="91"/>
  <c r="O247" i="91"/>
  <c r="N247" i="91"/>
  <c r="M247" i="91"/>
  <c r="L247" i="91"/>
  <c r="K247" i="91"/>
  <c r="J247" i="91"/>
  <c r="I247" i="91"/>
  <c r="H247" i="91"/>
  <c r="G247" i="91"/>
  <c r="U237" i="91"/>
  <c r="T237" i="91"/>
  <c r="S237" i="91"/>
  <c r="R237" i="91"/>
  <c r="Q237" i="91"/>
  <c r="P237" i="91"/>
  <c r="O237" i="91"/>
  <c r="N237" i="91"/>
  <c r="M237" i="91"/>
  <c r="L237" i="91"/>
  <c r="K237" i="91"/>
  <c r="J237" i="91"/>
  <c r="I237" i="91"/>
  <c r="H237" i="91"/>
  <c r="O234" i="91"/>
  <c r="N234" i="91"/>
  <c r="M234" i="91"/>
  <c r="L234" i="91"/>
  <c r="K234" i="91"/>
  <c r="J234" i="91"/>
  <c r="I234" i="91"/>
  <c r="H234" i="91"/>
  <c r="BM231" i="91"/>
  <c r="BE231" i="91"/>
  <c r="BR224" i="91"/>
  <c r="BR196" i="91" s="1"/>
  <c r="BQ224" i="91"/>
  <c r="BQ196" i="91" s="1"/>
  <c r="BQ195" i="91" s="1"/>
  <c r="BQ203" i="91" s="1"/>
  <c r="BP224" i="91"/>
  <c r="BP196" i="91" s="1"/>
  <c r="BP195" i="91" s="1"/>
  <c r="BP203" i="91" s="1"/>
  <c r="BO224" i="91"/>
  <c r="BO196" i="91" s="1"/>
  <c r="BO195" i="91" s="1"/>
  <c r="U224" i="91"/>
  <c r="U196" i="91" s="1"/>
  <c r="T224" i="91"/>
  <c r="T196" i="91" s="1"/>
  <c r="S224" i="91"/>
  <c r="S196" i="91" s="1"/>
  <c r="G224" i="91"/>
  <c r="BM223" i="91"/>
  <c r="BL223" i="91"/>
  <c r="BK223" i="91"/>
  <c r="BI223" i="91"/>
  <c r="BG223" i="91"/>
  <c r="BE223" i="91"/>
  <c r="BD223" i="91"/>
  <c r="BC223" i="91"/>
  <c r="BA223" i="91"/>
  <c r="AV223" i="91"/>
  <c r="BM222" i="91"/>
  <c r="BL222" i="91"/>
  <c r="BK222" i="91"/>
  <c r="BJ222" i="91"/>
  <c r="BI222" i="91"/>
  <c r="BH222" i="91"/>
  <c r="BG222" i="91"/>
  <c r="BE222" i="91"/>
  <c r="BD222" i="91"/>
  <c r="BC222" i="91"/>
  <c r="BA222" i="91"/>
  <c r="AZ222" i="91"/>
  <c r="AY222" i="91"/>
  <c r="AW222" i="91"/>
  <c r="AV222" i="91"/>
  <c r="AU222" i="91"/>
  <c r="BM221" i="91"/>
  <c r="BK221" i="91"/>
  <c r="BI221" i="91"/>
  <c r="BH221" i="91"/>
  <c r="BG221" i="91"/>
  <c r="BE221" i="91"/>
  <c r="BD221" i="91"/>
  <c r="BC221" i="91"/>
  <c r="BA221" i="91"/>
  <c r="AZ221" i="91"/>
  <c r="AY221" i="91"/>
  <c r="AW221" i="91"/>
  <c r="AV221" i="91"/>
  <c r="AU221" i="91"/>
  <c r="BM220" i="91"/>
  <c r="BL220" i="91"/>
  <c r="BK220" i="91"/>
  <c r="BI220" i="91"/>
  <c r="BH220" i="91"/>
  <c r="BG220" i="91"/>
  <c r="BD220" i="91"/>
  <c r="BC220" i="91"/>
  <c r="BA220" i="91"/>
  <c r="AZ220" i="91"/>
  <c r="AY220" i="91"/>
  <c r="AW220" i="91"/>
  <c r="AV220" i="91"/>
  <c r="AU220" i="91"/>
  <c r="BM219" i="91"/>
  <c r="BL219" i="91"/>
  <c r="BK219" i="91"/>
  <c r="BI219" i="91"/>
  <c r="BH219" i="91"/>
  <c r="BG219" i="91"/>
  <c r="BE219" i="91"/>
  <c r="BD219" i="91"/>
  <c r="BC219" i="91"/>
  <c r="BA219" i="91"/>
  <c r="AZ219" i="91"/>
  <c r="AY219" i="91"/>
  <c r="AW219" i="91"/>
  <c r="AV219" i="91"/>
  <c r="AU219" i="91"/>
  <c r="BM215" i="91"/>
  <c r="BM216" i="91" s="1"/>
  <c r="BK215" i="91"/>
  <c r="BK216" i="91" s="1"/>
  <c r="BI215" i="91"/>
  <c r="BI216" i="91" s="1"/>
  <c r="BG215" i="91"/>
  <c r="BG216" i="91" s="1"/>
  <c r="BD215" i="91"/>
  <c r="BD216" i="91" s="1"/>
  <c r="BC215" i="91"/>
  <c r="BC216" i="91" s="1"/>
  <c r="BA215" i="91"/>
  <c r="BA216" i="91" s="1"/>
  <c r="AV215" i="91"/>
  <c r="AV216" i="91" s="1"/>
  <c r="BH214" i="91"/>
  <c r="BH223" i="91" s="1"/>
  <c r="BF214" i="91"/>
  <c r="BF223" i="91" s="1"/>
  <c r="BF213" i="91"/>
  <c r="BF222" i="91" s="1"/>
  <c r="BF212" i="91"/>
  <c r="BF221" i="91" s="1"/>
  <c r="BF210" i="91"/>
  <c r="BF219" i="91" s="1"/>
  <c r="BB213" i="91"/>
  <c r="BB222" i="91" s="1"/>
  <c r="BB212" i="91"/>
  <c r="BB221" i="91" s="1"/>
  <c r="BB211" i="91"/>
  <c r="BB220" i="91" s="1"/>
  <c r="BB210" i="91"/>
  <c r="BB219" i="91" s="1"/>
  <c r="AZ214" i="91"/>
  <c r="AZ223" i="91" s="1"/>
  <c r="AY214" i="91"/>
  <c r="AY223" i="91" s="1"/>
  <c r="AW214" i="91"/>
  <c r="AW223" i="91" s="1"/>
  <c r="AU214" i="91"/>
  <c r="AU223" i="91" s="1"/>
  <c r="AX213" i="91"/>
  <c r="AX222" i="91" s="1"/>
  <c r="AX212" i="91"/>
  <c r="AX211" i="91"/>
  <c r="AX210" i="91"/>
  <c r="AX219" i="91" s="1"/>
  <c r="BL212" i="91"/>
  <c r="BJ212" i="91"/>
  <c r="BJ221" i="91" s="1"/>
  <c r="BJ211" i="91"/>
  <c r="BJ210" i="91"/>
  <c r="BJ219" i="91" s="1"/>
  <c r="BE211" i="91"/>
  <c r="BE220" i="91" s="1"/>
  <c r="BQ214" i="91"/>
  <c r="BP214" i="91"/>
  <c r="BO214" i="91"/>
  <c r="BQ213" i="91"/>
  <c r="BP213" i="91"/>
  <c r="BO213" i="91"/>
  <c r="BQ212" i="91"/>
  <c r="BP212" i="91"/>
  <c r="BO212" i="91"/>
  <c r="BQ211" i="91"/>
  <c r="BP211" i="91"/>
  <c r="BO211" i="91"/>
  <c r="BQ210" i="91"/>
  <c r="BP210" i="91"/>
  <c r="BO210" i="91"/>
  <c r="O214" i="91"/>
  <c r="P213" i="91"/>
  <c r="O213" i="91"/>
  <c r="N212" i="91"/>
  <c r="M211" i="91"/>
  <c r="BM207" i="91"/>
  <c r="BL207" i="91"/>
  <c r="BK207" i="91"/>
  <c r="BJ207" i="91"/>
  <c r="BI207" i="91"/>
  <c r="BH207" i="91"/>
  <c r="BG207" i="91"/>
  <c r="BF207" i="91"/>
  <c r="BE207" i="91"/>
  <c r="BD207" i="91"/>
  <c r="BC207" i="91"/>
  <c r="BB207" i="91"/>
  <c r="BA207" i="91"/>
  <c r="AZ207" i="91"/>
  <c r="AY207" i="91"/>
  <c r="AX207" i="91"/>
  <c r="AW207" i="91"/>
  <c r="AV207" i="91"/>
  <c r="AU207" i="91"/>
  <c r="AT207" i="91"/>
  <c r="AS207" i="91"/>
  <c r="AR207" i="91"/>
  <c r="AQ207" i="91"/>
  <c r="AP207" i="91"/>
  <c r="AO207" i="91"/>
  <c r="AN207" i="91"/>
  <c r="AM207" i="91"/>
  <c r="AL207" i="91"/>
  <c r="AK207" i="91"/>
  <c r="AJ207" i="91"/>
  <c r="AI207" i="91"/>
  <c r="AH207" i="91"/>
  <c r="AG207" i="91"/>
  <c r="AF207" i="91"/>
  <c r="AE207" i="91"/>
  <c r="AD207" i="91"/>
  <c r="AC207" i="91"/>
  <c r="AB207" i="91"/>
  <c r="AA207" i="91"/>
  <c r="BM206" i="91"/>
  <c r="BL206" i="91"/>
  <c r="BK206" i="91"/>
  <c r="BJ206" i="91"/>
  <c r="BI206" i="91"/>
  <c r="BH206" i="91"/>
  <c r="BG206" i="91"/>
  <c r="BF206" i="91"/>
  <c r="BE206" i="91"/>
  <c r="BD206" i="91"/>
  <c r="BC206" i="91"/>
  <c r="BB206" i="91"/>
  <c r="BA206" i="91"/>
  <c r="AZ206" i="91"/>
  <c r="AY206" i="91"/>
  <c r="AX206" i="91"/>
  <c r="AW206" i="91"/>
  <c r="AV206" i="91"/>
  <c r="AU206" i="91"/>
  <c r="AT206" i="91"/>
  <c r="AS206" i="91"/>
  <c r="AR206" i="91"/>
  <c r="AQ206" i="91"/>
  <c r="AP206" i="91"/>
  <c r="AO206" i="91"/>
  <c r="AN206" i="91"/>
  <c r="AM206" i="91"/>
  <c r="AL206" i="91"/>
  <c r="AK206" i="91"/>
  <c r="AJ206" i="91"/>
  <c r="AI206" i="91"/>
  <c r="AH206" i="91"/>
  <c r="AG206" i="91"/>
  <c r="AF206" i="91"/>
  <c r="AE206" i="91"/>
  <c r="AD206" i="91"/>
  <c r="AC206" i="91"/>
  <c r="AB206" i="91"/>
  <c r="AA206" i="91"/>
  <c r="Z206" i="91"/>
  <c r="Y206" i="91"/>
  <c r="X206" i="91"/>
  <c r="W206" i="91"/>
  <c r="G205" i="91"/>
  <c r="G12" i="91" s="1"/>
  <c r="P205" i="91"/>
  <c r="P12" i="91" s="1"/>
  <c r="O205" i="91"/>
  <c r="N205" i="91"/>
  <c r="N12" i="91" s="1"/>
  <c r="M205" i="91"/>
  <c r="M12" i="91" s="1"/>
  <c r="L205" i="91"/>
  <c r="L12" i="91" s="1"/>
  <c r="K205" i="91"/>
  <c r="J205" i="91"/>
  <c r="J12" i="91" s="1"/>
  <c r="I205" i="91"/>
  <c r="I12" i="91" s="1"/>
  <c r="H205" i="91"/>
  <c r="H12" i="91" s="1"/>
  <c r="BM203" i="91"/>
  <c r="BL203" i="91"/>
  <c r="BK203" i="91"/>
  <c r="BI203" i="91"/>
  <c r="BH203" i="91"/>
  <c r="BG203" i="91"/>
  <c r="BF203" i="91"/>
  <c r="BE203" i="91"/>
  <c r="BJ202" i="91"/>
  <c r="BJ203" i="91" s="1"/>
  <c r="BM198" i="91"/>
  <c r="BM26" i="91" s="1"/>
  <c r="BL198" i="91"/>
  <c r="BL199" i="91" s="1"/>
  <c r="BK198" i="91"/>
  <c r="BK199" i="91" s="1"/>
  <c r="BJ198" i="91"/>
  <c r="BJ199" i="91" s="1"/>
  <c r="BI198" i="91"/>
  <c r="BI26" i="91" s="1"/>
  <c r="BH198" i="91"/>
  <c r="BH199" i="91" s="1"/>
  <c r="BG198" i="91"/>
  <c r="BG199" i="91" s="1"/>
  <c r="BF198" i="91"/>
  <c r="BF199" i="91" s="1"/>
  <c r="BE198" i="91"/>
  <c r="BE199" i="91" s="1"/>
  <c r="BM196" i="91"/>
  <c r="BL196" i="91"/>
  <c r="BK196" i="91"/>
  <c r="BJ196" i="91"/>
  <c r="BI196" i="91"/>
  <c r="BH196" i="91"/>
  <c r="BG196" i="91"/>
  <c r="BF196" i="91"/>
  <c r="BE196" i="91"/>
  <c r="BD196" i="91"/>
  <c r="BC196" i="91"/>
  <c r="BB196" i="91"/>
  <c r="BA196" i="91"/>
  <c r="AZ196" i="91"/>
  <c r="AY196" i="91"/>
  <c r="AX196" i="91"/>
  <c r="AW196" i="91"/>
  <c r="AV196" i="91"/>
  <c r="AU196" i="91"/>
  <c r="AT196" i="91"/>
  <c r="AS196" i="91"/>
  <c r="AR196" i="91"/>
  <c r="AQ196" i="91"/>
  <c r="AP196" i="91"/>
  <c r="AO196" i="91"/>
  <c r="AN196" i="91"/>
  <c r="AM196" i="91"/>
  <c r="AL196" i="91"/>
  <c r="AK196" i="91"/>
  <c r="AJ196" i="91"/>
  <c r="AI196" i="91"/>
  <c r="AH196" i="91"/>
  <c r="AG196" i="91"/>
  <c r="AF196" i="91"/>
  <c r="AE196" i="91"/>
  <c r="AD196" i="91"/>
  <c r="AC196" i="91"/>
  <c r="AB196" i="91"/>
  <c r="AA196" i="91"/>
  <c r="BR214" i="91"/>
  <c r="P195" i="91"/>
  <c r="P6" i="91" s="1"/>
  <c r="O195" i="91"/>
  <c r="O6" i="91" s="1"/>
  <c r="N195" i="91"/>
  <c r="M195" i="91"/>
  <c r="M6" i="91" s="1"/>
  <c r="L195" i="91"/>
  <c r="L6" i="91" s="1"/>
  <c r="K195" i="91"/>
  <c r="J195" i="91"/>
  <c r="I195" i="91"/>
  <c r="I6" i="91" s="1"/>
  <c r="H195" i="91"/>
  <c r="H6" i="91" s="1"/>
  <c r="G195" i="91"/>
  <c r="G6" i="91" s="1"/>
  <c r="BK160" i="91"/>
  <c r="BK159" i="91"/>
  <c r="BK158" i="91"/>
  <c r="Q151" i="91"/>
  <c r="Q150" i="91"/>
  <c r="Q149" i="91"/>
  <c r="BK148" i="91"/>
  <c r="BK157" i="91" s="1"/>
  <c r="BM132" i="91"/>
  <c r="BM131" i="91"/>
  <c r="BL131" i="91"/>
  <c r="BK131" i="91"/>
  <c r="BM127" i="91"/>
  <c r="BM128" i="91" s="1"/>
  <c r="BK126" i="91"/>
  <c r="BK132" i="91" s="1"/>
  <c r="BQ126" i="91"/>
  <c r="BP126" i="91"/>
  <c r="BO126" i="91"/>
  <c r="Q125" i="91"/>
  <c r="R122" i="91"/>
  <c r="Q122" i="91"/>
  <c r="P122" i="91"/>
  <c r="BM118" i="91"/>
  <c r="BL118" i="91"/>
  <c r="BK118" i="91"/>
  <c r="BM117" i="91"/>
  <c r="BL117" i="91"/>
  <c r="BK117" i="91"/>
  <c r="BJ117" i="91"/>
  <c r="BI117" i="91"/>
  <c r="BH117" i="91"/>
  <c r="BG117" i="91"/>
  <c r="BF116" i="91"/>
  <c r="P116" i="91"/>
  <c r="Q160" i="91" s="1"/>
  <c r="BM114" i="91"/>
  <c r="BL114" i="91"/>
  <c r="BK114" i="91"/>
  <c r="BI114" i="91"/>
  <c r="BH114" i="91"/>
  <c r="BG114" i="91"/>
  <c r="BF114" i="91"/>
  <c r="BJ113" i="91"/>
  <c r="BJ114" i="91" s="1"/>
  <c r="O113" i="91"/>
  <c r="BL108" i="91"/>
  <c r="BK107" i="91"/>
  <c r="BI107" i="91"/>
  <c r="BI108" i="91" s="1"/>
  <c r="BM143" i="91" s="1"/>
  <c r="BH107" i="91"/>
  <c r="BH25" i="91" s="1"/>
  <c r="BG107" i="91"/>
  <c r="BG25" i="91" s="1"/>
  <c r="BF107" i="91"/>
  <c r="BF25" i="91" s="1"/>
  <c r="BM105" i="91"/>
  <c r="BL105" i="91"/>
  <c r="BK105" i="91"/>
  <c r="BJ105" i="91"/>
  <c r="P104" i="91"/>
  <c r="O104" i="91"/>
  <c r="O5" i="91" s="1"/>
  <c r="BE101" i="91"/>
  <c r="BD101" i="91"/>
  <c r="BC101" i="91"/>
  <c r="BB101" i="91"/>
  <c r="BA101" i="91"/>
  <c r="AZ101" i="91"/>
  <c r="AY101" i="91"/>
  <c r="AX101" i="91"/>
  <c r="AW101" i="91"/>
  <c r="N100" i="91"/>
  <c r="M100" i="91"/>
  <c r="L100" i="91"/>
  <c r="BE90" i="91"/>
  <c r="BD90" i="91"/>
  <c r="BC90" i="91"/>
  <c r="BB90" i="91"/>
  <c r="BA90" i="91"/>
  <c r="AZ90" i="91"/>
  <c r="AY90" i="91"/>
  <c r="AX90" i="91"/>
  <c r="AW90" i="91"/>
  <c r="AV90" i="91"/>
  <c r="AU90" i="91"/>
  <c r="AT90" i="91"/>
  <c r="AS90" i="91"/>
  <c r="L89" i="91"/>
  <c r="N89" i="91"/>
  <c r="M89" i="91"/>
  <c r="BE87" i="91"/>
  <c r="BD87" i="91"/>
  <c r="BC87" i="91"/>
  <c r="BB87" i="91"/>
  <c r="BA87" i="91"/>
  <c r="AZ87" i="91"/>
  <c r="AY87" i="91"/>
  <c r="AX87" i="91"/>
  <c r="AW87" i="91"/>
  <c r="AV87" i="91"/>
  <c r="AU87" i="91"/>
  <c r="AT87" i="91"/>
  <c r="AS87" i="91"/>
  <c r="BE85" i="91"/>
  <c r="BE97" i="91" s="1"/>
  <c r="BD85" i="91"/>
  <c r="BD97" i="91" s="1"/>
  <c r="BC85" i="91"/>
  <c r="BC97" i="91" s="1"/>
  <c r="BB85" i="91"/>
  <c r="BB97" i="91" s="1"/>
  <c r="BA85" i="91"/>
  <c r="BA97" i="91" s="1"/>
  <c r="AZ85" i="91"/>
  <c r="AZ97" i="91" s="1"/>
  <c r="AY85" i="91"/>
  <c r="AY97" i="91" s="1"/>
  <c r="AX85" i="91"/>
  <c r="AX97" i="91" s="1"/>
  <c r="AW85" i="91"/>
  <c r="AW97" i="91" s="1"/>
  <c r="N84" i="91"/>
  <c r="M84" i="91"/>
  <c r="L84" i="91"/>
  <c r="N73" i="91"/>
  <c r="BE74" i="91"/>
  <c r="BD74" i="91"/>
  <c r="BC74" i="91"/>
  <c r="BB74" i="91"/>
  <c r="BA74" i="91"/>
  <c r="AZ74" i="91"/>
  <c r="AY74" i="91"/>
  <c r="AX74" i="91"/>
  <c r="AW74" i="91"/>
  <c r="AV74" i="91"/>
  <c r="AU74" i="91"/>
  <c r="AT74" i="91"/>
  <c r="AS74" i="91"/>
  <c r="M73" i="91"/>
  <c r="BE71" i="91"/>
  <c r="BD71" i="91"/>
  <c r="BC71" i="91"/>
  <c r="BB71" i="91"/>
  <c r="BA71" i="91"/>
  <c r="AZ71" i="91"/>
  <c r="AY71" i="91"/>
  <c r="AX71" i="91"/>
  <c r="AW71" i="91"/>
  <c r="AV71" i="91"/>
  <c r="AU71" i="91"/>
  <c r="AT71" i="91"/>
  <c r="AS71" i="91"/>
  <c r="AW75" i="91" s="1"/>
  <c r="BE69" i="91"/>
  <c r="BE81" i="91" s="1"/>
  <c r="BD69" i="91"/>
  <c r="BD81" i="91" s="1"/>
  <c r="BC69" i="91"/>
  <c r="BC81" i="91" s="1"/>
  <c r="BB69" i="91"/>
  <c r="BB81" i="91" s="1"/>
  <c r="BA69" i="91"/>
  <c r="BA81" i="91" s="1"/>
  <c r="AZ69" i="91"/>
  <c r="AZ81" i="91" s="1"/>
  <c r="AY69" i="91"/>
  <c r="AY81" i="91" s="1"/>
  <c r="AX69" i="91"/>
  <c r="AX81" i="91" s="1"/>
  <c r="AW69" i="91"/>
  <c r="AW81" i="91" s="1"/>
  <c r="N68" i="91"/>
  <c r="M68" i="91"/>
  <c r="M71" i="91" s="1"/>
  <c r="BF65" i="91"/>
  <c r="BF64" i="91"/>
  <c r="AX65" i="91"/>
  <c r="AX64" i="91"/>
  <c r="BB64" i="91"/>
  <c r="BI62" i="91"/>
  <c r="BF61" i="91"/>
  <c r="BF60" i="91"/>
  <c r="BB61" i="91"/>
  <c r="BB60" i="91"/>
  <c r="AX61" i="91"/>
  <c r="AX60" i="91"/>
  <c r="BR56" i="91"/>
  <c r="BQ56" i="91"/>
  <c r="BQ49" i="91" s="1"/>
  <c r="BP56" i="91"/>
  <c r="BP49" i="91" s="1"/>
  <c r="BO56" i="91"/>
  <c r="BM56" i="91"/>
  <c r="BY33" i="103" s="1"/>
  <c r="BL56" i="91"/>
  <c r="BX33" i="103" s="1"/>
  <c r="BK56" i="91"/>
  <c r="BW33" i="103" s="1"/>
  <c r="AV56" i="91"/>
  <c r="BH33" i="103" s="1"/>
  <c r="AU56" i="91"/>
  <c r="BG33" i="103" s="1"/>
  <c r="BM55" i="91"/>
  <c r="BY32" i="103" s="1"/>
  <c r="BL55" i="91"/>
  <c r="BX32" i="103" s="1"/>
  <c r="BK55" i="91"/>
  <c r="BW32" i="103" s="1"/>
  <c r="BM54" i="91"/>
  <c r="BY31" i="103" s="1"/>
  <c r="BL54" i="91"/>
  <c r="BX31" i="103" s="1"/>
  <c r="BK54" i="91"/>
  <c r="BW31" i="103" s="1"/>
  <c r="AV54" i="91"/>
  <c r="BH31" i="103" s="1"/>
  <c r="AU54" i="91"/>
  <c r="BG31" i="103" s="1"/>
  <c r="U56" i="91"/>
  <c r="T56" i="91"/>
  <c r="S56" i="91"/>
  <c r="BM50" i="91"/>
  <c r="BM51" i="91" s="1"/>
  <c r="BL50" i="91"/>
  <c r="BL51" i="91" s="1"/>
  <c r="BK50" i="91"/>
  <c r="BK51" i="91" s="1"/>
  <c r="BI50" i="91"/>
  <c r="BJ49" i="91"/>
  <c r="BJ56" i="91" s="1"/>
  <c r="BV33" i="103" s="1"/>
  <c r="BJ47" i="91"/>
  <c r="BJ54" i="91" s="1"/>
  <c r="BB49" i="91"/>
  <c r="BB47" i="91"/>
  <c r="AX49" i="91"/>
  <c r="AX47" i="91"/>
  <c r="BO49" i="91"/>
  <c r="BF47" i="91"/>
  <c r="BM44" i="91"/>
  <c r="BL44" i="91"/>
  <c r="BK44" i="91"/>
  <c r="AR44" i="91"/>
  <c r="AQ44" i="91"/>
  <c r="AP44" i="91"/>
  <c r="AO44" i="91"/>
  <c r="AN44" i="91"/>
  <c r="AM44" i="91"/>
  <c r="AL44" i="91"/>
  <c r="AK44" i="91"/>
  <c r="AJ44" i="91"/>
  <c r="AI44" i="91"/>
  <c r="AH44" i="91"/>
  <c r="AG44" i="91"/>
  <c r="AF44" i="91"/>
  <c r="AE44" i="91"/>
  <c r="AD44" i="91"/>
  <c r="AC44" i="91"/>
  <c r="AB44" i="91"/>
  <c r="AA44" i="91"/>
  <c r="BM43" i="91"/>
  <c r="BL43" i="91"/>
  <c r="BK43" i="91"/>
  <c r="BJ43" i="91"/>
  <c r="BI43" i="91"/>
  <c r="BH43" i="91"/>
  <c r="BG43" i="91"/>
  <c r="AR43" i="91"/>
  <c r="AQ43" i="91"/>
  <c r="AP43" i="91"/>
  <c r="AO43" i="91"/>
  <c r="AN43" i="91"/>
  <c r="AM43" i="91"/>
  <c r="AL43" i="91"/>
  <c r="AK43" i="91"/>
  <c r="AJ43" i="91"/>
  <c r="AI43" i="91"/>
  <c r="AH43" i="91"/>
  <c r="AG43" i="91"/>
  <c r="AF43" i="91"/>
  <c r="AE43" i="91"/>
  <c r="AD43" i="91"/>
  <c r="AC43" i="91"/>
  <c r="AB43" i="91"/>
  <c r="AA43" i="91"/>
  <c r="Z43" i="91"/>
  <c r="Y43" i="91"/>
  <c r="X43" i="91"/>
  <c r="W43" i="91"/>
  <c r="BF42" i="91"/>
  <c r="BF10" i="91" s="1"/>
  <c r="BE42" i="91"/>
  <c r="BI44" i="91" s="1"/>
  <c r="BD42" i="91"/>
  <c r="BD10" i="91" s="1"/>
  <c r="BC42" i="91"/>
  <c r="BC10" i="91" s="1"/>
  <c r="BB42" i="91"/>
  <c r="BB10" i="91" s="1"/>
  <c r="BA42" i="91"/>
  <c r="AZ42" i="91"/>
  <c r="AY42" i="91"/>
  <c r="AY10" i="91" s="1"/>
  <c r="AX42" i="91"/>
  <c r="AX10" i="91" s="1"/>
  <c r="AW42" i="91"/>
  <c r="AV42" i="91"/>
  <c r="AV10" i="91" s="1"/>
  <c r="AU42" i="91"/>
  <c r="AU10" i="91" s="1"/>
  <c r="AT42" i="91"/>
  <c r="AT10" i="91" s="1"/>
  <c r="AS42" i="91"/>
  <c r="P42" i="91"/>
  <c r="P10" i="91" s="1"/>
  <c r="K42" i="91"/>
  <c r="K10" i="91" s="1"/>
  <c r="J42" i="91"/>
  <c r="J10" i="91" s="1"/>
  <c r="I42" i="91"/>
  <c r="I10" i="91" s="1"/>
  <c r="H42" i="91"/>
  <c r="H10" i="91" s="1"/>
  <c r="G42" i="91"/>
  <c r="G10" i="91" s="1"/>
  <c r="BM40" i="91"/>
  <c r="BL40" i="91"/>
  <c r="BK40" i="91"/>
  <c r="BI40" i="91"/>
  <c r="BH40" i="91"/>
  <c r="BG40" i="91"/>
  <c r="BF40" i="91"/>
  <c r="BJ39" i="91"/>
  <c r="BJ17" i="91" s="1"/>
  <c r="BM35" i="91"/>
  <c r="BM36" i="91" s="1"/>
  <c r="BL35" i="91"/>
  <c r="BL36" i="91" s="1"/>
  <c r="BK35" i="91"/>
  <c r="BI35" i="91"/>
  <c r="BI36" i="91" s="1"/>
  <c r="BH35" i="91"/>
  <c r="BH36" i="91" s="1"/>
  <c r="BG35" i="91"/>
  <c r="BG36" i="91" s="1"/>
  <c r="BM33" i="91"/>
  <c r="BM57" i="91" s="1"/>
  <c r="BL33" i="91"/>
  <c r="BL57" i="91" s="1"/>
  <c r="BK33" i="91"/>
  <c r="BK57" i="91" s="1"/>
  <c r="BJ33" i="91"/>
  <c r="BJ57" i="91" s="1"/>
  <c r="AR33" i="91"/>
  <c r="AR57" i="91" s="1"/>
  <c r="AQ33" i="91"/>
  <c r="AQ57" i="91" s="1"/>
  <c r="AP33" i="91"/>
  <c r="AP57" i="91" s="1"/>
  <c r="AO33" i="91"/>
  <c r="AO57" i="91" s="1"/>
  <c r="AN33" i="91"/>
  <c r="AN57" i="91" s="1"/>
  <c r="AM33" i="91"/>
  <c r="AM57" i="91" s="1"/>
  <c r="AL33" i="91"/>
  <c r="AL57" i="91" s="1"/>
  <c r="AK33" i="91"/>
  <c r="AK57" i="91" s="1"/>
  <c r="AJ33" i="91"/>
  <c r="AJ57" i="91" s="1"/>
  <c r="AI33" i="91"/>
  <c r="AI57" i="91" s="1"/>
  <c r="AH33" i="91"/>
  <c r="AH57" i="91" s="1"/>
  <c r="AG33" i="91"/>
  <c r="AG57" i="91" s="1"/>
  <c r="AF33" i="91"/>
  <c r="AF57" i="91" s="1"/>
  <c r="AE33" i="91"/>
  <c r="AE57" i="91" s="1"/>
  <c r="BE32" i="91"/>
  <c r="BE4" i="91" s="1"/>
  <c r="BD32" i="91"/>
  <c r="BP9" i="103" s="1"/>
  <c r="BC32" i="91"/>
  <c r="BC4" i="91" s="1"/>
  <c r="BB32" i="91"/>
  <c r="BB4" i="91" s="1"/>
  <c r="BA32" i="91"/>
  <c r="BM9" i="103" s="1"/>
  <c r="AZ32" i="91"/>
  <c r="BL9" i="103" s="1"/>
  <c r="AY32" i="91"/>
  <c r="AX32" i="91"/>
  <c r="AX4" i="91" s="1"/>
  <c r="AW32" i="91"/>
  <c r="BI9" i="103" s="1"/>
  <c r="AV32" i="91"/>
  <c r="BH9" i="103" s="1"/>
  <c r="AU32" i="91"/>
  <c r="AU4" i="91" s="1"/>
  <c r="AT32" i="91"/>
  <c r="AT4" i="91" s="1"/>
  <c r="AS32" i="91"/>
  <c r="AS4" i="91" s="1"/>
  <c r="P32" i="91"/>
  <c r="K32" i="91"/>
  <c r="K4" i="91" s="1"/>
  <c r="J32" i="91"/>
  <c r="J4" i="91" s="1"/>
  <c r="I32" i="91"/>
  <c r="I4" i="91" s="1"/>
  <c r="H32" i="91"/>
  <c r="G32" i="91"/>
  <c r="G4" i="91" s="1"/>
  <c r="BJ26" i="91"/>
  <c r="BF26" i="91"/>
  <c r="BM25" i="91"/>
  <c r="BL25" i="91"/>
  <c r="BK24" i="91"/>
  <c r="BH21" i="91"/>
  <c r="BH49" i="92" s="1"/>
  <c r="BD21" i="91"/>
  <c r="BD49" i="92" s="1"/>
  <c r="AZ21" i="91"/>
  <c r="AJ21" i="91"/>
  <c r="AJ49" i="92" s="1"/>
  <c r="AF21" i="91"/>
  <c r="AF49" i="92" s="1"/>
  <c r="AB21" i="91"/>
  <c r="X21" i="91"/>
  <c r="X49" i="92" s="1"/>
  <c r="BM19" i="91"/>
  <c r="BL19" i="91"/>
  <c r="BK19" i="91"/>
  <c r="BJ19" i="91"/>
  <c r="BI19" i="91"/>
  <c r="BH19" i="91"/>
  <c r="BG19" i="91"/>
  <c r="BF19" i="91"/>
  <c r="BM18" i="91"/>
  <c r="BL18" i="91"/>
  <c r="BK18" i="91"/>
  <c r="BI18" i="91"/>
  <c r="BH18" i="91"/>
  <c r="BG18" i="91"/>
  <c r="BF18" i="91"/>
  <c r="BM17" i="91"/>
  <c r="BL17" i="91"/>
  <c r="BK17" i="91"/>
  <c r="BI17" i="91"/>
  <c r="BH17" i="91"/>
  <c r="BG17" i="91"/>
  <c r="BF17" i="91"/>
  <c r="BI13" i="91"/>
  <c r="BD13" i="91"/>
  <c r="AR13" i="91"/>
  <c r="AN13" i="91"/>
  <c r="AB13" i="91"/>
  <c r="X13" i="91"/>
  <c r="BM12" i="91"/>
  <c r="BL12" i="91"/>
  <c r="BK12" i="91"/>
  <c r="BJ12" i="91"/>
  <c r="BI12" i="91"/>
  <c r="BH12" i="91"/>
  <c r="BG12" i="91"/>
  <c r="BF12" i="91"/>
  <c r="BE12" i="91"/>
  <c r="BD12" i="91"/>
  <c r="BC12" i="91"/>
  <c r="BB12" i="91"/>
  <c r="BA12" i="91"/>
  <c r="AZ12" i="91"/>
  <c r="AY12" i="91"/>
  <c r="AX12" i="91"/>
  <c r="AW12" i="91"/>
  <c r="AV12" i="91"/>
  <c r="AU12" i="91"/>
  <c r="AT12" i="91"/>
  <c r="AS12" i="91"/>
  <c r="AR12" i="91"/>
  <c r="AQ12" i="91"/>
  <c r="AP12" i="91"/>
  <c r="AO12" i="91"/>
  <c r="AN12" i="91"/>
  <c r="AM12" i="91"/>
  <c r="AL12" i="91"/>
  <c r="AK12" i="91"/>
  <c r="AJ12" i="91"/>
  <c r="AI12" i="91"/>
  <c r="AH12" i="91"/>
  <c r="AG12" i="91"/>
  <c r="AF12" i="91"/>
  <c r="AE12" i="91"/>
  <c r="AD12" i="91"/>
  <c r="AC12" i="91"/>
  <c r="AB12" i="91"/>
  <c r="AA12" i="91"/>
  <c r="Z12" i="91"/>
  <c r="Y12" i="91"/>
  <c r="X12" i="91"/>
  <c r="W12" i="91"/>
  <c r="BM11" i="91"/>
  <c r="BL11" i="91"/>
  <c r="BK11" i="91"/>
  <c r="BJ11" i="91"/>
  <c r="BI11" i="91"/>
  <c r="BH11" i="91"/>
  <c r="BG11" i="91"/>
  <c r="BF11" i="91"/>
  <c r="BE11" i="91"/>
  <c r="BD11" i="91"/>
  <c r="BC11" i="91"/>
  <c r="BB11" i="91"/>
  <c r="BA11" i="91"/>
  <c r="AZ11" i="91"/>
  <c r="AY11" i="91"/>
  <c r="AX11" i="91"/>
  <c r="AW11" i="91"/>
  <c r="AV11" i="91"/>
  <c r="AU11" i="91"/>
  <c r="AT11" i="91"/>
  <c r="AS11" i="91"/>
  <c r="AR11" i="91"/>
  <c r="AQ11" i="91"/>
  <c r="AP11" i="91"/>
  <c r="AO11" i="91"/>
  <c r="AN11" i="91"/>
  <c r="AM11" i="91"/>
  <c r="AL11" i="91"/>
  <c r="AK11" i="91"/>
  <c r="AJ11" i="91"/>
  <c r="AI11" i="91"/>
  <c r="AH11" i="91"/>
  <c r="AG11" i="91"/>
  <c r="AF11" i="91"/>
  <c r="AE11" i="91"/>
  <c r="AD11" i="91"/>
  <c r="AC11" i="91"/>
  <c r="AB11" i="91"/>
  <c r="AA11" i="91"/>
  <c r="Z11" i="91"/>
  <c r="Y11" i="91"/>
  <c r="X11" i="91"/>
  <c r="W11" i="91"/>
  <c r="BM10" i="91"/>
  <c r="BL10" i="91"/>
  <c r="BK10" i="91"/>
  <c r="BJ10" i="91"/>
  <c r="BI10" i="91"/>
  <c r="BH10" i="91"/>
  <c r="BG10" i="91"/>
  <c r="BE10" i="91"/>
  <c r="BA10" i="91"/>
  <c r="AZ10" i="91"/>
  <c r="AW10" i="91"/>
  <c r="AS10" i="91"/>
  <c r="AR10" i="91"/>
  <c r="AQ10" i="91"/>
  <c r="AP10" i="91"/>
  <c r="AO10" i="91"/>
  <c r="AN10" i="91"/>
  <c r="AM10" i="91"/>
  <c r="AL10" i="91"/>
  <c r="AK10" i="91"/>
  <c r="AJ10" i="91"/>
  <c r="AI10" i="91"/>
  <c r="AH10" i="91"/>
  <c r="AG10" i="91"/>
  <c r="AF10" i="91"/>
  <c r="AE10" i="91"/>
  <c r="AD10" i="91"/>
  <c r="AC10" i="91"/>
  <c r="AB10" i="91"/>
  <c r="AA10" i="91"/>
  <c r="Z10" i="91"/>
  <c r="Y10" i="91"/>
  <c r="X10" i="91"/>
  <c r="W10" i="91"/>
  <c r="O12" i="91"/>
  <c r="K12" i="91"/>
  <c r="N11" i="91"/>
  <c r="M11" i="91"/>
  <c r="L11" i="91"/>
  <c r="K11" i="91"/>
  <c r="J11" i="91"/>
  <c r="I11" i="91"/>
  <c r="H11" i="91"/>
  <c r="G11" i="91"/>
  <c r="BN6" i="91"/>
  <c r="BM6" i="91"/>
  <c r="BL6" i="91"/>
  <c r="BK6" i="91"/>
  <c r="BJ6" i="91"/>
  <c r="BI6" i="91"/>
  <c r="BH6" i="91"/>
  <c r="BG6" i="91"/>
  <c r="BF6" i="91"/>
  <c r="BE6" i="91"/>
  <c r="BD6" i="91"/>
  <c r="BC6" i="91"/>
  <c r="BB6" i="91"/>
  <c r="BA6" i="91"/>
  <c r="AZ6" i="91"/>
  <c r="AY6" i="91"/>
  <c r="AX6" i="91"/>
  <c r="AW6" i="91"/>
  <c r="AV6" i="91"/>
  <c r="AU6" i="91"/>
  <c r="AT6" i="91"/>
  <c r="AS6" i="91"/>
  <c r="AR6" i="91"/>
  <c r="AQ6" i="91"/>
  <c r="AP6" i="91"/>
  <c r="AO6" i="91"/>
  <c r="AN6" i="91"/>
  <c r="AM6" i="91"/>
  <c r="AL6" i="91"/>
  <c r="AK6" i="91"/>
  <c r="AJ6" i="91"/>
  <c r="AI6" i="91"/>
  <c r="AH6" i="91"/>
  <c r="AG6" i="91"/>
  <c r="AF6" i="91"/>
  <c r="AE6" i="91"/>
  <c r="AD6" i="91"/>
  <c r="AC6" i="91"/>
  <c r="AB6" i="91"/>
  <c r="AA6" i="91"/>
  <c r="BN5" i="91"/>
  <c r="BM5" i="91"/>
  <c r="BL5" i="91"/>
  <c r="BK5" i="91"/>
  <c r="BJ5" i="91"/>
  <c r="BI5" i="91"/>
  <c r="BH5" i="91"/>
  <c r="BG5" i="91"/>
  <c r="BF5" i="91"/>
  <c r="BE5" i="91"/>
  <c r="BD5" i="91"/>
  <c r="BC5" i="91"/>
  <c r="BB5" i="91"/>
  <c r="BA5" i="91"/>
  <c r="AZ5" i="91"/>
  <c r="AY5" i="91"/>
  <c r="AX5" i="91"/>
  <c r="AW5" i="91"/>
  <c r="AV5" i="91"/>
  <c r="AU5" i="91"/>
  <c r="AT5" i="91"/>
  <c r="AS5" i="91"/>
  <c r="AR5" i="91"/>
  <c r="AQ5" i="91"/>
  <c r="AP5" i="91"/>
  <c r="AO5" i="91"/>
  <c r="AN5" i="91"/>
  <c r="AM5" i="91"/>
  <c r="AL5" i="91"/>
  <c r="AK5" i="91"/>
  <c r="AJ5" i="91"/>
  <c r="AI5" i="91"/>
  <c r="AH5" i="91"/>
  <c r="AG5" i="91"/>
  <c r="AF5" i="91"/>
  <c r="AE5" i="91"/>
  <c r="AD5" i="91"/>
  <c r="AC5" i="91"/>
  <c r="AB5" i="91"/>
  <c r="AA5" i="91"/>
  <c r="BM4" i="91"/>
  <c r="BL4" i="91"/>
  <c r="BK4" i="91"/>
  <c r="BJ4" i="91"/>
  <c r="BI4" i="91"/>
  <c r="BH4" i="91"/>
  <c r="BG4" i="91"/>
  <c r="BF4" i="91"/>
  <c r="AY4" i="91"/>
  <c r="AR4" i="91"/>
  <c r="AQ4" i="91"/>
  <c r="AP4" i="91"/>
  <c r="AP7" i="91" s="1"/>
  <c r="AP3" i="92" s="1"/>
  <c r="AO4" i="91"/>
  <c r="AN4" i="91"/>
  <c r="AM4" i="91"/>
  <c r="AL4" i="91"/>
  <c r="AL7" i="91" s="1"/>
  <c r="AK4" i="91"/>
  <c r="AJ4" i="91"/>
  <c r="AI4" i="91"/>
  <c r="AH4" i="91"/>
  <c r="AH7" i="91" s="1"/>
  <c r="AH3" i="92" s="1"/>
  <c r="AG4" i="91"/>
  <c r="AF4" i="91"/>
  <c r="AE4" i="91"/>
  <c r="AD4" i="91"/>
  <c r="AD7" i="91" s="1"/>
  <c r="AD3" i="92" s="1"/>
  <c r="AC4" i="91"/>
  <c r="AB4" i="91"/>
  <c r="AA4" i="91"/>
  <c r="Z6" i="91"/>
  <c r="Y6" i="91"/>
  <c r="X6" i="91"/>
  <c r="W6" i="91"/>
  <c r="N6" i="91"/>
  <c r="K6" i="91"/>
  <c r="J6" i="91"/>
  <c r="Z5" i="91"/>
  <c r="Y5" i="91"/>
  <c r="X5" i="91"/>
  <c r="W5" i="91"/>
  <c r="P5" i="91"/>
  <c r="N5" i="91"/>
  <c r="M5" i="91"/>
  <c r="L5" i="91"/>
  <c r="K5" i="91"/>
  <c r="J5" i="91"/>
  <c r="I5" i="91"/>
  <c r="H5" i="91"/>
  <c r="G5" i="91"/>
  <c r="Z4" i="91"/>
  <c r="Y4" i="91"/>
  <c r="X4" i="91"/>
  <c r="W4" i="91"/>
  <c r="P4" i="91"/>
  <c r="H4" i="91"/>
  <c r="L2" i="91"/>
  <c r="L2" i="92" s="1"/>
  <c r="H2" i="91"/>
  <c r="Y278" i="103" l="1"/>
  <c r="AC7" i="91"/>
  <c r="AG7" i="91"/>
  <c r="AG8" i="91" s="1"/>
  <c r="AK7" i="91"/>
  <c r="AO7" i="91"/>
  <c r="AO3" i="92" s="1"/>
  <c r="N206" i="91"/>
  <c r="N210" i="91"/>
  <c r="N219" i="91" s="1"/>
  <c r="BI24" i="91"/>
  <c r="O212" i="91"/>
  <c r="O116" i="91"/>
  <c r="O11" i="91" s="1"/>
  <c r="BJ158" i="91"/>
  <c r="BJ160" i="91"/>
  <c r="BJ159" i="91"/>
  <c r="BJ157" i="91"/>
  <c r="BJ161" i="91"/>
  <c r="BJ154" i="91"/>
  <c r="BI25" i="91"/>
  <c r="BH26" i="91"/>
  <c r="N211" i="91"/>
  <c r="N220" i="91" s="1"/>
  <c r="BK20" i="91"/>
  <c r="BK244" i="91" s="1"/>
  <c r="R214" i="91"/>
  <c r="BG20" i="91"/>
  <c r="BG244" i="91" s="1"/>
  <c r="BL26" i="91"/>
  <c r="M210" i="91"/>
  <c r="BM20" i="91"/>
  <c r="BM244" i="91" s="1"/>
  <c r="G43" i="91"/>
  <c r="K43" i="91"/>
  <c r="BI7" i="91"/>
  <c r="BK25" i="91"/>
  <c r="BK111" i="91"/>
  <c r="BH20" i="91"/>
  <c r="BH244" i="91" s="1"/>
  <c r="BL20" i="91"/>
  <c r="BL244" i="91" s="1"/>
  <c r="Z7" i="91"/>
  <c r="Z3" i="92" s="1"/>
  <c r="Z69" i="92" s="1"/>
  <c r="P11" i="91"/>
  <c r="BG26" i="91"/>
  <c r="BK26" i="91"/>
  <c r="P7" i="91"/>
  <c r="X14" i="91"/>
  <c r="AB14" i="91"/>
  <c r="AB11" i="92" s="1"/>
  <c r="AB16" i="92" s="1"/>
  <c r="AB23" i="92" s="1"/>
  <c r="AF14" i="91"/>
  <c r="AF11" i="92" s="1"/>
  <c r="AF5" i="92" s="1"/>
  <c r="AJ14" i="91"/>
  <c r="AN14" i="91"/>
  <c r="AN11" i="92" s="1"/>
  <c r="AN16" i="92" s="1"/>
  <c r="AN23" i="92" s="1"/>
  <c r="AR14" i="91"/>
  <c r="AR11" i="92" s="1"/>
  <c r="AV14" i="91"/>
  <c r="AV11" i="92" s="1"/>
  <c r="AV16" i="92" s="1"/>
  <c r="AV23" i="92" s="1"/>
  <c r="AZ14" i="91"/>
  <c r="AZ11" i="92" s="1"/>
  <c r="AZ5" i="92" s="1"/>
  <c r="BD14" i="91"/>
  <c r="BD11" i="92" s="1"/>
  <c r="BD48" i="92" s="1"/>
  <c r="BD50" i="92" s="1"/>
  <c r="BH14" i="91"/>
  <c r="BH11" i="92" s="1"/>
  <c r="BH48" i="92" s="1"/>
  <c r="BH50" i="92" s="1"/>
  <c r="BL14" i="91"/>
  <c r="BL11" i="92" s="1"/>
  <c r="BI231" i="91"/>
  <c r="N71" i="91"/>
  <c r="L87" i="91"/>
  <c r="M213" i="91"/>
  <c r="M222" i="91" s="1"/>
  <c r="I7" i="91"/>
  <c r="M85" i="91"/>
  <c r="M97" i="91" s="1"/>
  <c r="M91" i="91"/>
  <c r="N42" i="91"/>
  <c r="N10" i="91" s="1"/>
  <c r="N196" i="91"/>
  <c r="AX7" i="91"/>
  <c r="AX3" i="92" s="1"/>
  <c r="AS7" i="91"/>
  <c r="AS22" i="91" s="1"/>
  <c r="BE7" i="91"/>
  <c r="BE257" i="91" s="1"/>
  <c r="O114" i="91"/>
  <c r="K196" i="91"/>
  <c r="K224" i="91" s="1"/>
  <c r="O196" i="91"/>
  <c r="BF7" i="91"/>
  <c r="BF257" i="91" s="1"/>
  <c r="AT7" i="91"/>
  <c r="AT3" i="92" s="1"/>
  <c r="AT70" i="92" s="1"/>
  <c r="BB7" i="91"/>
  <c r="BB3" i="92" s="1"/>
  <c r="H196" i="91"/>
  <c r="H224" i="91" s="1"/>
  <c r="K207" i="91"/>
  <c r="O207" i="91"/>
  <c r="AG14" i="91"/>
  <c r="AG11" i="92" s="1"/>
  <c r="AG5" i="92" s="1"/>
  <c r="AW14" i="91"/>
  <c r="N213" i="91"/>
  <c r="N222" i="91" s="1"/>
  <c r="J253" i="91"/>
  <c r="J13" i="91" s="1"/>
  <c r="J14" i="91" s="1"/>
  <c r="AC14" i="91"/>
  <c r="AC11" i="92" s="1"/>
  <c r="AC16" i="92" s="1"/>
  <c r="AC23" i="92" s="1"/>
  <c r="AC33" i="92" s="1"/>
  <c r="AK14" i="91"/>
  <c r="AK11" i="92" s="1"/>
  <c r="AK48" i="92" s="1"/>
  <c r="AS14" i="91"/>
  <c r="BE14" i="91"/>
  <c r="BE11" i="92" s="1"/>
  <c r="BE16" i="92" s="1"/>
  <c r="BE23" i="92" s="1"/>
  <c r="BE32" i="92" s="1"/>
  <c r="BE74" i="92" s="1"/>
  <c r="H253" i="91"/>
  <c r="H13" i="91" s="1"/>
  <c r="H14" i="91" s="1"/>
  <c r="AF7" i="91"/>
  <c r="AF3" i="92" s="1"/>
  <c r="AF70" i="92" s="1"/>
  <c r="AV4" i="91"/>
  <c r="AV7" i="91" s="1"/>
  <c r="AV3" i="92" s="1"/>
  <c r="AZ4" i="91"/>
  <c r="AZ7" i="91" s="1"/>
  <c r="BD4" i="91"/>
  <c r="BD7" i="91" s="1"/>
  <c r="BL7" i="91"/>
  <c r="BL257" i="91" s="1"/>
  <c r="Z14" i="91"/>
  <c r="Z11" i="92" s="1"/>
  <c r="Z16" i="92" s="1"/>
  <c r="Z23" i="92" s="1"/>
  <c r="Z27" i="92" s="1"/>
  <c r="AP14" i="91"/>
  <c r="AP11" i="92" s="1"/>
  <c r="AP16" i="92" s="1"/>
  <c r="AP23" i="92" s="1"/>
  <c r="AP32" i="92" s="1"/>
  <c r="AP74" i="92" s="1"/>
  <c r="BF14" i="91"/>
  <c r="BJ18" i="91"/>
  <c r="BI21" i="91"/>
  <c r="BI22" i="91" s="1"/>
  <c r="BM24" i="91"/>
  <c r="L42" i="91"/>
  <c r="AZ91" i="91"/>
  <c r="BD91" i="91"/>
  <c r="BK200" i="91"/>
  <c r="J206" i="91"/>
  <c r="N207" i="91"/>
  <c r="O210" i="91"/>
  <c r="AU215" i="91"/>
  <c r="AU216" i="91" s="1"/>
  <c r="I253" i="91"/>
  <c r="I13" i="91" s="1"/>
  <c r="I14" i="91" s="1"/>
  <c r="J7" i="91"/>
  <c r="Y14" i="91"/>
  <c r="Y11" i="92" s="1"/>
  <c r="Y16" i="92" s="1"/>
  <c r="Y23" i="92" s="1"/>
  <c r="Y33" i="92" s="1"/>
  <c r="AO14" i="91"/>
  <c r="AO11" i="92" s="1"/>
  <c r="AO16" i="92" s="1"/>
  <c r="AO23" i="92" s="1"/>
  <c r="AO33" i="92" s="1"/>
  <c r="BA14" i="91"/>
  <c r="BI14" i="91"/>
  <c r="BI16" i="91" s="1"/>
  <c r="BJ16" i="91" s="1"/>
  <c r="BI20" i="91"/>
  <c r="BI244" i="91" s="1"/>
  <c r="BI240" i="91" s="1"/>
  <c r="J33" i="91"/>
  <c r="J57" i="91" s="1"/>
  <c r="N91" i="91"/>
  <c r="L253" i="91"/>
  <c r="L13" i="91" s="1"/>
  <c r="Y7" i="91"/>
  <c r="Y3" i="92" s="1"/>
  <c r="Y69" i="92" s="1"/>
  <c r="AW4" i="91"/>
  <c r="AW7" i="91" s="1"/>
  <c r="AW22" i="91" s="1"/>
  <c r="BA4" i="91"/>
  <c r="BA7" i="91" s="1"/>
  <c r="BA3" i="92" s="1"/>
  <c r="W14" i="91"/>
  <c r="AA14" i="91"/>
  <c r="AA11" i="92" s="1"/>
  <c r="AA5" i="92" s="1"/>
  <c r="AE14" i="91"/>
  <c r="AE11" i="92" s="1"/>
  <c r="AI14" i="91"/>
  <c r="AM14" i="91"/>
  <c r="AM11" i="92" s="1"/>
  <c r="AM48" i="92" s="1"/>
  <c r="AM50" i="92" s="1"/>
  <c r="AQ14" i="91"/>
  <c r="AQ11" i="92" s="1"/>
  <c r="AU14" i="91"/>
  <c r="AY14" i="91"/>
  <c r="BC14" i="91"/>
  <c r="BC11" i="92" s="1"/>
  <c r="BG14" i="91"/>
  <c r="BG11" i="92" s="1"/>
  <c r="BG48" i="92" s="1"/>
  <c r="BG50" i="92" s="1"/>
  <c r="BK14" i="91"/>
  <c r="BK11" i="92" s="1"/>
  <c r="BK48" i="92" s="1"/>
  <c r="BK50" i="92" s="1"/>
  <c r="BG24" i="91"/>
  <c r="M32" i="91"/>
  <c r="M4" i="91" s="1"/>
  <c r="M7" i="91" s="1"/>
  <c r="M22" i="91" s="1"/>
  <c r="AW91" i="91"/>
  <c r="BA91" i="91"/>
  <c r="BE91" i="91"/>
  <c r="Q148" i="91"/>
  <c r="Q153" i="91" s="1"/>
  <c r="Q161" i="91" s="1"/>
  <c r="BK153" i="91"/>
  <c r="BK161" i="91" s="1"/>
  <c r="P210" i="91"/>
  <c r="P219" i="91" s="1"/>
  <c r="BI255" i="91"/>
  <c r="AG3" i="92"/>
  <c r="AC3" i="92"/>
  <c r="AC69" i="92" s="1"/>
  <c r="AS3" i="92"/>
  <c r="AS70" i="92" s="1"/>
  <c r="AK3" i="92"/>
  <c r="AK69" i="92" s="1"/>
  <c r="BI257" i="91"/>
  <c r="BI3" i="92"/>
  <c r="BI69" i="92" s="1"/>
  <c r="X11" i="92"/>
  <c r="X48" i="92" s="1"/>
  <c r="X50" i="92" s="1"/>
  <c r="AJ11" i="92"/>
  <c r="AJ5" i="92" s="1"/>
  <c r="AD14" i="91"/>
  <c r="AD11" i="92" s="1"/>
  <c r="AD16" i="92" s="1"/>
  <c r="AD23" i="92" s="1"/>
  <c r="AH14" i="91"/>
  <c r="AH11" i="92" s="1"/>
  <c r="AH48" i="92" s="1"/>
  <c r="AH50" i="92" s="1"/>
  <c r="AH72" i="92" s="1"/>
  <c r="AL14" i="91"/>
  <c r="AL11" i="92" s="1"/>
  <c r="AL48" i="92" s="1"/>
  <c r="AT14" i="91"/>
  <c r="AT11" i="92" s="1"/>
  <c r="AT16" i="92" s="1"/>
  <c r="AT23" i="92" s="1"/>
  <c r="AX14" i="91"/>
  <c r="AX11" i="92" s="1"/>
  <c r="AX16" i="92" s="1"/>
  <c r="AX23" i="92" s="1"/>
  <c r="AX32" i="92" s="1"/>
  <c r="AX74" i="92" s="1"/>
  <c r="BB14" i="91"/>
  <c r="BB11" i="92" s="1"/>
  <c r="BJ14" i="91"/>
  <c r="BJ11" i="92" s="1"/>
  <c r="BJ5" i="92" s="1"/>
  <c r="AC21" i="91"/>
  <c r="AD21" i="91" s="1"/>
  <c r="AB49" i="92"/>
  <c r="L32" i="91"/>
  <c r="BE9" i="103"/>
  <c r="BI10" i="103" s="1"/>
  <c r="BI51" i="91"/>
  <c r="BQ9" i="103"/>
  <c r="BQ10" i="103" s="1"/>
  <c r="BJ40" i="91"/>
  <c r="BV24" i="103"/>
  <c r="BV25" i="103" s="1"/>
  <c r="P43" i="91"/>
  <c r="BJ7" i="91"/>
  <c r="BJ254" i="91" s="1"/>
  <c r="AT33" i="91"/>
  <c r="AT57" i="91" s="1"/>
  <c r="BF9" i="103"/>
  <c r="BF10" i="103" s="1"/>
  <c r="BB56" i="91"/>
  <c r="BN33" i="103" s="1"/>
  <c r="BJ9" i="103"/>
  <c r="BF56" i="91"/>
  <c r="BR33" i="103" s="1"/>
  <c r="BN9" i="103"/>
  <c r="BR10" i="103" s="1"/>
  <c r="I44" i="91"/>
  <c r="BJ55" i="91"/>
  <c r="BV31" i="103"/>
  <c r="M2" i="91"/>
  <c r="AL8" i="91"/>
  <c r="AL3" i="92"/>
  <c r="AL67" i="92" s="1"/>
  <c r="W7" i="91"/>
  <c r="W254" i="91" s="1"/>
  <c r="AA7" i="91"/>
  <c r="AA22" i="91" s="1"/>
  <c r="AI7" i="91"/>
  <c r="AI22" i="91" s="1"/>
  <c r="AQ7" i="91"/>
  <c r="AQ3" i="92" s="1"/>
  <c r="AQ69" i="92" s="1"/>
  <c r="AU7" i="91"/>
  <c r="AU22" i="91" s="1"/>
  <c r="AY7" i="91"/>
  <c r="BC7" i="91"/>
  <c r="BG7" i="91"/>
  <c r="BK7" i="91"/>
  <c r="BK22" i="91" s="1"/>
  <c r="AY56" i="91"/>
  <c r="BK33" i="103" s="1"/>
  <c r="BG9" i="103"/>
  <c r="BG10" i="103" s="1"/>
  <c r="BC56" i="91"/>
  <c r="BO33" i="103" s="1"/>
  <c r="BK9" i="103"/>
  <c r="BG56" i="91"/>
  <c r="BS33" i="103" s="1"/>
  <c r="BO9" i="103"/>
  <c r="BS10" i="103" s="1"/>
  <c r="BM37" i="91"/>
  <c r="AT44" i="91"/>
  <c r="AT43" i="91"/>
  <c r="AX44" i="91"/>
  <c r="BB44" i="91"/>
  <c r="BB43" i="91"/>
  <c r="BJ44" i="91"/>
  <c r="BF44" i="91"/>
  <c r="BF43" i="91"/>
  <c r="AX56" i="91"/>
  <c r="BJ33" i="103" s="1"/>
  <c r="G7" i="91"/>
  <c r="K7" i="91"/>
  <c r="K22" i="91" s="1"/>
  <c r="AE7" i="91"/>
  <c r="AE3" i="92" s="1"/>
  <c r="AE69" i="92" s="1"/>
  <c r="AM7" i="91"/>
  <c r="AM3" i="92" s="1"/>
  <c r="AM69" i="92" s="1"/>
  <c r="I2" i="91"/>
  <c r="H2" i="92"/>
  <c r="H7" i="91"/>
  <c r="I8" i="91" s="1"/>
  <c r="X7" i="91"/>
  <c r="X3" i="92" s="1"/>
  <c r="X70" i="92" s="1"/>
  <c r="AB7" i="91"/>
  <c r="AB254" i="91" s="1"/>
  <c r="AJ7" i="91"/>
  <c r="AJ22" i="91" s="1"/>
  <c r="AN7" i="91"/>
  <c r="AN3" i="92" s="1"/>
  <c r="AR7" i="91"/>
  <c r="AR3" i="92" s="1"/>
  <c r="AR69" i="92" s="1"/>
  <c r="BH7" i="91"/>
  <c r="BH22" i="91" s="1"/>
  <c r="BM7" i="91"/>
  <c r="BM257" i="91" s="1"/>
  <c r="BA21" i="91"/>
  <c r="BB21" i="91" s="1"/>
  <c r="AZ49" i="92"/>
  <c r="I33" i="91"/>
  <c r="I57" i="91" s="1"/>
  <c r="BF35" i="91"/>
  <c r="BK37" i="91"/>
  <c r="P39" i="91"/>
  <c r="P35" i="91" s="1"/>
  <c r="J43" i="91"/>
  <c r="O42" i="91"/>
  <c r="O10" i="91" s="1"/>
  <c r="AU43" i="91"/>
  <c r="AY43" i="91"/>
  <c r="BC43" i="91"/>
  <c r="BA75" i="91"/>
  <c r="BE75" i="91"/>
  <c r="AY91" i="91"/>
  <c r="BC91" i="91"/>
  <c r="O107" i="91"/>
  <c r="O108" i="91" s="1"/>
  <c r="BJ107" i="91"/>
  <c r="BH108" i="91"/>
  <c r="BL143" i="91" s="1"/>
  <c r="O117" i="91"/>
  <c r="P202" i="91"/>
  <c r="K206" i="91"/>
  <c r="G206" i="91"/>
  <c r="P212" i="91"/>
  <c r="P221" i="91" s="1"/>
  <c r="P222" i="91"/>
  <c r="AZ215" i="91"/>
  <c r="AZ216" i="91" s="1"/>
  <c r="BM224" i="91"/>
  <c r="BO203" i="91"/>
  <c r="BO202" i="91" s="1"/>
  <c r="BO19" i="91" s="1"/>
  <c r="AB255" i="91"/>
  <c r="AF255" i="91"/>
  <c r="AJ255" i="91"/>
  <c r="AN255" i="91"/>
  <c r="AR255" i="91"/>
  <c r="AV255" i="91"/>
  <c r="AZ255" i="91"/>
  <c r="BD255" i="91"/>
  <c r="BG9" i="92"/>
  <c r="P9" i="92" s="1"/>
  <c r="BB54" i="91"/>
  <c r="BN31" i="103" s="1"/>
  <c r="AX75" i="91"/>
  <c r="BB75" i="91"/>
  <c r="M74" i="91"/>
  <c r="BK110" i="91"/>
  <c r="Q107" i="91"/>
  <c r="L196" i="91"/>
  <c r="L224" i="91" s="1"/>
  <c r="P196" i="91"/>
  <c r="BI200" i="91"/>
  <c r="BM200" i="91"/>
  <c r="O206" i="91"/>
  <c r="N253" i="91"/>
  <c r="N13" i="91" s="1"/>
  <c r="G253" i="91"/>
  <c r="G13" i="91" s="1"/>
  <c r="G14" i="91" s="1"/>
  <c r="K253" i="91"/>
  <c r="K13" i="91" s="1"/>
  <c r="K14" i="91" s="1"/>
  <c r="O253" i="91"/>
  <c r="O13" i="91" s="1"/>
  <c r="AC255" i="91"/>
  <c r="AG255" i="91"/>
  <c r="AK255" i="91"/>
  <c r="AO255" i="91"/>
  <c r="AS255" i="91"/>
  <c r="AW255" i="91"/>
  <c r="BA255" i="91"/>
  <c r="BE255" i="91"/>
  <c r="N69" i="91"/>
  <c r="N81" i="91" s="1"/>
  <c r="AY75" i="91"/>
  <c r="BC75" i="91"/>
  <c r="L90" i="91"/>
  <c r="P105" i="91"/>
  <c r="BL110" i="91"/>
  <c r="BK108" i="91"/>
  <c r="P113" i="91"/>
  <c r="Q158" i="91"/>
  <c r="I196" i="91"/>
  <c r="I224" i="91" s="1"/>
  <c r="M196" i="91"/>
  <c r="J196" i="91"/>
  <c r="H206" i="91"/>
  <c r="L207" i="91"/>
  <c r="P206" i="91"/>
  <c r="BL215" i="91"/>
  <c r="BL216" i="91" s="1"/>
  <c r="BN211" i="91"/>
  <c r="BA224" i="91"/>
  <c r="M227" i="91"/>
  <c r="M253" i="91"/>
  <c r="M255" i="91" s="1"/>
  <c r="AD255" i="91"/>
  <c r="AH255" i="91"/>
  <c r="AL255" i="91"/>
  <c r="AP255" i="91"/>
  <c r="AT255" i="91"/>
  <c r="AX255" i="91"/>
  <c r="BB255" i="91"/>
  <c r="BK255" i="91"/>
  <c r="BF54" i="91"/>
  <c r="BR31" i="103" s="1"/>
  <c r="AZ75" i="91"/>
  <c r="BD75" i="91"/>
  <c r="N74" i="91"/>
  <c r="BM110" i="91"/>
  <c r="BG108" i="91"/>
  <c r="P117" i="91"/>
  <c r="S122" i="91"/>
  <c r="T122" i="91" s="1"/>
  <c r="U122" i="91" s="1"/>
  <c r="Q159" i="91"/>
  <c r="BL200" i="91"/>
  <c r="J207" i="91"/>
  <c r="M206" i="91"/>
  <c r="BB214" i="91"/>
  <c r="BB215" i="91" s="1"/>
  <c r="AY215" i="91"/>
  <c r="AY216" i="91" s="1"/>
  <c r="BI224" i="91"/>
  <c r="P252" i="91"/>
  <c r="P253" i="91" s="1"/>
  <c r="AA255" i="91"/>
  <c r="AE255" i="91"/>
  <c r="AI255" i="91"/>
  <c r="AM255" i="91"/>
  <c r="AQ255" i="91"/>
  <c r="AU255" i="91"/>
  <c r="AY255" i="91"/>
  <c r="BC255" i="91"/>
  <c r="BH255" i="91"/>
  <c r="BL255" i="91"/>
  <c r="L8" i="92"/>
  <c r="Q8" i="92"/>
  <c r="L230" i="91"/>
  <c r="M230" i="91"/>
  <c r="BM133" i="91"/>
  <c r="BK127" i="91"/>
  <c r="BK133" i="91" s="1"/>
  <c r="R34" i="2"/>
  <c r="M76" i="2"/>
  <c r="I76" i="2"/>
  <c r="T25" i="92"/>
  <c r="R20" i="92"/>
  <c r="Q131" i="91"/>
  <c r="BQ198" i="91"/>
  <c r="BQ200" i="91" s="1"/>
  <c r="BQ6" i="91"/>
  <c r="BQ202" i="91"/>
  <c r="BQ19" i="91" s="1"/>
  <c r="BQ215" i="91"/>
  <c r="BQ216" i="91" s="1"/>
  <c r="BP202" i="91"/>
  <c r="BP19" i="91" s="1"/>
  <c r="BP6" i="91"/>
  <c r="BP215" i="91"/>
  <c r="BP216" i="91" s="1"/>
  <c r="BO6" i="91"/>
  <c r="BO215" i="91"/>
  <c r="BO216" i="91" s="1"/>
  <c r="CB470" i="103"/>
  <c r="CB176" i="103"/>
  <c r="U278" i="103"/>
  <c r="X414" i="103"/>
  <c r="X431" i="103"/>
  <c r="S440" i="103"/>
  <c r="W440" i="103"/>
  <c r="W280" i="103" s="1"/>
  <c r="CD278" i="103"/>
  <c r="Q461" i="103"/>
  <c r="Y461" i="103"/>
  <c r="Y185" i="103" s="1"/>
  <c r="BV178" i="103"/>
  <c r="BV137" i="103" s="1"/>
  <c r="BV402" i="103"/>
  <c r="BV419" i="103"/>
  <c r="BV278" i="103"/>
  <c r="BV280" i="103" s="1"/>
  <c r="X278" i="103"/>
  <c r="Y70" i="103"/>
  <c r="T136" i="103"/>
  <c r="T279" i="103"/>
  <c r="N368" i="103"/>
  <c r="O368" i="103"/>
  <c r="BX470" i="103"/>
  <c r="V278" i="103"/>
  <c r="S407" i="103"/>
  <c r="W407" i="103"/>
  <c r="S424" i="103"/>
  <c r="W424" i="103"/>
  <c r="Q431" i="103"/>
  <c r="Y431" i="103"/>
  <c r="R461" i="103"/>
  <c r="CD461" i="103"/>
  <c r="CD185" i="103" s="1"/>
  <c r="CD187" i="103" s="1"/>
  <c r="CD138" i="103" s="1"/>
  <c r="BZ280" i="103"/>
  <c r="R431" i="103"/>
  <c r="Q440" i="103"/>
  <c r="BZ440" i="103"/>
  <c r="Y440" i="103"/>
  <c r="Y280" i="103" s="1"/>
  <c r="T278" i="103"/>
  <c r="S431" i="103"/>
  <c r="W431" i="103"/>
  <c r="R440" i="103"/>
  <c r="R452" i="103"/>
  <c r="BT25" i="103"/>
  <c r="BX25" i="103"/>
  <c r="H227" i="91"/>
  <c r="N227" i="91"/>
  <c r="O227" i="91"/>
  <c r="K9" i="103"/>
  <c r="BY19" i="103"/>
  <c r="BY25" i="103"/>
  <c r="BW34" i="103"/>
  <c r="H8" i="92"/>
  <c r="I8" i="92"/>
  <c r="M8" i="92"/>
  <c r="P8" i="92"/>
  <c r="J92" i="2"/>
  <c r="BU28" i="103"/>
  <c r="BY28" i="103"/>
  <c r="G9" i="92"/>
  <c r="BY34" i="103"/>
  <c r="G8" i="92"/>
  <c r="J8" i="92"/>
  <c r="K8" i="92"/>
  <c r="N8" i="92"/>
  <c r="O8" i="92"/>
  <c r="K76" i="2"/>
  <c r="O78" i="2"/>
  <c r="L80" i="2"/>
  <c r="L92" i="2" s="1"/>
  <c r="J78" i="2"/>
  <c r="K71" i="2"/>
  <c r="I38" i="2"/>
  <c r="M38" i="2"/>
  <c r="H92" i="2"/>
  <c r="J64" i="2"/>
  <c r="J76" i="2" s="1"/>
  <c r="N64" i="2"/>
  <c r="N76" i="2" s="1"/>
  <c r="K66" i="2"/>
  <c r="M80" i="2"/>
  <c r="I87" i="2"/>
  <c r="S23" i="8"/>
  <c r="H99" i="2"/>
  <c r="L99" i="2"/>
  <c r="H38" i="2"/>
  <c r="I75" i="2"/>
  <c r="M75" i="2"/>
  <c r="K80" i="2"/>
  <c r="M8" i="2"/>
  <c r="M17" i="2" s="1"/>
  <c r="O30" i="8"/>
  <c r="T28" i="2"/>
  <c r="S26" i="8"/>
  <c r="R26" i="8"/>
  <c r="H71" i="2"/>
  <c r="L71" i="2"/>
  <c r="N71" i="2"/>
  <c r="T23" i="8"/>
  <c r="U23" i="8"/>
  <c r="R23" i="8"/>
  <c r="T21" i="8"/>
  <c r="U21" i="8"/>
  <c r="R21" i="8"/>
  <c r="S21" i="8"/>
  <c r="Q128" i="2"/>
  <c r="Q134" i="2" s="1"/>
  <c r="Q135" i="2" s="1"/>
  <c r="Q45" i="92"/>
  <c r="H54" i="92"/>
  <c r="I54" i="92"/>
  <c r="K54" i="92"/>
  <c r="L54" i="92"/>
  <c r="J54" i="92"/>
  <c r="AO10" i="103"/>
  <c r="AS10" i="103"/>
  <c r="AW10" i="103"/>
  <c r="BA10" i="103"/>
  <c r="BM10" i="103"/>
  <c r="BS25" i="103"/>
  <c r="BW25" i="103"/>
  <c r="BT21" i="103"/>
  <c r="BT22" i="103" s="1"/>
  <c r="BX21" i="103"/>
  <c r="BX22" i="103" s="1"/>
  <c r="G227" i="91"/>
  <c r="I227" i="91"/>
  <c r="K227" i="91"/>
  <c r="AU228" i="91"/>
  <c r="BK228" i="91"/>
  <c r="AP10" i="103"/>
  <c r="AT10" i="103"/>
  <c r="AX10" i="103"/>
  <c r="BB10" i="103"/>
  <c r="BV10" i="103"/>
  <c r="AB228" i="91"/>
  <c r="AF228" i="91"/>
  <c r="AJ228" i="91"/>
  <c r="AN228" i="91"/>
  <c r="AR228" i="91"/>
  <c r="AV228" i="91"/>
  <c r="AZ228" i="91"/>
  <c r="BD228" i="91"/>
  <c r="BH228" i="91"/>
  <c r="BL228" i="91"/>
  <c r="P230" i="91"/>
  <c r="AU10" i="103"/>
  <c r="AY10" i="103"/>
  <c r="AF231" i="91"/>
  <c r="AJ231" i="91"/>
  <c r="AN231" i="91"/>
  <c r="AR231" i="91"/>
  <c r="AV231" i="91"/>
  <c r="AZ231" i="91"/>
  <c r="BD231" i="91"/>
  <c r="BH231" i="91"/>
  <c r="BL231" i="91"/>
  <c r="AN10" i="103"/>
  <c r="AR10" i="103"/>
  <c r="AV10" i="103"/>
  <c r="AZ10" i="103"/>
  <c r="BD10" i="103"/>
  <c r="BH10" i="103"/>
  <c r="BL10" i="103"/>
  <c r="BP10" i="103"/>
  <c r="BS21" i="103"/>
  <c r="BS22" i="103" s="1"/>
  <c r="BW21" i="103"/>
  <c r="BW22" i="103" s="1"/>
  <c r="BX34" i="103"/>
  <c r="CD280" i="103"/>
  <c r="BU403" i="103"/>
  <c r="CD402" i="103"/>
  <c r="CA404" i="103"/>
  <c r="BT406" i="103"/>
  <c r="CB406" i="103"/>
  <c r="BX409" i="103"/>
  <c r="CB410" i="103"/>
  <c r="BY419" i="103"/>
  <c r="BV423" i="103"/>
  <c r="BT427" i="103"/>
  <c r="BX428" i="103"/>
  <c r="BX430" i="103"/>
  <c r="BS436" i="103"/>
  <c r="BS279" i="103" s="1"/>
  <c r="BY436" i="103"/>
  <c r="BY279" i="103" s="1"/>
  <c r="BU437" i="103"/>
  <c r="CA438" i="103"/>
  <c r="BX439" i="103"/>
  <c r="CC439" i="103"/>
  <c r="BV443" i="103"/>
  <c r="CD445" i="103"/>
  <c r="BS447" i="103"/>
  <c r="CA449" i="103"/>
  <c r="BY450" i="103"/>
  <c r="BU451" i="103"/>
  <c r="BW455" i="103"/>
  <c r="BW456" i="103" s="1"/>
  <c r="BW331" i="103" s="1"/>
  <c r="BW333" i="103" s="1"/>
  <c r="BV459" i="103"/>
  <c r="BX460" i="103"/>
  <c r="BX461" i="103" s="1"/>
  <c r="BX185" i="103" s="1"/>
  <c r="BX187" i="103" s="1"/>
  <c r="BX138" i="103" s="1"/>
  <c r="BY402" i="103"/>
  <c r="BW403" i="103"/>
  <c r="CC404" i="103"/>
  <c r="BX405" i="103"/>
  <c r="BV406" i="103"/>
  <c r="BV407" i="103" s="1"/>
  <c r="CD406" i="103"/>
  <c r="S414" i="103"/>
  <c r="S416" i="103" s="1"/>
  <c r="W414" i="103"/>
  <c r="W416" i="103" s="1"/>
  <c r="W203" i="103" s="1"/>
  <c r="CD409" i="103"/>
  <c r="V424" i="103"/>
  <c r="CC419" i="103"/>
  <c r="BZ423" i="103"/>
  <c r="BX427" i="103"/>
  <c r="BT429" i="103"/>
  <c r="CB430" i="103"/>
  <c r="BU436" i="103"/>
  <c r="BU279" i="103" s="1"/>
  <c r="CA436" i="103"/>
  <c r="CA279" i="103" s="1"/>
  <c r="BY437" i="103"/>
  <c r="CC438" i="103"/>
  <c r="BY439" i="103"/>
  <c r="BW446" i="103"/>
  <c r="BU447" i="103"/>
  <c r="CC449" i="103"/>
  <c r="BZ450" i="103"/>
  <c r="BV451" i="103"/>
  <c r="CA455" i="103"/>
  <c r="CA456" i="103" s="1"/>
  <c r="CA331" i="103" s="1"/>
  <c r="CA333" i="103" s="1"/>
  <c r="CA295" i="103" s="1"/>
  <c r="CB460" i="103"/>
  <c r="K9" i="92"/>
  <c r="M9" i="92"/>
  <c r="R9" i="92"/>
  <c r="I71" i="2"/>
  <c r="M71" i="2"/>
  <c r="V407" i="103"/>
  <c r="CA402" i="103"/>
  <c r="BY403" i="103"/>
  <c r="BZ405" i="103"/>
  <c r="BZ406" i="103"/>
  <c r="S433" i="103"/>
  <c r="R424" i="103"/>
  <c r="R433" i="103" s="1"/>
  <c r="BT419" i="103"/>
  <c r="BY420" i="103"/>
  <c r="BZ422" i="103"/>
  <c r="CD423" i="103"/>
  <c r="BX426" i="103"/>
  <c r="CB427" i="103"/>
  <c r="BW436" i="103"/>
  <c r="BW279" i="103" s="1"/>
  <c r="BS437" i="103"/>
  <c r="BS438" i="103"/>
  <c r="BS439" i="103"/>
  <c r="CA439" i="103"/>
  <c r="X452" i="103"/>
  <c r="BS443" i="103"/>
  <c r="CA445" i="103"/>
  <c r="BY446" i="103"/>
  <c r="BV447" i="103"/>
  <c r="CD449" i="103"/>
  <c r="V456" i="103"/>
  <c r="V331" i="103" s="1"/>
  <c r="CB455" i="103"/>
  <c r="CB456" i="103" s="1"/>
  <c r="CB331" i="103" s="1"/>
  <c r="CB333" i="103" s="1"/>
  <c r="X461" i="103"/>
  <c r="X185" i="103" s="1"/>
  <c r="BT459" i="103"/>
  <c r="BT461" i="103" s="1"/>
  <c r="BT185" i="103" s="1"/>
  <c r="BT187" i="103" s="1"/>
  <c r="BT138" i="103" s="1"/>
  <c r="CB459" i="103"/>
  <c r="R8" i="92"/>
  <c r="J71" i="2"/>
  <c r="R407" i="103"/>
  <c r="BT402" i="103"/>
  <c r="CC402" i="103"/>
  <c r="BZ403" i="103"/>
  <c r="CD405" i="103"/>
  <c r="CA406" i="103"/>
  <c r="BZ410" i="103"/>
  <c r="BT411" i="103"/>
  <c r="BU420" i="103"/>
  <c r="CC421" i="103"/>
  <c r="CD422" i="103"/>
  <c r="CB426" i="103"/>
  <c r="BT428" i="103"/>
  <c r="CB429" i="103"/>
  <c r="X440" i="103"/>
  <c r="X280" i="103" s="1"/>
  <c r="BX436" i="103"/>
  <c r="BX279" i="103" s="1"/>
  <c r="BT437" i="103"/>
  <c r="BX438" i="103"/>
  <c r="BW439" i="103"/>
  <c r="CB439" i="103"/>
  <c r="BU443" i="103"/>
  <c r="CC445" i="103"/>
  <c r="BZ446" i="103"/>
  <c r="BW450" i="103"/>
  <c r="BS451" i="103"/>
  <c r="CC451" i="103"/>
  <c r="BS455" i="103"/>
  <c r="BS456" i="103" s="1"/>
  <c r="BS331" i="103" s="1"/>
  <c r="BS333" i="103" s="1"/>
  <c r="BS342" i="103" s="1"/>
  <c r="CC455" i="103"/>
  <c r="CC456" i="103" s="1"/>
  <c r="CC331" i="103" s="1"/>
  <c r="CC333" i="103" s="1"/>
  <c r="BU459" i="103"/>
  <c r="I9" i="92"/>
  <c r="J9" i="92"/>
  <c r="N9" i="92"/>
  <c r="O9" i="92"/>
  <c r="Q9" i="92"/>
  <c r="BP58" i="92"/>
  <c r="BP60" i="92" s="1"/>
  <c r="BP55" i="92" s="1"/>
  <c r="O66" i="2"/>
  <c r="CB373" i="103"/>
  <c r="CC373" i="103" s="1"/>
  <c r="CD373" i="103" s="1"/>
  <c r="X172" i="103"/>
  <c r="X150" i="103"/>
  <c r="AM228" i="91"/>
  <c r="AG231" i="91"/>
  <c r="AK231" i="91"/>
  <c r="AO231" i="91"/>
  <c r="AS231" i="91"/>
  <c r="AW231" i="91"/>
  <c r="AA228" i="91"/>
  <c r="AI228" i="91"/>
  <c r="AQ228" i="91"/>
  <c r="P227" i="91"/>
  <c r="AE228" i="91"/>
  <c r="BJ231" i="91"/>
  <c r="L227" i="91"/>
  <c r="BC228" i="91"/>
  <c r="H230" i="91"/>
  <c r="AC228" i="91"/>
  <c r="AG228" i="91"/>
  <c r="AK228" i="91"/>
  <c r="AO228" i="91"/>
  <c r="AS228" i="91"/>
  <c r="AW228" i="91"/>
  <c r="BA228" i="91"/>
  <c r="BE228" i="91"/>
  <c r="BI228" i="91"/>
  <c r="BM228" i="91"/>
  <c r="I230" i="91"/>
  <c r="W398" i="103"/>
  <c r="W83" i="103" s="1"/>
  <c r="S34" i="2"/>
  <c r="T34" i="2" s="1"/>
  <c r="U34" i="2" s="1"/>
  <c r="H57" i="8"/>
  <c r="G3" i="2"/>
  <c r="G8" i="2" s="1"/>
  <c r="G17" i="2" s="1"/>
  <c r="G40" i="2" s="1"/>
  <c r="O92" i="2"/>
  <c r="N92" i="2"/>
  <c r="O87" i="2"/>
  <c r="R25" i="2"/>
  <c r="K92" i="2"/>
  <c r="T65" i="2"/>
  <c r="I92" i="2"/>
  <c r="M92" i="2"/>
  <c r="G86" i="2"/>
  <c r="G87" i="2" s="1"/>
  <c r="G60" i="2"/>
  <c r="G46" i="2"/>
  <c r="K60" i="2"/>
  <c r="K46" i="2"/>
  <c r="J38" i="2"/>
  <c r="N38" i="2"/>
  <c r="H60" i="2"/>
  <c r="H46" i="2"/>
  <c r="L60" i="2"/>
  <c r="L46" i="2"/>
  <c r="I60" i="2"/>
  <c r="I46" i="2"/>
  <c r="M60" i="2"/>
  <c r="M46" i="2"/>
  <c r="L38" i="2"/>
  <c r="P38" i="2"/>
  <c r="J60" i="2"/>
  <c r="J46" i="2"/>
  <c r="J66" i="2"/>
  <c r="N66" i="2"/>
  <c r="J75" i="2"/>
  <c r="N75" i="2"/>
  <c r="M85" i="2"/>
  <c r="M87" i="2" s="1"/>
  <c r="S128" i="2"/>
  <c r="U137" i="2"/>
  <c r="G71" i="2"/>
  <c r="G75" i="2"/>
  <c r="K75" i="2"/>
  <c r="O75" i="2"/>
  <c r="N85" i="2"/>
  <c r="N87" i="2" s="1"/>
  <c r="R133" i="2"/>
  <c r="T32" i="2"/>
  <c r="H66" i="2"/>
  <c r="L66" i="2"/>
  <c r="P66" i="2"/>
  <c r="H75" i="2"/>
  <c r="L75" i="2"/>
  <c r="K85" i="2"/>
  <c r="K87" i="2" s="1"/>
  <c r="J87" i="2"/>
  <c r="S19" i="2"/>
  <c r="I66" i="2"/>
  <c r="M66" i="2"/>
  <c r="P92" i="2"/>
  <c r="Q92" i="2" s="1"/>
  <c r="R92" i="2" s="1"/>
  <c r="S92" i="2" s="1"/>
  <c r="T92" i="2" s="1"/>
  <c r="U92" i="2" s="1"/>
  <c r="L85" i="2"/>
  <c r="L87" i="2" s="1"/>
  <c r="K81" i="2"/>
  <c r="O81" i="2"/>
  <c r="I99" i="2"/>
  <c r="M99" i="2"/>
  <c r="H81" i="2"/>
  <c r="L81" i="2"/>
  <c r="P81" i="2"/>
  <c r="J99" i="2"/>
  <c r="N99" i="2"/>
  <c r="H101" i="2"/>
  <c r="L101" i="2"/>
  <c r="P101" i="2"/>
  <c r="R128" i="2"/>
  <c r="I81" i="2"/>
  <c r="M81" i="2"/>
  <c r="J81" i="2"/>
  <c r="N81" i="2"/>
  <c r="AO70" i="92"/>
  <c r="AO69" i="92"/>
  <c r="AN69" i="92"/>
  <c r="H9" i="92"/>
  <c r="L9" i="92"/>
  <c r="I20" i="92"/>
  <c r="I18" i="92" s="1"/>
  <c r="AD18" i="92"/>
  <c r="AT18" i="92"/>
  <c r="BJ18" i="92"/>
  <c r="BM25" i="92"/>
  <c r="BM18" i="92"/>
  <c r="Y25" i="92"/>
  <c r="AG25" i="92"/>
  <c r="AO25" i="92"/>
  <c r="AW25" i="92"/>
  <c r="BE25" i="92"/>
  <c r="AD69" i="92"/>
  <c r="AH70" i="92"/>
  <c r="AH69" i="92"/>
  <c r="AH67" i="92"/>
  <c r="AP70" i="92"/>
  <c r="AP69" i="92"/>
  <c r="L18" i="92"/>
  <c r="P18" i="92"/>
  <c r="J20" i="92"/>
  <c r="J18" i="92" s="1"/>
  <c r="N20" i="92"/>
  <c r="N18" i="92" s="1"/>
  <c r="AC25" i="92"/>
  <c r="AK25" i="92"/>
  <c r="AS25" i="92"/>
  <c r="BA25" i="92"/>
  <c r="BI25" i="92"/>
  <c r="W25" i="92"/>
  <c r="G25" i="92" s="1"/>
  <c r="AA25" i="92"/>
  <c r="H25" i="92" s="1"/>
  <c r="AE25" i="92"/>
  <c r="AI25" i="92"/>
  <c r="AM25" i="92"/>
  <c r="K25" i="92" s="1"/>
  <c r="AQ25" i="92"/>
  <c r="L25" i="92" s="1"/>
  <c r="AU25" i="92"/>
  <c r="AY25" i="92"/>
  <c r="N25" i="92" s="1"/>
  <c r="BC25" i="92"/>
  <c r="O25" i="92" s="1"/>
  <c r="BG25" i="92"/>
  <c r="P25" i="92" s="1"/>
  <c r="BK25" i="92"/>
  <c r="BO25" i="92"/>
  <c r="R25" i="92" s="1"/>
  <c r="J38" i="92"/>
  <c r="O38" i="92"/>
  <c r="BF38" i="92" s="1"/>
  <c r="H56" i="92"/>
  <c r="I53" i="92" s="1"/>
  <c r="I56" i="92" s="1"/>
  <c r="J53" i="92" s="1"/>
  <c r="J56" i="92" s="1"/>
  <c r="K53" i="92" s="1"/>
  <c r="K56" i="92" s="1"/>
  <c r="L53" i="92" s="1"/>
  <c r="L56" i="92" s="1"/>
  <c r="M53" i="92" s="1"/>
  <c r="O54" i="92"/>
  <c r="S73" i="92"/>
  <c r="R73" i="92"/>
  <c r="K38" i="92"/>
  <c r="O56" i="92"/>
  <c r="P53" i="92" s="1"/>
  <c r="P56" i="92" s="1"/>
  <c r="Q53" i="92" s="1"/>
  <c r="H73" i="92"/>
  <c r="L73" i="92"/>
  <c r="P73" i="92"/>
  <c r="H38" i="92"/>
  <c r="N38" i="92"/>
  <c r="M54" i="92"/>
  <c r="N54" i="92"/>
  <c r="I73" i="92"/>
  <c r="M73" i="92"/>
  <c r="Q73" i="92"/>
  <c r="I38" i="92"/>
  <c r="M38" i="92"/>
  <c r="AX59" i="92"/>
  <c r="Q60" i="92"/>
  <c r="Q55" i="92" s="1"/>
  <c r="BN55" i="92"/>
  <c r="BN54" i="92" s="1"/>
  <c r="Q54" i="92" s="1"/>
  <c r="T59" i="92"/>
  <c r="R60" i="92"/>
  <c r="R55" i="92" s="1"/>
  <c r="BR58" i="92"/>
  <c r="BR60" i="92" s="1"/>
  <c r="BR55" i="92" s="1"/>
  <c r="BQ58" i="92"/>
  <c r="BQ60" i="92" s="1"/>
  <c r="BQ55" i="92" s="1"/>
  <c r="N9" i="103"/>
  <c r="BT68" i="103"/>
  <c r="BU65" i="103"/>
  <c r="O9" i="103"/>
  <c r="BV66" i="103"/>
  <c r="BW66" i="103" s="1"/>
  <c r="BX67" i="103"/>
  <c r="BY67" i="103" s="1"/>
  <c r="BZ67" i="103" s="1"/>
  <c r="CA67" i="103" s="1"/>
  <c r="BV108" i="103"/>
  <c r="BV19" i="103"/>
  <c r="BV28" i="103"/>
  <c r="CC66" i="103"/>
  <c r="CD66" i="103" s="1"/>
  <c r="Q2" i="103"/>
  <c r="L9" i="103"/>
  <c r="AM10" i="103"/>
  <c r="AQ10" i="103"/>
  <c r="M9" i="103"/>
  <c r="BY10" i="103"/>
  <c r="BU21" i="103"/>
  <c r="BY21" i="103"/>
  <c r="BS68" i="103"/>
  <c r="BS19" i="103"/>
  <c r="BW19" i="103"/>
  <c r="BU25" i="103"/>
  <c r="BS28" i="103"/>
  <c r="BW28" i="103"/>
  <c r="BV98" i="103"/>
  <c r="BW98" i="103" s="1"/>
  <c r="BC10" i="103"/>
  <c r="BW10" i="103"/>
  <c r="V18" i="103"/>
  <c r="BT19" i="103"/>
  <c r="BX19" i="103"/>
  <c r="BT28" i="103"/>
  <c r="BX28" i="103"/>
  <c r="T67" i="103"/>
  <c r="BU78" i="103"/>
  <c r="BT10" i="103"/>
  <c r="BX10" i="103"/>
  <c r="BU19" i="103"/>
  <c r="BW99" i="103"/>
  <c r="T99" i="103"/>
  <c r="W136" i="103"/>
  <c r="W150" i="103"/>
  <c r="W112" i="103" s="1"/>
  <c r="Y172" i="103"/>
  <c r="BW178" i="103"/>
  <c r="BX177" i="103"/>
  <c r="BY177" i="103" s="1"/>
  <c r="BU178" i="103"/>
  <c r="BU137" i="103" s="1"/>
  <c r="T137" i="103" s="1"/>
  <c r="T215" i="103"/>
  <c r="BV216" i="103"/>
  <c r="BZ216" i="103"/>
  <c r="BX246" i="103"/>
  <c r="BY246" i="103" s="1"/>
  <c r="BZ246" i="103" s="1"/>
  <c r="CB246" i="103" s="1"/>
  <c r="CC246" i="103" s="1"/>
  <c r="CD246" i="103" s="1"/>
  <c r="BZ254" i="103"/>
  <c r="U215" i="103"/>
  <c r="CA216" i="103"/>
  <c r="BS216" i="103"/>
  <c r="CD216" i="103"/>
  <c r="Y297" i="103"/>
  <c r="Y282" i="103"/>
  <c r="Y290" i="103"/>
  <c r="CC342" i="103"/>
  <c r="CC295" i="103"/>
  <c r="CD342" i="103"/>
  <c r="CD295" i="103"/>
  <c r="CD341" i="103"/>
  <c r="Y216" i="103"/>
  <c r="BU341" i="103"/>
  <c r="BU342" i="103"/>
  <c r="BU295" i="103"/>
  <c r="BY342" i="103"/>
  <c r="BY295" i="103"/>
  <c r="BY341" i="103"/>
  <c r="CC341" i="103"/>
  <c r="BT216" i="103"/>
  <c r="BX216" i="103"/>
  <c r="CB216" i="103"/>
  <c r="Y289" i="103"/>
  <c r="X296" i="103"/>
  <c r="X290" i="103" s="1"/>
  <c r="BV294" i="103"/>
  <c r="BS341" i="103"/>
  <c r="BS295" i="103"/>
  <c r="BZ338" i="103"/>
  <c r="CA403" i="103"/>
  <c r="CD403" i="103"/>
  <c r="CB403" i="103"/>
  <c r="CC403" i="103"/>
  <c r="BW404" i="103"/>
  <c r="BZ404" i="103"/>
  <c r="BX404" i="103"/>
  <c r="BY404" i="103"/>
  <c r="BT405" i="103"/>
  <c r="BS405" i="103"/>
  <c r="BU405" i="103"/>
  <c r="Q414" i="103"/>
  <c r="Y414" i="103"/>
  <c r="W296" i="103"/>
  <c r="W290" i="103" s="1"/>
  <c r="V333" i="103"/>
  <c r="N369" i="103"/>
  <c r="BW341" i="103"/>
  <c r="BW295" i="103"/>
  <c r="BW342" i="103"/>
  <c r="BS338" i="103"/>
  <c r="AZ369" i="103"/>
  <c r="O369" i="103" s="1"/>
  <c r="BV409" i="103"/>
  <c r="BU409" i="103"/>
  <c r="T414" i="103"/>
  <c r="BS409" i="103"/>
  <c r="CB411" i="103"/>
  <c r="CA411" i="103"/>
  <c r="CC411" i="103"/>
  <c r="CD411" i="103"/>
  <c r="CD414" i="103" s="1"/>
  <c r="BX412" i="103"/>
  <c r="BW412" i="103"/>
  <c r="BY412" i="103"/>
  <c r="BZ412" i="103"/>
  <c r="BZ414" i="103" s="1"/>
  <c r="BT413" i="103"/>
  <c r="BS413" i="103"/>
  <c r="BU413" i="103"/>
  <c r="BV413" i="103"/>
  <c r="CA420" i="103"/>
  <c r="CD420" i="103"/>
  <c r="CB420" i="103"/>
  <c r="CC420" i="103"/>
  <c r="BW421" i="103"/>
  <c r="BZ421" i="103"/>
  <c r="BX421" i="103"/>
  <c r="BY421" i="103"/>
  <c r="BT422" i="103"/>
  <c r="BS422" i="103"/>
  <c r="BU422" i="103"/>
  <c r="BV422" i="103"/>
  <c r="BV424" i="103" s="1"/>
  <c r="Q407" i="103"/>
  <c r="Y407" i="103"/>
  <c r="X407" i="103"/>
  <c r="X416" i="103" s="1"/>
  <c r="X203" i="103" s="1"/>
  <c r="R414" i="103"/>
  <c r="R416" i="103" s="1"/>
  <c r="U407" i="103"/>
  <c r="BT403" i="103"/>
  <c r="BX402" i="103"/>
  <c r="CB404" i="103"/>
  <c r="BS403" i="103"/>
  <c r="BS407" i="103" s="1"/>
  <c r="BY405" i="103"/>
  <c r="CC405" i="103"/>
  <c r="BU406" i="103"/>
  <c r="BY406" i="103"/>
  <c r="CA410" i="103"/>
  <c r="CC410" i="103"/>
  <c r="BX411" i="103"/>
  <c r="BW411" i="103"/>
  <c r="BY411" i="103"/>
  <c r="BT412" i="103"/>
  <c r="BS412" i="103"/>
  <c r="BU412" i="103"/>
  <c r="V414" i="103"/>
  <c r="V416" i="103" s="1"/>
  <c r="BW409" i="103"/>
  <c r="BV426" i="103"/>
  <c r="BU426" i="103"/>
  <c r="T431" i="103"/>
  <c r="BS426" i="103"/>
  <c r="CD428" i="103"/>
  <c r="CD431" i="103" s="1"/>
  <c r="CC428" i="103"/>
  <c r="CA428" i="103"/>
  <c r="BZ429" i="103"/>
  <c r="BZ431" i="103" s="1"/>
  <c r="BY429" i="103"/>
  <c r="BW429" i="103"/>
  <c r="BV430" i="103"/>
  <c r="BU430" i="103"/>
  <c r="BS430" i="103"/>
  <c r="BT426" i="103"/>
  <c r="CB428" i="103"/>
  <c r="BT430" i="103"/>
  <c r="CB461" i="103"/>
  <c r="CB185" i="103" s="1"/>
  <c r="CB187" i="103" s="1"/>
  <c r="CB138" i="103" s="1"/>
  <c r="BT470" i="103"/>
  <c r="BU402" i="103"/>
  <c r="BZ402" i="103"/>
  <c r="BZ407" i="103" s="1"/>
  <c r="CA405" i="103"/>
  <c r="BW406" i="103"/>
  <c r="BS410" i="103"/>
  <c r="BU410" i="103"/>
  <c r="CB412" i="103"/>
  <c r="CA412" i="103"/>
  <c r="CC412" i="103"/>
  <c r="BX413" i="103"/>
  <c r="BW413" i="103"/>
  <c r="BY413" i="103"/>
  <c r="BY409" i="103"/>
  <c r="BT410" i="103"/>
  <c r="BT414" i="103" s="1"/>
  <c r="BV411" i="103"/>
  <c r="X424" i="103"/>
  <c r="T407" i="103"/>
  <c r="T416" i="103" s="1"/>
  <c r="T203" i="103" s="1"/>
  <c r="CA409" i="103"/>
  <c r="CC409" i="103"/>
  <c r="BW410" i="103"/>
  <c r="BY410" i="103"/>
  <c r="CB413" i="103"/>
  <c r="CA413" i="103"/>
  <c r="CC413" i="103"/>
  <c r="U414" i="103"/>
  <c r="Q424" i="103"/>
  <c r="Q433" i="103" s="1"/>
  <c r="Y424" i="103"/>
  <c r="Y433" i="103" s="1"/>
  <c r="Y121" i="103" s="1"/>
  <c r="Y123" i="103" s="1"/>
  <c r="Y141" i="103" s="1"/>
  <c r="CA443" i="103"/>
  <c r="V452" i="103"/>
  <c r="CD443" i="103"/>
  <c r="CB443" i="103"/>
  <c r="CC443" i="103"/>
  <c r="BW444" i="103"/>
  <c r="BZ444" i="103"/>
  <c r="BX444" i="103"/>
  <c r="BS445" i="103"/>
  <c r="BV445" i="103"/>
  <c r="BT445" i="103"/>
  <c r="BU445" i="103"/>
  <c r="CA447" i="103"/>
  <c r="CD447" i="103"/>
  <c r="CB447" i="103"/>
  <c r="BW448" i="103"/>
  <c r="BZ448" i="103"/>
  <c r="BX448" i="103"/>
  <c r="BY448" i="103"/>
  <c r="BS449" i="103"/>
  <c r="BV449" i="103"/>
  <c r="BT449" i="103"/>
  <c r="T452" i="103"/>
  <c r="U424" i="103"/>
  <c r="BT420" i="103"/>
  <c r="BT424" i="103" s="1"/>
  <c r="BX419" i="103"/>
  <c r="CB419" i="103"/>
  <c r="BX420" i="103"/>
  <c r="CB421" i="103"/>
  <c r="BS420" i="103"/>
  <c r="BY422" i="103"/>
  <c r="CC422" i="103"/>
  <c r="BU423" i="103"/>
  <c r="BY423" i="103"/>
  <c r="CC423" i="103"/>
  <c r="V431" i="103"/>
  <c r="BW426" i="103"/>
  <c r="CA426" i="103"/>
  <c r="BS427" i="103"/>
  <c r="BW427" i="103"/>
  <c r="CA427" i="103"/>
  <c r="BS428" i="103"/>
  <c r="BW428" i="103"/>
  <c r="BS429" i="103"/>
  <c r="CA429" i="103"/>
  <c r="BW430" i="103"/>
  <c r="CA430" i="103"/>
  <c r="BV440" i="103"/>
  <c r="V440" i="103"/>
  <c r="V280" i="103" s="1"/>
  <c r="BT436" i="103"/>
  <c r="BX437" i="103"/>
  <c r="BX278" i="103" s="1"/>
  <c r="BX280" i="103" s="1"/>
  <c r="CC437" i="103"/>
  <c r="CC278" i="103" s="1"/>
  <c r="BW438" i="103"/>
  <c r="CB438" i="103"/>
  <c r="BU439" i="103"/>
  <c r="Q452" i="103"/>
  <c r="BW443" i="103"/>
  <c r="BZ443" i="103"/>
  <c r="U452" i="103"/>
  <c r="BX443" i="103"/>
  <c r="Y452" i="103"/>
  <c r="BS444" i="103"/>
  <c r="BV444" i="103"/>
  <c r="BT444" i="103"/>
  <c r="CA446" i="103"/>
  <c r="CD446" i="103"/>
  <c r="CB446" i="103"/>
  <c r="BW447" i="103"/>
  <c r="BZ447" i="103"/>
  <c r="BX447" i="103"/>
  <c r="BS448" i="103"/>
  <c r="BV448" i="103"/>
  <c r="BT448" i="103"/>
  <c r="CA450" i="103"/>
  <c r="CD450" i="103"/>
  <c r="CB450" i="103"/>
  <c r="BW451" i="103"/>
  <c r="BZ451" i="103"/>
  <c r="BX451" i="103"/>
  <c r="BU444" i="103"/>
  <c r="CC446" i="103"/>
  <c r="BY447" i="103"/>
  <c r="BU419" i="103"/>
  <c r="BZ419" i="103"/>
  <c r="CD419" i="103"/>
  <c r="BZ420" i="103"/>
  <c r="CD421" i="103"/>
  <c r="BW422" i="103"/>
  <c r="CA422" i="103"/>
  <c r="BS423" i="103"/>
  <c r="BW423" i="103"/>
  <c r="CA423" i="103"/>
  <c r="BY426" i="103"/>
  <c r="CC426" i="103"/>
  <c r="BU427" i="103"/>
  <c r="BY427" i="103"/>
  <c r="CC427" i="103"/>
  <c r="BU428" i="103"/>
  <c r="BY428" i="103"/>
  <c r="BU429" i="103"/>
  <c r="CC429" i="103"/>
  <c r="BY430" i="103"/>
  <c r="CC430" i="103"/>
  <c r="CD440" i="103"/>
  <c r="CB436" i="103"/>
  <c r="CA437" i="103"/>
  <c r="BT438" i="103"/>
  <c r="BY438" i="103"/>
  <c r="S452" i="103"/>
  <c r="W452" i="103"/>
  <c r="CA444" i="103"/>
  <c r="CD444" i="103"/>
  <c r="CB444" i="103"/>
  <c r="BW445" i="103"/>
  <c r="BZ445" i="103"/>
  <c r="BX445" i="103"/>
  <c r="BS446" i="103"/>
  <c r="BV446" i="103"/>
  <c r="BT446" i="103"/>
  <c r="CA448" i="103"/>
  <c r="CD448" i="103"/>
  <c r="CB448" i="103"/>
  <c r="BW449" i="103"/>
  <c r="BZ449" i="103"/>
  <c r="BX449" i="103"/>
  <c r="BS450" i="103"/>
  <c r="BV450" i="103"/>
  <c r="BT450" i="103"/>
  <c r="CC444" i="103"/>
  <c r="BY449" i="103"/>
  <c r="BU450" i="103"/>
  <c r="BZ459" i="103"/>
  <c r="BZ461" i="103" s="1"/>
  <c r="BZ185" i="103" s="1"/>
  <c r="BZ187" i="103" s="1"/>
  <c r="BZ138" i="103" s="1"/>
  <c r="U461" i="103"/>
  <c r="U185" i="103" s="1"/>
  <c r="BY459" i="103"/>
  <c r="BW459" i="103"/>
  <c r="BV460" i="103"/>
  <c r="BV461" i="103" s="1"/>
  <c r="BV185" i="103" s="1"/>
  <c r="BV187" i="103" s="1"/>
  <c r="BV138" i="103" s="1"/>
  <c r="BU460" i="103"/>
  <c r="T461" i="103"/>
  <c r="T185" i="103" s="1"/>
  <c r="BS460" i="103"/>
  <c r="BS461" i="103" s="1"/>
  <c r="BS185" i="103" s="1"/>
  <c r="BS187" i="103" s="1"/>
  <c r="T424" i="103"/>
  <c r="T433" i="103" s="1"/>
  <c r="T121" i="103" s="1"/>
  <c r="U431" i="103"/>
  <c r="T440" i="103"/>
  <c r="T280" i="103" s="1"/>
  <c r="CC436" i="103"/>
  <c r="BW437" i="103"/>
  <c r="BW278" i="103" s="1"/>
  <c r="BW280" i="103" s="1"/>
  <c r="CB437" i="103"/>
  <c r="CB278" i="103" s="1"/>
  <c r="BU438" i="103"/>
  <c r="BT439" i="103"/>
  <c r="U440" i="103"/>
  <c r="U280" i="103" s="1"/>
  <c r="CB451" i="103"/>
  <c r="U456" i="103"/>
  <c r="U331" i="103" s="1"/>
  <c r="BV455" i="103"/>
  <c r="BV456" i="103" s="1"/>
  <c r="BV331" i="103" s="1"/>
  <c r="BV333" i="103" s="1"/>
  <c r="BZ455" i="103"/>
  <c r="BZ456" i="103" s="1"/>
  <c r="BZ331" i="103" s="1"/>
  <c r="BZ333" i="103" s="1"/>
  <c r="BZ342" i="103" s="1"/>
  <c r="V461" i="103"/>
  <c r="V185" i="103" s="1"/>
  <c r="CA459" i="103"/>
  <c r="BW460" i="103"/>
  <c r="CA460" i="103"/>
  <c r="CD451" i="103"/>
  <c r="BT455" i="103"/>
  <c r="BT456" i="103" s="1"/>
  <c r="BT331" i="103" s="1"/>
  <c r="BT333" i="103" s="1"/>
  <c r="BX455" i="103"/>
  <c r="BX456" i="103" s="1"/>
  <c r="BX331" i="103" s="1"/>
  <c r="BX333" i="103" s="1"/>
  <c r="CC459" i="103"/>
  <c r="BY460" i="103"/>
  <c r="CC460" i="103"/>
  <c r="T456" i="103"/>
  <c r="T331" i="103" s="1"/>
  <c r="K8" i="91"/>
  <c r="AO22" i="91"/>
  <c r="AO8" i="91"/>
  <c r="AD15" i="91"/>
  <c r="AH22" i="91"/>
  <c r="AH8" i="91"/>
  <c r="AT22" i="91"/>
  <c r="AT8" i="91"/>
  <c r="AD8" i="91"/>
  <c r="AP22" i="91"/>
  <c r="AP8" i="91"/>
  <c r="AO15" i="91"/>
  <c r="BH240" i="91"/>
  <c r="BL240" i="91"/>
  <c r="AQ22" i="91"/>
  <c r="BG22" i="91"/>
  <c r="AG21" i="91"/>
  <c r="BE21" i="91"/>
  <c r="BF21" i="91" s="1"/>
  <c r="BF49" i="92" s="1"/>
  <c r="AK15" i="91"/>
  <c r="BG245" i="91"/>
  <c r="BK240" i="91"/>
  <c r="Y21" i="91"/>
  <c r="Y49" i="92" s="1"/>
  <c r="AK21" i="91"/>
  <c r="AK49" i="92" s="1"/>
  <c r="AB22" i="91"/>
  <c r="BH24" i="91"/>
  <c r="BL24" i="91"/>
  <c r="K33" i="91"/>
  <c r="K57" i="91" s="1"/>
  <c r="AX33" i="91"/>
  <c r="AX57" i="91" s="1"/>
  <c r="BB33" i="91"/>
  <c r="BB57" i="91" s="1"/>
  <c r="BF33" i="91"/>
  <c r="BF57" i="91" s="1"/>
  <c r="BJ35" i="91"/>
  <c r="BL37" i="91"/>
  <c r="M42" i="91"/>
  <c r="J44" i="91"/>
  <c r="AV44" i="91"/>
  <c r="AV43" i="91"/>
  <c r="AZ44" i="91"/>
  <c r="AZ43" i="91"/>
  <c r="BH44" i="91"/>
  <c r="BD44" i="91"/>
  <c r="BD43" i="91"/>
  <c r="AX43" i="91"/>
  <c r="AY44" i="91"/>
  <c r="BG44" i="91"/>
  <c r="AX54" i="91"/>
  <c r="BJ31" i="103" s="1"/>
  <c r="AX91" i="91"/>
  <c r="BB91" i="91"/>
  <c r="M90" i="91"/>
  <c r="M87" i="91"/>
  <c r="BR126" i="91"/>
  <c r="Q104" i="91"/>
  <c r="AU33" i="91"/>
  <c r="AU57" i="91" s="1"/>
  <c r="AU55" i="91" s="1"/>
  <c r="BG32" i="103" s="1"/>
  <c r="BG34" i="103" s="1"/>
  <c r="AY33" i="91"/>
  <c r="AY57" i="91" s="1"/>
  <c r="BC33" i="91"/>
  <c r="BC57" i="91" s="1"/>
  <c r="BG33" i="91"/>
  <c r="BG57" i="91" s="1"/>
  <c r="I43" i="91"/>
  <c r="AS44" i="91"/>
  <c r="AS43" i="91"/>
  <c r="AW44" i="91"/>
  <c r="AW43" i="91"/>
  <c r="BA44" i="91"/>
  <c r="BA43" i="91"/>
  <c r="AY54" i="91"/>
  <c r="BK31" i="103" s="1"/>
  <c r="BG54" i="91"/>
  <c r="BS31" i="103" s="1"/>
  <c r="N32" i="91"/>
  <c r="AZ56" i="91"/>
  <c r="BL33" i="103" s="1"/>
  <c r="AZ54" i="91"/>
  <c r="BL31" i="103" s="1"/>
  <c r="BD56" i="91"/>
  <c r="BD54" i="91"/>
  <c r="BP31" i="103" s="1"/>
  <c r="BH56" i="91"/>
  <c r="BT33" i="103" s="1"/>
  <c r="BH54" i="91"/>
  <c r="BT31" i="103" s="1"/>
  <c r="AV33" i="91"/>
  <c r="AV57" i="91" s="1"/>
  <c r="AV55" i="91" s="1"/>
  <c r="AZ33" i="91"/>
  <c r="AZ57" i="91" s="1"/>
  <c r="BD33" i="91"/>
  <c r="BD57" i="91" s="1"/>
  <c r="BH33" i="91"/>
  <c r="BH57" i="91" s="1"/>
  <c r="BK36" i="91"/>
  <c r="K44" i="91"/>
  <c r="AU44" i="91"/>
  <c r="BC44" i="91"/>
  <c r="O32" i="91"/>
  <c r="AW56" i="91"/>
  <c r="AW54" i="91"/>
  <c r="BI31" i="103" s="1"/>
  <c r="BA56" i="91"/>
  <c r="BA54" i="91"/>
  <c r="BM31" i="103" s="1"/>
  <c r="BE56" i="91"/>
  <c r="BQ33" i="103" s="1"/>
  <c r="BE54" i="91"/>
  <c r="BQ31" i="103" s="1"/>
  <c r="BI56" i="91"/>
  <c r="BU33" i="103" s="1"/>
  <c r="BI55" i="91"/>
  <c r="BU32" i="103" s="1"/>
  <c r="BI54" i="91"/>
  <c r="BU31" i="103" s="1"/>
  <c r="AS33" i="91"/>
  <c r="AS57" i="91" s="1"/>
  <c r="AW33" i="91"/>
  <c r="AW57" i="91" s="1"/>
  <c r="BA33" i="91"/>
  <c r="BA57" i="91" s="1"/>
  <c r="BE33" i="91"/>
  <c r="BE57" i="91" s="1"/>
  <c r="BI33" i="91"/>
  <c r="BI57" i="91" s="1"/>
  <c r="H43" i="91"/>
  <c r="BC54" i="91"/>
  <c r="N87" i="91"/>
  <c r="N85" i="91"/>
  <c r="N97" i="91" s="1"/>
  <c r="BE43" i="91"/>
  <c r="BE44" i="91"/>
  <c r="N75" i="91"/>
  <c r="N90" i="91"/>
  <c r="BF108" i="91"/>
  <c r="BF117" i="91"/>
  <c r="BJ118" i="91"/>
  <c r="P118" i="91"/>
  <c r="BP198" i="91"/>
  <c r="BJ200" i="91"/>
  <c r="I206" i="91"/>
  <c r="H207" i="91"/>
  <c r="M219" i="91"/>
  <c r="N221" i="91"/>
  <c r="O222" i="91"/>
  <c r="BR195" i="91"/>
  <c r="BR203" i="91" s="1"/>
  <c r="BI199" i="91"/>
  <c r="BM199" i="91"/>
  <c r="O221" i="91"/>
  <c r="O223" i="91"/>
  <c r="AX221" i="91"/>
  <c r="AX214" i="91"/>
  <c r="AX223" i="91" s="1"/>
  <c r="Q195" i="91"/>
  <c r="Q198" i="91"/>
  <c r="I207" i="91"/>
  <c r="M207" i="91"/>
  <c r="P207" i="91"/>
  <c r="M220" i="91"/>
  <c r="BO198" i="91"/>
  <c r="P198" i="91"/>
  <c r="L206" i="91"/>
  <c r="M212" i="91"/>
  <c r="M221" i="91" s="1"/>
  <c r="BR210" i="91"/>
  <c r="BR211" i="91"/>
  <c r="R211" i="91" s="1"/>
  <c r="BR212" i="91"/>
  <c r="R212" i="91" s="1"/>
  <c r="BR213" i="91"/>
  <c r="R213" i="91" s="1"/>
  <c r="Q210" i="91"/>
  <c r="P211" i="91"/>
  <c r="P220" i="91" s="1"/>
  <c r="BJ214" i="91"/>
  <c r="BJ215" i="91" s="1"/>
  <c r="AW215" i="91"/>
  <c r="BE215" i="91"/>
  <c r="AX220" i="91"/>
  <c r="BJ220" i="91"/>
  <c r="BC224" i="91"/>
  <c r="BG224" i="91"/>
  <c r="BK224" i="91"/>
  <c r="J227" i="91"/>
  <c r="AD228" i="91"/>
  <c r="AH228" i="91"/>
  <c r="AL228" i="91"/>
  <c r="AP228" i="91"/>
  <c r="AT228" i="91"/>
  <c r="AX228" i="91"/>
  <c r="BB228" i="91"/>
  <c r="BF228" i="91"/>
  <c r="BJ228" i="91"/>
  <c r="AY228" i="91"/>
  <c r="BG228" i="91"/>
  <c r="AH231" i="91"/>
  <c r="AL231" i="91"/>
  <c r="AP231" i="91"/>
  <c r="AT231" i="91"/>
  <c r="AX231" i="91"/>
  <c r="BB231" i="91"/>
  <c r="BF231" i="91"/>
  <c r="BG240" i="91"/>
  <c r="BG255" i="91"/>
  <c r="BG254" i="91"/>
  <c r="BL221" i="91"/>
  <c r="AV224" i="91"/>
  <c r="BD224" i="91"/>
  <c r="AE231" i="91"/>
  <c r="J230" i="91"/>
  <c r="K230" i="91"/>
  <c r="AQ231" i="91"/>
  <c r="AU231" i="91"/>
  <c r="O230" i="91"/>
  <c r="BG231" i="91"/>
  <c r="BK231" i="91"/>
  <c r="BF211" i="91"/>
  <c r="BF215" i="91" s="1"/>
  <c r="BH215" i="91"/>
  <c r="J254" i="91"/>
  <c r="J255" i="91"/>
  <c r="Q251" i="91"/>
  <c r="Q253" i="91" s="1"/>
  <c r="BN253" i="91"/>
  <c r="BM253" i="91"/>
  <c r="AC254" i="91"/>
  <c r="AK254" i="91"/>
  <c r="AO254" i="91"/>
  <c r="AS254" i="91"/>
  <c r="BI254" i="91"/>
  <c r="AD254" i="91"/>
  <c r="AH254" i="91"/>
  <c r="AL254" i="91"/>
  <c r="AP254" i="91"/>
  <c r="AT254" i="91"/>
  <c r="BF255" i="91"/>
  <c r="BJ255" i="91"/>
  <c r="BA231" i="91"/>
  <c r="AQ254" i="91"/>
  <c r="BC254" i="91"/>
  <c r="W433" i="103" l="1"/>
  <c r="W121" i="103" s="1"/>
  <c r="W123" i="103" s="1"/>
  <c r="W141" i="103" s="1"/>
  <c r="BT452" i="103"/>
  <c r="BX407" i="103"/>
  <c r="BS440" i="103"/>
  <c r="BC231" i="91"/>
  <c r="AI231" i="91"/>
  <c r="AY231" i="91"/>
  <c r="AM231" i="91"/>
  <c r="N230" i="91"/>
  <c r="N231" i="91" s="1"/>
  <c r="AM254" i="91"/>
  <c r="BF254" i="91"/>
  <c r="Z254" i="91"/>
  <c r="AZ224" i="91"/>
  <c r="AY224" i="91"/>
  <c r="N43" i="91"/>
  <c r="N44" i="91"/>
  <c r="BK245" i="91"/>
  <c r="Y254" i="91"/>
  <c r="BE254" i="91"/>
  <c r="AG254" i="91"/>
  <c r="R223" i="91"/>
  <c r="AQ8" i="91"/>
  <c r="AL15" i="91"/>
  <c r="Z15" i="91"/>
  <c r="N14" i="91"/>
  <c r="AK8" i="91"/>
  <c r="BK143" i="91"/>
  <c r="Q157" i="91"/>
  <c r="BI8" i="91"/>
  <c r="BI245" i="91"/>
  <c r="G15" i="91"/>
  <c r="BG15" i="91"/>
  <c r="BF3" i="92"/>
  <c r="BF69" i="92" s="1"/>
  <c r="BK154" i="91"/>
  <c r="Y15" i="91"/>
  <c r="BD16" i="92"/>
  <c r="BD23" i="92" s="1"/>
  <c r="BD33" i="92" s="1"/>
  <c r="BD5" i="92"/>
  <c r="BJ21" i="91"/>
  <c r="BJ49" i="92" s="1"/>
  <c r="BE3" i="92"/>
  <c r="BE69" i="92" s="1"/>
  <c r="AI254" i="91"/>
  <c r="J8" i="91"/>
  <c r="AC15" i="91"/>
  <c r="AJ254" i="91"/>
  <c r="I254" i="91"/>
  <c r="AU224" i="91"/>
  <c r="BH15" i="91"/>
  <c r="BF8" i="91"/>
  <c r="G254" i="91"/>
  <c r="BE15" i="91"/>
  <c r="AN8" i="91"/>
  <c r="AT15" i="91"/>
  <c r="AE70" i="92"/>
  <c r="P228" i="91"/>
  <c r="BI49" i="92"/>
  <c r="BI70" i="92" s="1"/>
  <c r="AX48" i="92"/>
  <c r="AX50" i="92" s="1"/>
  <c r="AP71" i="92"/>
  <c r="BL245" i="91"/>
  <c r="K15" i="91"/>
  <c r="AQ15" i="91"/>
  <c r="AZ15" i="91"/>
  <c r="AZ254" i="91"/>
  <c r="AZ22" i="91"/>
  <c r="Q111" i="91"/>
  <c r="P107" i="91"/>
  <c r="P110" i="91" s="1"/>
  <c r="BJ111" i="91"/>
  <c r="BJ143" i="91" s="1"/>
  <c r="BA257" i="91"/>
  <c r="AW3" i="92"/>
  <c r="AW67" i="92" s="1"/>
  <c r="BB257" i="91"/>
  <c r="AD21" i="92"/>
  <c r="AX33" i="92"/>
  <c r="AQ70" i="92"/>
  <c r="AD48" i="92"/>
  <c r="AD71" i="92"/>
  <c r="AX27" i="92"/>
  <c r="AX79" i="92" s="1"/>
  <c r="AX21" i="92"/>
  <c r="BD8" i="91"/>
  <c r="BD254" i="91"/>
  <c r="BB254" i="91"/>
  <c r="K255" i="91"/>
  <c r="AR254" i="91"/>
  <c r="X254" i="91"/>
  <c r="X22" i="91"/>
  <c r="AM22" i="91"/>
  <c r="AG15" i="91"/>
  <c r="AR22" i="91"/>
  <c r="BG16" i="92"/>
  <c r="BG23" i="92" s="1"/>
  <c r="BG27" i="92" s="1"/>
  <c r="AC48" i="92"/>
  <c r="BL224" i="91"/>
  <c r="BM8" i="91"/>
  <c r="AV8" i="91"/>
  <c r="BB8" i="91"/>
  <c r="BJ108" i="91"/>
  <c r="AM8" i="91"/>
  <c r="AH15" i="91"/>
  <c r="AX5" i="92"/>
  <c r="AX4" i="92" s="1"/>
  <c r="AD5" i="92"/>
  <c r="AD68" i="92" s="1"/>
  <c r="L228" i="91"/>
  <c r="AZ48" i="92"/>
  <c r="AZ50" i="92" s="1"/>
  <c r="AZ16" i="92"/>
  <c r="AZ23" i="92" s="1"/>
  <c r="AZ32" i="92" s="1"/>
  <c r="AZ74" i="92" s="1"/>
  <c r="AD67" i="92"/>
  <c r="AJ48" i="92"/>
  <c r="AJ50" i="92" s="1"/>
  <c r="AT5" i="92"/>
  <c r="AT4" i="92" s="1"/>
  <c r="AT48" i="92"/>
  <c r="AT50" i="92" s="1"/>
  <c r="AT72" i="92" s="1"/>
  <c r="BH16" i="92"/>
  <c r="BH23" i="92" s="1"/>
  <c r="BH27" i="92" s="1"/>
  <c r="AT21" i="92"/>
  <c r="Y27" i="92"/>
  <c r="Y35" i="92" s="1"/>
  <c r="BH5" i="92"/>
  <c r="P9" i="103"/>
  <c r="P10" i="103" s="1"/>
  <c r="AT67" i="92"/>
  <c r="Z33" i="92"/>
  <c r="AX67" i="92"/>
  <c r="AY8" i="91"/>
  <c r="AC8" i="91"/>
  <c r="AE15" i="91"/>
  <c r="I15" i="91"/>
  <c r="AH71" i="92"/>
  <c r="BE5" i="92"/>
  <c r="X71" i="92"/>
  <c r="X69" i="92"/>
  <c r="S9" i="103"/>
  <c r="AX69" i="92"/>
  <c r="Z32" i="92"/>
  <c r="Z74" i="92" s="1"/>
  <c r="BE71" i="92"/>
  <c r="AV48" i="92"/>
  <c r="AV50" i="92" s="1"/>
  <c r="AV72" i="92" s="1"/>
  <c r="AF71" i="92"/>
  <c r="AQ67" i="92"/>
  <c r="AM70" i="92"/>
  <c r="BE33" i="92"/>
  <c r="AO67" i="92"/>
  <c r="AC67" i="92"/>
  <c r="Z5" i="92"/>
  <c r="AK67" i="92"/>
  <c r="BU10" i="103"/>
  <c r="AT69" i="92"/>
  <c r="Y48" i="92"/>
  <c r="Y50" i="92" s="1"/>
  <c r="Y72" i="92" s="1"/>
  <c r="AF16" i="92"/>
  <c r="BE27" i="92"/>
  <c r="BE79" i="92" s="1"/>
  <c r="Y32" i="92"/>
  <c r="Y74" i="92" s="1"/>
  <c r="AR70" i="92"/>
  <c r="Z21" i="92"/>
  <c r="BE21" i="92"/>
  <c r="AT68" i="92"/>
  <c r="Y5" i="92"/>
  <c r="Y4" i="92" s="1"/>
  <c r="AV5" i="92"/>
  <c r="AV4" i="92" s="1"/>
  <c r="AK70" i="92"/>
  <c r="Z48" i="92"/>
  <c r="AT71" i="92"/>
  <c r="Z71" i="92"/>
  <c r="BE48" i="92"/>
  <c r="Y71" i="92"/>
  <c r="AF48" i="92"/>
  <c r="AF50" i="92" s="1"/>
  <c r="AF72" i="92" s="1"/>
  <c r="Y21" i="92"/>
  <c r="N228" i="91"/>
  <c r="BJ10" i="103"/>
  <c r="AQ71" i="92"/>
  <c r="H228" i="91"/>
  <c r="AA16" i="92"/>
  <c r="AA23" i="92" s="1"/>
  <c r="AA27" i="92" s="1"/>
  <c r="AP27" i="92"/>
  <c r="AP34" i="92" s="1"/>
  <c r="AG71" i="92"/>
  <c r="AJ16" i="92"/>
  <c r="AJ23" i="92" s="1"/>
  <c r="AJ32" i="92" s="1"/>
  <c r="AJ74" i="92" s="1"/>
  <c r="AG69" i="92"/>
  <c r="H11" i="92"/>
  <c r="H48" i="92" s="1"/>
  <c r="P231" i="91"/>
  <c r="AO48" i="92"/>
  <c r="AO50" i="92" s="1"/>
  <c r="AO72" i="92" s="1"/>
  <c r="AO27" i="92"/>
  <c r="AO35" i="92" s="1"/>
  <c r="AA48" i="92"/>
  <c r="AA50" i="92" s="1"/>
  <c r="AO32" i="92"/>
  <c r="AO74" i="92" s="1"/>
  <c r="AS67" i="92"/>
  <c r="BN10" i="103"/>
  <c r="AP5" i="92"/>
  <c r="AP4" i="92" s="1"/>
  <c r="AO5" i="92"/>
  <c r="BK10" i="103"/>
  <c r="AG16" i="92"/>
  <c r="AG23" i="92" s="1"/>
  <c r="AG33" i="92" s="1"/>
  <c r="AP33" i="92"/>
  <c r="AO71" i="92"/>
  <c r="AP21" i="92"/>
  <c r="BG5" i="92"/>
  <c r="AQ5" i="92"/>
  <c r="AQ4" i="92" s="1"/>
  <c r="AV21" i="92"/>
  <c r="M231" i="91"/>
  <c r="X72" i="92"/>
  <c r="AI15" i="91"/>
  <c r="O14" i="91"/>
  <c r="BM245" i="91"/>
  <c r="AL71" i="92"/>
  <c r="BK15" i="91"/>
  <c r="AU15" i="91"/>
  <c r="AG4" i="92"/>
  <c r="AX15" i="91"/>
  <c r="O228" i="91"/>
  <c r="K3" i="92"/>
  <c r="K43" i="2" s="1"/>
  <c r="AU8" i="91"/>
  <c r="AE48" i="92"/>
  <c r="AE50" i="92" s="1"/>
  <c r="AE72" i="92" s="1"/>
  <c r="AE71" i="92"/>
  <c r="AE5" i="92"/>
  <c r="I11" i="92"/>
  <c r="I5" i="92" s="1"/>
  <c r="AE16" i="92"/>
  <c r="AE23" i="92" s="1"/>
  <c r="AE32" i="92" s="1"/>
  <c r="AE74" i="92" s="1"/>
  <c r="BB69" i="92"/>
  <c r="BB71" i="92"/>
  <c r="AY15" i="91"/>
  <c r="AF254" i="91"/>
  <c r="AY254" i="91"/>
  <c r="BC8" i="91"/>
  <c r="AN22" i="91"/>
  <c r="BJ8" i="91"/>
  <c r="BJ15" i="91"/>
  <c r="H16" i="92"/>
  <c r="H23" i="92" s="1"/>
  <c r="H27" i="92" s="1"/>
  <c r="H3" i="8" s="1"/>
  <c r="H30" i="8" s="1"/>
  <c r="H55" i="8" s="1"/>
  <c r="H58" i="8" s="1"/>
  <c r="T24" i="103"/>
  <c r="AY11" i="92"/>
  <c r="AY48" i="92" s="1"/>
  <c r="AY50" i="92" s="1"/>
  <c r="BL254" i="91"/>
  <c r="AE254" i="91"/>
  <c r="K254" i="91"/>
  <c r="H255" i="91"/>
  <c r="F233" i="91"/>
  <c r="O44" i="91"/>
  <c r="P44" i="91"/>
  <c r="BK8" i="91"/>
  <c r="AY22" i="91"/>
  <c r="BJ22" i="91"/>
  <c r="BH245" i="91"/>
  <c r="AS8" i="91"/>
  <c r="AR8" i="91"/>
  <c r="AX8" i="91"/>
  <c r="BB15" i="91"/>
  <c r="AP15" i="91"/>
  <c r="AC27" i="92"/>
  <c r="AC34" i="92" s="1"/>
  <c r="AG68" i="92"/>
  <c r="X16" i="92"/>
  <c r="X23" i="92" s="1"/>
  <c r="X33" i="92" s="1"/>
  <c r="AC32" i="92"/>
  <c r="AC74" i="92" s="1"/>
  <c r="AF69" i="92"/>
  <c r="AO21" i="92"/>
  <c r="L3" i="92"/>
  <c r="L69" i="92" s="1"/>
  <c r="BE10" i="103"/>
  <c r="BV21" i="103"/>
  <c r="BV22" i="103" s="1"/>
  <c r="X5" i="92"/>
  <c r="AB5" i="92"/>
  <c r="AU11" i="92"/>
  <c r="AI11" i="92"/>
  <c r="J11" i="92" s="1"/>
  <c r="J48" i="92" s="1"/>
  <c r="AA15" i="91"/>
  <c r="H8" i="91"/>
  <c r="AX257" i="91"/>
  <c r="AW257" i="91"/>
  <c r="I255" i="91"/>
  <c r="AE22" i="91"/>
  <c r="Q9" i="103"/>
  <c r="AN70" i="92"/>
  <c r="AS69" i="92"/>
  <c r="AR67" i="92"/>
  <c r="AU254" i="91"/>
  <c r="AX254" i="91"/>
  <c r="BA254" i="91"/>
  <c r="BH254" i="91"/>
  <c r="AN254" i="91"/>
  <c r="BK254" i="91"/>
  <c r="AA254" i="91"/>
  <c r="AW254" i="91"/>
  <c r="H254" i="91"/>
  <c r="O43" i="91"/>
  <c r="AF22" i="91"/>
  <c r="AW8" i="91"/>
  <c r="AX22" i="91"/>
  <c r="AF8" i="91"/>
  <c r="AP48" i="92"/>
  <c r="AP50" i="92" s="1"/>
  <c r="AP72" i="92" s="1"/>
  <c r="AX71" i="92"/>
  <c r="AG48" i="92"/>
  <c r="AC21" i="92"/>
  <c r="AC5" i="92"/>
  <c r="AC68" i="92" s="1"/>
  <c r="AF15" i="91"/>
  <c r="AM72" i="92"/>
  <c r="BJ20" i="91"/>
  <c r="BJ244" i="91" s="1"/>
  <c r="BJ245" i="91" s="1"/>
  <c r="BC5" i="92"/>
  <c r="BC48" i="92"/>
  <c r="BC50" i="92" s="1"/>
  <c r="BC16" i="92"/>
  <c r="BC23" i="92" s="1"/>
  <c r="BC32" i="92" s="1"/>
  <c r="BC74" i="92" s="1"/>
  <c r="P25" i="91"/>
  <c r="AV69" i="92"/>
  <c r="AV71" i="92"/>
  <c r="AV70" i="92"/>
  <c r="AV67" i="92"/>
  <c r="BA69" i="92"/>
  <c r="AR48" i="92"/>
  <c r="AR50" i="92" s="1"/>
  <c r="AR72" i="92" s="1"/>
  <c r="AR16" i="92"/>
  <c r="AW55" i="91"/>
  <c r="AW48" i="91" s="1"/>
  <c r="AW50" i="91" s="1"/>
  <c r="AW51" i="91" s="1"/>
  <c r="M54" i="91"/>
  <c r="Q31" i="103" s="1"/>
  <c r="AR71" i="92"/>
  <c r="BK5" i="92"/>
  <c r="BK16" i="92"/>
  <c r="BK23" i="92" s="1"/>
  <c r="BK32" i="92" s="1"/>
  <c r="BK74" i="92" s="1"/>
  <c r="AQ48" i="92"/>
  <c r="AQ50" i="92" s="1"/>
  <c r="AQ72" i="92" s="1"/>
  <c r="AQ16" i="92"/>
  <c r="AQ23" i="92" s="1"/>
  <c r="AQ32" i="92" s="1"/>
  <c r="AQ74" i="92" s="1"/>
  <c r="BI67" i="92"/>
  <c r="AM71" i="92"/>
  <c r="K11" i="92"/>
  <c r="K48" i="92" s="1"/>
  <c r="K50" i="92" s="1"/>
  <c r="J15" i="91"/>
  <c r="AV22" i="91"/>
  <c r="AV15" i="91"/>
  <c r="AV257" i="91"/>
  <c r="L255" i="91"/>
  <c r="AR5" i="92"/>
  <c r="M13" i="91"/>
  <c r="M254" i="91"/>
  <c r="AM5" i="92"/>
  <c r="BD15" i="91"/>
  <c r="BD22" i="91"/>
  <c r="BC15" i="91"/>
  <c r="BG8" i="91"/>
  <c r="BC22" i="91"/>
  <c r="AI3" i="92"/>
  <c r="AI8" i="91"/>
  <c r="BI11" i="92"/>
  <c r="AX70" i="92"/>
  <c r="BB67" i="92"/>
  <c r="BJ16" i="92"/>
  <c r="BJ23" i="92" s="1"/>
  <c r="BJ32" i="92" s="1"/>
  <c r="BJ74" i="92" s="1"/>
  <c r="BJ48" i="92"/>
  <c r="AL16" i="92"/>
  <c r="AL5" i="92"/>
  <c r="AL4" i="92" s="1"/>
  <c r="BL48" i="92"/>
  <c r="BL50" i="92" s="1"/>
  <c r="BL5" i="92"/>
  <c r="BL16" i="92"/>
  <c r="BL23" i="92" s="1"/>
  <c r="BL33" i="92" s="1"/>
  <c r="AN5" i="92"/>
  <c r="AN71" i="92"/>
  <c r="AN48" i="92"/>
  <c r="AN50" i="92" s="1"/>
  <c r="AN72" i="92" s="1"/>
  <c r="AB48" i="92"/>
  <c r="AB50" i="92" s="1"/>
  <c r="AG67" i="92"/>
  <c r="AC71" i="92"/>
  <c r="BA8" i="91"/>
  <c r="BE8" i="91"/>
  <c r="BA11" i="92"/>
  <c r="BA15" i="91"/>
  <c r="L44" i="91"/>
  <c r="L10" i="91"/>
  <c r="L14" i="91" s="1"/>
  <c r="L43" i="91"/>
  <c r="BF11" i="92"/>
  <c r="O11" i="92" s="1"/>
  <c r="O5" i="92" s="1"/>
  <c r="BF15" i="91"/>
  <c r="BL8" i="91"/>
  <c r="BL22" i="91"/>
  <c r="I3" i="92"/>
  <c r="AK5" i="92"/>
  <c r="AK16" i="92"/>
  <c r="AK23" i="92" s="1"/>
  <c r="AK27" i="92" s="1"/>
  <c r="AK71" i="92"/>
  <c r="AW11" i="92"/>
  <c r="AW15" i="91"/>
  <c r="W11" i="92"/>
  <c r="W15" i="91"/>
  <c r="AS11" i="92"/>
  <c r="L11" i="92" s="1"/>
  <c r="AS15" i="91"/>
  <c r="AV254" i="91"/>
  <c r="O255" i="91"/>
  <c r="N255" i="91"/>
  <c r="BI15" i="91"/>
  <c r="AM16" i="92"/>
  <c r="AM23" i="92" s="1"/>
  <c r="AM32" i="92" s="1"/>
  <c r="AM74" i="92" s="1"/>
  <c r="AF68" i="92"/>
  <c r="AF4" i="92"/>
  <c r="J224" i="91"/>
  <c r="F236" i="91"/>
  <c r="AB3" i="92"/>
  <c r="AB8" i="91"/>
  <c r="BO10" i="103"/>
  <c r="R9" i="103"/>
  <c r="M33" i="91"/>
  <c r="M57" i="91" s="1"/>
  <c r="AA3" i="92"/>
  <c r="AE8" i="91"/>
  <c r="AA8" i="91"/>
  <c r="AL69" i="92"/>
  <c r="AP67" i="92"/>
  <c r="BB16" i="92"/>
  <c r="BB48" i="92"/>
  <c r="BB5" i="92"/>
  <c r="BB4" i="92" s="1"/>
  <c r="AH16" i="92"/>
  <c r="AH5" i="92"/>
  <c r="BL15" i="91"/>
  <c r="BL3" i="92"/>
  <c r="BU34" i="103"/>
  <c r="BF55" i="91"/>
  <c r="BF48" i="91" s="1"/>
  <c r="BF50" i="91" s="1"/>
  <c r="BF51" i="91" s="1"/>
  <c r="BB55" i="91"/>
  <c r="BN32" i="103" s="1"/>
  <c r="BN34" i="103" s="1"/>
  <c r="AX72" i="92"/>
  <c r="I228" i="91"/>
  <c r="P13" i="91"/>
  <c r="P14" i="91" s="1"/>
  <c r="P15" i="91" s="1"/>
  <c r="P254" i="91"/>
  <c r="P255" i="91"/>
  <c r="BA55" i="91"/>
  <c r="Y70" i="92"/>
  <c r="BJ110" i="91"/>
  <c r="BJ25" i="91"/>
  <c r="P40" i="91"/>
  <c r="P17" i="91"/>
  <c r="AM15" i="91"/>
  <c r="BH8" i="91"/>
  <c r="BH257" i="91"/>
  <c r="BH3" i="92"/>
  <c r="BH72" i="92" s="1"/>
  <c r="AY257" i="91"/>
  <c r="AY3" i="92"/>
  <c r="BJ48" i="91"/>
  <c r="BJ50" i="91" s="1"/>
  <c r="BJ51" i="91" s="1"/>
  <c r="BV32" i="103"/>
  <c r="BV34" i="103" s="1"/>
  <c r="L33" i="91"/>
  <c r="L57" i="91" s="1"/>
  <c r="L4" i="91"/>
  <c r="L7" i="91" s="1"/>
  <c r="BI32" i="103"/>
  <c r="N56" i="91"/>
  <c r="R33" i="103" s="1"/>
  <c r="BM33" i="103"/>
  <c r="BR32" i="103"/>
  <c r="BR34" i="103" s="1"/>
  <c r="BB22" i="91"/>
  <c r="BB49" i="92"/>
  <c r="AK50" i="92"/>
  <c r="AK72" i="92" s="1"/>
  <c r="P203" i="91"/>
  <c r="P19" i="91"/>
  <c r="BA22" i="91"/>
  <c r="BA49" i="92"/>
  <c r="BA70" i="92" s="1"/>
  <c r="BD257" i="91"/>
  <c r="BD3" i="92"/>
  <c r="BD72" i="92" s="1"/>
  <c r="AJ8" i="91"/>
  <c r="AJ3" i="92"/>
  <c r="BK257" i="91"/>
  <c r="BK3" i="92"/>
  <c r="BK72" i="92" s="1"/>
  <c r="AU257" i="91"/>
  <c r="AU3" i="92"/>
  <c r="W22" i="91"/>
  <c r="W3" i="92"/>
  <c r="H15" i="91"/>
  <c r="AR15" i="91"/>
  <c r="AJ15" i="91"/>
  <c r="AB15" i="91"/>
  <c r="R222" i="91"/>
  <c r="AX215" i="91"/>
  <c r="O54" i="91"/>
  <c r="S31" i="103" s="1"/>
  <c r="BO31" i="103"/>
  <c r="AV48" i="91"/>
  <c r="AV50" i="91" s="1"/>
  <c r="AV51" i="91" s="1"/>
  <c r="BH32" i="103"/>
  <c r="BH34" i="103" s="1"/>
  <c r="O56" i="91"/>
  <c r="S33" i="103" s="1"/>
  <c r="BP33" i="103"/>
  <c r="BG55" i="91"/>
  <c r="BS32" i="103" s="1"/>
  <c r="BS34" i="103" s="1"/>
  <c r="P56" i="91"/>
  <c r="T33" i="103" s="1"/>
  <c r="AG22" i="91"/>
  <c r="AG49" i="92"/>
  <c r="BB223" i="91"/>
  <c r="N214" i="91"/>
  <c r="P114" i="91"/>
  <c r="P18" i="91"/>
  <c r="BF36" i="91"/>
  <c r="BF24" i="91"/>
  <c r="AZ8" i="91"/>
  <c r="AZ257" i="91"/>
  <c r="AZ3" i="92"/>
  <c r="J2" i="91"/>
  <c r="J2" i="92" s="1"/>
  <c r="I2" i="92"/>
  <c r="BG257" i="91"/>
  <c r="BG3" i="92"/>
  <c r="N2" i="91"/>
  <c r="M2" i="92"/>
  <c r="AC22" i="91"/>
  <c r="AC49" i="92"/>
  <c r="AC70" i="92" s="1"/>
  <c r="M214" i="91"/>
  <c r="M223" i="91" s="1"/>
  <c r="BE55" i="91"/>
  <c r="M56" i="91"/>
  <c r="Q33" i="103" s="1"/>
  <c r="BI33" i="103"/>
  <c r="BH55" i="91"/>
  <c r="AX55" i="91"/>
  <c r="AD22" i="91"/>
  <c r="AD49" i="92"/>
  <c r="AD70" i="92" s="1"/>
  <c r="BE22" i="91"/>
  <c r="BE49" i="92"/>
  <c r="BN220" i="91"/>
  <c r="Q211" i="91"/>
  <c r="Q220" i="91" s="1"/>
  <c r="BM22" i="91"/>
  <c r="BM3" i="92"/>
  <c r="BC257" i="91"/>
  <c r="BC3" i="92"/>
  <c r="BJ257" i="91"/>
  <c r="BJ3" i="92"/>
  <c r="BJ68" i="92" s="1"/>
  <c r="AN15" i="91"/>
  <c r="X15" i="91"/>
  <c r="I231" i="91"/>
  <c r="J228" i="91"/>
  <c r="BL126" i="91"/>
  <c r="BL127" i="91" s="1"/>
  <c r="R195" i="91"/>
  <c r="S213" i="91" s="1"/>
  <c r="Q152" i="2"/>
  <c r="Q156" i="2" s="1"/>
  <c r="S152" i="2"/>
  <c r="S156" i="2" s="1"/>
  <c r="S158" i="2" s="1"/>
  <c r="S98" i="2" s="1"/>
  <c r="S99" i="2" s="1"/>
  <c r="O55" i="8"/>
  <c r="O62" i="8"/>
  <c r="O64" i="8" s="1"/>
  <c r="BQ205" i="91"/>
  <c r="BQ26" i="91"/>
  <c r="W49" i="103"/>
  <c r="W205" i="103"/>
  <c r="CC407" i="103"/>
  <c r="CA341" i="103"/>
  <c r="T66" i="103"/>
  <c r="BX431" i="103"/>
  <c r="BU461" i="103"/>
  <c r="BU185" i="103" s="1"/>
  <c r="BU187" i="103" s="1"/>
  <c r="BU138" i="103" s="1"/>
  <c r="CB431" i="103"/>
  <c r="CD407" i="103"/>
  <c r="CD416" i="103" s="1"/>
  <c r="CD203" i="103" s="1"/>
  <c r="BX178" i="103"/>
  <c r="BX137" i="103" s="1"/>
  <c r="L10" i="103"/>
  <c r="U67" i="103"/>
  <c r="CA342" i="103"/>
  <c r="CA343" i="103" s="1"/>
  <c r="CA52" i="103" s="1"/>
  <c r="BY278" i="103"/>
  <c r="BY280" i="103" s="1"/>
  <c r="V433" i="103"/>
  <c r="V121" i="103" s="1"/>
  <c r="X433" i="103"/>
  <c r="X121" i="103" s="1"/>
  <c r="X123" i="103" s="1"/>
  <c r="X141" i="103" s="1"/>
  <c r="BW407" i="103"/>
  <c r="Q416" i="103"/>
  <c r="CB414" i="103"/>
  <c r="BZ424" i="103"/>
  <c r="BU407" i="103"/>
  <c r="Y291" i="103"/>
  <c r="T333" i="103"/>
  <c r="CA461" i="103"/>
  <c r="BW461" i="103"/>
  <c r="BW185" i="103" s="1"/>
  <c r="BW187" i="103" s="1"/>
  <c r="BW138" i="103" s="1"/>
  <c r="BS452" i="103"/>
  <c r="BS278" i="103"/>
  <c r="BS280" i="103" s="1"/>
  <c r="S97" i="2"/>
  <c r="M40" i="2"/>
  <c r="G60" i="8"/>
  <c r="U28" i="2"/>
  <c r="U26" i="8" s="1"/>
  <c r="T26" i="8"/>
  <c r="R134" i="2"/>
  <c r="R135" i="2" s="1"/>
  <c r="R220" i="91"/>
  <c r="R221" i="91"/>
  <c r="Q25" i="92"/>
  <c r="K228" i="91"/>
  <c r="BY431" i="103"/>
  <c r="CA424" i="103"/>
  <c r="CD424" i="103"/>
  <c r="CD433" i="103" s="1"/>
  <c r="CD121" i="103" s="1"/>
  <c r="CD123" i="103" s="1"/>
  <c r="CD141" i="103" s="1"/>
  <c r="BX414" i="103"/>
  <c r="CB407" i="103"/>
  <c r="BT407" i="103"/>
  <c r="BT416" i="103" s="1"/>
  <c r="BT203" i="103" s="1"/>
  <c r="CA407" i="103"/>
  <c r="BW424" i="103"/>
  <c r="BU452" i="103"/>
  <c r="CC424" i="103"/>
  <c r="BX440" i="103"/>
  <c r="BY407" i="103"/>
  <c r="Y299" i="103"/>
  <c r="K231" i="91"/>
  <c r="BU278" i="103"/>
  <c r="BU280" i="103" s="1"/>
  <c r="BY452" i="103"/>
  <c r="BY424" i="103"/>
  <c r="BS424" i="103"/>
  <c r="BX424" i="103"/>
  <c r="BX433" i="103" s="1"/>
  <c r="BX121" i="103" s="1"/>
  <c r="BX123" i="103" s="1"/>
  <c r="BX141" i="103" s="1"/>
  <c r="BX205" i="103" s="1"/>
  <c r="BV452" i="103"/>
  <c r="M10" i="103"/>
  <c r="M228" i="91"/>
  <c r="CB341" i="103"/>
  <c r="CB295" i="103"/>
  <c r="CB273" i="103" s="1"/>
  <c r="CB342" i="103"/>
  <c r="S14" i="2"/>
  <c r="S25" i="8" s="1"/>
  <c r="F227" i="91"/>
  <c r="J231" i="91"/>
  <c r="X398" i="103"/>
  <c r="X83" i="103" s="1"/>
  <c r="BX253" i="103"/>
  <c r="BV245" i="103"/>
  <c r="BY245" i="103"/>
  <c r="BW253" i="103"/>
  <c r="CD253" i="103"/>
  <c r="CC253" i="103"/>
  <c r="BZ253" i="103"/>
  <c r="BX245" i="103"/>
  <c r="BY253" i="103"/>
  <c r="BW245" i="103"/>
  <c r="BT253" i="103"/>
  <c r="BR245" i="103"/>
  <c r="BP253" i="103"/>
  <c r="BL253" i="103"/>
  <c r="BH253" i="103"/>
  <c r="BU245" i="103"/>
  <c r="BS253" i="103"/>
  <c r="BS255" i="103" s="1"/>
  <c r="BQ245" i="103"/>
  <c r="BO253" i="103"/>
  <c r="BK253" i="103"/>
  <c r="BG253" i="103"/>
  <c r="BV253" i="103"/>
  <c r="BT245" i="103"/>
  <c r="BR253" i="103"/>
  <c r="BP245" i="103"/>
  <c r="BN253" i="103"/>
  <c r="BJ253" i="103"/>
  <c r="BU253" i="103"/>
  <c r="BQ253" i="103"/>
  <c r="BO245" i="103"/>
  <c r="BM253" i="103"/>
  <c r="BI253" i="103"/>
  <c r="BZ168" i="103"/>
  <c r="BZ170" i="103" s="1"/>
  <c r="BV168" i="103"/>
  <c r="BV170" i="103" s="1"/>
  <c r="BR168" i="103"/>
  <c r="BN168" i="103"/>
  <c r="BJ168" i="103"/>
  <c r="BW168" i="103"/>
  <c r="BW170" i="103" s="1"/>
  <c r="BS168" i="103"/>
  <c r="BS170" i="103" s="1"/>
  <c r="BS150" i="103" s="1"/>
  <c r="BS112" i="103" s="1"/>
  <c r="BS156" i="103" s="1"/>
  <c r="BO168" i="103"/>
  <c r="BK168" i="103"/>
  <c r="BG168" i="103"/>
  <c r="BY168" i="103"/>
  <c r="BY170" i="103" s="1"/>
  <c r="BU168" i="103"/>
  <c r="BU170" i="103" s="1"/>
  <c r="BQ168" i="103"/>
  <c r="BM168" i="103"/>
  <c r="BI168" i="103"/>
  <c r="BX168" i="103"/>
  <c r="BX170" i="103" s="1"/>
  <c r="BH168" i="103"/>
  <c r="BL168" i="103"/>
  <c r="BT168" i="103"/>
  <c r="BT170" i="103" s="1"/>
  <c r="BP168" i="103"/>
  <c r="CC393" i="103"/>
  <c r="CC91" i="103" s="1"/>
  <c r="CC93" i="103" s="1"/>
  <c r="CC73" i="103" s="1"/>
  <c r="CA393" i="103"/>
  <c r="CA91" i="103" s="1"/>
  <c r="CA93" i="103" s="1"/>
  <c r="CA73" i="103" s="1"/>
  <c r="CD58" i="103"/>
  <c r="CD60" i="103" s="1"/>
  <c r="CB58" i="103"/>
  <c r="CB60" i="103" s="1"/>
  <c r="CD393" i="103"/>
  <c r="CD91" i="103" s="1"/>
  <c r="CD93" i="103" s="1"/>
  <c r="CD73" i="103" s="1"/>
  <c r="CB393" i="103"/>
  <c r="CB91" i="103" s="1"/>
  <c r="CB93" i="103" s="1"/>
  <c r="CB73" i="103" s="1"/>
  <c r="CC58" i="103"/>
  <c r="CC60" i="103" s="1"/>
  <c r="BZ393" i="103"/>
  <c r="BZ91" i="103" s="1"/>
  <c r="BZ93" i="103" s="1"/>
  <c r="BZ73" i="103" s="1"/>
  <c r="BY58" i="103"/>
  <c r="BY60" i="103" s="1"/>
  <c r="BV393" i="103"/>
  <c r="BV91" i="103" s="1"/>
  <c r="BV93" i="103" s="1"/>
  <c r="BV73" i="103" s="1"/>
  <c r="BR393" i="103"/>
  <c r="BX393" i="103"/>
  <c r="BX91" i="103" s="1"/>
  <c r="BX93" i="103" s="1"/>
  <c r="BX73" i="103" s="1"/>
  <c r="BS58" i="103"/>
  <c r="BS60" i="103" s="1"/>
  <c r="BQ393" i="103"/>
  <c r="BO393" i="103"/>
  <c r="BM393" i="103"/>
  <c r="BI393" i="103"/>
  <c r="BZ58" i="103"/>
  <c r="BZ60" i="103" s="1"/>
  <c r="BU393" i="103"/>
  <c r="BU91" i="103" s="1"/>
  <c r="BU93" i="103" s="1"/>
  <c r="BU73" i="103" s="1"/>
  <c r="BS393" i="103"/>
  <c r="BS91" i="103" s="1"/>
  <c r="BS93" i="103" s="1"/>
  <c r="BS73" i="103" s="1"/>
  <c r="BL393" i="103"/>
  <c r="BH393" i="103"/>
  <c r="BY393" i="103"/>
  <c r="BY91" i="103" s="1"/>
  <c r="BY93" i="103" s="1"/>
  <c r="BY73" i="103" s="1"/>
  <c r="BW393" i="103"/>
  <c r="BW91" i="103" s="1"/>
  <c r="BW93" i="103" s="1"/>
  <c r="BW73" i="103" s="1"/>
  <c r="BT58" i="103"/>
  <c r="BT60" i="103" s="1"/>
  <c r="BP393" i="103"/>
  <c r="BK393" i="103"/>
  <c r="BG393" i="103"/>
  <c r="BX58" i="103"/>
  <c r="BX60" i="103" s="1"/>
  <c r="BV58" i="103"/>
  <c r="BV60" i="103" s="1"/>
  <c r="BT393" i="103"/>
  <c r="BT91" i="103" s="1"/>
  <c r="BT93" i="103" s="1"/>
  <c r="BT73" i="103" s="1"/>
  <c r="BN393" i="103"/>
  <c r="BJ393" i="103"/>
  <c r="O134" i="2"/>
  <c r="O135" i="2" s="1"/>
  <c r="P97" i="2"/>
  <c r="P99" i="2" s="1"/>
  <c r="Q101" i="2"/>
  <c r="Q158" i="2" s="1"/>
  <c r="Q157" i="2" s="1"/>
  <c r="R152" i="2"/>
  <c r="R156" i="2" s="1"/>
  <c r="U32" i="2"/>
  <c r="P91" i="2"/>
  <c r="T128" i="2"/>
  <c r="U113" i="2"/>
  <c r="U128" i="2" s="1"/>
  <c r="N91" i="2"/>
  <c r="M91" i="2"/>
  <c r="L91" i="2"/>
  <c r="O91" i="2"/>
  <c r="P134" i="2"/>
  <c r="P135" i="2" s="1"/>
  <c r="Q97" i="2"/>
  <c r="Q99" i="2" s="1"/>
  <c r="S133" i="2"/>
  <c r="S134" i="2" s="1"/>
  <c r="T19" i="2"/>
  <c r="S25" i="2"/>
  <c r="J91" i="2"/>
  <c r="I91" i="2"/>
  <c r="H91" i="2"/>
  <c r="K91" i="2"/>
  <c r="BO53" i="92"/>
  <c r="M25" i="92"/>
  <c r="I25" i="92"/>
  <c r="AB21" i="92"/>
  <c r="AV33" i="92"/>
  <c r="AV32" i="92"/>
  <c r="AV74" i="92" s="1"/>
  <c r="AV27" i="92"/>
  <c r="AX35" i="92"/>
  <c r="U59" i="92"/>
  <c r="U60" i="92" s="1"/>
  <c r="U55" i="92" s="1"/>
  <c r="T60" i="92"/>
  <c r="T55" i="92" s="1"/>
  <c r="Z35" i="92"/>
  <c r="Z34" i="92"/>
  <c r="AD33" i="92"/>
  <c r="AD32" i="92"/>
  <c r="AD74" i="92" s="1"/>
  <c r="AD27" i="92"/>
  <c r="AN33" i="92"/>
  <c r="AN32" i="92"/>
  <c r="AN74" i="92" s="1"/>
  <c r="AN27" i="92"/>
  <c r="M56" i="92"/>
  <c r="N53" i="92" s="1"/>
  <c r="AT33" i="92"/>
  <c r="AT32" i="92"/>
  <c r="AT74" i="92" s="1"/>
  <c r="AT27" i="92"/>
  <c r="Q56" i="92"/>
  <c r="R53" i="92" s="1"/>
  <c r="R56" i="92" s="1"/>
  <c r="S53" i="92" s="1"/>
  <c r="J25" i="92"/>
  <c r="AB33" i="92"/>
  <c r="AB32" i="92"/>
  <c r="AB74" i="92" s="1"/>
  <c r="AB27" i="92"/>
  <c r="AN21" i="92"/>
  <c r="T187" i="103"/>
  <c r="T186" i="103" s="1"/>
  <c r="BS138" i="103"/>
  <c r="T332" i="103"/>
  <c r="T295" i="103"/>
  <c r="BX342" i="103"/>
  <c r="U342" i="103" s="1"/>
  <c r="BX295" i="103"/>
  <c r="U333" i="103"/>
  <c r="BX341" i="103"/>
  <c r="BV341" i="103"/>
  <c r="BV295" i="103"/>
  <c r="BV296" i="103" s="1"/>
  <c r="BV289" i="103" s="1"/>
  <c r="BV342" i="103"/>
  <c r="BY461" i="103"/>
  <c r="BY185" i="103" s="1"/>
  <c r="BY187" i="103" s="1"/>
  <c r="BY138" i="103" s="1"/>
  <c r="CA440" i="103"/>
  <c r="CA278" i="103"/>
  <c r="CA280" i="103" s="1"/>
  <c r="CC431" i="103"/>
  <c r="CC433" i="103" s="1"/>
  <c r="CC121" i="103" s="1"/>
  <c r="CC123" i="103" s="1"/>
  <c r="CC141" i="103" s="1"/>
  <c r="CB424" i="103"/>
  <c r="CB433" i="103" s="1"/>
  <c r="CB121" i="103" s="1"/>
  <c r="CB123" i="103" s="1"/>
  <c r="CB141" i="103" s="1"/>
  <c r="CB452" i="103"/>
  <c r="BY440" i="103"/>
  <c r="CA414" i="103"/>
  <c r="CA416" i="103" s="1"/>
  <c r="CA203" i="103" s="1"/>
  <c r="CB130" i="103"/>
  <c r="BV431" i="103"/>
  <c r="Y416" i="103"/>
  <c r="Y203" i="103" s="1"/>
  <c r="BS414" i="103"/>
  <c r="BS416" i="103" s="1"/>
  <c r="BS203" i="103" s="1"/>
  <c r="W297" i="103"/>
  <c r="W289" i="103"/>
  <c r="W291" i="103" s="1"/>
  <c r="W282" i="103"/>
  <c r="W51" i="103"/>
  <c r="CC343" i="103"/>
  <c r="CC52" i="103" s="1"/>
  <c r="BU273" i="103"/>
  <c r="BU296" i="103"/>
  <c r="BU290" i="103" s="1"/>
  <c r="BZ177" i="103"/>
  <c r="BY178" i="103"/>
  <c r="BY137" i="103" s="1"/>
  <c r="T178" i="103"/>
  <c r="T177" i="103" s="1"/>
  <c r="BX99" i="103"/>
  <c r="BY99" i="103" s="1"/>
  <c r="BZ99" i="103" s="1"/>
  <c r="CA99" i="103" s="1"/>
  <c r="BV78" i="103"/>
  <c r="T98" i="103"/>
  <c r="V66" i="103"/>
  <c r="W66" i="103" s="1"/>
  <c r="X66" i="103" s="1"/>
  <c r="Y66" i="103" s="1"/>
  <c r="CB67" i="103"/>
  <c r="CC67" i="103" s="1"/>
  <c r="CD67" i="103" s="1"/>
  <c r="BT342" i="103"/>
  <c r="BT295" i="103"/>
  <c r="BT341" i="103"/>
  <c r="T341" i="103" s="1"/>
  <c r="CB440" i="103"/>
  <c r="CB279" i="103"/>
  <c r="CB280" i="103" s="1"/>
  <c r="CD205" i="103"/>
  <c r="CD128" i="103"/>
  <c r="CD49" i="103"/>
  <c r="BZ452" i="103"/>
  <c r="BT440" i="103"/>
  <c r="BT279" i="103"/>
  <c r="CA431" i="103"/>
  <c r="BX130" i="103"/>
  <c r="CD452" i="103"/>
  <c r="BZ416" i="103"/>
  <c r="BZ203" i="103" s="1"/>
  <c r="BS431" i="103"/>
  <c r="BS433" i="103" s="1"/>
  <c r="BS121" i="103" s="1"/>
  <c r="BS123" i="103" s="1"/>
  <c r="U416" i="103"/>
  <c r="U203" i="103" s="1"/>
  <c r="BW440" i="103"/>
  <c r="V401" i="103"/>
  <c r="V203" i="103"/>
  <c r="CA273" i="103"/>
  <c r="BS296" i="103"/>
  <c r="BS290" i="103" s="1"/>
  <c r="BS273" i="103"/>
  <c r="BY343" i="103"/>
  <c r="BY52" i="103" s="1"/>
  <c r="CD343" i="103"/>
  <c r="CD52" i="103" s="1"/>
  <c r="CC273" i="103"/>
  <c r="BW137" i="103"/>
  <c r="CD130" i="103"/>
  <c r="Q393" i="103"/>
  <c r="R2" i="103"/>
  <c r="BX66" i="103"/>
  <c r="BY66" i="103" s="1"/>
  <c r="BV65" i="103"/>
  <c r="BU68" i="103"/>
  <c r="BZ433" i="103"/>
  <c r="BZ121" i="103" s="1"/>
  <c r="BZ123" i="103" s="1"/>
  <c r="BZ141" i="103" s="1"/>
  <c r="CD143" i="103" s="1"/>
  <c r="BW452" i="103"/>
  <c r="BW431" i="103"/>
  <c r="BW433" i="103" s="1"/>
  <c r="BW121" i="103" s="1"/>
  <c r="BW123" i="103" s="1"/>
  <c r="Y205" i="103"/>
  <c r="Y143" i="103"/>
  <c r="Y49" i="103"/>
  <c r="BY414" i="103"/>
  <c r="BY416" i="103" s="1"/>
  <c r="BY203" i="103" s="1"/>
  <c r="BU414" i="103"/>
  <c r="BW273" i="103"/>
  <c r="V332" i="103"/>
  <c r="V295" i="103"/>
  <c r="BS343" i="103"/>
  <c r="BS52" i="103" s="1"/>
  <c r="BW294" i="103"/>
  <c r="T294" i="103"/>
  <c r="BV70" i="103"/>
  <c r="BY273" i="103"/>
  <c r="BU343" i="103"/>
  <c r="BU52" i="103" s="1"/>
  <c r="CD273" i="103"/>
  <c r="V216" i="103"/>
  <c r="W128" i="103"/>
  <c r="X136" i="103"/>
  <c r="BS69" i="103"/>
  <c r="BY22" i="103"/>
  <c r="BT69" i="103"/>
  <c r="N10" i="103"/>
  <c r="CC461" i="103"/>
  <c r="CC185" i="103" s="1"/>
  <c r="CC187" i="103" s="1"/>
  <c r="CC138" i="103" s="1"/>
  <c r="BZ341" i="103"/>
  <c r="BZ295" i="103"/>
  <c r="CC440" i="103"/>
  <c r="CC279" i="103"/>
  <c r="CC280" i="103" s="1"/>
  <c r="BT278" i="103"/>
  <c r="BU424" i="103"/>
  <c r="BX452" i="103"/>
  <c r="U433" i="103"/>
  <c r="U121" i="103" s="1"/>
  <c r="CC452" i="103"/>
  <c r="CA452" i="103"/>
  <c r="CC414" i="103"/>
  <c r="X205" i="103"/>
  <c r="X143" i="103"/>
  <c r="X49" i="103"/>
  <c r="BT431" i="103"/>
  <c r="BT433" i="103" s="1"/>
  <c r="BT121" i="103" s="1"/>
  <c r="BT123" i="103" s="1"/>
  <c r="BT141" i="103" s="1"/>
  <c r="BU431" i="103"/>
  <c r="BW414" i="103"/>
  <c r="BW416" i="103" s="1"/>
  <c r="BW203" i="103" s="1"/>
  <c r="BX416" i="103"/>
  <c r="BX203" i="103" s="1"/>
  <c r="BV433" i="103"/>
  <c r="BV121" i="103" s="1"/>
  <c r="BV123" i="103" s="1"/>
  <c r="BV141" i="103" s="1"/>
  <c r="BU440" i="103"/>
  <c r="BV414" i="103"/>
  <c r="BV416" i="103" s="1"/>
  <c r="BV203" i="103" s="1"/>
  <c r="BW343" i="103"/>
  <c r="BW52" i="103" s="1"/>
  <c r="U341" i="103"/>
  <c r="V341" i="103"/>
  <c r="X299" i="103"/>
  <c r="X282" i="103"/>
  <c r="X297" i="103"/>
  <c r="X51" i="103"/>
  <c r="Y285" i="103"/>
  <c r="Y284" i="103"/>
  <c r="X289" i="103"/>
  <c r="X291" i="103" s="1"/>
  <c r="T216" i="103"/>
  <c r="V107" i="103"/>
  <c r="U216" i="103"/>
  <c r="W217" i="103"/>
  <c r="W218" i="103" s="1"/>
  <c r="W204" i="103"/>
  <c r="BX98" i="103"/>
  <c r="BY98" i="103" s="1"/>
  <c r="BZ98" i="103" s="1"/>
  <c r="CA98" i="103" s="1"/>
  <c r="BU22" i="103"/>
  <c r="O10" i="103"/>
  <c r="BF224" i="91"/>
  <c r="BF216" i="91"/>
  <c r="Q199" i="91"/>
  <c r="Q200" i="91"/>
  <c r="Q26" i="91"/>
  <c r="BJ224" i="91"/>
  <c r="BJ216" i="91"/>
  <c r="L231" i="91"/>
  <c r="O231" i="91"/>
  <c r="BR215" i="91"/>
  <c r="BR216" i="91" s="1"/>
  <c r="R210" i="91"/>
  <c r="P199" i="91"/>
  <c r="P26" i="91"/>
  <c r="BP200" i="91"/>
  <c r="BP205" i="91"/>
  <c r="BP26" i="91"/>
  <c r="BD55" i="91"/>
  <c r="N54" i="91"/>
  <c r="R31" i="103" s="1"/>
  <c r="AY55" i="91"/>
  <c r="BK32" i="103" s="1"/>
  <c r="BK34" i="103" s="1"/>
  <c r="Q105" i="91"/>
  <c r="Q5" i="91"/>
  <c r="Y22" i="91"/>
  <c r="Z21" i="91"/>
  <c r="BH241" i="91"/>
  <c r="BH27" i="91"/>
  <c r="BH28" i="91" s="1"/>
  <c r="BH29" i="91" s="1"/>
  <c r="BM255" i="91"/>
  <c r="BM254" i="91"/>
  <c r="BM240" i="91"/>
  <c r="BM13" i="91"/>
  <c r="BH216" i="91"/>
  <c r="BH224" i="91"/>
  <c r="F230" i="91"/>
  <c r="BB224" i="91"/>
  <c r="BB216" i="91"/>
  <c r="BG241" i="91"/>
  <c r="BG27" i="91"/>
  <c r="BG28" i="91" s="1"/>
  <c r="BG29" i="91" s="1"/>
  <c r="BE224" i="91"/>
  <c r="BE216" i="91"/>
  <c r="BO205" i="91"/>
  <c r="BO200" i="91"/>
  <c r="BO26" i="91"/>
  <c r="Q196" i="91"/>
  <c r="Q6" i="91"/>
  <c r="BR202" i="91"/>
  <c r="BR198" i="91"/>
  <c r="BR6" i="91"/>
  <c r="AZ55" i="91"/>
  <c r="N33" i="91"/>
  <c r="N57" i="91" s="1"/>
  <c r="N4" i="91"/>
  <c r="N7" i="91" s="1"/>
  <c r="AU48" i="91"/>
  <c r="AU50" i="91" s="1"/>
  <c r="AU51" i="91" s="1"/>
  <c r="BJ37" i="91"/>
  <c r="BJ24" i="91"/>
  <c r="BJ36" i="91"/>
  <c r="BK241" i="91"/>
  <c r="BK242" i="91"/>
  <c r="BK27" i="91"/>
  <c r="BK28" i="91" s="1"/>
  <c r="BK29" i="91" s="1"/>
  <c r="BF22" i="91"/>
  <c r="BF20" i="91"/>
  <c r="BF244" i="91" s="1"/>
  <c r="P24" i="91"/>
  <c r="P36" i="91"/>
  <c r="P33" i="91"/>
  <c r="P57" i="91" s="1"/>
  <c r="O33" i="91"/>
  <c r="O57" i="91" s="1"/>
  <c r="O4" i="91"/>
  <c r="O7" i="91" s="1"/>
  <c r="P55" i="91"/>
  <c r="T32" i="103" s="1"/>
  <c r="M44" i="91"/>
  <c r="M43" i="91"/>
  <c r="M10" i="91"/>
  <c r="AK22" i="91"/>
  <c r="AL21" i="91"/>
  <c r="BL242" i="91"/>
  <c r="BL241" i="91"/>
  <c r="BL27" i="91"/>
  <c r="BL28" i="91" s="1"/>
  <c r="BL29" i="91" s="1"/>
  <c r="O211" i="91"/>
  <c r="BF220" i="91"/>
  <c r="Q255" i="91"/>
  <c r="Q13" i="91"/>
  <c r="AW224" i="91"/>
  <c r="AW216" i="91"/>
  <c r="S214" i="91"/>
  <c r="BN255" i="91"/>
  <c r="BN13" i="91"/>
  <c r="P214" i="91"/>
  <c r="P223" i="91" s="1"/>
  <c r="BJ223" i="91"/>
  <c r="Q219" i="91"/>
  <c r="BN200" i="91"/>
  <c r="BN26" i="91"/>
  <c r="AX224" i="91"/>
  <c r="AX216" i="91"/>
  <c r="P54" i="91"/>
  <c r="T31" i="103" s="1"/>
  <c r="BC55" i="91"/>
  <c r="BO32" i="103" s="1"/>
  <c r="Q113" i="91"/>
  <c r="BN18" i="91"/>
  <c r="O15" i="91"/>
  <c r="BI241" i="91"/>
  <c r="BI27" i="91"/>
  <c r="BI28" i="91" s="1"/>
  <c r="BI29" i="91" s="1"/>
  <c r="CA187" i="103" l="1"/>
  <c r="CA138" i="103" s="1"/>
  <c r="CA185" i="103"/>
  <c r="CA168" i="103"/>
  <c r="CA170" i="103" s="1"/>
  <c r="CA150" i="103" s="1"/>
  <c r="CA112" i="103" s="1"/>
  <c r="CB377" i="103"/>
  <c r="CC377" i="103" s="1"/>
  <c r="CD377" i="103" s="1"/>
  <c r="CD168" i="103" s="1"/>
  <c r="CD170" i="103" s="1"/>
  <c r="BL171" i="91"/>
  <c r="BP166" i="91"/>
  <c r="BP167" i="91"/>
  <c r="BP168" i="91"/>
  <c r="BD27" i="92"/>
  <c r="L15" i="91"/>
  <c r="BK189" i="91"/>
  <c r="X27" i="92"/>
  <c r="BJ50" i="92"/>
  <c r="AJ33" i="92"/>
  <c r="BE35" i="92"/>
  <c r="AJ27" i="92"/>
  <c r="P49" i="92"/>
  <c r="BF70" i="92"/>
  <c r="BF67" i="92"/>
  <c r="BK33" i="92"/>
  <c r="BB184" i="91"/>
  <c r="BD32" i="92"/>
  <c r="BD74" i="92" s="1"/>
  <c r="BD21" i="92"/>
  <c r="AX68" i="92"/>
  <c r="R6" i="91"/>
  <c r="BA184" i="91"/>
  <c r="BE67" i="92"/>
  <c r="BE4" i="92"/>
  <c r="P108" i="91"/>
  <c r="Q143" i="91" s="1"/>
  <c r="BG48" i="91"/>
  <c r="BG50" i="91" s="1"/>
  <c r="BG51" i="91" s="1"/>
  <c r="AJ21" i="92"/>
  <c r="BO189" i="91"/>
  <c r="BE189" i="91"/>
  <c r="BD184" i="91"/>
  <c r="BJ184" i="91"/>
  <c r="AV184" i="91"/>
  <c r="BJ4" i="92"/>
  <c r="BG33" i="92"/>
  <c r="BG184" i="91"/>
  <c r="BH33" i="92"/>
  <c r="X32" i="92"/>
  <c r="X74" i="92" s="1"/>
  <c r="X21" i="92"/>
  <c r="AD4" i="92"/>
  <c r="M14" i="91"/>
  <c r="M15" i="91" s="1"/>
  <c r="BK184" i="91"/>
  <c r="M215" i="91"/>
  <c r="M216" i="91" s="1"/>
  <c r="AA33" i="92"/>
  <c r="Y34" i="92"/>
  <c r="BQ189" i="91"/>
  <c r="AX184" i="91"/>
  <c r="BA67" i="92"/>
  <c r="AW70" i="92"/>
  <c r="AW69" i="92"/>
  <c r="BB48" i="91"/>
  <c r="BB50" i="91" s="1"/>
  <c r="BB51" i="91" s="1"/>
  <c r="N182" i="91"/>
  <c r="N184" i="91"/>
  <c r="AP35" i="92"/>
  <c r="BG21" i="92"/>
  <c r="BG32" i="92"/>
  <c r="BG74" i="92" s="1"/>
  <c r="AX34" i="92"/>
  <c r="BG189" i="91"/>
  <c r="BC189" i="91"/>
  <c r="BI189" i="91"/>
  <c r="AW189" i="91"/>
  <c r="AX189" i="91"/>
  <c r="I48" i="92"/>
  <c r="BM189" i="91"/>
  <c r="AY189" i="91"/>
  <c r="BA189" i="91"/>
  <c r="AV188" i="91"/>
  <c r="AV189" i="91"/>
  <c r="AW184" i="91"/>
  <c r="AE21" i="92"/>
  <c r="Q10" i="103"/>
  <c r="AZ189" i="91"/>
  <c r="BH189" i="91"/>
  <c r="BP189" i="91"/>
  <c r="BD189" i="91"/>
  <c r="BL189" i="91"/>
  <c r="AY184" i="91"/>
  <c r="BF189" i="91"/>
  <c r="BN189" i="91"/>
  <c r="BC184" i="91"/>
  <c r="BB189" i="91"/>
  <c r="BJ189" i="91"/>
  <c r="BR189" i="91"/>
  <c r="BL184" i="91"/>
  <c r="BE184" i="91"/>
  <c r="BO184" i="91"/>
  <c r="BQ184" i="91"/>
  <c r="AZ184" i="91"/>
  <c r="BI184" i="91"/>
  <c r="BF184" i="91"/>
  <c r="BM184" i="91"/>
  <c r="BP184" i="91"/>
  <c r="BR184" i="91"/>
  <c r="BH184" i="91"/>
  <c r="BL27" i="92"/>
  <c r="BL34" i="92" s="1"/>
  <c r="BL32" i="92"/>
  <c r="BL74" i="92" s="1"/>
  <c r="AV68" i="92"/>
  <c r="AQ68" i="92"/>
  <c r="H32" i="92"/>
  <c r="H74" i="92" s="1"/>
  <c r="AC50" i="92"/>
  <c r="AC72" i="92" s="1"/>
  <c r="AQ27" i="92"/>
  <c r="AQ34" i="92" s="1"/>
  <c r="AZ21" i="92"/>
  <c r="J16" i="92"/>
  <c r="J21" i="92" s="1"/>
  <c r="Y68" i="92"/>
  <c r="AA32" i="92"/>
  <c r="AA74" i="92" s="1"/>
  <c r="AZ33" i="92"/>
  <c r="K69" i="92"/>
  <c r="I68" i="92"/>
  <c r="AA21" i="92"/>
  <c r="AZ27" i="92"/>
  <c r="AZ35" i="92" s="1"/>
  <c r="AG27" i="92"/>
  <c r="AG35" i="92" s="1"/>
  <c r="AO34" i="92"/>
  <c r="AQ33" i="92"/>
  <c r="H33" i="92"/>
  <c r="I16" i="92"/>
  <c r="I23" i="92" s="1"/>
  <c r="I32" i="92" s="1"/>
  <c r="I74" i="92" s="1"/>
  <c r="AC35" i="92"/>
  <c r="I71" i="92"/>
  <c r="BE68" i="92"/>
  <c r="H21" i="92"/>
  <c r="J5" i="92"/>
  <c r="S10" i="103"/>
  <c r="K5" i="92"/>
  <c r="K68" i="92" s="1"/>
  <c r="AQ21" i="92"/>
  <c r="BL21" i="92"/>
  <c r="AG21" i="92"/>
  <c r="BH32" i="92"/>
  <c r="BH74" i="92" s="1"/>
  <c r="K72" i="92"/>
  <c r="AG32" i="92"/>
  <c r="AG74" i="92" s="1"/>
  <c r="L67" i="92"/>
  <c r="BH21" i="92"/>
  <c r="N11" i="92"/>
  <c r="N16" i="92" s="1"/>
  <c r="AC4" i="92"/>
  <c r="BK21" i="92"/>
  <c r="BK27" i="92"/>
  <c r="BK34" i="92" s="1"/>
  <c r="AE27" i="92"/>
  <c r="AE35" i="92" s="1"/>
  <c r="AK33" i="92"/>
  <c r="AM27" i="92"/>
  <c r="AM34" i="92" s="1"/>
  <c r="BC21" i="92"/>
  <c r="AM33" i="92"/>
  <c r="BC33" i="92"/>
  <c r="AE33" i="92"/>
  <c r="AK21" i="92"/>
  <c r="BJ33" i="92"/>
  <c r="BE34" i="92"/>
  <c r="AK32" i="92"/>
  <c r="AK74" i="92" s="1"/>
  <c r="AM21" i="92"/>
  <c r="R10" i="103"/>
  <c r="BC27" i="92"/>
  <c r="BC79" i="92" s="1"/>
  <c r="BJ27" i="92"/>
  <c r="BJ79" i="92" s="1"/>
  <c r="BE50" i="92"/>
  <c r="BE72" i="92" s="1"/>
  <c r="H5" i="92"/>
  <c r="AP68" i="92"/>
  <c r="Z4" i="92"/>
  <c r="Z68" i="92"/>
  <c r="AF23" i="92"/>
  <c r="AF21" i="92"/>
  <c r="AI5" i="92"/>
  <c r="AI68" i="92" s="1"/>
  <c r="AI16" i="92"/>
  <c r="AI23" i="92" s="1"/>
  <c r="AL68" i="92"/>
  <c r="AB4" i="92"/>
  <c r="AY72" i="92"/>
  <c r="AO4" i="92"/>
  <c r="AO68" i="92"/>
  <c r="P244" i="91"/>
  <c r="P240" i="91" s="1"/>
  <c r="P241" i="91" s="1"/>
  <c r="AY16" i="92"/>
  <c r="AY21" i="92" s="1"/>
  <c r="K70" i="92"/>
  <c r="L5" i="92"/>
  <c r="L68" i="92" s="1"/>
  <c r="L71" i="92"/>
  <c r="K74" i="2"/>
  <c r="K61" i="2"/>
  <c r="K47" i="2"/>
  <c r="K56" i="2" s="1"/>
  <c r="K90" i="2"/>
  <c r="AG50" i="92"/>
  <c r="AG72" i="92" s="1"/>
  <c r="M55" i="91"/>
  <c r="Q32" i="103" s="1"/>
  <c r="Q34" i="103" s="1"/>
  <c r="K71" i="92"/>
  <c r="BB68" i="92"/>
  <c r="BC72" i="92"/>
  <c r="AI48" i="92"/>
  <c r="AI50" i="92" s="1"/>
  <c r="AI72" i="92" s="1"/>
  <c r="AY5" i="92"/>
  <c r="AY68" i="92" s="1"/>
  <c r="L43" i="2"/>
  <c r="L70" i="92"/>
  <c r="BL4" i="92"/>
  <c r="AE4" i="92"/>
  <c r="AE68" i="92"/>
  <c r="K16" i="92"/>
  <c r="K21" i="92" s="1"/>
  <c r="BJ21" i="92"/>
  <c r="AZ72" i="92"/>
  <c r="BJ240" i="91"/>
  <c r="X4" i="92"/>
  <c r="X68" i="92"/>
  <c r="H49" i="92"/>
  <c r="H50" i="92" s="1"/>
  <c r="AU16" i="92"/>
  <c r="AU5" i="92"/>
  <c r="AU4" i="92" s="1"/>
  <c r="AU48" i="92"/>
  <c r="AU50" i="92" s="1"/>
  <c r="AU72" i="92" s="1"/>
  <c r="P27" i="91"/>
  <c r="P28" i="91" s="1"/>
  <c r="P29" i="91" s="1"/>
  <c r="BL70" i="92"/>
  <c r="BL69" i="92"/>
  <c r="BP69" i="92" s="1"/>
  <c r="BL71" i="92"/>
  <c r="AA69" i="92"/>
  <c r="H3" i="92"/>
  <c r="AA70" i="92"/>
  <c r="AA71" i="92"/>
  <c r="AE67" i="92"/>
  <c r="AI70" i="92"/>
  <c r="AI69" i="92"/>
  <c r="AM67" i="92"/>
  <c r="AI67" i="92"/>
  <c r="AI71" i="92"/>
  <c r="S210" i="91"/>
  <c r="S211" i="91"/>
  <c r="BJ72" i="92"/>
  <c r="AH23" i="92"/>
  <c r="AH21" i="92"/>
  <c r="AB70" i="92"/>
  <c r="G11" i="92"/>
  <c r="W48" i="92"/>
  <c r="W50" i="92" s="1"/>
  <c r="W72" i="92" s="1"/>
  <c r="W16" i="92"/>
  <c r="W5" i="92"/>
  <c r="W4" i="92" s="1"/>
  <c r="BA71" i="92"/>
  <c r="BA16" i="92"/>
  <c r="BA48" i="92"/>
  <c r="BA50" i="92" s="1"/>
  <c r="BA72" i="92" s="1"/>
  <c r="BA5" i="92"/>
  <c r="AB71" i="92"/>
  <c r="AL23" i="92"/>
  <c r="AL21" i="92"/>
  <c r="AA4" i="92"/>
  <c r="AM68" i="92"/>
  <c r="AM4" i="92"/>
  <c r="AK68" i="92"/>
  <c r="AK4" i="92"/>
  <c r="P20" i="91"/>
  <c r="P21" i="91" s="1"/>
  <c r="P22" i="91" s="1"/>
  <c r="S195" i="91"/>
  <c r="S212" i="91"/>
  <c r="AB69" i="92"/>
  <c r="AB68" i="92"/>
  <c r="AB67" i="92"/>
  <c r="AS16" i="92"/>
  <c r="AS71" i="92"/>
  <c r="AS48" i="92"/>
  <c r="AS50" i="92" s="1"/>
  <c r="AS72" i="92" s="1"/>
  <c r="AS5" i="92"/>
  <c r="AW5" i="92"/>
  <c r="AW48" i="92"/>
  <c r="AW50" i="92" s="1"/>
  <c r="AW72" i="92" s="1"/>
  <c r="AW16" i="92"/>
  <c r="M11" i="92"/>
  <c r="AW71" i="92"/>
  <c r="AF67" i="92"/>
  <c r="AR23" i="92"/>
  <c r="AR21" i="92"/>
  <c r="BL68" i="92"/>
  <c r="L48" i="92"/>
  <c r="L50" i="92" s="1"/>
  <c r="L72" i="92" s="1"/>
  <c r="L16" i="92"/>
  <c r="AA72" i="92"/>
  <c r="O48" i="92"/>
  <c r="O16" i="92"/>
  <c r="P245" i="91"/>
  <c r="R196" i="91"/>
  <c r="AD50" i="92"/>
  <c r="AD72" i="92" s="1"/>
  <c r="BL72" i="92"/>
  <c r="BI34" i="103"/>
  <c r="AH68" i="92"/>
  <c r="AH4" i="92"/>
  <c r="BB23" i="92"/>
  <c r="BB21" i="92"/>
  <c r="I43" i="2"/>
  <c r="I69" i="92"/>
  <c r="BF16" i="92"/>
  <c r="BF71" i="92"/>
  <c r="BF48" i="92"/>
  <c r="BF50" i="92" s="1"/>
  <c r="BF72" i="92" s="1"/>
  <c r="BF5" i="92"/>
  <c r="AB72" i="92"/>
  <c r="AN4" i="92"/>
  <c r="AN68" i="92"/>
  <c r="BI16" i="92"/>
  <c r="BI5" i="92"/>
  <c r="BI71" i="92"/>
  <c r="P11" i="92"/>
  <c r="BI48" i="92"/>
  <c r="BI50" i="92" s="1"/>
  <c r="BI72" i="92" s="1"/>
  <c r="AA68" i="92"/>
  <c r="AR4" i="92"/>
  <c r="AR68" i="92"/>
  <c r="AL22" i="91"/>
  <c r="AL49" i="92"/>
  <c r="Z22" i="91"/>
  <c r="Z49" i="92"/>
  <c r="N2" i="92"/>
  <c r="O2" i="91"/>
  <c r="BD67" i="92"/>
  <c r="BD68" i="92"/>
  <c r="BD69" i="92"/>
  <c r="BD70" i="92"/>
  <c r="BD71" i="92"/>
  <c r="AZ48" i="91"/>
  <c r="AZ50" i="91" s="1"/>
  <c r="AZ51" i="91" s="1"/>
  <c r="BL32" i="103"/>
  <c r="BL34" i="103" s="1"/>
  <c r="BM14" i="91"/>
  <c r="BJ70" i="92"/>
  <c r="BJ69" i="92"/>
  <c r="BJ67" i="92"/>
  <c r="BJ71" i="92"/>
  <c r="BM67" i="92"/>
  <c r="BM69" i="92"/>
  <c r="BQ69" i="92" s="1"/>
  <c r="BM70" i="92"/>
  <c r="BG67" i="92"/>
  <c r="BG4" i="92"/>
  <c r="P3" i="92"/>
  <c r="BG70" i="92"/>
  <c r="BG71" i="92"/>
  <c r="BG69" i="92"/>
  <c r="BG68" i="92"/>
  <c r="AZ67" i="92"/>
  <c r="AZ4" i="92"/>
  <c r="AZ68" i="92"/>
  <c r="AZ71" i="92"/>
  <c r="AZ70" i="92"/>
  <c r="AZ69" i="92"/>
  <c r="AG70" i="92"/>
  <c r="I49" i="92"/>
  <c r="M3" i="92"/>
  <c r="AU70" i="92"/>
  <c r="AU69" i="92"/>
  <c r="AU67" i="92"/>
  <c r="AU71" i="92"/>
  <c r="BH67" i="92"/>
  <c r="BH4" i="92"/>
  <c r="BL67" i="92"/>
  <c r="BH68" i="92"/>
  <c r="BH71" i="92"/>
  <c r="BH69" i="92"/>
  <c r="BH70" i="92"/>
  <c r="BD48" i="91"/>
  <c r="BD50" i="91" s="1"/>
  <c r="BD51" i="91" s="1"/>
  <c r="BP32" i="103"/>
  <c r="BP34" i="103" s="1"/>
  <c r="O49" i="92"/>
  <c r="BE70" i="92"/>
  <c r="AX48" i="91"/>
  <c r="AX50" i="91" s="1"/>
  <c r="AX51" i="91" s="1"/>
  <c r="BJ32" i="103"/>
  <c r="BJ34" i="103" s="1"/>
  <c r="BE48" i="91"/>
  <c r="BE50" i="91" s="1"/>
  <c r="BE51" i="91" s="1"/>
  <c r="BQ32" i="103"/>
  <c r="BQ34" i="103" s="1"/>
  <c r="N215" i="91"/>
  <c r="N223" i="91"/>
  <c r="AJ4" i="92"/>
  <c r="AJ71" i="92"/>
  <c r="J3" i="92"/>
  <c r="AJ68" i="92"/>
  <c r="AJ69" i="92"/>
  <c r="AN67" i="92"/>
  <c r="AJ67" i="92"/>
  <c r="AJ70" i="92"/>
  <c r="BA48" i="91"/>
  <c r="BA50" i="91" s="1"/>
  <c r="BA51" i="91" s="1"/>
  <c r="BM32" i="103"/>
  <c r="BM34" i="103" s="1"/>
  <c r="T34" i="103"/>
  <c r="O3" i="92"/>
  <c r="BC69" i="92"/>
  <c r="BC71" i="92"/>
  <c r="BC67" i="92"/>
  <c r="BC68" i="92"/>
  <c r="BC70" i="92"/>
  <c r="BC4" i="92"/>
  <c r="BH48" i="91"/>
  <c r="BH50" i="91" s="1"/>
  <c r="BH51" i="91" s="1"/>
  <c r="BT32" i="103"/>
  <c r="BT34" i="103" s="1"/>
  <c r="AJ72" i="92"/>
  <c r="BO34" i="103"/>
  <c r="W70" i="92"/>
  <c r="AA67" i="92"/>
  <c r="G3" i="92"/>
  <c r="W69" i="92"/>
  <c r="W71" i="92"/>
  <c r="BK68" i="92"/>
  <c r="BK71" i="92"/>
  <c r="BK70" i="92"/>
  <c r="BK4" i="92"/>
  <c r="BK69" i="92"/>
  <c r="BO69" i="92" s="1"/>
  <c r="BK67" i="92"/>
  <c r="L254" i="91"/>
  <c r="L22" i="91"/>
  <c r="M8" i="91"/>
  <c r="L8" i="91"/>
  <c r="AY70" i="92"/>
  <c r="AY69" i="92"/>
  <c r="N3" i="92"/>
  <c r="AY67" i="92"/>
  <c r="AY71" i="92"/>
  <c r="BD4" i="92"/>
  <c r="BG72" i="92"/>
  <c r="BL133" i="91"/>
  <c r="BL128" i="91"/>
  <c r="BL132" i="91"/>
  <c r="BN126" i="91"/>
  <c r="S101" i="2"/>
  <c r="S14" i="92" s="1"/>
  <c r="CA253" i="103"/>
  <c r="CB253" i="103"/>
  <c r="BS245" i="103"/>
  <c r="BS247" i="103" s="1"/>
  <c r="BT247" i="103" s="1"/>
  <c r="BU247" i="103" s="1"/>
  <c r="BV247" i="103" s="1"/>
  <c r="BW247" i="103" s="1"/>
  <c r="BX247" i="103" s="1"/>
  <c r="BY247" i="103" s="1"/>
  <c r="BY250" i="103" s="1"/>
  <c r="BQ207" i="91"/>
  <c r="BQ12" i="91"/>
  <c r="BQ206" i="91"/>
  <c r="BU416" i="103"/>
  <c r="BU203" i="103" s="1"/>
  <c r="BX49" i="103"/>
  <c r="BU87" i="103"/>
  <c r="BU88" i="103" s="1"/>
  <c r="BU72" i="103" s="1"/>
  <c r="BU43" i="103" s="1"/>
  <c r="BU74" i="103" s="1"/>
  <c r="V342" i="103"/>
  <c r="U187" i="103"/>
  <c r="U186" i="103" s="1"/>
  <c r="BX128" i="103"/>
  <c r="BX129" i="103"/>
  <c r="CC416" i="103"/>
  <c r="CC203" i="103" s="1"/>
  <c r="BY433" i="103"/>
  <c r="BY121" i="103" s="1"/>
  <c r="BY123" i="103" s="1"/>
  <c r="BY141" i="103" s="1"/>
  <c r="CB416" i="103"/>
  <c r="CB203" i="103" s="1"/>
  <c r="CA433" i="103"/>
  <c r="CA121" i="103" s="1"/>
  <c r="CA123" i="103" s="1"/>
  <c r="CB343" i="103"/>
  <c r="CB52" i="103" s="1"/>
  <c r="U98" i="103"/>
  <c r="AK188" i="91"/>
  <c r="BS229" i="103"/>
  <c r="BS196" i="103" s="1"/>
  <c r="BT255" i="103"/>
  <c r="R158" i="2"/>
  <c r="R98" i="2" s="1"/>
  <c r="R99" i="2" s="1"/>
  <c r="BZ130" i="103"/>
  <c r="T14" i="2"/>
  <c r="T25" i="8" s="1"/>
  <c r="AJ183" i="91"/>
  <c r="AN182" i="91"/>
  <c r="AK183" i="91"/>
  <c r="H3" i="2"/>
  <c r="H8" i="2" s="1"/>
  <c r="H17" i="2" s="1"/>
  <c r="H40" i="2" s="1"/>
  <c r="I57" i="8"/>
  <c r="AW188" i="91"/>
  <c r="BS318" i="103"/>
  <c r="BS320" i="103" s="1"/>
  <c r="BY318" i="103"/>
  <c r="BY320" i="103" s="1"/>
  <c r="BT318" i="103"/>
  <c r="BT320" i="103" s="1"/>
  <c r="BV351" i="103"/>
  <c r="BV353" i="103" s="1"/>
  <c r="BV346" i="103" s="1"/>
  <c r="BV325" i="103" s="1"/>
  <c r="BX351" i="103"/>
  <c r="BX353" i="103" s="1"/>
  <c r="BX346" i="103" s="1"/>
  <c r="BX325" i="103" s="1"/>
  <c r="BW351" i="103"/>
  <c r="BW353" i="103" s="1"/>
  <c r="BW346" i="103" s="1"/>
  <c r="BW325" i="103" s="1"/>
  <c r="BW318" i="103"/>
  <c r="BW320" i="103" s="1"/>
  <c r="BX318" i="103"/>
  <c r="BX320" i="103" s="1"/>
  <c r="BV318" i="103"/>
  <c r="BV320" i="103" s="1"/>
  <c r="BU351" i="103"/>
  <c r="BU353" i="103" s="1"/>
  <c r="BU346" i="103" s="1"/>
  <c r="BU325" i="103" s="1"/>
  <c r="BZ318" i="103"/>
  <c r="BZ320" i="103" s="1"/>
  <c r="BS351" i="103"/>
  <c r="BS353" i="103" s="1"/>
  <c r="BS346" i="103" s="1"/>
  <c r="BS325" i="103" s="1"/>
  <c r="BY351" i="103"/>
  <c r="BY353" i="103" s="1"/>
  <c r="BY346" i="103" s="1"/>
  <c r="BY325" i="103" s="1"/>
  <c r="BU318" i="103"/>
  <c r="BU320" i="103" s="1"/>
  <c r="BT351" i="103"/>
  <c r="BT353" i="103" s="1"/>
  <c r="BT346" i="103" s="1"/>
  <c r="BT325" i="103" s="1"/>
  <c r="Y398" i="103"/>
  <c r="Y83" i="103" s="1"/>
  <c r="AY187" i="91"/>
  <c r="AY188" i="91"/>
  <c r="BA188" i="91"/>
  <c r="BA187" i="91"/>
  <c r="AO187" i="91"/>
  <c r="AO188" i="91"/>
  <c r="AN188" i="91"/>
  <c r="AN187" i="91"/>
  <c r="BD187" i="91"/>
  <c r="BD188" i="91"/>
  <c r="BL187" i="91"/>
  <c r="AO183" i="91"/>
  <c r="AO182" i="91"/>
  <c r="AL183" i="91"/>
  <c r="AW182" i="91"/>
  <c r="AW191" i="91" s="1"/>
  <c r="BH183" i="91"/>
  <c r="BG182" i="91"/>
  <c r="BT62" i="103"/>
  <c r="BT61" i="103"/>
  <c r="AZ183" i="91"/>
  <c r="AY182" i="91"/>
  <c r="BZ61" i="103"/>
  <c r="BZ62" i="103"/>
  <c r="BG183" i="91"/>
  <c r="BF183" i="91"/>
  <c r="BF182" i="91"/>
  <c r="BS62" i="103"/>
  <c r="BS61" i="103"/>
  <c r="BM182" i="91"/>
  <c r="CA58" i="103"/>
  <c r="CA60" i="103" s="1"/>
  <c r="V56" i="103"/>
  <c r="BP183" i="91"/>
  <c r="BO182" i="91"/>
  <c r="BQ182" i="91"/>
  <c r="CB62" i="103"/>
  <c r="CB61" i="103"/>
  <c r="CA173" i="103"/>
  <c r="CA172" i="103"/>
  <c r="BZ172" i="103"/>
  <c r="BZ150" i="103"/>
  <c r="BZ112" i="103" s="1"/>
  <c r="BZ156" i="103" s="1"/>
  <c r="BZ173" i="103"/>
  <c r="BZ245" i="103"/>
  <c r="AS187" i="91"/>
  <c r="AS188" i="91"/>
  <c r="BG187" i="91"/>
  <c r="BG188" i="91"/>
  <c r="BC187" i="91"/>
  <c r="BC188" i="91"/>
  <c r="BI188" i="91"/>
  <c r="BI187" i="91"/>
  <c r="AP187" i="91"/>
  <c r="AP188" i="91"/>
  <c r="AX188" i="91"/>
  <c r="BF187" i="91"/>
  <c r="BF188" i="91"/>
  <c r="BN187" i="91"/>
  <c r="BN188" i="91"/>
  <c r="AN183" i="91"/>
  <c r="AM183" i="91"/>
  <c r="AM182" i="91"/>
  <c r="BA182" i="91"/>
  <c r="AU183" i="91"/>
  <c r="AU192" i="91" s="1"/>
  <c r="AT183" i="91"/>
  <c r="AT182" i="91"/>
  <c r="BD183" i="91"/>
  <c r="BC182" i="91"/>
  <c r="AR182" i="91"/>
  <c r="BI183" i="91"/>
  <c r="BH182" i="91"/>
  <c r="T56" i="103"/>
  <c r="BU58" i="103"/>
  <c r="BU60" i="103" s="1"/>
  <c r="CC61" i="103"/>
  <c r="CC62" i="103"/>
  <c r="CD61" i="103"/>
  <c r="CD62" i="103"/>
  <c r="BT150" i="103"/>
  <c r="BT112" i="103" s="1"/>
  <c r="BT173" i="103"/>
  <c r="BY173" i="103"/>
  <c r="BY172" i="103"/>
  <c r="BY150" i="103"/>
  <c r="BY112" i="103" s="1"/>
  <c r="BY156" i="103" s="1"/>
  <c r="BW172" i="103"/>
  <c r="BW173" i="103"/>
  <c r="BW150" i="103"/>
  <c r="BW112" i="103" s="1"/>
  <c r="BV150" i="103"/>
  <c r="BV112" i="103" s="1"/>
  <c r="BV156" i="103" s="1"/>
  <c r="BV173" i="103"/>
  <c r="BQ188" i="91"/>
  <c r="BQ187" i="91"/>
  <c r="BO188" i="91"/>
  <c r="BE188" i="91"/>
  <c r="BE187" i="91"/>
  <c r="AJ188" i="91"/>
  <c r="AR188" i="91"/>
  <c r="AR187" i="91"/>
  <c r="AZ187" i="91"/>
  <c r="AZ188" i="91"/>
  <c r="BH187" i="91"/>
  <c r="BH188" i="91"/>
  <c r="BP187" i="91"/>
  <c r="BP188" i="91"/>
  <c r="AQ183" i="91"/>
  <c r="AP182" i="91"/>
  <c r="AP183" i="91"/>
  <c r="BE183" i="91"/>
  <c r="BD182" i="91"/>
  <c r="BV62" i="103"/>
  <c r="BV61" i="103"/>
  <c r="BN184" i="91"/>
  <c r="AY183" i="91"/>
  <c r="AX182" i="91"/>
  <c r="AX191" i="91" s="1"/>
  <c r="AX183" i="91"/>
  <c r="AR183" i="91"/>
  <c r="AQ182" i="91"/>
  <c r="BK183" i="91"/>
  <c r="BJ182" i="91"/>
  <c r="BJ183" i="91"/>
  <c r="BW58" i="103"/>
  <c r="BW60" i="103" s="1"/>
  <c r="U56" i="103"/>
  <c r="AW183" i="91"/>
  <c r="AV182" i="91"/>
  <c r="AV191" i="91" s="1"/>
  <c r="BS87" i="103"/>
  <c r="BS88" i="103" s="1"/>
  <c r="BS72" i="103" s="1"/>
  <c r="BE182" i="91"/>
  <c r="BY62" i="103"/>
  <c r="BY61" i="103"/>
  <c r="BQ183" i="91"/>
  <c r="BP182" i="91"/>
  <c r="BR183" i="91"/>
  <c r="BU173" i="103"/>
  <c r="BU150" i="103"/>
  <c r="BU112" i="103" s="1"/>
  <c r="BU156" i="103" s="1"/>
  <c r="AQ187" i="91"/>
  <c r="AQ188" i="91"/>
  <c r="AM187" i="91"/>
  <c r="AM188" i="91"/>
  <c r="BM187" i="91"/>
  <c r="BM188" i="91"/>
  <c r="AL188" i="91"/>
  <c r="AT188" i="91"/>
  <c r="AT187" i="91"/>
  <c r="BB187" i="91"/>
  <c r="BB188" i="91"/>
  <c r="BJ188" i="91"/>
  <c r="BJ187" i="91"/>
  <c r="BR187" i="91"/>
  <c r="BR188" i="91"/>
  <c r="AS183" i="91"/>
  <c r="AS182" i="91"/>
  <c r="BL183" i="91"/>
  <c r="BK182" i="91"/>
  <c r="BX61" i="103"/>
  <c r="BX62" i="103"/>
  <c r="BC183" i="91"/>
  <c r="BB182" i="91"/>
  <c r="BB183" i="91"/>
  <c r="AV183" i="91"/>
  <c r="AU182" i="91"/>
  <c r="AU191" i="91" s="1"/>
  <c r="BM183" i="91"/>
  <c r="BL182" i="91"/>
  <c r="BA183" i="91"/>
  <c r="AZ182" i="91"/>
  <c r="BT87" i="103"/>
  <c r="BT88" i="103" s="1"/>
  <c r="BT72" i="103" s="1"/>
  <c r="BT43" i="103" s="1"/>
  <c r="BT74" i="103" s="1"/>
  <c r="BI182" i="91"/>
  <c r="BX150" i="103"/>
  <c r="BX112" i="103" s="1"/>
  <c r="BX156" i="103" s="1"/>
  <c r="BX172" i="103"/>
  <c r="BX173" i="103"/>
  <c r="U152" i="2"/>
  <c r="U156" i="2" s="1"/>
  <c r="S135" i="2"/>
  <c r="R101" i="2"/>
  <c r="T97" i="2"/>
  <c r="T25" i="2"/>
  <c r="Q14" i="92"/>
  <c r="T133" i="2"/>
  <c r="T134" i="2" s="1"/>
  <c r="U19" i="2"/>
  <c r="T152" i="2"/>
  <c r="T156" i="2" s="1"/>
  <c r="AB35" i="92"/>
  <c r="AB34" i="92"/>
  <c r="S56" i="92"/>
  <c r="T53" i="92" s="1"/>
  <c r="AV79" i="92"/>
  <c r="AV35" i="92"/>
  <c r="AV34" i="92"/>
  <c r="BD79" i="92"/>
  <c r="BD35" i="92"/>
  <c r="BD34" i="92"/>
  <c r="H79" i="92"/>
  <c r="H35" i="92"/>
  <c r="H34" i="92"/>
  <c r="AA35" i="92"/>
  <c r="AA34" i="92"/>
  <c r="X35" i="92"/>
  <c r="X34" i="92"/>
  <c r="AK35" i="92"/>
  <c r="AK34" i="92"/>
  <c r="Q63" i="92"/>
  <c r="AN35" i="92"/>
  <c r="AN34" i="92"/>
  <c r="BH79" i="92"/>
  <c r="BH35" i="92"/>
  <c r="BH34" i="92"/>
  <c r="AT35" i="92"/>
  <c r="AT34" i="92"/>
  <c r="AD35" i="92"/>
  <c r="AD34" i="92"/>
  <c r="AJ35" i="92"/>
  <c r="AJ34" i="92"/>
  <c r="BG79" i="92"/>
  <c r="BG35" i="92"/>
  <c r="BG34" i="92"/>
  <c r="BB70" i="92"/>
  <c r="N49" i="92"/>
  <c r="BB50" i="92"/>
  <c r="BB72" i="92" s="1"/>
  <c r="BO56" i="92"/>
  <c r="BP53" i="92" s="1"/>
  <c r="BS141" i="103"/>
  <c r="CC205" i="103"/>
  <c r="CC143" i="103"/>
  <c r="CC144" i="103"/>
  <c r="CC49" i="103"/>
  <c r="CC128" i="103"/>
  <c r="CD144" i="103"/>
  <c r="BW141" i="103"/>
  <c r="BW129" i="103" s="1"/>
  <c r="U123" i="103"/>
  <c r="BT205" i="103"/>
  <c r="BT128" i="103"/>
  <c r="BT144" i="103"/>
  <c r="BT130" i="103"/>
  <c r="BT49" i="103"/>
  <c r="BT129" i="103"/>
  <c r="BX143" i="103"/>
  <c r="V123" i="103"/>
  <c r="CA141" i="103"/>
  <c r="BV300" i="103"/>
  <c r="BV297" i="103"/>
  <c r="BV282" i="103"/>
  <c r="BV51" i="103"/>
  <c r="BV205" i="103"/>
  <c r="BV128" i="103"/>
  <c r="BV49" i="103"/>
  <c r="BV129" i="103"/>
  <c r="X217" i="103"/>
  <c r="X204" i="103"/>
  <c r="BT280" i="103"/>
  <c r="X128" i="103"/>
  <c r="Y136" i="103"/>
  <c r="X112" i="103"/>
  <c r="T296" i="103"/>
  <c r="T289" i="103" s="1"/>
  <c r="BZ205" i="103"/>
  <c r="BZ144" i="103"/>
  <c r="BZ128" i="103"/>
  <c r="BZ143" i="103"/>
  <c r="BZ49" i="103"/>
  <c r="U66" i="103"/>
  <c r="BS297" i="103"/>
  <c r="BS289" i="103"/>
  <c r="BS291" i="103" s="1"/>
  <c r="BS282" i="103"/>
  <c r="BS51" i="103"/>
  <c r="BS44" i="103" s="1"/>
  <c r="V187" i="103"/>
  <c r="V186" i="103" s="1"/>
  <c r="W186" i="103" s="1"/>
  <c r="U99" i="103"/>
  <c r="W284" i="103"/>
  <c r="W285" i="103"/>
  <c r="BV290" i="103"/>
  <c r="BV291" i="103" s="1"/>
  <c r="BV273" i="103"/>
  <c r="BX273" i="103"/>
  <c r="BZ273" i="103"/>
  <c r="T80" i="103"/>
  <c r="T79" i="103"/>
  <c r="T70" i="103"/>
  <c r="T85" i="103"/>
  <c r="T84" i="103"/>
  <c r="T83" i="103"/>
  <c r="T78" i="103"/>
  <c r="T93" i="103"/>
  <c r="Y204" i="103"/>
  <c r="Y217" i="103"/>
  <c r="Y218" i="103" s="1"/>
  <c r="BU69" i="103"/>
  <c r="R393" i="103"/>
  <c r="S2" i="103"/>
  <c r="V273" i="103"/>
  <c r="V307" i="103" s="1"/>
  <c r="W307" i="103" s="1"/>
  <c r="BX217" i="103"/>
  <c r="BX218" i="103" s="1"/>
  <c r="BX204" i="103"/>
  <c r="BT343" i="103"/>
  <c r="BT52" i="103" s="1"/>
  <c r="V99" i="103"/>
  <c r="W99" i="103" s="1"/>
  <c r="X99" i="103" s="1"/>
  <c r="Y99" i="103" s="1"/>
  <c r="CB99" i="103"/>
  <c r="CC99" i="103" s="1"/>
  <c r="CD99" i="103" s="1"/>
  <c r="CB254" i="103"/>
  <c r="BV343" i="103"/>
  <c r="BV52" i="103" s="1"/>
  <c r="W219" i="103"/>
  <c r="W211" i="103" s="1"/>
  <c r="CB98" i="103"/>
  <c r="CC98" i="103" s="1"/>
  <c r="CD98" i="103" s="1"/>
  <c r="W107" i="103"/>
  <c r="Y286" i="103"/>
  <c r="Y139" i="103"/>
  <c r="X285" i="103"/>
  <c r="X284" i="103"/>
  <c r="BW130" i="103"/>
  <c r="U138" i="103"/>
  <c r="BZ343" i="103"/>
  <c r="BZ52" i="103" s="1"/>
  <c r="BW296" i="103"/>
  <c r="BX294" i="103"/>
  <c r="BW70" i="103"/>
  <c r="BV68" i="103"/>
  <c r="BV69" i="103" s="1"/>
  <c r="BW65" i="103"/>
  <c r="CD42" i="103"/>
  <c r="BT273" i="103"/>
  <c r="T273" i="103" s="1"/>
  <c r="T307" i="103" s="1"/>
  <c r="BT296" i="103"/>
  <c r="BT290" i="103" s="1"/>
  <c r="V67" i="103"/>
  <c r="W67" i="103" s="1"/>
  <c r="X67" i="103" s="1"/>
  <c r="BV87" i="103"/>
  <c r="BV88" i="103" s="1"/>
  <c r="BV72" i="103" s="1"/>
  <c r="BW78" i="103"/>
  <c r="BY129" i="103"/>
  <c r="BU297" i="103"/>
  <c r="BU282" i="103"/>
  <c r="BU51" i="103"/>
  <c r="BU44" i="103" s="1"/>
  <c r="BU289" i="103"/>
  <c r="BU291" i="103" s="1"/>
  <c r="CB205" i="103"/>
  <c r="CB128" i="103"/>
  <c r="CB144" i="103"/>
  <c r="CB143" i="103"/>
  <c r="CB49" i="103"/>
  <c r="BY130" i="103"/>
  <c r="BX343" i="103"/>
  <c r="BX52" i="103" s="1"/>
  <c r="T65" i="103"/>
  <c r="T68" i="103" s="1"/>
  <c r="BV130" i="103"/>
  <c r="T138" i="103"/>
  <c r="BS130" i="103"/>
  <c r="V343" i="103"/>
  <c r="V52" i="103" s="1"/>
  <c r="U343" i="103"/>
  <c r="U52" i="103" s="1"/>
  <c r="BU433" i="103"/>
  <c r="BU121" i="103" s="1"/>
  <c r="BU123" i="103" s="1"/>
  <c r="BU141" i="103" s="1"/>
  <c r="CC130" i="103"/>
  <c r="W156" i="103"/>
  <c r="BX42" i="103"/>
  <c r="CD217" i="103"/>
  <c r="CD218" i="103" s="1"/>
  <c r="CD204" i="103"/>
  <c r="V138" i="103"/>
  <c r="T342" i="103"/>
  <c r="CA177" i="103"/>
  <c r="BZ178" i="103"/>
  <c r="U332" i="103"/>
  <c r="U295" i="103"/>
  <c r="T290" i="103"/>
  <c r="BF245" i="91"/>
  <c r="BF240" i="91"/>
  <c r="BN207" i="91"/>
  <c r="Q205" i="91"/>
  <c r="BN12" i="91"/>
  <c r="N8" i="91"/>
  <c r="N254" i="91"/>
  <c r="N15" i="91"/>
  <c r="BR205" i="91"/>
  <c r="R205" i="91" s="1"/>
  <c r="BR200" i="91"/>
  <c r="BR26" i="91"/>
  <c r="BO18" i="91"/>
  <c r="O8" i="91"/>
  <c r="P8" i="91"/>
  <c r="O254" i="91"/>
  <c r="BC48" i="91"/>
  <c r="BC50" i="91" s="1"/>
  <c r="BC51" i="91" s="1"/>
  <c r="O55" i="91"/>
  <c r="S32" i="103" s="1"/>
  <c r="S34" i="103" s="1"/>
  <c r="O220" i="91"/>
  <c r="O215" i="91"/>
  <c r="R198" i="91"/>
  <c r="N55" i="91"/>
  <c r="R32" i="103" s="1"/>
  <c r="R34" i="103" s="1"/>
  <c r="AY48" i="91"/>
  <c r="AY50" i="91" s="1"/>
  <c r="AY51" i="91" s="1"/>
  <c r="BP207" i="91"/>
  <c r="BP206" i="91"/>
  <c r="BP12" i="91"/>
  <c r="R219" i="91"/>
  <c r="R215" i="91"/>
  <c r="BO207" i="91"/>
  <c r="BO206" i="91"/>
  <c r="BO12" i="91"/>
  <c r="BM242" i="91"/>
  <c r="BM241" i="91"/>
  <c r="BM27" i="91"/>
  <c r="BM28" i="91" s="1"/>
  <c r="BM29" i="91" s="1"/>
  <c r="Q114" i="91"/>
  <c r="Q18" i="91"/>
  <c r="T214" i="91"/>
  <c r="T210" i="91"/>
  <c r="T211" i="91"/>
  <c r="T213" i="91"/>
  <c r="T195" i="91"/>
  <c r="T212" i="91"/>
  <c r="S6" i="91"/>
  <c r="BR19" i="91"/>
  <c r="R202" i="91"/>
  <c r="P215" i="91"/>
  <c r="V377" i="103" l="1"/>
  <c r="V336" i="103"/>
  <c r="CC168" i="103"/>
  <c r="CC170" i="103" s="1"/>
  <c r="CD173" i="103" s="1"/>
  <c r="CD150" i="103"/>
  <c r="CD112" i="103" s="1"/>
  <c r="CD156" i="103" s="1"/>
  <c r="CD172" i="103"/>
  <c r="CB168" i="103"/>
  <c r="CB170" i="103" s="1"/>
  <c r="BB192" i="91"/>
  <c r="BL188" i="91"/>
  <c r="BL192" i="91" s="1"/>
  <c r="BO187" i="91"/>
  <c r="BO140" i="91" s="1"/>
  <c r="BP171" i="91"/>
  <c r="BP172" i="91"/>
  <c r="BQ170" i="91"/>
  <c r="BK172" i="91"/>
  <c r="BK171" i="91"/>
  <c r="BL168" i="91"/>
  <c r="BL172" i="91"/>
  <c r="BO171" i="91"/>
  <c r="BO172" i="91"/>
  <c r="BM172" i="91"/>
  <c r="BM171" i="91"/>
  <c r="BP176" i="91"/>
  <c r="BP178" i="91"/>
  <c r="BP177" i="91"/>
  <c r="BN171" i="91"/>
  <c r="BN172" i="91"/>
  <c r="BJ172" i="91"/>
  <c r="BJ171" i="91"/>
  <c r="BQ192" i="91"/>
  <c r="M224" i="91"/>
  <c r="BL140" i="91"/>
  <c r="BK188" i="91"/>
  <c r="BP140" i="91"/>
  <c r="BB191" i="91"/>
  <c r="BK187" i="91"/>
  <c r="BK140" i="91" s="1"/>
  <c r="BM140" i="91"/>
  <c r="BJ140" i="91"/>
  <c r="BQ140" i="91"/>
  <c r="BL167" i="91"/>
  <c r="BL166" i="91"/>
  <c r="BC168" i="91"/>
  <c r="BC166" i="91"/>
  <c r="BC167" i="91"/>
  <c r="BH168" i="91"/>
  <c r="BH167" i="91"/>
  <c r="BH166" i="91"/>
  <c r="BI168" i="91"/>
  <c r="BI167" i="91"/>
  <c r="BI166" i="91"/>
  <c r="BB176" i="91"/>
  <c r="AX178" i="91"/>
  <c r="AX177" i="91"/>
  <c r="BG168" i="91"/>
  <c r="BG166" i="91"/>
  <c r="BG167" i="91"/>
  <c r="AX167" i="91"/>
  <c r="AX168" i="91"/>
  <c r="BE168" i="91"/>
  <c r="BE166" i="91"/>
  <c r="BE167" i="91"/>
  <c r="AZ168" i="91"/>
  <c r="AZ166" i="91"/>
  <c r="AZ167" i="91"/>
  <c r="BH176" i="91"/>
  <c r="BD176" i="91"/>
  <c r="BD177" i="91"/>
  <c r="BD178" i="91"/>
  <c r="BO168" i="91"/>
  <c r="BO166" i="91"/>
  <c r="BO167" i="91"/>
  <c r="AY168" i="91"/>
  <c r="AY166" i="91"/>
  <c r="AY167" i="91"/>
  <c r="BM166" i="91"/>
  <c r="BM168" i="91"/>
  <c r="BM167" i="91"/>
  <c r="BD168" i="91"/>
  <c r="BD167" i="91"/>
  <c r="BD166" i="91"/>
  <c r="BA168" i="91"/>
  <c r="BA166" i="91"/>
  <c r="BA167" i="91"/>
  <c r="AY177" i="91"/>
  <c r="AY178" i="91"/>
  <c r="AY176" i="91"/>
  <c r="BM178" i="91"/>
  <c r="BM176" i="91"/>
  <c r="BM177" i="91"/>
  <c r="BC176" i="91"/>
  <c r="BC178" i="91"/>
  <c r="BC177" i="91"/>
  <c r="BE176" i="91"/>
  <c r="BE178" i="91"/>
  <c r="BE177" i="91"/>
  <c r="BI178" i="91"/>
  <c r="BI176" i="91"/>
  <c r="BI177" i="91"/>
  <c r="BJ178" i="91"/>
  <c r="BJ177" i="91"/>
  <c r="BJ176" i="91"/>
  <c r="BJ136" i="91" s="1"/>
  <c r="BH178" i="91"/>
  <c r="BH177" i="91"/>
  <c r="BJ168" i="91"/>
  <c r="BJ167" i="91"/>
  <c r="BJ166" i="91"/>
  <c r="BN178" i="91"/>
  <c r="BN177" i="91"/>
  <c r="BN176" i="91"/>
  <c r="AW168" i="91"/>
  <c r="AW167" i="91"/>
  <c r="AV168" i="91"/>
  <c r="AV167" i="91"/>
  <c r="BN167" i="91"/>
  <c r="BN166" i="91"/>
  <c r="BN168" i="91"/>
  <c r="BB178" i="91"/>
  <c r="BB177" i="91"/>
  <c r="BK168" i="91"/>
  <c r="BK167" i="91"/>
  <c r="BK166" i="91"/>
  <c r="AZ176" i="91"/>
  <c r="AZ177" i="91"/>
  <c r="AZ178" i="91"/>
  <c r="BB167" i="91"/>
  <c r="BB168" i="91"/>
  <c r="BB166" i="91"/>
  <c r="O168" i="91"/>
  <c r="O166" i="91"/>
  <c r="BF178" i="91"/>
  <c r="BF176" i="91"/>
  <c r="BF177" i="91"/>
  <c r="AV178" i="91"/>
  <c r="AV177" i="91"/>
  <c r="BL178" i="91"/>
  <c r="BL176" i="91"/>
  <c r="BL136" i="91" s="1"/>
  <c r="BL177" i="91"/>
  <c r="BF168" i="91"/>
  <c r="BF166" i="91"/>
  <c r="BF167" i="91"/>
  <c r="BO177" i="91"/>
  <c r="BO178" i="91"/>
  <c r="BO176" i="91"/>
  <c r="BO136" i="91" s="1"/>
  <c r="AW177" i="91"/>
  <c r="AW178" i="91"/>
  <c r="O178" i="91"/>
  <c r="O176" i="91"/>
  <c r="BA177" i="91"/>
  <c r="BA178" i="91"/>
  <c r="BA176" i="91"/>
  <c r="BG178" i="91"/>
  <c r="BG176" i="91"/>
  <c r="BG177" i="91"/>
  <c r="BK178" i="91"/>
  <c r="BK177" i="91"/>
  <c r="BK176" i="91"/>
  <c r="BK35" i="92"/>
  <c r="AI21" i="92"/>
  <c r="AZ34" i="92"/>
  <c r="AV192" i="91"/>
  <c r="O189" i="91"/>
  <c r="BL35" i="92"/>
  <c r="I50" i="92"/>
  <c r="I72" i="92" s="1"/>
  <c r="N187" i="91"/>
  <c r="N191" i="91" s="1"/>
  <c r="N189" i="91"/>
  <c r="BL79" i="92"/>
  <c r="J23" i="92"/>
  <c r="J27" i="92" s="1"/>
  <c r="J3" i="8" s="1"/>
  <c r="J30" i="8" s="1"/>
  <c r="J55" i="8" s="1"/>
  <c r="I33" i="92"/>
  <c r="J68" i="92"/>
  <c r="BC35" i="92"/>
  <c r="H21" i="91"/>
  <c r="H22" i="91" s="1"/>
  <c r="I21" i="92"/>
  <c r="BK79" i="92"/>
  <c r="AZ79" i="92"/>
  <c r="BJ34" i="92"/>
  <c r="AQ35" i="92"/>
  <c r="I27" i="92"/>
  <c r="I3" i="8" s="1"/>
  <c r="I30" i="8" s="1"/>
  <c r="I55" i="8" s="1"/>
  <c r="I58" i="8" s="1"/>
  <c r="N5" i="92"/>
  <c r="N68" i="92" s="1"/>
  <c r="AG34" i="92"/>
  <c r="AU68" i="92"/>
  <c r="I4" i="92"/>
  <c r="I44" i="2" s="1"/>
  <c r="I50" i="2" s="1"/>
  <c r="N48" i="92"/>
  <c r="N50" i="92" s="1"/>
  <c r="N72" i="92" s="1"/>
  <c r="K23" i="92"/>
  <c r="K33" i="92" s="1"/>
  <c r="AM35" i="92"/>
  <c r="AI4" i="92"/>
  <c r="J4" i="92" s="1"/>
  <c r="J44" i="2" s="1"/>
  <c r="BJ35" i="92"/>
  <c r="S215" i="91"/>
  <c r="S216" i="91" s="1"/>
  <c r="AY4" i="92"/>
  <c r="AE34" i="92"/>
  <c r="BC34" i="92"/>
  <c r="H4" i="92"/>
  <c r="H44" i="2" s="1"/>
  <c r="H70" i="92"/>
  <c r="AY23" i="92"/>
  <c r="AY32" i="92" s="1"/>
  <c r="AY74" i="92" s="1"/>
  <c r="H72" i="92"/>
  <c r="AF27" i="92"/>
  <c r="AF33" i="92"/>
  <c r="AF32" i="92"/>
  <c r="AF74" i="92" s="1"/>
  <c r="G4" i="92"/>
  <c r="G44" i="2" s="1"/>
  <c r="G53" i="2" s="1"/>
  <c r="G57" i="2" s="1"/>
  <c r="W68" i="92"/>
  <c r="BJ27" i="91"/>
  <c r="BJ28" i="91" s="1"/>
  <c r="BJ29" i="91" s="1"/>
  <c r="BJ241" i="91"/>
  <c r="L74" i="2"/>
  <c r="L61" i="2"/>
  <c r="L47" i="2"/>
  <c r="L56" i="2" s="1"/>
  <c r="L90" i="2"/>
  <c r="AU23" i="92"/>
  <c r="AU21" i="92"/>
  <c r="BI68" i="92"/>
  <c r="BI4" i="92"/>
  <c r="P4" i="92" s="1"/>
  <c r="P44" i="2" s="1"/>
  <c r="AS23" i="92"/>
  <c r="AS21" i="92"/>
  <c r="AI33" i="92"/>
  <c r="AI32" i="92"/>
  <c r="AI74" i="92" s="1"/>
  <c r="AI27" i="92"/>
  <c r="K4" i="92"/>
  <c r="K44" i="2" s="1"/>
  <c r="AL27" i="92"/>
  <c r="AL32" i="92"/>
  <c r="AL74" i="92" s="1"/>
  <c r="AL33" i="92"/>
  <c r="BA23" i="92"/>
  <c r="BA21" i="92"/>
  <c r="AH33" i="92"/>
  <c r="AH32" i="92"/>
  <c r="AH74" i="92" s="1"/>
  <c r="AH27" i="92"/>
  <c r="H43" i="2"/>
  <c r="H68" i="92"/>
  <c r="I67" i="92"/>
  <c r="H69" i="92"/>
  <c r="H71" i="92"/>
  <c r="BB27" i="92"/>
  <c r="BB33" i="92"/>
  <c r="BB32" i="92"/>
  <c r="BB74" i="92" s="1"/>
  <c r="N23" i="92"/>
  <c r="N21" i="92"/>
  <c r="G16" i="92"/>
  <c r="G48" i="92"/>
  <c r="G5" i="92"/>
  <c r="G68" i="92" s="1"/>
  <c r="BI23" i="92"/>
  <c r="BI21" i="92"/>
  <c r="BF68" i="92"/>
  <c r="BF4" i="92"/>
  <c r="O4" i="92" s="1"/>
  <c r="O44" i="2" s="1"/>
  <c r="L23" i="92"/>
  <c r="L21" i="92"/>
  <c r="AR33" i="92"/>
  <c r="AR27" i="92"/>
  <c r="AR32" i="92"/>
  <c r="AR74" i="92" s="1"/>
  <c r="M16" i="92"/>
  <c r="M5" i="92"/>
  <c r="M68" i="92" s="1"/>
  <c r="M48" i="92"/>
  <c r="M50" i="92" s="1"/>
  <c r="M72" i="92" s="1"/>
  <c r="AS68" i="92"/>
  <c r="AS4" i="92"/>
  <c r="L4" i="92" s="1"/>
  <c r="L44" i="2" s="1"/>
  <c r="BA4" i="92"/>
  <c r="BA68" i="92"/>
  <c r="BF23" i="92"/>
  <c r="BF21" i="92"/>
  <c r="AW4" i="92"/>
  <c r="M4" i="92" s="1"/>
  <c r="M44" i="2" s="1"/>
  <c r="AW68" i="92"/>
  <c r="P48" i="92"/>
  <c r="P50" i="92" s="1"/>
  <c r="P5" i="92"/>
  <c r="P68" i="92" s="1"/>
  <c r="P16" i="92"/>
  <c r="I74" i="2"/>
  <c r="I90" i="2"/>
  <c r="I61" i="2"/>
  <c r="I47" i="2"/>
  <c r="I56" i="2" s="1"/>
  <c r="O23" i="92"/>
  <c r="O21" i="92"/>
  <c r="AW23" i="92"/>
  <c r="AW21" i="92"/>
  <c r="W23" i="92"/>
  <c r="W21" i="92"/>
  <c r="G69" i="92"/>
  <c r="G70" i="92"/>
  <c r="G71" i="92"/>
  <c r="G43" i="2"/>
  <c r="H67" i="92"/>
  <c r="Z70" i="92"/>
  <c r="Z50" i="92"/>
  <c r="Z72" i="92" s="1"/>
  <c r="G49" i="92"/>
  <c r="I21" i="91"/>
  <c r="I22" i="91" s="1"/>
  <c r="I70" i="92"/>
  <c r="P67" i="92"/>
  <c r="P43" i="2"/>
  <c r="P69" i="92"/>
  <c r="P70" i="92"/>
  <c r="P71" i="92"/>
  <c r="O2" i="92"/>
  <c r="P2" i="91"/>
  <c r="O43" i="2"/>
  <c r="O67" i="92"/>
  <c r="O71" i="92"/>
  <c r="O69" i="92"/>
  <c r="O70" i="92"/>
  <c r="O21" i="91"/>
  <c r="O22" i="91" s="1"/>
  <c r="O50" i="92"/>
  <c r="O72" i="92" s="1"/>
  <c r="BM15" i="91"/>
  <c r="BM11" i="92"/>
  <c r="AL70" i="92"/>
  <c r="AL50" i="92"/>
  <c r="AL72" i="92" s="1"/>
  <c r="J49" i="92"/>
  <c r="N43" i="2"/>
  <c r="N71" i="92"/>
  <c r="N69" i="92"/>
  <c r="N67" i="92"/>
  <c r="O68" i="92"/>
  <c r="J71" i="92"/>
  <c r="J69" i="92"/>
  <c r="J67" i="92"/>
  <c r="K67" i="92"/>
  <c r="J43" i="2"/>
  <c r="N216" i="91"/>
  <c r="N224" i="91"/>
  <c r="M43" i="2"/>
  <c r="M70" i="92"/>
  <c r="M69" i="92"/>
  <c r="M67" i="92"/>
  <c r="M71" i="92"/>
  <c r="H60" i="8"/>
  <c r="AJ192" i="91"/>
  <c r="BM191" i="91"/>
  <c r="CA130" i="103"/>
  <c r="CA205" i="103"/>
  <c r="CA204" i="103" s="1"/>
  <c r="BY249" i="103"/>
  <c r="BY228" i="103"/>
  <c r="BY195" i="103" s="1"/>
  <c r="BV250" i="103"/>
  <c r="BE192" i="91"/>
  <c r="BQ191" i="91"/>
  <c r="BH192" i="91"/>
  <c r="BW249" i="103"/>
  <c r="BW250" i="103"/>
  <c r="BW228" i="103"/>
  <c r="BW195" i="103" s="1"/>
  <c r="BX228" i="103"/>
  <c r="BX195" i="103" s="1"/>
  <c r="BZ247" i="103"/>
  <c r="BZ250" i="103" s="1"/>
  <c r="BU228" i="103"/>
  <c r="BU195" i="103" s="1"/>
  <c r="BU250" i="103"/>
  <c r="BX249" i="103"/>
  <c r="BT250" i="103"/>
  <c r="BS228" i="103"/>
  <c r="BS195" i="103" s="1"/>
  <c r="BS233" i="103" s="1"/>
  <c r="BV228" i="103"/>
  <c r="BV195" i="103" s="1"/>
  <c r="BX250" i="103"/>
  <c r="BT228" i="103"/>
  <c r="BT195" i="103" s="1"/>
  <c r="BY144" i="103"/>
  <c r="BY128" i="103"/>
  <c r="BY49" i="103"/>
  <c r="BY42" i="103" s="1"/>
  <c r="BY205" i="103"/>
  <c r="T325" i="103"/>
  <c r="AK192" i="91"/>
  <c r="AY192" i="91"/>
  <c r="AS191" i="91"/>
  <c r="BL191" i="91"/>
  <c r="BA191" i="91"/>
  <c r="AN191" i="91"/>
  <c r="AW192" i="91"/>
  <c r="AR192" i="91"/>
  <c r="BD191" i="91"/>
  <c r="AP192" i="91"/>
  <c r="AQ192" i="91"/>
  <c r="AN192" i="91"/>
  <c r="AP191" i="91"/>
  <c r="AR191" i="91"/>
  <c r="BU255" i="103"/>
  <c r="BT258" i="103"/>
  <c r="BT229" i="103"/>
  <c r="BT196" i="103" s="1"/>
  <c r="BC191" i="91"/>
  <c r="U158" i="2"/>
  <c r="U98" i="2" s="1"/>
  <c r="U101" i="2" s="1"/>
  <c r="U14" i="92" s="1"/>
  <c r="T158" i="2"/>
  <c r="T98" i="2" s="1"/>
  <c r="T101" i="2" s="1"/>
  <c r="T14" i="92" s="1"/>
  <c r="U273" i="103"/>
  <c r="U307" i="103" s="1"/>
  <c r="U336" i="103"/>
  <c r="S63" i="92"/>
  <c r="S29" i="92" s="1"/>
  <c r="S38" i="92" s="1"/>
  <c r="S50" i="8" s="1"/>
  <c r="S52" i="8" s="1"/>
  <c r="AQ191" i="91"/>
  <c r="U14" i="2"/>
  <c r="U25" i="8" s="1"/>
  <c r="W210" i="103"/>
  <c r="BY162" i="103"/>
  <c r="BI192" i="91"/>
  <c r="BZ162" i="103"/>
  <c r="AX192" i="91"/>
  <c r="BG192" i="91"/>
  <c r="BJ192" i="91"/>
  <c r="BM192" i="91"/>
  <c r="BR192" i="91"/>
  <c r="AZ191" i="91"/>
  <c r="BZ306" i="103"/>
  <c r="BZ321" i="103"/>
  <c r="T318" i="103"/>
  <c r="BU321" i="103"/>
  <c r="BU306" i="103"/>
  <c r="BU272" i="103" s="1"/>
  <c r="BV306" i="103"/>
  <c r="BV272" i="103" s="1"/>
  <c r="BV321" i="103"/>
  <c r="BX306" i="103"/>
  <c r="BX272" i="103" s="1"/>
  <c r="BX321" i="103"/>
  <c r="BY321" i="103"/>
  <c r="BY306" i="103"/>
  <c r="T351" i="103"/>
  <c r="T353" i="103" s="1"/>
  <c r="T346" i="103" s="1"/>
  <c r="BZ351" i="103"/>
  <c r="BZ353" i="103" s="1"/>
  <c r="BZ346" i="103" s="1"/>
  <c r="BZ325" i="103" s="1"/>
  <c r="U325" i="103" s="1"/>
  <c r="BW321" i="103"/>
  <c r="BW306" i="103"/>
  <c r="BW272" i="103" s="1"/>
  <c r="BW274" i="103" s="1"/>
  <c r="BT321" i="103"/>
  <c r="BT306" i="103"/>
  <c r="BT272" i="103" s="1"/>
  <c r="BT308" i="103" s="1"/>
  <c r="BS321" i="103"/>
  <c r="BS306" i="103"/>
  <c r="BS272" i="103" s="1"/>
  <c r="CC261" i="103"/>
  <c r="CC263" i="103" s="1"/>
  <c r="CC230" i="103" s="1"/>
  <c r="CC266" i="103"/>
  <c r="CC268" i="103" s="1"/>
  <c r="CC231" i="103" s="1"/>
  <c r="BU61" i="103"/>
  <c r="BU62" i="103"/>
  <c r="CB180" i="103"/>
  <c r="CB182" i="103" s="1"/>
  <c r="CB151" i="103" s="1"/>
  <c r="CB189" i="103"/>
  <c r="CB191" i="103" s="1"/>
  <c r="BP192" i="91"/>
  <c r="BS189" i="103"/>
  <c r="BS191" i="103" s="1"/>
  <c r="BS180" i="103"/>
  <c r="BS182" i="103" s="1"/>
  <c r="BS151" i="103" s="1"/>
  <c r="BS113" i="103" s="1"/>
  <c r="BZ189" i="103"/>
  <c r="BZ191" i="103" s="1"/>
  <c r="BZ180" i="103"/>
  <c r="BZ182" i="103" s="1"/>
  <c r="BZ151" i="103" s="1"/>
  <c r="BA192" i="91"/>
  <c r="BS96" i="103"/>
  <c r="BS43" i="103"/>
  <c r="BS74" i="103" s="1"/>
  <c r="U112" i="103"/>
  <c r="BW156" i="103"/>
  <c r="BW162" i="103" s="1"/>
  <c r="BO183" i="91"/>
  <c r="BO192" i="91" s="1"/>
  <c r="BN182" i="91"/>
  <c r="BN140" i="91" s="1"/>
  <c r="BN183" i="91"/>
  <c r="BN192" i="91" s="1"/>
  <c r="BR182" i="91"/>
  <c r="BR140" i="91" s="1"/>
  <c r="BJ191" i="91"/>
  <c r="CD261" i="103"/>
  <c r="CD263" i="103" s="1"/>
  <c r="CD230" i="103" s="1"/>
  <c r="CD197" i="103" s="1"/>
  <c r="CD266" i="103"/>
  <c r="CD268" i="103" s="1"/>
  <c r="CD231" i="103" s="1"/>
  <c r="CD198" i="103" s="1"/>
  <c r="CC180" i="103"/>
  <c r="CC182" i="103" s="1"/>
  <c r="CC151" i="103" s="1"/>
  <c r="CC189" i="103"/>
  <c r="CC191" i="103" s="1"/>
  <c r="AT191" i="91"/>
  <c r="BC192" i="91"/>
  <c r="AS192" i="91"/>
  <c r="CA245" i="103"/>
  <c r="CB261" i="103"/>
  <c r="CB263" i="103" s="1"/>
  <c r="CB230" i="103" s="1"/>
  <c r="CB266" i="103"/>
  <c r="CB268" i="103" s="1"/>
  <c r="CB231" i="103" s="1"/>
  <c r="BS261" i="103"/>
  <c r="BS263" i="103" s="1"/>
  <c r="BS230" i="103" s="1"/>
  <c r="BS266" i="103"/>
  <c r="BS268" i="103" s="1"/>
  <c r="BS231" i="103" s="1"/>
  <c r="AY191" i="91"/>
  <c r="BT180" i="103"/>
  <c r="BT182" i="103" s="1"/>
  <c r="BT151" i="103" s="1"/>
  <c r="BT113" i="103" s="1"/>
  <c r="BT189" i="103"/>
  <c r="BT191" i="103" s="1"/>
  <c r="AO191" i="91"/>
  <c r="BD192" i="91"/>
  <c r="AO192" i="91"/>
  <c r="BX261" i="103"/>
  <c r="BX263" i="103" s="1"/>
  <c r="BX230" i="103" s="1"/>
  <c r="BX197" i="103" s="1"/>
  <c r="BX266" i="103"/>
  <c r="BX268" i="103" s="1"/>
  <c r="BX231" i="103" s="1"/>
  <c r="BX198" i="103" s="1"/>
  <c r="BY266" i="103"/>
  <c r="BY268" i="103" s="1"/>
  <c r="BY231" i="103" s="1"/>
  <c r="BY261" i="103"/>
  <c r="BY263" i="103" s="1"/>
  <c r="BY230" i="103" s="1"/>
  <c r="BW61" i="103"/>
  <c r="BW62" i="103"/>
  <c r="BV261" i="103"/>
  <c r="BV263" i="103" s="1"/>
  <c r="BV230" i="103" s="1"/>
  <c r="BV266" i="103"/>
  <c r="BV268" i="103" s="1"/>
  <c r="BV231" i="103" s="1"/>
  <c r="BX189" i="103"/>
  <c r="BX191" i="103" s="1"/>
  <c r="BX180" i="103"/>
  <c r="BX182" i="103" s="1"/>
  <c r="BX151" i="103" s="1"/>
  <c r="BX113" i="103" s="1"/>
  <c r="BE191" i="91"/>
  <c r="BP191" i="91"/>
  <c r="BY180" i="103"/>
  <c r="BY182" i="103" s="1"/>
  <c r="BY151" i="103" s="1"/>
  <c r="BY113" i="103" s="1"/>
  <c r="BY189" i="103"/>
  <c r="BY191" i="103" s="1"/>
  <c r="BV189" i="103"/>
  <c r="BV191" i="103" s="1"/>
  <c r="BV180" i="103"/>
  <c r="BV182" i="103" s="1"/>
  <c r="BV151" i="103" s="1"/>
  <c r="BV113" i="103" s="1"/>
  <c r="BK192" i="91"/>
  <c r="BV162" i="103"/>
  <c r="BT156" i="103"/>
  <c r="BT162" i="103" s="1"/>
  <c r="T112" i="103"/>
  <c r="CD189" i="103"/>
  <c r="CD191" i="103" s="1"/>
  <c r="CD180" i="103"/>
  <c r="CD182" i="103" s="1"/>
  <c r="CD151" i="103" s="1"/>
  <c r="BH191" i="91"/>
  <c r="AT192" i="91"/>
  <c r="AM191" i="91"/>
  <c r="CA156" i="103"/>
  <c r="CA62" i="103"/>
  <c r="CA61" i="103"/>
  <c r="BF191" i="91"/>
  <c r="AZ192" i="91"/>
  <c r="BT266" i="103"/>
  <c r="BT268" i="103" s="1"/>
  <c r="BT231" i="103" s="1"/>
  <c r="BT261" i="103"/>
  <c r="BT263" i="103" s="1"/>
  <c r="BT230" i="103" s="1"/>
  <c r="AL192" i="91"/>
  <c r="AM192" i="91"/>
  <c r="BI191" i="91"/>
  <c r="BF192" i="91"/>
  <c r="BZ266" i="103"/>
  <c r="BZ268" i="103" s="1"/>
  <c r="BZ231" i="103" s="1"/>
  <c r="BZ261" i="103"/>
  <c r="BZ263" i="103" s="1"/>
  <c r="BZ230" i="103" s="1"/>
  <c r="BG191" i="91"/>
  <c r="U97" i="2"/>
  <c r="U25" i="2"/>
  <c r="BR14" i="92"/>
  <c r="BQ14" i="92"/>
  <c r="BP14" i="92"/>
  <c r="BO14" i="92"/>
  <c r="U133" i="2"/>
  <c r="U134" i="2" s="1"/>
  <c r="T135" i="2"/>
  <c r="N70" i="92"/>
  <c r="N21" i="91"/>
  <c r="N22" i="91" s="1"/>
  <c r="BP56" i="92"/>
  <c r="BQ53" i="92" s="1"/>
  <c r="BO63" i="92"/>
  <c r="BO64" i="92" s="1"/>
  <c r="T56" i="92"/>
  <c r="U53" i="92" s="1"/>
  <c r="Q64" i="92"/>
  <c r="CD219" i="103"/>
  <c r="CD210" i="103" s="1"/>
  <c r="BW87" i="103"/>
  <c r="BW88" i="103" s="1"/>
  <c r="BW72" i="103" s="1"/>
  <c r="BX78" i="103"/>
  <c r="BT297" i="103"/>
  <c r="BT289" i="103"/>
  <c r="BT291" i="103" s="1"/>
  <c r="BT300" i="103"/>
  <c r="BT282" i="103"/>
  <c r="BT51" i="103"/>
  <c r="BT44" i="103" s="1"/>
  <c r="BV43" i="103"/>
  <c r="BV74" i="103" s="1"/>
  <c r="BX296" i="103"/>
  <c r="BX289" i="103" s="1"/>
  <c r="BY294" i="103"/>
  <c r="BX70" i="103"/>
  <c r="BW297" i="103"/>
  <c r="BW300" i="103"/>
  <c r="BW299" i="103"/>
  <c r="BW282" i="103"/>
  <c r="BW51" i="103"/>
  <c r="BW44" i="103" s="1"/>
  <c r="BW290" i="103"/>
  <c r="V98" i="103"/>
  <c r="W98" i="103" s="1"/>
  <c r="CC254" i="103"/>
  <c r="S393" i="103"/>
  <c r="T2" i="103"/>
  <c r="Y219" i="103"/>
  <c r="Y210" i="103" s="1"/>
  <c r="BZ217" i="103"/>
  <c r="BZ218" i="103" s="1"/>
  <c r="BZ204" i="103"/>
  <c r="T291" i="103"/>
  <c r="Y128" i="103"/>
  <c r="Y112" i="103"/>
  <c r="V337" i="103"/>
  <c r="V338" i="103" s="1"/>
  <c r="W336" i="103"/>
  <c r="CB217" i="103"/>
  <c r="CB204" i="103"/>
  <c r="BU205" i="103"/>
  <c r="BU144" i="103"/>
  <c r="BU49" i="103"/>
  <c r="BU128" i="103"/>
  <c r="BY143" i="103"/>
  <c r="BU130" i="103"/>
  <c r="BU129" i="103"/>
  <c r="CB42" i="103"/>
  <c r="BU285" i="103"/>
  <c r="BU284" i="103"/>
  <c r="Y131" i="103"/>
  <c r="W208" i="103"/>
  <c r="W50" i="103"/>
  <c r="W209" i="103"/>
  <c r="X307" i="103"/>
  <c r="W273" i="103"/>
  <c r="T87" i="103"/>
  <c r="T88" i="103" s="1"/>
  <c r="T72" i="103" s="1"/>
  <c r="W286" i="103"/>
  <c r="W139" i="103"/>
  <c r="BV144" i="103"/>
  <c r="BV44" i="103"/>
  <c r="CA144" i="103"/>
  <c r="CA143" i="103"/>
  <c r="CA49" i="103"/>
  <c r="CA128" i="103"/>
  <c r="BT42" i="103"/>
  <c r="BT45" i="103" s="1"/>
  <c r="BT12" i="103" s="1"/>
  <c r="U141" i="103"/>
  <c r="U122" i="103"/>
  <c r="CC42" i="103"/>
  <c r="CC217" i="103"/>
  <c r="CC218" i="103" s="1"/>
  <c r="CC204" i="103"/>
  <c r="BZ137" i="103"/>
  <c r="U178" i="103"/>
  <c r="U177" i="103" s="1"/>
  <c r="BS284" i="103"/>
  <c r="BS285" i="103"/>
  <c r="BV42" i="103"/>
  <c r="BV204" i="103"/>
  <c r="BV217" i="103"/>
  <c r="BV285" i="103"/>
  <c r="BV284" i="103"/>
  <c r="V122" i="103"/>
  <c r="V141" i="103"/>
  <c r="BT217" i="103"/>
  <c r="BT218" i="103" s="1"/>
  <c r="BT204" i="103"/>
  <c r="BW205" i="103"/>
  <c r="BW128" i="103"/>
  <c r="BW144" i="103"/>
  <c r="BW143" i="103"/>
  <c r="BW49" i="103"/>
  <c r="BX144" i="103"/>
  <c r="T123" i="103"/>
  <c r="X107" i="103"/>
  <c r="T73" i="103"/>
  <c r="CA178" i="103"/>
  <c r="CB177" i="103"/>
  <c r="T343" i="103"/>
  <c r="T337" i="103" s="1"/>
  <c r="BU300" i="103"/>
  <c r="BW68" i="103"/>
  <c r="BX65" i="103"/>
  <c r="BW69" i="103"/>
  <c r="BW289" i="103"/>
  <c r="X286" i="103"/>
  <c r="X139" i="103"/>
  <c r="BX219" i="103"/>
  <c r="BX210" i="103" s="1"/>
  <c r="T69" i="103"/>
  <c r="X186" i="103"/>
  <c r="W187" i="103"/>
  <c r="W138" i="103" s="1"/>
  <c r="BZ42" i="103"/>
  <c r="T297" i="103"/>
  <c r="T282" i="103"/>
  <c r="T51" i="103"/>
  <c r="X156" i="103"/>
  <c r="X218" i="103"/>
  <c r="U337" i="103"/>
  <c r="U338" i="103" s="1"/>
  <c r="BS205" i="103"/>
  <c r="BS129" i="103"/>
  <c r="BS128" i="103"/>
  <c r="BS49" i="103"/>
  <c r="R203" i="91"/>
  <c r="S203" i="91" s="1"/>
  <c r="R19" i="91"/>
  <c r="U213" i="91"/>
  <c r="U214" i="91"/>
  <c r="U210" i="91"/>
  <c r="U211" i="91"/>
  <c r="U195" i="91"/>
  <c r="U212" i="91"/>
  <c r="T6" i="91"/>
  <c r="R216" i="91"/>
  <c r="R224" i="91"/>
  <c r="R200" i="91"/>
  <c r="R199" i="91"/>
  <c r="S199" i="91" s="1"/>
  <c r="T199" i="91" s="1"/>
  <c r="U199" i="91" s="1"/>
  <c r="R26" i="91"/>
  <c r="BP18" i="91"/>
  <c r="P224" i="91"/>
  <c r="P216" i="91"/>
  <c r="R207" i="91"/>
  <c r="R206" i="91"/>
  <c r="R12" i="91"/>
  <c r="O224" i="91"/>
  <c r="O216" i="91"/>
  <c r="BF241" i="91"/>
  <c r="BF27" i="91"/>
  <c r="BF28" i="91" s="1"/>
  <c r="BF29" i="91" s="1"/>
  <c r="BJ242" i="91"/>
  <c r="T215" i="91"/>
  <c r="T216" i="91" s="1"/>
  <c r="BR207" i="91"/>
  <c r="BR206" i="91"/>
  <c r="BR12" i="91"/>
  <c r="Q207" i="91"/>
  <c r="Q206" i="91"/>
  <c r="Q12" i="91"/>
  <c r="CC172" i="103" l="1"/>
  <c r="CC150" i="103"/>
  <c r="CC112" i="103" s="1"/>
  <c r="CC156" i="103" s="1"/>
  <c r="CD162" i="103" s="1"/>
  <c r="CC173" i="103"/>
  <c r="CB150" i="103"/>
  <c r="CB112" i="103" s="1"/>
  <c r="CB173" i="103"/>
  <c r="CB172" i="103"/>
  <c r="BO191" i="91"/>
  <c r="BK191" i="91"/>
  <c r="BO144" i="91"/>
  <c r="BL144" i="91"/>
  <c r="BK136" i="91"/>
  <c r="BM136" i="91"/>
  <c r="BM144" i="91" s="1"/>
  <c r="Q171" i="91"/>
  <c r="BN136" i="91"/>
  <c r="BN137" i="91" s="1"/>
  <c r="N176" i="91"/>
  <c r="N178" i="91"/>
  <c r="N168" i="91"/>
  <c r="N166" i="91"/>
  <c r="BR170" i="91"/>
  <c r="BR171" i="91" s="1"/>
  <c r="BQ171" i="91"/>
  <c r="BJ144" i="91"/>
  <c r="BK144" i="91"/>
  <c r="K27" i="92"/>
  <c r="K3" i="8" s="1"/>
  <c r="K30" i="8" s="1"/>
  <c r="K55" i="8" s="1"/>
  <c r="K58" i="8" s="1"/>
  <c r="K3" i="2" s="1"/>
  <c r="K8" i="2" s="1"/>
  <c r="K17" i="2" s="1"/>
  <c r="K40" i="2" s="1"/>
  <c r="BN144" i="91"/>
  <c r="BJ145" i="91"/>
  <c r="BO131" i="91"/>
  <c r="BO133" i="91" s="1"/>
  <c r="BN191" i="91"/>
  <c r="BR191" i="91"/>
  <c r="BW308" i="103"/>
  <c r="BK137" i="91"/>
  <c r="P168" i="91"/>
  <c r="P166" i="91"/>
  <c r="BQ165" i="91"/>
  <c r="P178" i="91"/>
  <c r="P176" i="91"/>
  <c r="BL137" i="91"/>
  <c r="J33" i="92"/>
  <c r="J79" i="92"/>
  <c r="J35" i="92"/>
  <c r="J34" i="92"/>
  <c r="O187" i="91"/>
  <c r="J32" i="92"/>
  <c r="J74" i="92" s="1"/>
  <c r="O182" i="91"/>
  <c r="O184" i="91"/>
  <c r="I79" i="92"/>
  <c r="I53" i="2"/>
  <c r="I57" i="2" s="1"/>
  <c r="I35" i="92"/>
  <c r="I34" i="92"/>
  <c r="N4" i="92"/>
  <c r="N44" i="2" s="1"/>
  <c r="N55" i="2" s="1"/>
  <c r="I55" i="2"/>
  <c r="I58" i="2" s="1"/>
  <c r="K32" i="92"/>
  <c r="K74" i="92" s="1"/>
  <c r="AY27" i="92"/>
  <c r="AY35" i="92" s="1"/>
  <c r="J55" i="2"/>
  <c r="J53" i="2"/>
  <c r="J57" i="2" s="1"/>
  <c r="J50" i="2"/>
  <c r="AY33" i="92"/>
  <c r="H55" i="2"/>
  <c r="H53" i="2"/>
  <c r="H57" i="2" s="1"/>
  <c r="H50" i="2"/>
  <c r="G55" i="2"/>
  <c r="AF35" i="92"/>
  <c r="AF34" i="92"/>
  <c r="G50" i="2"/>
  <c r="P57" i="2"/>
  <c r="P50" i="2"/>
  <c r="P53" i="2"/>
  <c r="P55" i="2"/>
  <c r="AU27" i="92"/>
  <c r="AU33" i="92"/>
  <c r="AU32" i="92"/>
  <c r="AU74" i="92" s="1"/>
  <c r="M50" i="2"/>
  <c r="M53" i="2"/>
  <c r="M55" i="2"/>
  <c r="M57" i="2"/>
  <c r="O57" i="2"/>
  <c r="O50" i="2"/>
  <c r="O55" i="2"/>
  <c r="O53" i="2"/>
  <c r="AW32" i="92"/>
  <c r="AW74" i="92" s="1"/>
  <c r="AW33" i="92"/>
  <c r="AW27" i="92"/>
  <c r="BF27" i="92"/>
  <c r="BF33" i="92"/>
  <c r="BF32" i="92"/>
  <c r="BF74" i="92" s="1"/>
  <c r="M23" i="92"/>
  <c r="M21" i="92"/>
  <c r="G23" i="92"/>
  <c r="G21" i="92"/>
  <c r="AH35" i="92"/>
  <c r="AH34" i="92"/>
  <c r="BA27" i="92"/>
  <c r="BA32" i="92"/>
  <c r="BA74" i="92" s="1"/>
  <c r="BA33" i="92"/>
  <c r="K53" i="2"/>
  <c r="K57" i="2" s="1"/>
  <c r="K50" i="2"/>
  <c r="K55" i="2"/>
  <c r="AS33" i="92"/>
  <c r="AS32" i="92"/>
  <c r="AS74" i="92" s="1"/>
  <c r="AS27" i="92"/>
  <c r="P72" i="92"/>
  <c r="L27" i="92"/>
  <c r="L33" i="92"/>
  <c r="L32" i="92"/>
  <c r="L74" i="92" s="1"/>
  <c r="BI33" i="92"/>
  <c r="BI32" i="92"/>
  <c r="BI74" i="92" s="1"/>
  <c r="BI27" i="92"/>
  <c r="BB35" i="92"/>
  <c r="BB34" i="92"/>
  <c r="BB79" i="92"/>
  <c r="AI34" i="92"/>
  <c r="AI35" i="92"/>
  <c r="W33" i="92"/>
  <c r="W32" i="92"/>
  <c r="W74" i="92" s="1"/>
  <c r="W27" i="92"/>
  <c r="O33" i="92"/>
  <c r="O27" i="92"/>
  <c r="O32" i="92"/>
  <c r="O74" i="92" s="1"/>
  <c r="AR35" i="92"/>
  <c r="AR34" i="92"/>
  <c r="N27" i="92"/>
  <c r="N32" i="92"/>
  <c r="N74" i="92" s="1"/>
  <c r="N33" i="92"/>
  <c r="P23" i="92"/>
  <c r="P21" i="92"/>
  <c r="H74" i="2"/>
  <c r="H90" i="2"/>
  <c r="H61" i="2"/>
  <c r="H47" i="2"/>
  <c r="H56" i="2" s="1"/>
  <c r="AL34" i="92"/>
  <c r="AL35" i="92"/>
  <c r="L55" i="2"/>
  <c r="L50" i="2"/>
  <c r="L53" i="2"/>
  <c r="L57" i="2" s="1"/>
  <c r="J21" i="91"/>
  <c r="J22" i="91" s="1"/>
  <c r="J70" i="92"/>
  <c r="J50" i="92"/>
  <c r="J72" i="92" s="1"/>
  <c r="BM48" i="92"/>
  <c r="BM50" i="92" s="1"/>
  <c r="BM5" i="92"/>
  <c r="BM71" i="92"/>
  <c r="BM16" i="92"/>
  <c r="M74" i="2"/>
  <c r="M47" i="2"/>
  <c r="M90" i="2"/>
  <c r="M61" i="2"/>
  <c r="M56" i="2"/>
  <c r="J74" i="2"/>
  <c r="J61" i="2"/>
  <c r="J47" i="2"/>
  <c r="J56" i="2" s="1"/>
  <c r="J90" i="2"/>
  <c r="O74" i="2"/>
  <c r="O56" i="2"/>
  <c r="O61" i="2"/>
  <c r="O47" i="2"/>
  <c r="O90" i="2"/>
  <c r="P61" i="2"/>
  <c r="P74" i="2"/>
  <c r="P47" i="2"/>
  <c r="P90" i="2"/>
  <c r="P56" i="2"/>
  <c r="N56" i="2"/>
  <c r="N47" i="2"/>
  <c r="N61" i="2"/>
  <c r="N74" i="2"/>
  <c r="N90" i="2"/>
  <c r="Q2" i="91"/>
  <c r="Q189" i="91" s="1"/>
  <c r="P2" i="92"/>
  <c r="G21" i="91"/>
  <c r="G22" i="91" s="1"/>
  <c r="G50" i="92"/>
  <c r="G72" i="92" s="1"/>
  <c r="G74" i="2"/>
  <c r="G61" i="2"/>
  <c r="G47" i="2"/>
  <c r="G56" i="2" s="1"/>
  <c r="U99" i="2"/>
  <c r="T99" i="2"/>
  <c r="BX162" i="103"/>
  <c r="BZ249" i="103"/>
  <c r="BZ228" i="103"/>
  <c r="T195" i="103"/>
  <c r="T247" i="103" s="1"/>
  <c r="CA247" i="103"/>
  <c r="CA250" i="103" s="1"/>
  <c r="BY217" i="103"/>
  <c r="BY218" i="103" s="1"/>
  <c r="BY198" i="103" s="1"/>
  <c r="BY204" i="103"/>
  <c r="T44" i="103"/>
  <c r="BT233" i="103"/>
  <c r="BT239" i="103" s="1"/>
  <c r="BV255" i="103"/>
  <c r="BU229" i="103"/>
  <c r="BU196" i="103" s="1"/>
  <c r="BU233" i="103" s="1"/>
  <c r="BU258" i="103"/>
  <c r="T63" i="92"/>
  <c r="T29" i="92" s="1"/>
  <c r="T38" i="92" s="1"/>
  <c r="T50" i="8" s="1"/>
  <c r="T52" i="8" s="1"/>
  <c r="Y211" i="103"/>
  <c r="BP63" i="92"/>
  <c r="BP29" i="92" s="1"/>
  <c r="CD211" i="103"/>
  <c r="V372" i="103"/>
  <c r="J57" i="8"/>
  <c r="J58" i="8" s="1"/>
  <c r="I3" i="2"/>
  <c r="L57" i="8"/>
  <c r="T43" i="103"/>
  <c r="T74" i="103" s="1"/>
  <c r="BV45" i="103"/>
  <c r="BV12" i="103" s="1"/>
  <c r="BV13" i="103" s="1"/>
  <c r="BT309" i="103"/>
  <c r="U318" i="103"/>
  <c r="CA351" i="103"/>
  <c r="CA353" i="103" s="1"/>
  <c r="CA346" i="103" s="1"/>
  <c r="CA325" i="103" s="1"/>
  <c r="CB389" i="103"/>
  <c r="BV308" i="103"/>
  <c r="BV274" i="103"/>
  <c r="BV6" i="103" s="1"/>
  <c r="U351" i="103"/>
  <c r="U353" i="103" s="1"/>
  <c r="U346" i="103" s="1"/>
  <c r="BT274" i="103"/>
  <c r="BT6" i="103" s="1"/>
  <c r="BS308" i="103"/>
  <c r="BS309" i="103" s="1"/>
  <c r="T272" i="103"/>
  <c r="BS274" i="103"/>
  <c r="BS6" i="103" s="1"/>
  <c r="BU308" i="103"/>
  <c r="BU274" i="103"/>
  <c r="BU6" i="103" s="1"/>
  <c r="CA162" i="103"/>
  <c r="BV153" i="103"/>
  <c r="BV152" i="103"/>
  <c r="BV114" i="103" s="1"/>
  <c r="BV154" i="103"/>
  <c r="BU162" i="103"/>
  <c r="BT152" i="103"/>
  <c r="BT114" i="103" s="1"/>
  <c r="BT154" i="103"/>
  <c r="BT153" i="103"/>
  <c r="CB245" i="103"/>
  <c r="CB247" i="103" s="1"/>
  <c r="BU266" i="103"/>
  <c r="BU268" i="103" s="1"/>
  <c r="BU231" i="103" s="1"/>
  <c r="BU261" i="103"/>
  <c r="BU263" i="103" s="1"/>
  <c r="BU230" i="103" s="1"/>
  <c r="BY153" i="103"/>
  <c r="BY154" i="103"/>
  <c r="BY152" i="103"/>
  <c r="BY114" i="103" s="1"/>
  <c r="BT96" i="103"/>
  <c r="BS356" i="103"/>
  <c r="BS358" i="103" s="1"/>
  <c r="BS347" i="103" s="1"/>
  <c r="BS326" i="103" s="1"/>
  <c r="BS327" i="103" s="1"/>
  <c r="BZ152" i="103"/>
  <c r="BZ114" i="103" s="1"/>
  <c r="BZ154" i="103"/>
  <c r="BZ153" i="103"/>
  <c r="CB153" i="103"/>
  <c r="CB152" i="103"/>
  <c r="CB114" i="103" s="1"/>
  <c r="CB154" i="103"/>
  <c r="BU180" i="103"/>
  <c r="BU182" i="103" s="1"/>
  <c r="BU151" i="103" s="1"/>
  <c r="BU113" i="103" s="1"/>
  <c r="T113" i="103" s="1"/>
  <c r="T182" i="103" s="1"/>
  <c r="T151" i="103" s="1"/>
  <c r="BU189" i="103"/>
  <c r="BU191" i="103" s="1"/>
  <c r="CA180" i="103"/>
  <c r="CA182" i="103" s="1"/>
  <c r="CA151" i="103" s="1"/>
  <c r="CA189" i="103"/>
  <c r="CA191" i="103" s="1"/>
  <c r="CD154" i="103"/>
  <c r="CD153" i="103"/>
  <c r="CD152" i="103"/>
  <c r="CD114" i="103" s="1"/>
  <c r="BX152" i="103"/>
  <c r="BX114" i="103" s="1"/>
  <c r="BX153" i="103"/>
  <c r="BX154" i="103"/>
  <c r="BW261" i="103"/>
  <c r="BW263" i="103" s="1"/>
  <c r="BW230" i="103" s="1"/>
  <c r="BW266" i="103"/>
  <c r="BW268" i="103" s="1"/>
  <c r="BW231" i="103" s="1"/>
  <c r="CC154" i="103"/>
  <c r="CC153" i="103"/>
  <c r="CC152" i="103"/>
  <c r="CC114" i="103" s="1"/>
  <c r="V371" i="103"/>
  <c r="CA261" i="103"/>
  <c r="CA263" i="103" s="1"/>
  <c r="CA230" i="103" s="1"/>
  <c r="CA266" i="103"/>
  <c r="CA268" i="103" s="1"/>
  <c r="CA231" i="103" s="1"/>
  <c r="T156" i="103"/>
  <c r="T170" i="103"/>
  <c r="T150" i="103" s="1"/>
  <c r="BW189" i="103"/>
  <c r="BW191" i="103" s="1"/>
  <c r="BW180" i="103"/>
  <c r="BW182" i="103" s="1"/>
  <c r="BW151" i="103" s="1"/>
  <c r="BW113" i="103" s="1"/>
  <c r="U156" i="103"/>
  <c r="U170" i="103"/>
  <c r="BS153" i="103"/>
  <c r="BS152" i="103"/>
  <c r="BS114" i="103" s="1"/>
  <c r="BS154" i="103"/>
  <c r="U135" i="2"/>
  <c r="R14" i="92"/>
  <c r="BO30" i="92"/>
  <c r="BQ56" i="92"/>
  <c r="BR53" i="92" s="1"/>
  <c r="Q38" i="92"/>
  <c r="BO29" i="92"/>
  <c r="U56" i="92"/>
  <c r="U63" i="92" s="1"/>
  <c r="U29" i="92" s="1"/>
  <c r="BT198" i="103"/>
  <c r="U49" i="103"/>
  <c r="U128" i="103"/>
  <c r="BX274" i="103"/>
  <c r="BX308" i="103"/>
  <c r="T228" i="103"/>
  <c r="BW291" i="103"/>
  <c r="W212" i="103"/>
  <c r="BW309" i="103"/>
  <c r="BU217" i="103"/>
  <c r="BU218" i="103" s="1"/>
  <c r="BU204" i="103"/>
  <c r="X336" i="103"/>
  <c r="W341" i="103"/>
  <c r="W337" i="103"/>
  <c r="W342" i="103" s="1"/>
  <c r="X98" i="103"/>
  <c r="BW284" i="103"/>
  <c r="BW285" i="103"/>
  <c r="BX300" i="103"/>
  <c r="BX299" i="103"/>
  <c r="BX297" i="103"/>
  <c r="BX282" i="103"/>
  <c r="BX51" i="103"/>
  <c r="BX44" i="103" s="1"/>
  <c r="BX290" i="103"/>
  <c r="BX291" i="103" s="1"/>
  <c r="BT285" i="103"/>
  <c r="T285" i="103" s="1"/>
  <c r="BT284" i="103"/>
  <c r="BX87" i="103"/>
  <c r="BX88" i="103" s="1"/>
  <c r="BX72" i="103" s="1"/>
  <c r="BY78" i="103"/>
  <c r="Y107" i="103"/>
  <c r="BW204" i="103"/>
  <c r="U205" i="103"/>
  <c r="U204" i="103" s="1"/>
  <c r="BW217" i="103"/>
  <c r="BV197" i="103"/>
  <c r="CA42" i="103"/>
  <c r="BZ198" i="103"/>
  <c r="T168" i="103"/>
  <c r="T245" i="103"/>
  <c r="T253" i="103"/>
  <c r="T393" i="103"/>
  <c r="T91" i="103" s="1"/>
  <c r="T92" i="103" s="1"/>
  <c r="BS42" i="103"/>
  <c r="BS217" i="103"/>
  <c r="BS218" i="103" s="1"/>
  <c r="T205" i="103"/>
  <c r="T204" i="103" s="1"/>
  <c r="BS204" i="103"/>
  <c r="W130" i="103"/>
  <c r="X131" i="103"/>
  <c r="BW43" i="103"/>
  <c r="BW42" i="103"/>
  <c r="V143" i="103"/>
  <c r="V49" i="103"/>
  <c r="W143" i="103"/>
  <c r="V128" i="103"/>
  <c r="BS286" i="103"/>
  <c r="T284" i="103"/>
  <c r="BS139" i="103"/>
  <c r="CC197" i="103"/>
  <c r="CC219" i="103"/>
  <c r="CD222" i="103" s="1"/>
  <c r="W131" i="103"/>
  <c r="Y307" i="103"/>
  <c r="Y273" i="103" s="1"/>
  <c r="X273" i="103"/>
  <c r="BU42" i="103"/>
  <c r="BU45" i="103" s="1"/>
  <c r="BU12" i="103" s="1"/>
  <c r="U130" i="103"/>
  <c r="Y186" i="103"/>
  <c r="Y187" i="103" s="1"/>
  <c r="Y138" i="103" s="1"/>
  <c r="X187" i="103"/>
  <c r="X138" i="103" s="1"/>
  <c r="CC177" i="103"/>
  <c r="CB178" i="103"/>
  <c r="CB137" i="103" s="1"/>
  <c r="CC198" i="103"/>
  <c r="V205" i="103"/>
  <c r="V204" i="103" s="1"/>
  <c r="CA217" i="103"/>
  <c r="CA218" i="103" s="1"/>
  <c r="CB197" i="103"/>
  <c r="Y156" i="103"/>
  <c r="X161" i="103"/>
  <c r="X159" i="103"/>
  <c r="BX208" i="103"/>
  <c r="BX50" i="103"/>
  <c r="BX53" i="103" s="1"/>
  <c r="BX209" i="103"/>
  <c r="BX68" i="103"/>
  <c r="BY65" i="103"/>
  <c r="T52" i="103"/>
  <c r="T336" i="103"/>
  <c r="T338" i="103" s="1"/>
  <c r="CA137" i="103"/>
  <c r="T122" i="103"/>
  <c r="T141" i="103"/>
  <c r="U143" i="103" s="1"/>
  <c r="BT197" i="103"/>
  <c r="BT219" i="103"/>
  <c r="BX221" i="103" s="1"/>
  <c r="BV286" i="103"/>
  <c r="BV139" i="103"/>
  <c r="BV218" i="103"/>
  <c r="BZ129" i="103"/>
  <c r="BZ113" i="103"/>
  <c r="U137" i="103"/>
  <c r="U129" i="103" s="1"/>
  <c r="BT13" i="103"/>
  <c r="BT15" i="103"/>
  <c r="BW6" i="103"/>
  <c r="BU286" i="103"/>
  <c r="BU139" i="103"/>
  <c r="V130" i="103"/>
  <c r="CB218" i="103"/>
  <c r="CB219" i="103" s="1"/>
  <c r="CB210" i="103" s="1"/>
  <c r="X219" i="103"/>
  <c r="BZ197" i="103"/>
  <c r="BZ219" i="103"/>
  <c r="BZ210" i="103" s="1"/>
  <c r="Y221" i="103"/>
  <c r="Y50" i="103"/>
  <c r="Y208" i="103"/>
  <c r="Y209" i="103"/>
  <c r="BX211" i="103"/>
  <c r="CD254" i="103"/>
  <c r="BZ294" i="103"/>
  <c r="BY296" i="103"/>
  <c r="BY289" i="103" s="1"/>
  <c r="BY272" i="103"/>
  <c r="BY70" i="103"/>
  <c r="U294" i="103"/>
  <c r="CD50" i="103"/>
  <c r="CD208" i="103"/>
  <c r="CD209" i="103"/>
  <c r="U215" i="91"/>
  <c r="U216" i="91" s="1"/>
  <c r="T203" i="91"/>
  <c r="S202" i="91"/>
  <c r="S19" i="91" s="1"/>
  <c r="BQ18" i="91"/>
  <c r="S198" i="91"/>
  <c r="U6" i="91"/>
  <c r="BM137" i="91" l="1"/>
  <c r="BW312" i="103"/>
  <c r="CB156" i="103"/>
  <c r="V112" i="103"/>
  <c r="R170" i="91"/>
  <c r="K34" i="92"/>
  <c r="K79" i="92"/>
  <c r="K35" i="92"/>
  <c r="BO125" i="91"/>
  <c r="BO143" i="91"/>
  <c r="BO105" i="91"/>
  <c r="BO104" i="91" s="1"/>
  <c r="BN145" i="91"/>
  <c r="BM145" i="91"/>
  <c r="Q168" i="91"/>
  <c r="Q166" i="91"/>
  <c r="BK145" i="91"/>
  <c r="Q178" i="91"/>
  <c r="Q176" i="91"/>
  <c r="Q136" i="91" s="1"/>
  <c r="BR165" i="91"/>
  <c r="BQ168" i="91"/>
  <c r="BQ166" i="91"/>
  <c r="BL145" i="91"/>
  <c r="BW275" i="103"/>
  <c r="G58" i="2"/>
  <c r="N50" i="2"/>
  <c r="P58" i="2"/>
  <c r="N57" i="2"/>
  <c r="N58" i="2" s="1"/>
  <c r="N53" i="2"/>
  <c r="O191" i="91"/>
  <c r="P187" i="91"/>
  <c r="P189" i="91"/>
  <c r="P182" i="91"/>
  <c r="P184" i="91"/>
  <c r="AY34" i="92"/>
  <c r="AY79" i="92"/>
  <c r="J58" i="2"/>
  <c r="H58" i="2"/>
  <c r="M58" i="2"/>
  <c r="O58" i="2"/>
  <c r="K58" i="2"/>
  <c r="AU79" i="92"/>
  <c r="AU35" i="92"/>
  <c r="AU34" i="92"/>
  <c r="L3" i="8"/>
  <c r="L30" i="8" s="1"/>
  <c r="L55" i="8" s="1"/>
  <c r="L58" i="8" s="1"/>
  <c r="L3" i="2" s="1"/>
  <c r="L8" i="2" s="1"/>
  <c r="L17" i="2" s="1"/>
  <c r="L40" i="2" s="1"/>
  <c r="L79" i="92"/>
  <c r="L35" i="92"/>
  <c r="L34" i="92"/>
  <c r="BF34" i="92"/>
  <c r="BF79" i="92"/>
  <c r="BF35" i="92"/>
  <c r="N3" i="8"/>
  <c r="N30" i="8" s="1"/>
  <c r="N79" i="92"/>
  <c r="N34" i="92"/>
  <c r="N35" i="92"/>
  <c r="O34" i="92"/>
  <c r="O35" i="92"/>
  <c r="O79" i="92"/>
  <c r="M33" i="92"/>
  <c r="M32" i="92"/>
  <c r="M74" i="92" s="1"/>
  <c r="M27" i="92"/>
  <c r="AW34" i="92"/>
  <c r="AW79" i="92"/>
  <c r="AW35" i="92"/>
  <c r="P32" i="92"/>
  <c r="P74" i="92" s="1"/>
  <c r="P33" i="92"/>
  <c r="P27" i="92"/>
  <c r="L58" i="2"/>
  <c r="W34" i="92"/>
  <c r="W35" i="92"/>
  <c r="BI79" i="92"/>
  <c r="BI35" i="92"/>
  <c r="BI34" i="92"/>
  <c r="AS35" i="92"/>
  <c r="AS34" i="92"/>
  <c r="BA35" i="92"/>
  <c r="BA34" i="92"/>
  <c r="BA79" i="92"/>
  <c r="G32" i="92"/>
  <c r="G33" i="92"/>
  <c r="G27" i="92"/>
  <c r="Q2" i="92"/>
  <c r="R2" i="91"/>
  <c r="S181" i="91" s="1"/>
  <c r="BM21" i="92"/>
  <c r="BM23" i="92"/>
  <c r="BM68" i="92"/>
  <c r="BM4" i="92"/>
  <c r="Q187" i="91"/>
  <c r="BM72" i="92"/>
  <c r="CA228" i="103"/>
  <c r="CA195" i="103" s="1"/>
  <c r="CA249" i="103"/>
  <c r="BZ195" i="103"/>
  <c r="U195" i="103" s="1"/>
  <c r="U247" i="103" s="1"/>
  <c r="T246" i="103"/>
  <c r="BY219" i="103"/>
  <c r="BY210" i="103" s="1"/>
  <c r="BY197" i="103"/>
  <c r="CC211" i="103"/>
  <c r="W338" i="103"/>
  <c r="BV15" i="103"/>
  <c r="BV16" i="103" s="1"/>
  <c r="T169" i="103"/>
  <c r="BU239" i="103"/>
  <c r="BW255" i="103"/>
  <c r="BV258" i="103"/>
  <c r="BV229" i="103"/>
  <c r="BV196" i="103" s="1"/>
  <c r="BV233" i="103" s="1"/>
  <c r="BV239" i="103" s="1"/>
  <c r="BP64" i="92"/>
  <c r="Y212" i="103"/>
  <c r="CD221" i="103"/>
  <c r="BT210" i="103"/>
  <c r="Q52" i="8"/>
  <c r="CD212" i="103"/>
  <c r="K60" i="8"/>
  <c r="I8" i="2"/>
  <c r="I17" i="2" s="1"/>
  <c r="I40" i="2" s="1"/>
  <c r="I60" i="8"/>
  <c r="J3" i="2"/>
  <c r="J8" i="2" s="1"/>
  <c r="J17" i="2" s="1"/>
  <c r="J40" i="2" s="1"/>
  <c r="BU309" i="103"/>
  <c r="BU312" i="103"/>
  <c r="T320" i="103"/>
  <c r="T308" i="103"/>
  <c r="T309" i="103" s="1"/>
  <c r="T274" i="103"/>
  <c r="T6" i="103" s="1"/>
  <c r="W380" i="103"/>
  <c r="X380" i="103" s="1"/>
  <c r="Y380" i="103" s="1"/>
  <c r="W384" i="103"/>
  <c r="X384" i="103" s="1"/>
  <c r="Y384" i="103" s="1"/>
  <c r="BW311" i="103"/>
  <c r="BV312" i="103"/>
  <c r="BV309" i="103"/>
  <c r="CC389" i="103"/>
  <c r="CB390" i="103"/>
  <c r="CB351" i="103"/>
  <c r="CB353" i="103" s="1"/>
  <c r="CB346" i="103" s="1"/>
  <c r="CB325" i="103" s="1"/>
  <c r="BT312" i="103"/>
  <c r="CB250" i="103"/>
  <c r="CB228" i="103"/>
  <c r="CB195" i="103" s="1"/>
  <c r="CB249" i="103"/>
  <c r="BW152" i="103"/>
  <c r="BW114" i="103" s="1"/>
  <c r="U114" i="103" s="1"/>
  <c r="U191" i="103" s="1"/>
  <c r="U152" i="103" s="1"/>
  <c r="BW153" i="103"/>
  <c r="BW154" i="103"/>
  <c r="CA152" i="103"/>
  <c r="CA114" i="103" s="1"/>
  <c r="V114" i="103" s="1"/>
  <c r="V191" i="103" s="1"/>
  <c r="V152" i="103" s="1"/>
  <c r="CA154" i="103"/>
  <c r="CA153" i="103"/>
  <c r="BU154" i="103"/>
  <c r="BU153" i="103"/>
  <c r="BU115" i="103" s="1"/>
  <c r="BU152" i="103"/>
  <c r="BU114" i="103" s="1"/>
  <c r="T114" i="103" s="1"/>
  <c r="T191" i="103" s="1"/>
  <c r="T152" i="103" s="1"/>
  <c r="BS7" i="103"/>
  <c r="BS348" i="103"/>
  <c r="U172" i="103"/>
  <c r="U150" i="103"/>
  <c r="U159" i="103"/>
  <c r="U161" i="103"/>
  <c r="BU96" i="103"/>
  <c r="BT356" i="103"/>
  <c r="BT358" i="103" s="1"/>
  <c r="BT347" i="103" s="1"/>
  <c r="BT326" i="103" s="1"/>
  <c r="BT37" i="103" s="1"/>
  <c r="BT38" i="103" s="1"/>
  <c r="CC245" i="103"/>
  <c r="CC247" i="103" s="1"/>
  <c r="CD245" i="103"/>
  <c r="CD247" i="103" s="1"/>
  <c r="U38" i="92"/>
  <c r="U50" i="8" s="1"/>
  <c r="U52" i="8" s="1"/>
  <c r="BQ63" i="92"/>
  <c r="BR56" i="92"/>
  <c r="BR63" i="92" s="1"/>
  <c r="BR29" i="92" s="1"/>
  <c r="CA198" i="103"/>
  <c r="V218" i="103"/>
  <c r="BW197" i="103"/>
  <c r="U217" i="103"/>
  <c r="BX285" i="103"/>
  <c r="BX284" i="103"/>
  <c r="Y130" i="103"/>
  <c r="BU13" i="103"/>
  <c r="BU15" i="103"/>
  <c r="BZ50" i="103"/>
  <c r="BZ208" i="103"/>
  <c r="BZ209" i="103"/>
  <c r="X221" i="103"/>
  <c r="X209" i="103"/>
  <c r="X50" i="103"/>
  <c r="X208" i="103"/>
  <c r="X210" i="103"/>
  <c r="BT208" i="103"/>
  <c r="BT50" i="103"/>
  <c r="BT53" i="103" s="1"/>
  <c r="BT103" i="103" s="1"/>
  <c r="BT209" i="103"/>
  <c r="BX103" i="103"/>
  <c r="CD177" i="103"/>
  <c r="CD178" i="103" s="1"/>
  <c r="CD137" i="103" s="1"/>
  <c r="CC178" i="103"/>
  <c r="CC210" i="103"/>
  <c r="U42" i="103"/>
  <c r="BW45" i="103"/>
  <c r="X211" i="103"/>
  <c r="BS197" i="103"/>
  <c r="T217" i="103"/>
  <c r="BS219" i="103"/>
  <c r="BT222" i="103" s="1"/>
  <c r="BY87" i="103"/>
  <c r="BY88" i="103" s="1"/>
  <c r="BY72" i="103" s="1"/>
  <c r="BZ78" i="103"/>
  <c r="BW286" i="103"/>
  <c r="BW139" i="103"/>
  <c r="BX275" i="103"/>
  <c r="BX6" i="103"/>
  <c r="U296" i="103"/>
  <c r="BY299" i="103"/>
  <c r="BY282" i="103"/>
  <c r="BY300" i="103"/>
  <c r="BY297" i="103"/>
  <c r="BY51" i="103"/>
  <c r="BY44" i="103" s="1"/>
  <c r="BY290" i="103"/>
  <c r="BY291" i="103" s="1"/>
  <c r="BV131" i="103"/>
  <c r="BV115" i="103"/>
  <c r="BV140" i="103"/>
  <c r="Y161" i="103"/>
  <c r="Y159" i="103"/>
  <c r="X130" i="103"/>
  <c r="BX69" i="103"/>
  <c r="BX43" i="103" s="1"/>
  <c r="X341" i="103"/>
  <c r="X337" i="103"/>
  <c r="X342" i="103" s="1"/>
  <c r="Y336" i="103"/>
  <c r="CA294" i="103"/>
  <c r="BZ272" i="103"/>
  <c r="BZ296" i="103"/>
  <c r="BZ289" i="103" s="1"/>
  <c r="BZ70" i="103"/>
  <c r="BU131" i="103"/>
  <c r="BU140" i="103"/>
  <c r="CB129" i="103"/>
  <c r="CB113" i="103"/>
  <c r="BY308" i="103"/>
  <c r="BY274" i="103"/>
  <c r="CB211" i="103"/>
  <c r="CB198" i="103"/>
  <c r="BT104" i="103"/>
  <c r="BT16" i="103"/>
  <c r="U113" i="103"/>
  <c r="BV198" i="103"/>
  <c r="BT199" i="103"/>
  <c r="CA113" i="103"/>
  <c r="CA129" i="103"/>
  <c r="BZ65" i="103"/>
  <c r="U65" i="103" s="1"/>
  <c r="U68" i="103" s="1"/>
  <c r="BY68" i="103"/>
  <c r="BY69" i="103" s="1"/>
  <c r="BX212" i="103"/>
  <c r="BS131" i="103"/>
  <c r="BS115" i="103"/>
  <c r="BS140" i="103"/>
  <c r="BS198" i="103"/>
  <c r="T218" i="103"/>
  <c r="U245" i="103"/>
  <c r="U253" i="103"/>
  <c r="U393" i="103"/>
  <c r="U91" i="103" s="1"/>
  <c r="V2" i="103"/>
  <c r="BZ211" i="103"/>
  <c r="V42" i="103"/>
  <c r="BW218" i="103"/>
  <c r="W343" i="103"/>
  <c r="W52" i="103" s="1"/>
  <c r="BU197" i="103"/>
  <c r="BU219" i="103"/>
  <c r="BU210" i="103" s="1"/>
  <c r="BT211" i="103"/>
  <c r="CA197" i="103"/>
  <c r="V217" i="103"/>
  <c r="CA219" i="103"/>
  <c r="CA210" i="103" s="1"/>
  <c r="CC209" i="103"/>
  <c r="CC221" i="103"/>
  <c r="CC222" i="103"/>
  <c r="CC208" i="103"/>
  <c r="CC50" i="103"/>
  <c r="T42" i="103"/>
  <c r="BS45" i="103"/>
  <c r="BS12" i="103" s="1"/>
  <c r="BT286" i="103"/>
  <c r="T286" i="103" s="1"/>
  <c r="BT139" i="103"/>
  <c r="Y98" i="103"/>
  <c r="T49" i="103"/>
  <c r="T128" i="103"/>
  <c r="T129" i="103"/>
  <c r="T130" i="103"/>
  <c r="CB208" i="103"/>
  <c r="CB221" i="103"/>
  <c r="CB50" i="103"/>
  <c r="CB209" i="103"/>
  <c r="BW74" i="103"/>
  <c r="BV219" i="103"/>
  <c r="BV211" i="103" s="1"/>
  <c r="BU198" i="103"/>
  <c r="BX312" i="103"/>
  <c r="BX311" i="103"/>
  <c r="BX309" i="103"/>
  <c r="U198" i="91"/>
  <c r="T198" i="91"/>
  <c r="BR18" i="91"/>
  <c r="U203" i="91"/>
  <c r="U202" i="91" s="1"/>
  <c r="U19" i="91" s="1"/>
  <c r="T202" i="91"/>
  <c r="T19" i="91" s="1"/>
  <c r="R113" i="91"/>
  <c r="S200" i="91"/>
  <c r="S205" i="91"/>
  <c r="S26" i="91"/>
  <c r="BZ222" i="103" l="1"/>
  <c r="V170" i="103"/>
  <c r="V156" i="103"/>
  <c r="CC162" i="103"/>
  <c r="CB162" i="103"/>
  <c r="S170" i="91"/>
  <c r="T170" i="91" s="1"/>
  <c r="U170" i="91" s="1"/>
  <c r="R171" i="91"/>
  <c r="BO108" i="91"/>
  <c r="BO107" i="91" s="1"/>
  <c r="BO116" i="91" s="1"/>
  <c r="BO117" i="91" s="1"/>
  <c r="BO5" i="91"/>
  <c r="BO114" i="91"/>
  <c r="Q137" i="91"/>
  <c r="BR168" i="91"/>
  <c r="BR166" i="91"/>
  <c r="R165" i="91"/>
  <c r="T181" i="91"/>
  <c r="U181" i="91" s="1"/>
  <c r="P191" i="91"/>
  <c r="Q182" i="91"/>
  <c r="Q140" i="91" s="1"/>
  <c r="Q184" i="91"/>
  <c r="M57" i="8"/>
  <c r="P3" i="8"/>
  <c r="P30" i="8" s="1"/>
  <c r="P34" i="92"/>
  <c r="P79" i="92"/>
  <c r="P35" i="92"/>
  <c r="N55" i="8"/>
  <c r="N58" i="8" s="1"/>
  <c r="N62" i="8"/>
  <c r="N64" i="8" s="1"/>
  <c r="G34" i="92"/>
  <c r="G79" i="92"/>
  <c r="G35" i="92"/>
  <c r="M3" i="8"/>
  <c r="M30" i="8" s="1"/>
  <c r="M79" i="92"/>
  <c r="M35" i="92"/>
  <c r="M34" i="92"/>
  <c r="R182" i="91"/>
  <c r="BM33" i="92"/>
  <c r="BM32" i="92"/>
  <c r="BM74" i="92" s="1"/>
  <c r="BM27" i="92"/>
  <c r="R2" i="92"/>
  <c r="S2" i="91"/>
  <c r="BV104" i="103"/>
  <c r="BV105" i="103" s="1"/>
  <c r="U228" i="103"/>
  <c r="U249" i="103"/>
  <c r="U246" i="103"/>
  <c r="BV199" i="103"/>
  <c r="BV5" i="103" s="1"/>
  <c r="BS211" i="103"/>
  <c r="BY211" i="103"/>
  <c r="BY208" i="103"/>
  <c r="BY50" i="103"/>
  <c r="BY209" i="103"/>
  <c r="BY222" i="103"/>
  <c r="BU211" i="103"/>
  <c r="BX255" i="103"/>
  <c r="BW258" i="103"/>
  <c r="BW229" i="103"/>
  <c r="BW196" i="103" s="1"/>
  <c r="BW257" i="103"/>
  <c r="T196" i="103"/>
  <c r="BQ64" i="92"/>
  <c r="BQ30" i="92" s="1"/>
  <c r="BP30" i="92"/>
  <c r="CB222" i="103"/>
  <c r="J60" i="8"/>
  <c r="BY53" i="103"/>
  <c r="V373" i="103"/>
  <c r="V245" i="103" s="1"/>
  <c r="L60" i="8"/>
  <c r="CC351" i="103"/>
  <c r="CC353" i="103" s="1"/>
  <c r="CC346" i="103" s="1"/>
  <c r="CC325" i="103" s="1"/>
  <c r="CD389" i="103"/>
  <c r="V389" i="103" s="1"/>
  <c r="CC390" i="103"/>
  <c r="T321" i="103"/>
  <c r="T319" i="103"/>
  <c r="T306" i="103"/>
  <c r="V198" i="103"/>
  <c r="V268" i="103" s="1"/>
  <c r="V231" i="103" s="1"/>
  <c r="CD250" i="103"/>
  <c r="CD249" i="103"/>
  <c r="CD228" i="103"/>
  <c r="CD195" i="103" s="1"/>
  <c r="BT327" i="103"/>
  <c r="CC228" i="103"/>
  <c r="CC195" i="103" s="1"/>
  <c r="CC249" i="103"/>
  <c r="CC250" i="103"/>
  <c r="BV96" i="103"/>
  <c r="BU356" i="103"/>
  <c r="BU358" i="103" s="1"/>
  <c r="BU347" i="103" s="1"/>
  <c r="BU326" i="103" s="1"/>
  <c r="BU327" i="103" s="1"/>
  <c r="BQ29" i="92"/>
  <c r="R63" i="92"/>
  <c r="BX74" i="103"/>
  <c r="BX45" i="103"/>
  <c r="BY275" i="103"/>
  <c r="BY6" i="103"/>
  <c r="U297" i="103"/>
  <c r="U299" i="103"/>
  <c r="U282" i="103"/>
  <c r="U51" i="103"/>
  <c r="U290" i="103"/>
  <c r="BZ87" i="103"/>
  <c r="BZ88" i="103" s="1"/>
  <c r="BZ72" i="103" s="1"/>
  <c r="BZ43" i="103" s="1"/>
  <c r="CA78" i="103"/>
  <c r="U78" i="103"/>
  <c r="CC212" i="103"/>
  <c r="CB212" i="103"/>
  <c r="BT131" i="103"/>
  <c r="BT115" i="103"/>
  <c r="T115" i="103" s="1"/>
  <c r="BT140" i="103"/>
  <c r="V197" i="103"/>
  <c r="V263" i="103" s="1"/>
  <c r="W44" i="103"/>
  <c r="W53" i="103"/>
  <c r="T140" i="103"/>
  <c r="T132" i="103" s="1"/>
  <c r="BS132" i="103"/>
  <c r="BS133" i="103" s="1"/>
  <c r="BS116" i="103"/>
  <c r="BS117" i="103" s="1"/>
  <c r="BT232" i="103"/>
  <c r="BT5" i="103"/>
  <c r="U182" i="103"/>
  <c r="BT105" i="103"/>
  <c r="BT102" i="103"/>
  <c r="BZ308" i="103"/>
  <c r="BZ274" i="103"/>
  <c r="X343" i="103"/>
  <c r="X52" i="103" s="1"/>
  <c r="X44" i="103" s="1"/>
  <c r="BY284" i="103"/>
  <c r="BY285" i="103"/>
  <c r="BS210" i="103"/>
  <c r="U60" i="103"/>
  <c r="X212" i="103"/>
  <c r="U83" i="103"/>
  <c r="U84" i="103"/>
  <c r="U197" i="103"/>
  <c r="U218" i="103"/>
  <c r="BW198" i="103"/>
  <c r="U198" i="103" s="1"/>
  <c r="V253" i="103"/>
  <c r="V168" i="103"/>
  <c r="V169" i="103" s="1"/>
  <c r="W2" i="103"/>
  <c r="X2" i="103" s="1"/>
  <c r="Y2" i="103" s="1"/>
  <c r="BY43" i="103"/>
  <c r="CA296" i="103"/>
  <c r="CB294" i="103"/>
  <c r="CA70" i="103"/>
  <c r="CD129" i="103"/>
  <c r="CD113" i="103"/>
  <c r="BY103" i="103"/>
  <c r="BV222" i="103"/>
  <c r="BV50" i="103"/>
  <c r="BV53" i="103" s="1"/>
  <c r="BV103" i="103" s="1"/>
  <c r="BV208" i="103"/>
  <c r="BV209" i="103"/>
  <c r="BV210" i="103"/>
  <c r="CA222" i="103"/>
  <c r="CA50" i="103"/>
  <c r="CA208" i="103"/>
  <c r="CA209" i="103"/>
  <c r="BU222" i="103"/>
  <c r="BU50" i="103"/>
  <c r="BU53" i="103" s="1"/>
  <c r="BU103" i="103" s="1"/>
  <c r="BU209" i="103"/>
  <c r="BU208" i="103"/>
  <c r="BY221" i="103"/>
  <c r="Z376" i="103"/>
  <c r="U168" i="103"/>
  <c r="U169" i="103" s="1"/>
  <c r="U272" i="103"/>
  <c r="X338" i="103"/>
  <c r="BV132" i="103"/>
  <c r="BV116" i="103"/>
  <c r="BV117" i="103" s="1"/>
  <c r="T197" i="103"/>
  <c r="BS199" i="103"/>
  <c r="BS37" i="103"/>
  <c r="CC137" i="103"/>
  <c r="V178" i="103"/>
  <c r="V177" i="103" s="1"/>
  <c r="W177" i="103" s="1"/>
  <c r="BZ212" i="103"/>
  <c r="U93" i="103"/>
  <c r="U70" i="103"/>
  <c r="U69" i="103" s="1"/>
  <c r="BW219" i="103"/>
  <c r="CA211" i="103"/>
  <c r="BS13" i="103"/>
  <c r="BS15" i="103"/>
  <c r="BU199" i="103"/>
  <c r="Y337" i="103"/>
  <c r="Y342" i="103" s="1"/>
  <c r="Y341" i="103"/>
  <c r="BS208" i="103"/>
  <c r="BS50" i="103"/>
  <c r="BS53" i="103" s="1"/>
  <c r="BS103" i="103" s="1"/>
  <c r="BS209" i="103"/>
  <c r="U80" i="103"/>
  <c r="T45" i="103"/>
  <c r="T12" i="103" s="1"/>
  <c r="T60" i="103"/>
  <c r="V219" i="103"/>
  <c r="V210" i="103" s="1"/>
  <c r="V60" i="103"/>
  <c r="T198" i="103"/>
  <c r="T268" i="103" s="1"/>
  <c r="T139" i="103"/>
  <c r="T131" i="103" s="1"/>
  <c r="T133" i="103" s="1"/>
  <c r="CA65" i="103"/>
  <c r="BZ68" i="103"/>
  <c r="BZ69" i="103" s="1"/>
  <c r="BY309" i="103"/>
  <c r="BY312" i="103"/>
  <c r="BY311" i="103"/>
  <c r="BU116" i="103"/>
  <c r="BU117" i="103" s="1"/>
  <c r="BU132" i="103"/>
  <c r="BU133" i="103" s="1"/>
  <c r="BZ300" i="103"/>
  <c r="BZ282" i="103"/>
  <c r="BZ297" i="103"/>
  <c r="BZ299" i="103"/>
  <c r="BZ51" i="103"/>
  <c r="BZ44" i="103" s="1"/>
  <c r="U44" i="103" s="1"/>
  <c r="BZ290" i="103"/>
  <c r="BZ291" i="103" s="1"/>
  <c r="BV133" i="103"/>
  <c r="U289" i="103"/>
  <c r="BW115" i="103"/>
  <c r="BW131" i="103"/>
  <c r="BW140" i="103"/>
  <c r="T219" i="103"/>
  <c r="T211" i="103" s="1"/>
  <c r="BW46" i="103"/>
  <c r="BW12" i="103"/>
  <c r="BX54" i="103"/>
  <c r="BT212" i="103"/>
  <c r="BZ221" i="103"/>
  <c r="BU104" i="103"/>
  <c r="BU16" i="103"/>
  <c r="U85" i="103"/>
  <c r="U79" i="103"/>
  <c r="BX286" i="103"/>
  <c r="BX139" i="103"/>
  <c r="S206" i="91"/>
  <c r="S207" i="91"/>
  <c r="S12" i="91"/>
  <c r="T200" i="91"/>
  <c r="T205" i="91"/>
  <c r="T26" i="91"/>
  <c r="U205" i="91"/>
  <c r="U200" i="91"/>
  <c r="U26" i="91"/>
  <c r="R18" i="91"/>
  <c r="T210" i="103" l="1"/>
  <c r="S186" i="91"/>
  <c r="T186" i="91" s="1"/>
  <c r="U186" i="91" s="1"/>
  <c r="W161" i="103"/>
  <c r="V161" i="103"/>
  <c r="V159" i="103"/>
  <c r="W159" i="103"/>
  <c r="W172" i="103"/>
  <c r="V150" i="103"/>
  <c r="V172" i="103"/>
  <c r="Q191" i="91"/>
  <c r="Q144" i="91"/>
  <c r="BO25" i="91"/>
  <c r="BO110" i="91"/>
  <c r="BO111" i="91"/>
  <c r="BO11" i="91"/>
  <c r="BO118" i="91"/>
  <c r="R168" i="91"/>
  <c r="S165" i="91"/>
  <c r="R166" i="91"/>
  <c r="R184" i="91"/>
  <c r="R189" i="91"/>
  <c r="T184" i="91"/>
  <c r="S184" i="91"/>
  <c r="S182" i="91"/>
  <c r="R187" i="91"/>
  <c r="R191" i="91" s="1"/>
  <c r="M62" i="8"/>
  <c r="M64" i="8" s="1"/>
  <c r="M55" i="8"/>
  <c r="N3" i="2"/>
  <c r="N8" i="2" s="1"/>
  <c r="N17" i="2" s="1"/>
  <c r="N40" i="2" s="1"/>
  <c r="O57" i="8"/>
  <c r="O58" i="8" s="1"/>
  <c r="P62" i="8"/>
  <c r="P64" i="8" s="1"/>
  <c r="P55" i="8"/>
  <c r="T2" i="91"/>
  <c r="S2" i="92"/>
  <c r="BM34" i="92"/>
  <c r="BM79" i="92"/>
  <c r="BM35" i="92"/>
  <c r="BV102" i="103"/>
  <c r="BV232" i="103"/>
  <c r="BY212" i="103"/>
  <c r="T255" i="103"/>
  <c r="T233" i="103"/>
  <c r="BY255" i="103"/>
  <c r="BX257" i="103"/>
  <c r="BX229" i="103"/>
  <c r="BX196" i="103" s="1"/>
  <c r="BX258" i="103"/>
  <c r="BW233" i="103"/>
  <c r="BR64" i="92"/>
  <c r="BR30" i="92" s="1"/>
  <c r="U87" i="103"/>
  <c r="U88" i="103" s="1"/>
  <c r="U72" i="103" s="1"/>
  <c r="BV212" i="103"/>
  <c r="BU37" i="103"/>
  <c r="BU38" i="103" s="1"/>
  <c r="U43" i="103"/>
  <c r="U74" i="103" s="1"/>
  <c r="V195" i="103"/>
  <c r="W389" i="103"/>
  <c r="V351" i="103"/>
  <c r="V353" i="103" s="1"/>
  <c r="V346" i="103" s="1"/>
  <c r="CD390" i="103"/>
  <c r="V390" i="103" s="1"/>
  <c r="W390" i="103" s="1"/>
  <c r="X390" i="103" s="1"/>
  <c r="Y390" i="103" s="1"/>
  <c r="CD351" i="103"/>
  <c r="CD353" i="103" s="1"/>
  <c r="CD346" i="103" s="1"/>
  <c r="CD325" i="103" s="1"/>
  <c r="V325" i="103" s="1"/>
  <c r="BU348" i="103"/>
  <c r="BU7" i="103"/>
  <c r="W377" i="103"/>
  <c r="X377" i="103" s="1"/>
  <c r="Y377" i="103" s="1"/>
  <c r="T96" i="103"/>
  <c r="T356" i="103" s="1"/>
  <c r="BW96" i="103"/>
  <c r="BV356" i="103"/>
  <c r="BV358" i="103" s="1"/>
  <c r="BV347" i="103" s="1"/>
  <c r="BV326" i="103" s="1"/>
  <c r="T326" i="103" s="1"/>
  <c r="BT348" i="103"/>
  <c r="BT7" i="103"/>
  <c r="R29" i="92"/>
  <c r="R64" i="92"/>
  <c r="BU155" i="103"/>
  <c r="BU4" i="103"/>
  <c r="BV155" i="103"/>
  <c r="BV4" i="103"/>
  <c r="BZ74" i="103"/>
  <c r="BZ45" i="103"/>
  <c r="T62" i="103"/>
  <c r="T61" i="103"/>
  <c r="T58" i="103"/>
  <c r="T57" i="103" s="1"/>
  <c r="Y343" i="103"/>
  <c r="Y52" i="103" s="1"/>
  <c r="CA297" i="103"/>
  <c r="CA300" i="103"/>
  <c r="CA299" i="103"/>
  <c r="CA282" i="103"/>
  <c r="CA51" i="103"/>
  <c r="CA44" i="103" s="1"/>
  <c r="CA290" i="103"/>
  <c r="BZ275" i="103"/>
  <c r="BZ6" i="103"/>
  <c r="U151" i="103"/>
  <c r="BX46" i="103"/>
  <c r="BX12" i="103"/>
  <c r="U291" i="103"/>
  <c r="BS38" i="103"/>
  <c r="BU105" i="103"/>
  <c r="BU102" i="103"/>
  <c r="BZ285" i="103"/>
  <c r="U285" i="103" s="1"/>
  <c r="BZ284" i="103"/>
  <c r="V50" i="103"/>
  <c r="V208" i="103"/>
  <c r="V209" i="103"/>
  <c r="W221" i="103"/>
  <c r="U219" i="103"/>
  <c r="U211" i="103" s="1"/>
  <c r="Y338" i="103"/>
  <c r="BS104" i="103"/>
  <c r="BS16" i="103"/>
  <c r="T15" i="103"/>
  <c r="BW221" i="103"/>
  <c r="BW222" i="103"/>
  <c r="BW50" i="103"/>
  <c r="BW53" i="103" s="1"/>
  <c r="BW208" i="103"/>
  <c r="BW209" i="103"/>
  <c r="BX222" i="103"/>
  <c r="BW210" i="103"/>
  <c r="X53" i="103"/>
  <c r="BS232" i="103"/>
  <c r="BT236" i="103" s="1"/>
  <c r="BS5" i="103"/>
  <c r="BU212" i="103"/>
  <c r="CA221" i="103"/>
  <c r="BZ53" i="103"/>
  <c r="CB296" i="103"/>
  <c r="CB289" i="103" s="1"/>
  <c r="CC294" i="103"/>
  <c r="CB70" i="103"/>
  <c r="BW211" i="103"/>
  <c r="U61" i="103"/>
  <c r="U62" i="103"/>
  <c r="U58" i="103"/>
  <c r="U57" i="103" s="1"/>
  <c r="BT132" i="103"/>
  <c r="BT133" i="103" s="1"/>
  <c r="BT116" i="103"/>
  <c r="T116" i="103" s="1"/>
  <c r="T154" i="103" s="1"/>
  <c r="CA87" i="103"/>
  <c r="CA88" i="103" s="1"/>
  <c r="CA72" i="103" s="1"/>
  <c r="CA43" i="103" s="1"/>
  <c r="CB78" i="103"/>
  <c r="BX131" i="103"/>
  <c r="BX115" i="103"/>
  <c r="BX140" i="103"/>
  <c r="V62" i="103"/>
  <c r="V58" i="103"/>
  <c r="V57" i="103" s="1"/>
  <c r="W57" i="103" s="1"/>
  <c r="V61" i="103"/>
  <c r="U92" i="103"/>
  <c r="U73" i="103"/>
  <c r="U308" i="103"/>
  <c r="U320" i="103"/>
  <c r="U274" i="103"/>
  <c r="W369" i="103"/>
  <c r="W371" i="103"/>
  <c r="X371" i="103" s="1"/>
  <c r="Y371" i="103" s="1"/>
  <c r="W373" i="103"/>
  <c r="W103" i="103"/>
  <c r="BW13" i="103"/>
  <c r="BW15" i="103"/>
  <c r="T50" i="103"/>
  <c r="T53" i="103" s="1"/>
  <c r="T103" i="103" s="1"/>
  <c r="T208" i="103"/>
  <c r="T209" i="103"/>
  <c r="T231" i="103"/>
  <c r="BS212" i="103"/>
  <c r="X177" i="103"/>
  <c r="W178" i="103"/>
  <c r="W137" i="103" s="1"/>
  <c r="T263" i="103"/>
  <c r="T199" i="103"/>
  <c r="CA212" i="103"/>
  <c r="BY54" i="103"/>
  <c r="CA289" i="103"/>
  <c r="W394" i="103"/>
  <c r="V393" i="103"/>
  <c r="V91" i="103" s="1"/>
  <c r="U268" i="103"/>
  <c r="BW199" i="103"/>
  <c r="V230" i="103"/>
  <c r="BU232" i="103"/>
  <c r="BU5" i="103"/>
  <c r="CC129" i="103"/>
  <c r="CC113" i="103"/>
  <c r="V137" i="103"/>
  <c r="V129" i="103" s="1"/>
  <c r="BS155" i="103"/>
  <c r="BS4" i="103"/>
  <c r="U263" i="103"/>
  <c r="BW116" i="103"/>
  <c r="BW117" i="103" s="1"/>
  <c r="BW132" i="103"/>
  <c r="BW133" i="103" s="1"/>
  <c r="CA68" i="103"/>
  <c r="CA69" i="103" s="1"/>
  <c r="CB65" i="103"/>
  <c r="T153" i="103"/>
  <c r="BY74" i="103"/>
  <c r="BY45" i="103"/>
  <c r="W368" i="103"/>
  <c r="V211" i="103"/>
  <c r="BY286" i="103"/>
  <c r="BY139" i="103"/>
  <c r="U284" i="103"/>
  <c r="BZ311" i="103"/>
  <c r="BZ309" i="103"/>
  <c r="BZ312" i="103"/>
  <c r="T206" i="91"/>
  <c r="T207" i="91"/>
  <c r="T12" i="91"/>
  <c r="U207" i="91"/>
  <c r="U206" i="91"/>
  <c r="U12" i="91"/>
  <c r="R140" i="91" l="1"/>
  <c r="T165" i="91"/>
  <c r="S168" i="91"/>
  <c r="T182" i="91"/>
  <c r="S189" i="91"/>
  <c r="U182" i="91"/>
  <c r="U184" i="91"/>
  <c r="S187" i="91"/>
  <c r="S191" i="91" s="1"/>
  <c r="T189" i="91"/>
  <c r="P57" i="8"/>
  <c r="P58" i="8" s="1"/>
  <c r="O3" i="2"/>
  <c r="O8" i="2" s="1"/>
  <c r="O17" i="2" s="1"/>
  <c r="O40" i="2" s="1"/>
  <c r="N60" i="8"/>
  <c r="T2" i="92"/>
  <c r="U2" i="91"/>
  <c r="U2" i="92" s="1"/>
  <c r="BV159" i="103"/>
  <c r="BW239" i="103"/>
  <c r="BW238" i="103"/>
  <c r="BX233" i="103"/>
  <c r="BX199" i="103"/>
  <c r="T229" i="103"/>
  <c r="T254" i="103"/>
  <c r="BZ255" i="103"/>
  <c r="BY258" i="103"/>
  <c r="BY229" i="103"/>
  <c r="BY196" i="103" s="1"/>
  <c r="BY257" i="103"/>
  <c r="CA53" i="103"/>
  <c r="CA103" i="103" s="1"/>
  <c r="BT117" i="103"/>
  <c r="BT4" i="103" s="1"/>
  <c r="BT8" i="103" s="1"/>
  <c r="BT362" i="103" s="1"/>
  <c r="U45" i="103"/>
  <c r="U12" i="103" s="1"/>
  <c r="V212" i="103"/>
  <c r="BS8" i="103"/>
  <c r="BS362" i="103" s="1"/>
  <c r="V247" i="103"/>
  <c r="X389" i="103"/>
  <c r="W351" i="103"/>
  <c r="W353" i="103" s="1"/>
  <c r="W346" i="103" s="1"/>
  <c r="W325" i="103" s="1"/>
  <c r="BW356" i="103"/>
  <c r="BW358" i="103" s="1"/>
  <c r="BW347" i="103" s="1"/>
  <c r="BW326" i="103" s="1"/>
  <c r="BX96" i="103"/>
  <c r="T327" i="103"/>
  <c r="T358" i="103"/>
  <c r="BU8" i="103"/>
  <c r="BU362" i="103" s="1"/>
  <c r="BV327" i="103"/>
  <c r="BV37" i="103"/>
  <c r="S64" i="92"/>
  <c r="R30" i="92"/>
  <c r="R38" i="92"/>
  <c r="BZ103" i="103"/>
  <c r="BZ54" i="103"/>
  <c r="BZ32" i="103" s="1"/>
  <c r="U231" i="103"/>
  <c r="CA74" i="103"/>
  <c r="CA45" i="103"/>
  <c r="T232" i="103"/>
  <c r="T5" i="103"/>
  <c r="W253" i="103"/>
  <c r="X369" i="103"/>
  <c r="U311" i="103"/>
  <c r="U309" i="103"/>
  <c r="X57" i="103"/>
  <c r="W58" i="103"/>
  <c r="W60" i="103" s="1"/>
  <c r="U261" i="103"/>
  <c r="U262" i="103" s="1"/>
  <c r="U266" i="103"/>
  <c r="U267" i="103" s="1"/>
  <c r="CB300" i="103"/>
  <c r="CB299" i="103"/>
  <c r="CB297" i="103"/>
  <c r="CB282" i="103"/>
  <c r="CB51" i="103"/>
  <c r="CB290" i="103"/>
  <c r="CB291" i="103" s="1"/>
  <c r="BW103" i="103"/>
  <c r="BW54" i="103"/>
  <c r="V221" i="103"/>
  <c r="CA285" i="103"/>
  <c r="CA284" i="103"/>
  <c r="T180" i="103"/>
  <c r="T181" i="103" s="1"/>
  <c r="T189" i="103"/>
  <c r="T190" i="103" s="1"/>
  <c r="BZ46" i="103"/>
  <c r="BZ12" i="103"/>
  <c r="BY131" i="103"/>
  <c r="BY115" i="103"/>
  <c r="BY140" i="103"/>
  <c r="W393" i="103"/>
  <c r="W91" i="103" s="1"/>
  <c r="W93" i="103" s="1"/>
  <c r="W73" i="103" s="1"/>
  <c r="X394" i="103"/>
  <c r="BW155" i="103"/>
  <c r="BW118" i="103"/>
  <c r="BW4" i="103"/>
  <c r="W245" i="103"/>
  <c r="W247" i="103" s="1"/>
  <c r="X373" i="103"/>
  <c r="X368" i="103"/>
  <c r="W372" i="103"/>
  <c r="T117" i="103"/>
  <c r="V113" i="103"/>
  <c r="BU236" i="103"/>
  <c r="T230" i="103"/>
  <c r="T212" i="103"/>
  <c r="V266" i="103"/>
  <c r="V267" i="103" s="1"/>
  <c r="W267" i="103" s="1"/>
  <c r="X267" i="103" s="1"/>
  <c r="Y267" i="103" s="1"/>
  <c r="V261" i="103"/>
  <c r="V262" i="103" s="1"/>
  <c r="W262" i="103" s="1"/>
  <c r="X262" i="103" s="1"/>
  <c r="Y262" i="103" s="1"/>
  <c r="BV236" i="103"/>
  <c r="U189" i="103"/>
  <c r="U190" i="103" s="1"/>
  <c r="U180" i="103"/>
  <c r="U181" i="103" s="1"/>
  <c r="BS105" i="103"/>
  <c r="BS102" i="103"/>
  <c r="T104" i="103"/>
  <c r="BZ286" i="103"/>
  <c r="U286" i="103" s="1"/>
  <c r="BZ139" i="103"/>
  <c r="BX13" i="103"/>
  <c r="BX15" i="103"/>
  <c r="Y53" i="103"/>
  <c r="Y44" i="103"/>
  <c r="T266" i="103"/>
  <c r="T267" i="103" s="1"/>
  <c r="T261" i="103"/>
  <c r="T262" i="103" s="1"/>
  <c r="BY46" i="103"/>
  <c r="BY12" i="103"/>
  <c r="W129" i="103"/>
  <c r="W140" i="103"/>
  <c r="U275" i="103"/>
  <c r="U6" i="103"/>
  <c r="BX116" i="103"/>
  <c r="BX117" i="103" s="1"/>
  <c r="BX132" i="103"/>
  <c r="BX133" i="103" s="1"/>
  <c r="CC296" i="103"/>
  <c r="CD294" i="103"/>
  <c r="V294" i="103" s="1"/>
  <c r="CC70" i="103"/>
  <c r="CB68" i="103"/>
  <c r="CB69" i="103" s="1"/>
  <c r="CC65" i="103"/>
  <c r="U230" i="103"/>
  <c r="BW200" i="103"/>
  <c r="BW232" i="103"/>
  <c r="BW5" i="103"/>
  <c r="CA291" i="103"/>
  <c r="Y177" i="103"/>
  <c r="Y178" i="103" s="1"/>
  <c r="Y137" i="103" s="1"/>
  <c r="X178" i="103"/>
  <c r="X137" i="103" s="1"/>
  <c r="BW104" i="103"/>
  <c r="CA104" i="103" s="1"/>
  <c r="BW16" i="103"/>
  <c r="U319" i="103"/>
  <c r="U321" i="103"/>
  <c r="U306" i="103"/>
  <c r="V189" i="103"/>
  <c r="V190" i="103" s="1"/>
  <c r="W190" i="103" s="1"/>
  <c r="X190" i="103" s="1"/>
  <c r="Y190" i="103" s="1"/>
  <c r="V180" i="103"/>
  <c r="CB87" i="103"/>
  <c r="CB88" i="103" s="1"/>
  <c r="CB72" i="103" s="1"/>
  <c r="CB43" i="103" s="1"/>
  <c r="CC78" i="103"/>
  <c r="X103" i="103"/>
  <c r="X54" i="103"/>
  <c r="X32" i="103" s="1"/>
  <c r="T55" i="91" s="1"/>
  <c r="BW212" i="103"/>
  <c r="U221" i="103"/>
  <c r="U50" i="103"/>
  <c r="U53" i="103" s="1"/>
  <c r="U208" i="103"/>
  <c r="U209" i="103"/>
  <c r="U210" i="103"/>
  <c r="S140" i="91" l="1"/>
  <c r="S131" i="91"/>
  <c r="S133" i="91" s="1"/>
  <c r="S105" i="91" s="1"/>
  <c r="U165" i="91"/>
  <c r="U168" i="91" s="1"/>
  <c r="T168" i="91"/>
  <c r="T187" i="91"/>
  <c r="T191" i="91" s="1"/>
  <c r="O60" i="8"/>
  <c r="Q57" i="8"/>
  <c r="P3" i="2"/>
  <c r="P8" i="2" s="1"/>
  <c r="P17" i="2" s="1"/>
  <c r="P40" i="2" s="1"/>
  <c r="U46" i="103"/>
  <c r="BT155" i="103"/>
  <c r="BT159" i="103" s="1"/>
  <c r="CA255" i="103"/>
  <c r="BZ257" i="103"/>
  <c r="BZ229" i="103"/>
  <c r="BZ196" i="103" s="1"/>
  <c r="U196" i="103" s="1"/>
  <c r="BZ258" i="103"/>
  <c r="BX239" i="103"/>
  <c r="BX238" i="103"/>
  <c r="BY233" i="103"/>
  <c r="BY199" i="103"/>
  <c r="BX200" i="103"/>
  <c r="BX5" i="103"/>
  <c r="BX232" i="103"/>
  <c r="BX235" i="103" s="1"/>
  <c r="CA54" i="103"/>
  <c r="CA32" i="103" s="1"/>
  <c r="BO55" i="91" s="1"/>
  <c r="BO48" i="91" s="1"/>
  <c r="BO38" i="92"/>
  <c r="BP38" i="92" s="1"/>
  <c r="BQ38" i="92" s="1"/>
  <c r="R50" i="8"/>
  <c r="R52" i="8" s="1"/>
  <c r="V249" i="103"/>
  <c r="V246" i="103"/>
  <c r="V228" i="103"/>
  <c r="X351" i="103"/>
  <c r="X353" i="103" s="1"/>
  <c r="X346" i="103" s="1"/>
  <c r="X325" i="103" s="1"/>
  <c r="Y389" i="103"/>
  <c r="Y351" i="103" s="1"/>
  <c r="Y353" i="103" s="1"/>
  <c r="Y346" i="103" s="1"/>
  <c r="Y325" i="103" s="1"/>
  <c r="BV348" i="103"/>
  <c r="BV7" i="103"/>
  <c r="BV8" i="103" s="1"/>
  <c r="BV362" i="103" s="1"/>
  <c r="T347" i="103"/>
  <c r="T357" i="103"/>
  <c r="T348" i="103"/>
  <c r="T7" i="103"/>
  <c r="BX356" i="103"/>
  <c r="BX358" i="103" s="1"/>
  <c r="BX347" i="103" s="1"/>
  <c r="BX326" i="103" s="1"/>
  <c r="BY96" i="103"/>
  <c r="BV38" i="103"/>
  <c r="T37" i="103"/>
  <c r="T38" i="103" s="1"/>
  <c r="BW327" i="103"/>
  <c r="BW37" i="103"/>
  <c r="BW38" i="103" s="1"/>
  <c r="T64" i="92"/>
  <c r="S30" i="92"/>
  <c r="CB74" i="103"/>
  <c r="Y129" i="103"/>
  <c r="Y140" i="103"/>
  <c r="BZ131" i="103"/>
  <c r="BZ115" i="103"/>
  <c r="U115" i="103" s="1"/>
  <c r="BZ140" i="103"/>
  <c r="BY132" i="103"/>
  <c r="BY133" i="103" s="1"/>
  <c r="BY116" i="103"/>
  <c r="BY117" i="103" s="1"/>
  <c r="Y57" i="103"/>
  <c r="Y58" i="103" s="1"/>
  <c r="Y60" i="103" s="1"/>
  <c r="X58" i="103"/>
  <c r="X60" i="103" s="1"/>
  <c r="BW105" i="103"/>
  <c r="CA15" i="103"/>
  <c r="BW102" i="103"/>
  <c r="V296" i="103"/>
  <c r="CD296" i="103"/>
  <c r="CD289" i="103" s="1"/>
  <c r="CD70" i="103"/>
  <c r="V70" i="103" s="1"/>
  <c r="BX104" i="103"/>
  <c r="CB104" i="103" s="1"/>
  <c r="BX16" i="103"/>
  <c r="T102" i="103"/>
  <c r="U139" i="103"/>
  <c r="U131" i="103" s="1"/>
  <c r="CB285" i="103"/>
  <c r="CB284" i="103"/>
  <c r="CA46" i="103"/>
  <c r="CA12" i="103"/>
  <c r="W132" i="103"/>
  <c r="W133" i="103" s="1"/>
  <c r="BY13" i="103"/>
  <c r="BY15" i="103"/>
  <c r="W249" i="103"/>
  <c r="W228" i="103"/>
  <c r="W195" i="103" s="1"/>
  <c r="U212" i="103"/>
  <c r="X129" i="103"/>
  <c r="X140" i="103"/>
  <c r="BW235" i="103"/>
  <c r="BW236" i="103"/>
  <c r="CD65" i="103"/>
  <c r="CC68" i="103"/>
  <c r="CC69" i="103" s="1"/>
  <c r="V84" i="103"/>
  <c r="W84" i="103" s="1"/>
  <c r="X84" i="103" s="1"/>
  <c r="Y84" i="103" s="1"/>
  <c r="V85" i="103"/>
  <c r="W85" i="103" s="1"/>
  <c r="X85" i="103" s="1"/>
  <c r="Y85" i="103" s="1"/>
  <c r="V83" i="103"/>
  <c r="V93" i="103"/>
  <c r="V79" i="103"/>
  <c r="W79" i="103" s="1"/>
  <c r="X79" i="103" s="1"/>
  <c r="Y79" i="103" s="1"/>
  <c r="V80" i="103"/>
  <c r="W80" i="103" s="1"/>
  <c r="X80" i="103" s="1"/>
  <c r="Y80" i="103" s="1"/>
  <c r="CC299" i="103"/>
  <c r="CC282" i="103"/>
  <c r="CC300" i="103"/>
  <c r="CC297" i="103"/>
  <c r="CC51" i="103"/>
  <c r="CC290" i="103"/>
  <c r="T155" i="103"/>
  <c r="T4" i="103"/>
  <c r="X245" i="103"/>
  <c r="X247" i="103" s="1"/>
  <c r="Y373" i="103"/>
  <c r="Y245" i="103" s="1"/>
  <c r="Y247" i="103" s="1"/>
  <c r="BW159" i="103"/>
  <c r="BW161" i="103"/>
  <c r="BW158" i="103"/>
  <c r="CA286" i="103"/>
  <c r="CA139" i="103"/>
  <c r="W62" i="103"/>
  <c r="W61" i="103"/>
  <c r="W42" i="103"/>
  <c r="X253" i="103"/>
  <c r="Y369" i="103"/>
  <c r="Y253" i="103" s="1"/>
  <c r="U103" i="103"/>
  <c r="U54" i="103"/>
  <c r="X393" i="103"/>
  <c r="X91" i="103" s="1"/>
  <c r="X93" i="103" s="1"/>
  <c r="X73" i="103" s="1"/>
  <c r="Y394" i="103"/>
  <c r="Y393" i="103" s="1"/>
  <c r="Y91" i="103" s="1"/>
  <c r="Y93" i="103" s="1"/>
  <c r="Y73" i="103" s="1"/>
  <c r="CC87" i="103"/>
  <c r="CC88" i="103" s="1"/>
  <c r="CC72" i="103" s="1"/>
  <c r="CC43" i="103" s="1"/>
  <c r="CD78" i="103"/>
  <c r="CD87" i="103" s="1"/>
  <c r="CD88" i="103" s="1"/>
  <c r="CD72" i="103" s="1"/>
  <c r="CC289" i="103"/>
  <c r="BX118" i="103"/>
  <c r="BX155" i="103"/>
  <c r="BX4" i="103"/>
  <c r="Y103" i="103"/>
  <c r="Y54" i="103"/>
  <c r="Y32" i="103" s="1"/>
  <c r="U55" i="91" s="1"/>
  <c r="V182" i="103"/>
  <c r="Y368" i="103"/>
  <c r="X372" i="103"/>
  <c r="CB44" i="103"/>
  <c r="CB45" i="103" s="1"/>
  <c r="CB53" i="103"/>
  <c r="CB103" i="103" s="1"/>
  <c r="T140" i="91" l="1"/>
  <c r="S144" i="91"/>
  <c r="S143" i="91" s="1"/>
  <c r="U131" i="91"/>
  <c r="U133" i="91" s="1"/>
  <c r="U105" i="91" s="1"/>
  <c r="T131" i="91"/>
  <c r="U187" i="91"/>
  <c r="U189" i="91"/>
  <c r="P60" i="8"/>
  <c r="BU159" i="103"/>
  <c r="CC291" i="103"/>
  <c r="BX236" i="103"/>
  <c r="BY232" i="103"/>
  <c r="BY5" i="103"/>
  <c r="BY200" i="103"/>
  <c r="BY238" i="103"/>
  <c r="BY239" i="103"/>
  <c r="BZ233" i="103"/>
  <c r="BZ199" i="103"/>
  <c r="U255" i="103"/>
  <c r="U233" i="103"/>
  <c r="U238" i="103" s="1"/>
  <c r="U199" i="103"/>
  <c r="CB255" i="103"/>
  <c r="CA257" i="103"/>
  <c r="CA258" i="103"/>
  <c r="CA229" i="103"/>
  <c r="CA196" i="103" s="1"/>
  <c r="CB318" i="103"/>
  <c r="CB320" i="103" s="1"/>
  <c r="CD318" i="103"/>
  <c r="CD320" i="103" s="1"/>
  <c r="W385" i="103"/>
  <c r="X385" i="103" s="1"/>
  <c r="Y385" i="103" s="1"/>
  <c r="CC318" i="103"/>
  <c r="CC320" i="103" s="1"/>
  <c r="W386" i="103"/>
  <c r="X386" i="103" s="1"/>
  <c r="Y386" i="103" s="1"/>
  <c r="W382" i="103"/>
  <c r="X382" i="103" s="1"/>
  <c r="Y382" i="103" s="1"/>
  <c r="CA318" i="103"/>
  <c r="CA320" i="103" s="1"/>
  <c r="BX327" i="103"/>
  <c r="BX37" i="103"/>
  <c r="Y372" i="103"/>
  <c r="BW348" i="103"/>
  <c r="BW328" i="103"/>
  <c r="BW7" i="103"/>
  <c r="BW8" i="103" s="1"/>
  <c r="BW362" i="103" s="1"/>
  <c r="BW363" i="103" s="1"/>
  <c r="BY356" i="103"/>
  <c r="BY358" i="103" s="1"/>
  <c r="BY347" i="103" s="1"/>
  <c r="BY326" i="103" s="1"/>
  <c r="BZ96" i="103"/>
  <c r="T362" i="103"/>
  <c r="T8" i="103" s="1"/>
  <c r="T9" i="103" s="1"/>
  <c r="BR38" i="92"/>
  <c r="U64" i="92"/>
  <c r="U30" i="92" s="1"/>
  <c r="T30" i="92"/>
  <c r="CC74" i="103"/>
  <c r="CB54" i="103"/>
  <c r="CB32" i="103" s="1"/>
  <c r="BY155" i="103"/>
  <c r="BY118" i="103"/>
  <c r="BY4" i="103"/>
  <c r="CA115" i="103"/>
  <c r="CA131" i="103"/>
  <c r="CA140" i="103"/>
  <c r="X249" i="103"/>
  <c r="X228" i="103"/>
  <c r="X195" i="103" s="1"/>
  <c r="CB286" i="103"/>
  <c r="CB139" i="103"/>
  <c r="V297" i="103"/>
  <c r="V299" i="103"/>
  <c r="V282" i="103"/>
  <c r="V51" i="103"/>
  <c r="V53" i="103" s="1"/>
  <c r="W299" i="103"/>
  <c r="V290" i="103"/>
  <c r="BZ132" i="103"/>
  <c r="BZ133" i="103" s="1"/>
  <c r="BZ116" i="103"/>
  <c r="U116" i="103" s="1"/>
  <c r="V181" i="103"/>
  <c r="W181" i="103" s="1"/>
  <c r="X181" i="103" s="1"/>
  <c r="Y181" i="103" s="1"/>
  <c r="V151" i="103"/>
  <c r="CC284" i="103"/>
  <c r="CC285" i="103"/>
  <c r="V92" i="103"/>
  <c r="V73" i="103"/>
  <c r="V78" i="103"/>
  <c r="BX105" i="103"/>
  <c r="BX102" i="103"/>
  <c r="CD300" i="103"/>
  <c r="CD282" i="103"/>
  <c r="CD299" i="103"/>
  <c r="CD297" i="103"/>
  <c r="CD51" i="103"/>
  <c r="CD290" i="103"/>
  <c r="CD291" i="103" s="1"/>
  <c r="U140" i="103"/>
  <c r="U132" i="103" s="1"/>
  <c r="Y132" i="103"/>
  <c r="BX159" i="103"/>
  <c r="BX158" i="103"/>
  <c r="BX161" i="103"/>
  <c r="W180" i="103"/>
  <c r="W189" i="103"/>
  <c r="W191" i="103" s="1"/>
  <c r="W152" i="103" s="1"/>
  <c r="W114" i="103" s="1"/>
  <c r="CC44" i="103"/>
  <c r="CC45" i="103" s="1"/>
  <c r="CC53" i="103"/>
  <c r="CD68" i="103"/>
  <c r="CD69" i="103" s="1"/>
  <c r="V65" i="103"/>
  <c r="X132" i="103"/>
  <c r="X133" i="103" s="1"/>
  <c r="X62" i="103"/>
  <c r="X61" i="103"/>
  <c r="X42" i="103"/>
  <c r="CB46" i="103"/>
  <c r="CB12" i="103"/>
  <c r="U153" i="103"/>
  <c r="W266" i="103"/>
  <c r="W268" i="103" s="1"/>
  <c r="W231" i="103" s="1"/>
  <c r="W198" i="103" s="1"/>
  <c r="W261" i="103"/>
  <c r="W263" i="103" s="1"/>
  <c r="W230" i="103" s="1"/>
  <c r="W197" i="103" s="1"/>
  <c r="Y228" i="103"/>
  <c r="Y195" i="103" s="1"/>
  <c r="Y249" i="103"/>
  <c r="BY104" i="103"/>
  <c r="CC104" i="103" s="1"/>
  <c r="BY16" i="103"/>
  <c r="U133" i="103"/>
  <c r="CD43" i="103"/>
  <c r="V43" i="103" s="1"/>
  <c r="V289" i="103"/>
  <c r="CA102" i="103"/>
  <c r="Y61" i="103"/>
  <c r="Y62" i="103"/>
  <c r="Y42" i="103"/>
  <c r="Y133" i="103"/>
  <c r="U191" i="91" l="1"/>
  <c r="U140" i="91"/>
  <c r="U144" i="91" s="1"/>
  <c r="U143" i="91" s="1"/>
  <c r="T133" i="91"/>
  <c r="T105" i="91" s="1"/>
  <c r="T144" i="91"/>
  <c r="T143" i="91" s="1"/>
  <c r="U154" i="103"/>
  <c r="V291" i="103"/>
  <c r="U257" i="103"/>
  <c r="U229" i="103"/>
  <c r="U254" i="103"/>
  <c r="CC255" i="103"/>
  <c r="CB257" i="103"/>
  <c r="CB258" i="103"/>
  <c r="CB229" i="103"/>
  <c r="CB196" i="103" s="1"/>
  <c r="BZ5" i="103"/>
  <c r="BZ232" i="103"/>
  <c r="BZ200" i="103"/>
  <c r="CA233" i="103"/>
  <c r="CA199" i="103"/>
  <c r="U232" i="103"/>
  <c r="U235" i="103" s="1"/>
  <c r="U200" i="103"/>
  <c r="U5" i="103"/>
  <c r="BZ239" i="103"/>
  <c r="BZ238" i="103"/>
  <c r="BY236" i="103"/>
  <c r="BY235" i="103"/>
  <c r="W182" i="103"/>
  <c r="W381" i="103"/>
  <c r="V318" i="103"/>
  <c r="CB306" i="103"/>
  <c r="CB272" i="103" s="1"/>
  <c r="CB321" i="103"/>
  <c r="CA306" i="103"/>
  <c r="CA272" i="103" s="1"/>
  <c r="CA321" i="103"/>
  <c r="CD321" i="103"/>
  <c r="CD306" i="103"/>
  <c r="CD272" i="103" s="1"/>
  <c r="CC321" i="103"/>
  <c r="CC306" i="103"/>
  <c r="CC272" i="103" s="1"/>
  <c r="T108" i="103"/>
  <c r="T19" i="103"/>
  <c r="T25" i="103"/>
  <c r="T105" i="103"/>
  <c r="T10" i="103"/>
  <c r="T13" i="103"/>
  <c r="T21" i="103"/>
  <c r="T27" i="103" s="1"/>
  <c r="T28" i="103" s="1"/>
  <c r="T16" i="103"/>
  <c r="BZ356" i="103"/>
  <c r="BZ358" i="103" s="1"/>
  <c r="BZ347" i="103" s="1"/>
  <c r="BZ326" i="103" s="1"/>
  <c r="CA96" i="103"/>
  <c r="U96" i="103"/>
  <c r="U356" i="103" s="1"/>
  <c r="BX38" i="103"/>
  <c r="BY37" i="103"/>
  <c r="BY38" i="103" s="1"/>
  <c r="BY327" i="103"/>
  <c r="BX348" i="103"/>
  <c r="BX7" i="103"/>
  <c r="BX8" i="103" s="1"/>
  <c r="BX362" i="103" s="1"/>
  <c r="BX328" i="103"/>
  <c r="CC46" i="103"/>
  <c r="CC12" i="103"/>
  <c r="CD44" i="103"/>
  <c r="V44" i="103" s="1"/>
  <c r="V45" i="103" s="1"/>
  <c r="CD53" i="103"/>
  <c r="Y261" i="103"/>
  <c r="Y263" i="103" s="1"/>
  <c r="Y230" i="103" s="1"/>
  <c r="Y197" i="103" s="1"/>
  <c r="Y266" i="103"/>
  <c r="Y268" i="103" s="1"/>
  <c r="Y231" i="103" s="1"/>
  <c r="Y198" i="103" s="1"/>
  <c r="CD74" i="103"/>
  <c r="X266" i="103"/>
  <c r="X268" i="103" s="1"/>
  <c r="X231" i="103" s="1"/>
  <c r="X198" i="103" s="1"/>
  <c r="X261" i="103"/>
  <c r="X263" i="103" s="1"/>
  <c r="X230" i="103" s="1"/>
  <c r="X197" i="103" s="1"/>
  <c r="CD284" i="103"/>
  <c r="V284" i="103" s="1"/>
  <c r="CD285" i="103"/>
  <c r="V285" i="103" s="1"/>
  <c r="CB131" i="103"/>
  <c r="CB115" i="103"/>
  <c r="CB140" i="103"/>
  <c r="CA116" i="103"/>
  <c r="CA117" i="103" s="1"/>
  <c r="CA132" i="103"/>
  <c r="CA133" i="103" s="1"/>
  <c r="BZ117" i="103"/>
  <c r="BY105" i="103"/>
  <c r="BY102" i="103"/>
  <c r="U117" i="103"/>
  <c r="CC103" i="103"/>
  <c r="CC54" i="103"/>
  <c r="CC32" i="103" s="1"/>
  <c r="BQ55" i="91" s="1"/>
  <c r="BQ48" i="91" s="1"/>
  <c r="V103" i="103"/>
  <c r="V54" i="103"/>
  <c r="W54" i="103"/>
  <c r="W32" i="103" s="1"/>
  <c r="S55" i="91" s="1"/>
  <c r="BY161" i="103"/>
  <c r="BY158" i="103"/>
  <c r="BY159" i="103"/>
  <c r="Y189" i="103"/>
  <c r="Y191" i="103" s="1"/>
  <c r="Y152" i="103" s="1"/>
  <c r="Y114" i="103" s="1"/>
  <c r="Y180" i="103"/>
  <c r="Y182" i="103" s="1"/>
  <c r="Y151" i="103" s="1"/>
  <c r="Y113" i="103" s="1"/>
  <c r="X180" i="103"/>
  <c r="X182" i="103" s="1"/>
  <c r="X151" i="103" s="1"/>
  <c r="X113" i="103" s="1"/>
  <c r="X189" i="103"/>
  <c r="X191" i="103" s="1"/>
  <c r="X152" i="103" s="1"/>
  <c r="X114" i="103" s="1"/>
  <c r="W65" i="103"/>
  <c r="V68" i="103"/>
  <c r="V69" i="103" s="1"/>
  <c r="CB102" i="103"/>
  <c r="CB15" i="103"/>
  <c r="V87" i="103"/>
  <c r="V88" i="103" s="1"/>
  <c r="V72" i="103" s="1"/>
  <c r="W78" i="103"/>
  <c r="CC286" i="103"/>
  <c r="CC139" i="103"/>
  <c r="BP55" i="91"/>
  <c r="BP48" i="91" s="1"/>
  <c r="W151" i="103" l="1"/>
  <c r="W113" i="103" s="1"/>
  <c r="CD45" i="103"/>
  <c r="CD12" i="103" s="1"/>
  <c r="CA232" i="103"/>
  <c r="CA5" i="103"/>
  <c r="CA200" i="103"/>
  <c r="CD255" i="103"/>
  <c r="CC229" i="103"/>
  <c r="CC196" i="103" s="1"/>
  <c r="CC258" i="103"/>
  <c r="CC257" i="103"/>
  <c r="CA238" i="103"/>
  <c r="CA239" i="103"/>
  <c r="CB233" i="103"/>
  <c r="CB199" i="103"/>
  <c r="BZ236" i="103"/>
  <c r="BZ235" i="103"/>
  <c r="T22" i="103"/>
  <c r="CD308" i="103"/>
  <c r="CD274" i="103"/>
  <c r="CB308" i="103"/>
  <c r="CB274" i="103"/>
  <c r="CC274" i="103"/>
  <c r="CC308" i="103"/>
  <c r="CA308" i="103"/>
  <c r="CA274" i="103"/>
  <c r="V272" i="103"/>
  <c r="X381" i="103"/>
  <c r="W318" i="103"/>
  <c r="BY348" i="103"/>
  <c r="BY328" i="103"/>
  <c r="BY7" i="103"/>
  <c r="BY8" i="103" s="1"/>
  <c r="BY362" i="103" s="1"/>
  <c r="BY363" i="103" s="1"/>
  <c r="BX363" i="103"/>
  <c r="CA356" i="103"/>
  <c r="CA358" i="103" s="1"/>
  <c r="CA347" i="103" s="1"/>
  <c r="CA326" i="103" s="1"/>
  <c r="CB96" i="103"/>
  <c r="BZ327" i="103"/>
  <c r="BZ37" i="103"/>
  <c r="U37" i="103" s="1"/>
  <c r="U326" i="103"/>
  <c r="BZ155" i="103"/>
  <c r="BZ118" i="103"/>
  <c r="BZ4" i="103"/>
  <c r="CC131" i="103"/>
  <c r="CC115" i="103"/>
  <c r="CC140" i="103"/>
  <c r="CB116" i="103"/>
  <c r="CB117" i="103" s="1"/>
  <c r="CB132" i="103"/>
  <c r="CB133" i="103" s="1"/>
  <c r="CC102" i="103"/>
  <c r="CC15" i="103"/>
  <c r="V12" i="103"/>
  <c r="V46" i="103"/>
  <c r="CD103" i="103"/>
  <c r="CD54" i="103"/>
  <c r="CD32" i="103" s="1"/>
  <c r="W87" i="103"/>
  <c r="W88" i="103" s="1"/>
  <c r="W72" i="103" s="1"/>
  <c r="W43" i="103" s="1"/>
  <c r="X78" i="103"/>
  <c r="CA155" i="103"/>
  <c r="CA118" i="103"/>
  <c r="CA362" i="103" s="1"/>
  <c r="CA4" i="103"/>
  <c r="W68" i="103"/>
  <c r="W69" i="103" s="1"/>
  <c r="X65" i="103"/>
  <c r="U118" i="103"/>
  <c r="U155" i="103"/>
  <c r="U158" i="103" s="1"/>
  <c r="U4" i="103"/>
  <c r="V74" i="103"/>
  <c r="CD286" i="103"/>
  <c r="V286" i="103" s="1"/>
  <c r="CD139" i="103"/>
  <c r="CD46" i="103" l="1"/>
  <c r="CD229" i="103"/>
  <c r="CD196" i="103" s="1"/>
  <c r="V196" i="103" s="1"/>
  <c r="CD258" i="103"/>
  <c r="CD257" i="103"/>
  <c r="CB232" i="103"/>
  <c r="CB235" i="103" s="1"/>
  <c r="CB200" i="103"/>
  <c r="CB5" i="103"/>
  <c r="CB239" i="103"/>
  <c r="CB238" i="103"/>
  <c r="CC233" i="103"/>
  <c r="CC199" i="103"/>
  <c r="CA236" i="103"/>
  <c r="CA235" i="103"/>
  <c r="V308" i="103"/>
  <c r="V274" i="103"/>
  <c r="V320" i="103"/>
  <c r="CC6" i="103"/>
  <c r="CC275" i="103"/>
  <c r="CD311" i="103"/>
  <c r="CD309" i="103"/>
  <c r="CD312" i="103"/>
  <c r="CA275" i="103"/>
  <c r="CA6" i="103"/>
  <c r="CB275" i="103"/>
  <c r="CB6" i="103"/>
  <c r="CA312" i="103"/>
  <c r="CA309" i="103"/>
  <c r="CA311" i="103"/>
  <c r="CB312" i="103"/>
  <c r="CB311" i="103"/>
  <c r="CB309" i="103"/>
  <c r="Y381" i="103"/>
  <c r="Y318" i="103" s="1"/>
  <c r="X318" i="103"/>
  <c r="CC309" i="103"/>
  <c r="CC312" i="103"/>
  <c r="CC311" i="103"/>
  <c r="CD275" i="103"/>
  <c r="CD6" i="103"/>
  <c r="U358" i="103"/>
  <c r="U327" i="103"/>
  <c r="CB356" i="103"/>
  <c r="CB358" i="103" s="1"/>
  <c r="CB347" i="103" s="1"/>
  <c r="CB326" i="103" s="1"/>
  <c r="CC96" i="103"/>
  <c r="BZ328" i="103"/>
  <c r="BZ348" i="103"/>
  <c r="BZ7" i="103"/>
  <c r="BZ10" i="103" s="1"/>
  <c r="BZ31" i="103" s="1"/>
  <c r="BZ34" i="103" s="1"/>
  <c r="CA327" i="103"/>
  <c r="CA37" i="103"/>
  <c r="W74" i="103"/>
  <c r="W45" i="103"/>
  <c r="X87" i="103"/>
  <c r="X88" i="103" s="1"/>
  <c r="X72" i="103" s="1"/>
  <c r="X43" i="103" s="1"/>
  <c r="Y78" i="103"/>
  <c r="Y87" i="103" s="1"/>
  <c r="Y88" i="103" s="1"/>
  <c r="Y72" i="103" s="1"/>
  <c r="Y43" i="103" s="1"/>
  <c r="CD131" i="103"/>
  <c r="CD115" i="103"/>
  <c r="V115" i="103" s="1"/>
  <c r="CD140" i="103"/>
  <c r="V140" i="103" s="1"/>
  <c r="V132" i="103" s="1"/>
  <c r="X68" i="103"/>
  <c r="X69" i="103" s="1"/>
  <c r="Y65" i="103"/>
  <c r="Y68" i="103" s="1"/>
  <c r="Y69" i="103" s="1"/>
  <c r="BR55" i="91"/>
  <c r="CC116" i="103"/>
  <c r="CC132" i="103"/>
  <c r="CC133" i="103" s="1"/>
  <c r="BZ161" i="103"/>
  <c r="BZ158" i="103"/>
  <c r="BZ159" i="103"/>
  <c r="V139" i="103"/>
  <c r="V131" i="103" s="1"/>
  <c r="CA8" i="103"/>
  <c r="CB118" i="103"/>
  <c r="CB362" i="103" s="1"/>
  <c r="CB8" i="103" s="1"/>
  <c r="CB155" i="103"/>
  <c r="CB4" i="103"/>
  <c r="CA159" i="103"/>
  <c r="CA161" i="103"/>
  <c r="CA158" i="103"/>
  <c r="CB236" i="103" l="1"/>
  <c r="V255" i="103"/>
  <c r="V199" i="103"/>
  <c r="V233" i="103"/>
  <c r="V238" i="103" s="1"/>
  <c r="CC200" i="103"/>
  <c r="CC5" i="103"/>
  <c r="CC232" i="103"/>
  <c r="CC238" i="103"/>
  <c r="CC239" i="103"/>
  <c r="CD199" i="103"/>
  <c r="CD233" i="103"/>
  <c r="BZ8" i="103"/>
  <c r="BZ362" i="103" s="1"/>
  <c r="V133" i="103"/>
  <c r="V33" i="103"/>
  <c r="R56" i="91" s="1"/>
  <c r="V311" i="103"/>
  <c r="V309" i="103"/>
  <c r="U24" i="103"/>
  <c r="V275" i="103"/>
  <c r="V6" i="103"/>
  <c r="V306" i="103"/>
  <c r="V319" i="103"/>
  <c r="W319" i="103" s="1"/>
  <c r="V321" i="103"/>
  <c r="CA7" i="103"/>
  <c r="CA9" i="103" s="1"/>
  <c r="CA25" i="103" s="1"/>
  <c r="CA348" i="103"/>
  <c r="CA328" i="103"/>
  <c r="CB327" i="103"/>
  <c r="CB37" i="103"/>
  <c r="U328" i="103"/>
  <c r="U348" i="103"/>
  <c r="U7" i="103"/>
  <c r="V32" i="103"/>
  <c r="R55" i="91" s="1"/>
  <c r="BZ13" i="103"/>
  <c r="BZ19" i="103"/>
  <c r="BZ108" i="103"/>
  <c r="CC356" i="103"/>
  <c r="CC358" i="103" s="1"/>
  <c r="CC347" i="103" s="1"/>
  <c r="CC326" i="103" s="1"/>
  <c r="CD96" i="103"/>
  <c r="CD356" i="103" s="1"/>
  <c r="CD358" i="103" s="1"/>
  <c r="CD347" i="103" s="1"/>
  <c r="CD326" i="103" s="1"/>
  <c r="U347" i="103"/>
  <c r="U357" i="103"/>
  <c r="CD132" i="103"/>
  <c r="CD133" i="103" s="1"/>
  <c r="CD116" i="103"/>
  <c r="V116" i="103" s="1"/>
  <c r="Y74" i="103"/>
  <c r="Y45" i="103"/>
  <c r="V153" i="103"/>
  <c r="W153" i="103" s="1"/>
  <c r="X74" i="103"/>
  <c r="X45" i="103"/>
  <c r="W12" i="103"/>
  <c r="W46" i="103"/>
  <c r="CC117" i="103"/>
  <c r="CB159" i="103"/>
  <c r="CB158" i="103"/>
  <c r="CB161" i="103"/>
  <c r="X319" i="103" l="1"/>
  <c r="W320" i="103"/>
  <c r="BZ363" i="103"/>
  <c r="U362" i="103"/>
  <c r="CD239" i="103"/>
  <c r="CD238" i="103"/>
  <c r="CC236" i="103"/>
  <c r="CC235" i="103"/>
  <c r="CD232" i="103"/>
  <c r="CD200" i="103"/>
  <c r="CD5" i="103"/>
  <c r="V232" i="103"/>
  <c r="V235" i="103" s="1"/>
  <c r="V5" i="103"/>
  <c r="V200" i="103"/>
  <c r="W255" i="103"/>
  <c r="V257" i="103"/>
  <c r="V254" i="103"/>
  <c r="V229" i="103"/>
  <c r="CA24" i="103"/>
  <c r="BO39" i="91" s="1"/>
  <c r="CA19" i="103"/>
  <c r="CD117" i="103"/>
  <c r="CD155" i="103" s="1"/>
  <c r="V96" i="103"/>
  <c r="W96" i="103" s="1"/>
  <c r="BN17" i="91"/>
  <c r="CA21" i="103"/>
  <c r="CA22" i="103" s="1"/>
  <c r="CA13" i="103"/>
  <c r="CA16" i="103"/>
  <c r="CA10" i="103"/>
  <c r="CA31" i="103" s="1"/>
  <c r="BO54" i="91" s="1"/>
  <c r="CA105" i="103"/>
  <c r="CA108" i="103"/>
  <c r="CD327" i="103"/>
  <c r="CD37" i="103"/>
  <c r="CC327" i="103"/>
  <c r="CC37" i="103"/>
  <c r="V326" i="103"/>
  <c r="CB348" i="103"/>
  <c r="CB328" i="103"/>
  <c r="CB7" i="103"/>
  <c r="CB9" i="103" s="1"/>
  <c r="CB25" i="103" s="1"/>
  <c r="V154" i="103"/>
  <c r="W154" i="103" s="1"/>
  <c r="V117" i="103"/>
  <c r="Y46" i="103"/>
  <c r="Y12" i="103"/>
  <c r="CC118" i="103"/>
  <c r="CC362" i="103" s="1"/>
  <c r="CC155" i="103"/>
  <c r="CC4" i="103"/>
  <c r="X46" i="103"/>
  <c r="X12" i="103"/>
  <c r="X153" i="103"/>
  <c r="W115" i="103"/>
  <c r="Y319" i="103" l="1"/>
  <c r="Y320" i="103" s="1"/>
  <c r="X320" i="103"/>
  <c r="W321" i="103"/>
  <c r="W306" i="103"/>
  <c r="W272" i="103" s="1"/>
  <c r="U363" i="103"/>
  <c r="U8" i="103"/>
  <c r="U9" i="103" s="1"/>
  <c r="U13" i="103" s="1"/>
  <c r="CD4" i="103"/>
  <c r="X255" i="103"/>
  <c r="W257" i="103"/>
  <c r="W229" i="103"/>
  <c r="W196" i="103" s="1"/>
  <c r="CD235" i="103"/>
  <c r="CD236" i="103"/>
  <c r="CD118" i="103"/>
  <c r="CD362" i="103" s="1"/>
  <c r="CD8" i="103" s="1"/>
  <c r="CB21" i="103"/>
  <c r="CB22" i="103" s="1"/>
  <c r="CA27" i="103"/>
  <c r="CA28" i="103" s="1"/>
  <c r="V37" i="103"/>
  <c r="V356" i="103"/>
  <c r="CB105" i="103"/>
  <c r="CB24" i="103"/>
  <c r="BP39" i="91" s="1"/>
  <c r="BP17" i="91" s="1"/>
  <c r="Q39" i="91"/>
  <c r="Q17" i="91" s="1"/>
  <c r="CB16" i="103"/>
  <c r="CB19" i="103"/>
  <c r="CB13" i="103"/>
  <c r="CB10" i="103"/>
  <c r="CB31" i="103" s="1"/>
  <c r="BP54" i="91" s="1"/>
  <c r="CA34" i="103"/>
  <c r="CB108" i="103"/>
  <c r="CC7" i="103"/>
  <c r="CC348" i="103"/>
  <c r="CC328" i="103"/>
  <c r="CD328" i="103"/>
  <c r="CD348" i="103"/>
  <c r="CD7" i="103"/>
  <c r="W356" i="103"/>
  <c r="X96" i="103"/>
  <c r="V358" i="103"/>
  <c r="V327" i="103"/>
  <c r="BO17" i="91"/>
  <c r="CD161" i="103"/>
  <c r="CD158" i="103"/>
  <c r="CD159" i="103"/>
  <c r="CC161" i="103"/>
  <c r="CC158" i="103"/>
  <c r="CC159" i="103"/>
  <c r="Y153" i="103"/>
  <c r="Y115" i="103" s="1"/>
  <c r="X115" i="103"/>
  <c r="CC8" i="103"/>
  <c r="BN4" i="91"/>
  <c r="Q32" i="91"/>
  <c r="BR49" i="91"/>
  <c r="BR48" i="91"/>
  <c r="V155" i="103"/>
  <c r="V158" i="103" s="1"/>
  <c r="V118" i="103"/>
  <c r="V4" i="103"/>
  <c r="BO47" i="91"/>
  <c r="BO50" i="91" s="1"/>
  <c r="BO57" i="91"/>
  <c r="BO33" i="91" s="1"/>
  <c r="BO32" i="91" s="1"/>
  <c r="X154" i="103"/>
  <c r="W116" i="103"/>
  <c r="W117" i="103" s="1"/>
  <c r="W308" i="103" l="1"/>
  <c r="W274" i="103"/>
  <c r="X306" i="103"/>
  <c r="X272" i="103" s="1"/>
  <c r="X321" i="103"/>
  <c r="Y321" i="103"/>
  <c r="Y306" i="103"/>
  <c r="Y272" i="103" s="1"/>
  <c r="W199" i="103"/>
  <c r="U10" i="103"/>
  <c r="U25" i="103"/>
  <c r="U19" i="103"/>
  <c r="U108" i="103"/>
  <c r="W233" i="103"/>
  <c r="W238" i="103" s="1"/>
  <c r="Y255" i="103"/>
  <c r="X257" i="103"/>
  <c r="X229" i="103"/>
  <c r="X196" i="103" s="1"/>
  <c r="V362" i="103"/>
  <c r="V8" i="103" s="1"/>
  <c r="CD9" i="103"/>
  <c r="CD25" i="103" s="1"/>
  <c r="CD24" i="103" s="1"/>
  <c r="BR39" i="91" s="1"/>
  <c r="BO42" i="91"/>
  <c r="BO35" i="91" s="1"/>
  <c r="BO36" i="91" s="1"/>
  <c r="CB27" i="103"/>
  <c r="BP42" i="91" s="1"/>
  <c r="Q40" i="91"/>
  <c r="CB34" i="103"/>
  <c r="BN7" i="91"/>
  <c r="CC9" i="103"/>
  <c r="CC25" i="103" s="1"/>
  <c r="Y96" i="103"/>
  <c r="Y356" i="103" s="1"/>
  <c r="X356" i="103"/>
  <c r="V328" i="103"/>
  <c r="V7" i="103"/>
  <c r="V348" i="103"/>
  <c r="V347" i="103"/>
  <c r="V357" i="103"/>
  <c r="W357" i="103" s="1"/>
  <c r="X357" i="103" s="1"/>
  <c r="Y357" i="103" s="1"/>
  <c r="W155" i="103"/>
  <c r="W118" i="103"/>
  <c r="W4" i="103"/>
  <c r="BO4" i="91"/>
  <c r="Y154" i="103"/>
  <c r="Y116" i="103" s="1"/>
  <c r="Y117" i="103" s="1"/>
  <c r="X116" i="103"/>
  <c r="X117" i="103" s="1"/>
  <c r="Q4" i="91"/>
  <c r="Q33" i="91"/>
  <c r="Q57" i="91" s="1"/>
  <c r="BO40" i="91"/>
  <c r="BO51" i="91"/>
  <c r="BP57" i="91"/>
  <c r="BP33" i="91" s="1"/>
  <c r="BP32" i="91" s="1"/>
  <c r="BP47" i="91"/>
  <c r="BP50" i="91" s="1"/>
  <c r="W309" i="103" l="1"/>
  <c r="W311" i="103"/>
  <c r="X274" i="103"/>
  <c r="X308" i="103"/>
  <c r="Y274" i="103"/>
  <c r="Y308" i="103"/>
  <c r="W6" i="103"/>
  <c r="W275" i="103"/>
  <c r="BN3" i="92"/>
  <c r="BN69" i="92" s="1"/>
  <c r="BR69" i="92" s="1"/>
  <c r="BN257" i="91"/>
  <c r="BO7" i="91"/>
  <c r="CD13" i="103"/>
  <c r="V363" i="103"/>
  <c r="CD108" i="103"/>
  <c r="CD19" i="103"/>
  <c r="CD10" i="103"/>
  <c r="CD31" i="103" s="1"/>
  <c r="CD34" i="103" s="1"/>
  <c r="X233" i="103"/>
  <c r="X238" i="103" s="1"/>
  <c r="X199" i="103"/>
  <c r="Y229" i="103"/>
  <c r="Y196" i="103" s="1"/>
  <c r="Y257" i="103"/>
  <c r="W5" i="103"/>
  <c r="W200" i="103"/>
  <c r="W232" i="103"/>
  <c r="W235" i="103" s="1"/>
  <c r="W362" i="103"/>
  <c r="W8" i="103" s="1"/>
  <c r="CC19" i="103"/>
  <c r="CC24" i="103"/>
  <c r="BQ39" i="91" s="1"/>
  <c r="BO24" i="91"/>
  <c r="BO44" i="91"/>
  <c r="BO37" i="91"/>
  <c r="BO43" i="91"/>
  <c r="BO10" i="91"/>
  <c r="CB28" i="103"/>
  <c r="CC108" i="103"/>
  <c r="V9" i="103"/>
  <c r="V10" i="103" s="1"/>
  <c r="BN8" i="91"/>
  <c r="CC10" i="103"/>
  <c r="CC31" i="103" s="1"/>
  <c r="BQ54" i="91" s="1"/>
  <c r="Q3" i="92"/>
  <c r="BN254" i="91"/>
  <c r="CC13" i="103"/>
  <c r="Q7" i="92"/>
  <c r="Q7" i="91"/>
  <c r="Q8" i="91" s="1"/>
  <c r="CC105" i="103"/>
  <c r="CC21" i="103"/>
  <c r="CC16" i="103"/>
  <c r="Y358" i="103"/>
  <c r="Y347" i="103" s="1"/>
  <c r="Y326" i="103" s="1"/>
  <c r="BP51" i="91"/>
  <c r="W358" i="103"/>
  <c r="W347" i="103" s="1"/>
  <c r="W326" i="103" s="1"/>
  <c r="X358" i="103"/>
  <c r="X347" i="103" s="1"/>
  <c r="X326" i="103" s="1"/>
  <c r="Y118" i="103"/>
  <c r="Y155" i="103"/>
  <c r="Y4" i="103"/>
  <c r="BP44" i="91"/>
  <c r="BP10" i="91"/>
  <c r="BP43" i="91"/>
  <c r="BP35" i="91"/>
  <c r="BR17" i="91"/>
  <c r="X155" i="103"/>
  <c r="X158" i="103" s="1"/>
  <c r="X118" i="103"/>
  <c r="X4" i="103"/>
  <c r="BP40" i="91"/>
  <c r="BP4" i="91"/>
  <c r="W158" i="103"/>
  <c r="X311" i="103" l="1"/>
  <c r="X309" i="103"/>
  <c r="Y309" i="103"/>
  <c r="Y311" i="103"/>
  <c r="X6" i="103"/>
  <c r="X275" i="103"/>
  <c r="Y275" i="103"/>
  <c r="Y6" i="103"/>
  <c r="BN67" i="92"/>
  <c r="Q43" i="2"/>
  <c r="Q74" i="2" s="1"/>
  <c r="BO3" i="92"/>
  <c r="BO67" i="92" s="1"/>
  <c r="BO245" i="91"/>
  <c r="BO244" i="91" s="1"/>
  <c r="BO20" i="91" s="1"/>
  <c r="BO21" i="91" s="1"/>
  <c r="BO251" i="91"/>
  <c r="BO253" i="91" s="1"/>
  <c r="BO254" i="91" s="1"/>
  <c r="BO8" i="91"/>
  <c r="BR54" i="91"/>
  <c r="BR47" i="91" s="1"/>
  <c r="BR50" i="91" s="1"/>
  <c r="X232" i="103"/>
  <c r="X235" i="103" s="1"/>
  <c r="X200" i="103"/>
  <c r="X5" i="103"/>
  <c r="Y233" i="103"/>
  <c r="Y238" i="103" s="1"/>
  <c r="Y199" i="103"/>
  <c r="X362" i="103"/>
  <c r="Y362" i="103" s="1"/>
  <c r="Y8" i="103" s="1"/>
  <c r="V24" i="103"/>
  <c r="CC27" i="103"/>
  <c r="CC28" i="103" s="1"/>
  <c r="V19" i="103"/>
  <c r="V108" i="103"/>
  <c r="CC22" i="103"/>
  <c r="CC34" i="103"/>
  <c r="Q69" i="92"/>
  <c r="V13" i="103"/>
  <c r="V31" i="103"/>
  <c r="V34" i="103" s="1"/>
  <c r="Q67" i="92"/>
  <c r="Q254" i="91"/>
  <c r="Y327" i="103"/>
  <c r="Y37" i="103"/>
  <c r="X37" i="103"/>
  <c r="X327" i="103"/>
  <c r="W327" i="103"/>
  <c r="W37" i="103"/>
  <c r="BQ47" i="91"/>
  <c r="BQ50" i="91" s="1"/>
  <c r="BQ57" i="91"/>
  <c r="BQ33" i="91" s="1"/>
  <c r="BQ32" i="91" s="1"/>
  <c r="BQ40" i="91" s="1"/>
  <c r="BP36" i="91"/>
  <c r="BP24" i="91"/>
  <c r="BP37" i="91"/>
  <c r="Y158" i="103"/>
  <c r="R39" i="91"/>
  <c r="BQ17" i="91"/>
  <c r="Q47" i="2" l="1"/>
  <c r="R47" i="2" s="1"/>
  <c r="S47" i="2" s="1"/>
  <c r="T47" i="2" s="1"/>
  <c r="U47" i="2" s="1"/>
  <c r="BO7" i="92"/>
  <c r="BO255" i="91"/>
  <c r="BO240" i="91"/>
  <c r="BO241" i="91" s="1"/>
  <c r="BO13" i="91"/>
  <c r="BR57" i="91"/>
  <c r="BR33" i="91" s="1"/>
  <c r="BR32" i="91" s="1"/>
  <c r="BR51" i="91" s="1"/>
  <c r="Y5" i="103"/>
  <c r="Y200" i="103"/>
  <c r="Y232" i="103"/>
  <c r="Y235" i="103" s="1"/>
  <c r="X8" i="103"/>
  <c r="BQ42" i="91"/>
  <c r="BQ35" i="91" s="1"/>
  <c r="BQ37" i="91" s="1"/>
  <c r="V25" i="103"/>
  <c r="R54" i="91"/>
  <c r="R57" i="91" s="1"/>
  <c r="BO22" i="91"/>
  <c r="BO49" i="92"/>
  <c r="Y348" i="103"/>
  <c r="Y328" i="103"/>
  <c r="Y7" i="103"/>
  <c r="Q56" i="2"/>
  <c r="W7" i="103"/>
  <c r="W348" i="103"/>
  <c r="W328" i="103"/>
  <c r="X7" i="103"/>
  <c r="X348" i="103"/>
  <c r="X328" i="103"/>
  <c r="BQ4" i="91"/>
  <c r="R17" i="91"/>
  <c r="BQ51" i="91"/>
  <c r="BO242" i="91" l="1"/>
  <c r="BO27" i="91"/>
  <c r="BO28" i="91" s="1"/>
  <c r="BO29" i="91" s="1"/>
  <c r="BO14" i="91"/>
  <c r="BO15" i="91" s="1"/>
  <c r="X9" i="103"/>
  <c r="X19" i="103" s="1"/>
  <c r="BQ36" i="91"/>
  <c r="BR40" i="91"/>
  <c r="BR4" i="91"/>
  <c r="R32" i="91"/>
  <c r="R40" i="91" s="1"/>
  <c r="Y9" i="103"/>
  <c r="Y19" i="103" s="1"/>
  <c r="BQ10" i="91"/>
  <c r="BQ44" i="91"/>
  <c r="BQ24" i="91"/>
  <c r="BQ43" i="91"/>
  <c r="BO70" i="92"/>
  <c r="W9" i="103"/>
  <c r="BO11" i="92" l="1"/>
  <c r="X13" i="103"/>
  <c r="X108" i="103"/>
  <c r="T32" i="91"/>
  <c r="T4" i="91" s="1"/>
  <c r="R33" i="91"/>
  <c r="R4" i="91"/>
  <c r="Y13" i="103"/>
  <c r="Y108" i="103"/>
  <c r="U32" i="91"/>
  <c r="U4" i="91" s="1"/>
  <c r="Y10" i="103"/>
  <c r="Y31" i="103" s="1"/>
  <c r="U54" i="91" s="1"/>
  <c r="U57" i="91" s="1"/>
  <c r="W25" i="103"/>
  <c r="W24" i="103" s="1"/>
  <c r="W10" i="103"/>
  <c r="W31" i="103" s="1"/>
  <c r="X10" i="103"/>
  <c r="X31" i="103" s="1"/>
  <c r="W19" i="103"/>
  <c r="S32" i="91"/>
  <c r="W108" i="103"/>
  <c r="W13" i="103"/>
  <c r="BO16" i="92" l="1"/>
  <c r="BO18" i="92" s="1"/>
  <c r="BO5" i="92"/>
  <c r="BO68" i="92" s="1"/>
  <c r="BO71" i="92"/>
  <c r="BO48" i="92"/>
  <c r="BO50" i="92" s="1"/>
  <c r="Y34" i="103"/>
  <c r="U33" i="91"/>
  <c r="W34" i="103"/>
  <c r="S54" i="91"/>
  <c r="S57" i="91" s="1"/>
  <c r="S4" i="91"/>
  <c r="S33" i="91"/>
  <c r="T33" i="91"/>
  <c r="X25" i="103"/>
  <c r="X24" i="103" s="1"/>
  <c r="S39" i="91"/>
  <c r="X34" i="103"/>
  <c r="T54" i="91"/>
  <c r="T57" i="91" s="1"/>
  <c r="BO23" i="92" l="1"/>
  <c r="BO32" i="92" s="1"/>
  <c r="BO74" i="92" s="1"/>
  <c r="BO19" i="92"/>
  <c r="BO72" i="92"/>
  <c r="BO4" i="92"/>
  <c r="S17" i="91"/>
  <c r="S40" i="91"/>
  <c r="T39" i="91"/>
  <c r="Y25" i="103"/>
  <c r="Y24" i="103" s="1"/>
  <c r="BO33" i="92" l="1"/>
  <c r="BO27" i="92"/>
  <c r="BO34" i="92" s="1"/>
  <c r="U39" i="91"/>
  <c r="T40" i="91"/>
  <c r="T17" i="91"/>
  <c r="BO35" i="92" l="1"/>
  <c r="BO79" i="92"/>
  <c r="U40" i="91"/>
  <c r="U17" i="91"/>
  <c r="M28" i="91" l="1"/>
  <c r="M29" i="91" s="1"/>
  <c r="N28" i="91" l="1"/>
  <c r="N29" i="91" s="1"/>
  <c r="H28" i="91"/>
  <c r="H29" i="91" s="1"/>
  <c r="G28" i="91"/>
  <c r="G29" i="91" s="1"/>
  <c r="K28" i="91"/>
  <c r="K29" i="91" s="1"/>
  <c r="L28" i="91"/>
  <c r="L29" i="91" s="1"/>
  <c r="J28" i="91"/>
  <c r="J29" i="91" s="1"/>
  <c r="I28" i="91"/>
  <c r="I29" i="91" s="1"/>
  <c r="O28" i="91" l="1"/>
  <c r="O29" i="91" s="1"/>
  <c r="BN44" i="91" l="1"/>
  <c r="BN43" i="91"/>
  <c r="Q42" i="91"/>
  <c r="BN10" i="91"/>
  <c r="Q43" i="91" l="1"/>
  <c r="Q44" i="91"/>
  <c r="Q35" i="91"/>
  <c r="Q10" i="91"/>
  <c r="BN37" i="91"/>
  <c r="BN24" i="91"/>
  <c r="BN36" i="91"/>
  <c r="BZ38" i="103" l="1"/>
  <c r="Q37" i="91"/>
  <c r="Q24" i="91"/>
  <c r="Q36" i="91"/>
  <c r="U38" i="103"/>
  <c r="CA38" i="103" l="1"/>
  <c r="BN11" i="91" l="1"/>
  <c r="BN14" i="91" s="1"/>
  <c r="Q116" i="91"/>
  <c r="Q11" i="91" s="1"/>
  <c r="BN118" i="91"/>
  <c r="Q154" i="91" l="1"/>
  <c r="Q117" i="91"/>
  <c r="BN110" i="91"/>
  <c r="BN108" i="91"/>
  <c r="Q14" i="91"/>
  <c r="Q15" i="91" s="1"/>
  <c r="BN25" i="91"/>
  <c r="BN15" i="91"/>
  <c r="BN11" i="92"/>
  <c r="Q118" i="91"/>
  <c r="BN5" i="92" l="1"/>
  <c r="BN16" i="92"/>
  <c r="BN21" i="92" s="1"/>
  <c r="Q11" i="92"/>
  <c r="BN71" i="92"/>
  <c r="BN48" i="92"/>
  <c r="Q108" i="91"/>
  <c r="Q25" i="91"/>
  <c r="Q110" i="91"/>
  <c r="Q145" i="91" l="1"/>
  <c r="BN4" i="92"/>
  <c r="Q4" i="92" s="1"/>
  <c r="Q44" i="2" s="1"/>
  <c r="BN68" i="92"/>
  <c r="Q71" i="92"/>
  <c r="Q48" i="92"/>
  <c r="Q16" i="92"/>
  <c r="Q5" i="92"/>
  <c r="Q68" i="92" s="1"/>
  <c r="Q50" i="2" l="1"/>
  <c r="Q53" i="2"/>
  <c r="R53" i="2" s="1"/>
  <c r="S53" i="2" s="1"/>
  <c r="T53" i="2" s="1"/>
  <c r="U53" i="2" s="1"/>
  <c r="Q19" i="92"/>
  <c r="Q18" i="92" s="1"/>
  <c r="Q23" i="92" s="1"/>
  <c r="Q27" i="92" s="1"/>
  <c r="BN23" i="92"/>
  <c r="R50" i="2" l="1"/>
  <c r="S50" i="2" s="1"/>
  <c r="T50" i="2" s="1"/>
  <c r="U50" i="2" s="1"/>
  <c r="Q33" i="92"/>
  <c r="Q32" i="92"/>
  <c r="Q74" i="92" s="1"/>
  <c r="BN27" i="92"/>
  <c r="BN33" i="92"/>
  <c r="BN32" i="92"/>
  <c r="BN74" i="92" s="1"/>
  <c r="Q57" i="2"/>
  <c r="Q21" i="92"/>
  <c r="Q55" i="2"/>
  <c r="Q58" i="2" l="1"/>
  <c r="Q60" i="2"/>
  <c r="Q61" i="2" s="1"/>
  <c r="Q35" i="92"/>
  <c r="Q34" i="92"/>
  <c r="Q79" i="92"/>
  <c r="BN35" i="92"/>
  <c r="BN34" i="92"/>
  <c r="BN79" i="92"/>
  <c r="Q23" i="2"/>
  <c r="Q29" i="2" s="1"/>
  <c r="Q36" i="2" l="1"/>
  <c r="Q38" i="2" s="1"/>
  <c r="Q28" i="8"/>
  <c r="BN19" i="91" l="1"/>
  <c r="Q202" i="91"/>
  <c r="Q203" i="91" s="1"/>
  <c r="BN203" i="91"/>
  <c r="Q19" i="91" l="1"/>
  <c r="BN49" i="92"/>
  <c r="BN50" i="92" s="1"/>
  <c r="BN20" i="91"/>
  <c r="BN244" i="91" s="1"/>
  <c r="BN22" i="91"/>
  <c r="BN245" i="91" l="1"/>
  <c r="Q244" i="91"/>
  <c r="BN240" i="91"/>
  <c r="BN70" i="92"/>
  <c r="BN72" i="92"/>
  <c r="Q49" i="92"/>
  <c r="BN242" i="91" l="1"/>
  <c r="BN27" i="91"/>
  <c r="BN28" i="91" s="1"/>
  <c r="BN29" i="91" s="1"/>
  <c r="BN241" i="91"/>
  <c r="Q245" i="91"/>
  <c r="Q20" i="91"/>
  <c r="Q21" i="91" s="1"/>
  <c r="Q22" i="91" s="1"/>
  <c r="Q240" i="91"/>
  <c r="Q50" i="92"/>
  <c r="Q70" i="92"/>
  <c r="Q242" i="91" l="1"/>
  <c r="Q27" i="91"/>
  <c r="Q28" i="91" s="1"/>
  <c r="Q29" i="91" s="1"/>
  <c r="Q241" i="91"/>
  <c r="Q72" i="92"/>
  <c r="R69" i="2" l="1"/>
  <c r="U31" i="103" l="1"/>
  <c r="U32" i="103"/>
  <c r="U33" i="103"/>
  <c r="Q55" i="91" l="1"/>
  <c r="BN50" i="91"/>
  <c r="BN51" i="91" s="1"/>
  <c r="Q56" i="91"/>
  <c r="U34" i="103"/>
  <c r="Q54" i="91"/>
  <c r="R64" i="2"/>
  <c r="R67" i="2" s="1"/>
  <c r="R10" i="2" s="1"/>
  <c r="Q66" i="2"/>
  <c r="Q78" i="2"/>
  <c r="S64" i="2" l="1"/>
  <c r="S67" i="2" s="1"/>
  <c r="T64" i="2" l="1"/>
  <c r="T67" i="2" s="1"/>
  <c r="S10" i="2"/>
  <c r="T10" i="2" l="1"/>
  <c r="U64" i="2"/>
  <c r="U67" i="2" s="1"/>
  <c r="U10" i="2" l="1"/>
  <c r="BZ15" i="103"/>
  <c r="U15" i="103" s="1"/>
  <c r="BZ22" i="103"/>
  <c r="BZ104" i="103" l="1"/>
  <c r="CD104" i="103" s="1"/>
  <c r="U16" i="103"/>
  <c r="U21" i="103"/>
  <c r="BZ16" i="103"/>
  <c r="BZ102" i="103" l="1"/>
  <c r="U104" i="103"/>
  <c r="BZ105" i="103"/>
  <c r="U22" i="103"/>
  <c r="U27" i="103"/>
  <c r="U28" i="103" s="1"/>
  <c r="CD102" i="103"/>
  <c r="V104" i="103"/>
  <c r="CD105" i="103"/>
  <c r="CD15" i="103"/>
  <c r="U105" i="103" l="1"/>
  <c r="U102" i="103"/>
  <c r="V105" i="103"/>
  <c r="V102" i="103"/>
  <c r="W102" i="103" s="1"/>
  <c r="X102" i="103" s="1"/>
  <c r="Y102" i="103" s="1"/>
  <c r="CD21" i="103"/>
  <c r="V15" i="103"/>
  <c r="CD16" i="103"/>
  <c r="CD22" i="103" l="1"/>
  <c r="CD27" i="103"/>
  <c r="V21" i="103"/>
  <c r="V16" i="103"/>
  <c r="W104" i="103" l="1"/>
  <c r="W105" i="103" s="1"/>
  <c r="CD28" i="103"/>
  <c r="BR42" i="91"/>
  <c r="V22" i="103"/>
  <c r="V27" i="103"/>
  <c r="V28" i="103" s="1"/>
  <c r="X104" i="103"/>
  <c r="Y104" i="103"/>
  <c r="W15" i="103" l="1"/>
  <c r="W16" i="103" s="1"/>
  <c r="X15" i="103"/>
  <c r="X105" i="103"/>
  <c r="BR10" i="91"/>
  <c r="R42" i="91"/>
  <c r="BR35" i="91"/>
  <c r="BR43" i="91"/>
  <c r="BR44" i="91"/>
  <c r="Y105" i="103"/>
  <c r="Y15" i="103"/>
  <c r="W21" i="103" l="1"/>
  <c r="W27" i="103" s="1"/>
  <c r="BR37" i="91"/>
  <c r="BR24" i="91"/>
  <c r="BR36" i="91"/>
  <c r="R10" i="91"/>
  <c r="R35" i="91"/>
  <c r="R43" i="91"/>
  <c r="R44" i="91"/>
  <c r="Y16" i="103"/>
  <c r="Y21" i="103"/>
  <c r="X21" i="103"/>
  <c r="X16" i="103"/>
  <c r="W22" i="103" l="1"/>
  <c r="R37" i="91"/>
  <c r="R24" i="91"/>
  <c r="R36" i="91"/>
  <c r="W28" i="103"/>
  <c r="S42" i="91"/>
  <c r="Y22" i="103"/>
  <c r="Y27" i="103"/>
  <c r="X22" i="103"/>
  <c r="X27" i="103"/>
  <c r="S44" i="91" l="1"/>
  <c r="S10" i="91"/>
  <c r="S35" i="91"/>
  <c r="S43" i="91"/>
  <c r="X28" i="103"/>
  <c r="T42" i="91"/>
  <c r="Y28" i="103"/>
  <c r="U42" i="91"/>
  <c r="T35" i="91" l="1"/>
  <c r="T43" i="91"/>
  <c r="T44" i="91"/>
  <c r="T10" i="91"/>
  <c r="U35" i="91"/>
  <c r="U43" i="91"/>
  <c r="U44" i="91"/>
  <c r="U10" i="91"/>
  <c r="S24" i="91"/>
  <c r="S36" i="91"/>
  <c r="S37" i="91"/>
  <c r="U24" i="91" l="1"/>
  <c r="U36" i="91"/>
  <c r="U37" i="91"/>
  <c r="T24" i="91"/>
  <c r="T36" i="91"/>
  <c r="T37" i="91"/>
  <c r="R126" i="91" l="1"/>
  <c r="Q126" i="91"/>
  <c r="Q127" i="91" s="1"/>
  <c r="Q133" i="91" s="1"/>
  <c r="BN132" i="91"/>
  <c r="BN127" i="91"/>
  <c r="BN128" i="91" s="1"/>
  <c r="BN133" i="91" l="1"/>
  <c r="Q132" i="91"/>
  <c r="Q128" i="91"/>
  <c r="R132" i="91"/>
  <c r="BO127" i="91"/>
  <c r="BO128" i="91" s="1"/>
  <c r="BQ175" i="91" l="1"/>
  <c r="BQ176" i="91" s="1"/>
  <c r="BQ136" i="91" s="1"/>
  <c r="BQ131" i="91" s="1"/>
  <c r="BP136" i="91"/>
  <c r="BP131" i="91" l="1"/>
  <c r="BP144" i="91"/>
  <c r="BP143" i="91" s="1"/>
  <c r="BQ144" i="91"/>
  <c r="BQ143" i="91" s="1"/>
  <c r="BQ125" i="91"/>
  <c r="BQ127" i="91" s="1"/>
  <c r="BQ133" i="91"/>
  <c r="BQ105" i="91" s="1"/>
  <c r="BQ104" i="91" s="1"/>
  <c r="BQ178" i="91"/>
  <c r="BR175" i="91"/>
  <c r="R175" i="91" s="1"/>
  <c r="BQ108" i="91" l="1"/>
  <c r="BQ107" i="91" s="1"/>
  <c r="BQ111" i="91" s="1"/>
  <c r="BQ128" i="91"/>
  <c r="R176" i="91"/>
  <c r="R136" i="91" s="1"/>
  <c r="R144" i="91" s="1"/>
  <c r="R178" i="91"/>
  <c r="S175" i="91"/>
  <c r="BR176" i="91"/>
  <c r="BR136" i="91" s="1"/>
  <c r="BR178" i="91"/>
  <c r="BQ114" i="91"/>
  <c r="BQ5" i="91"/>
  <c r="BP133" i="91"/>
  <c r="BP105" i="91" s="1"/>
  <c r="BP104" i="91" s="1"/>
  <c r="BP125" i="91"/>
  <c r="BQ7" i="91" l="1"/>
  <c r="BQ3" i="92" s="1"/>
  <c r="BQ25" i="91"/>
  <c r="BQ116" i="91"/>
  <c r="BQ11" i="91" s="1"/>
  <c r="BQ110" i="91"/>
  <c r="BP5" i="91"/>
  <c r="BP114" i="91"/>
  <c r="BR144" i="91"/>
  <c r="BR143" i="91" s="1"/>
  <c r="BR131" i="91"/>
  <c r="S178" i="91"/>
  <c r="T175" i="91"/>
  <c r="BP127" i="91"/>
  <c r="BP128" i="91" s="1"/>
  <c r="BP108" i="91"/>
  <c r="BP107" i="91" s="1"/>
  <c r="BQ251" i="91" l="1"/>
  <c r="BQ253" i="91" s="1"/>
  <c r="BQ13" i="91" s="1"/>
  <c r="BQ14" i="91" s="1"/>
  <c r="BP7" i="91"/>
  <c r="BP3" i="92" s="1"/>
  <c r="BQ245" i="91"/>
  <c r="BQ244" i="91" s="1"/>
  <c r="BQ20" i="91" s="1"/>
  <c r="BQ21" i="91" s="1"/>
  <c r="BQ49" i="92" s="1"/>
  <c r="BQ70" i="92" s="1"/>
  <c r="BQ8" i="91"/>
  <c r="BQ118" i="91"/>
  <c r="BQ117" i="91"/>
  <c r="BP25" i="91"/>
  <c r="BP111" i="91"/>
  <c r="BP110" i="91"/>
  <c r="BP116" i="91"/>
  <c r="U175" i="91"/>
  <c r="U178" i="91" s="1"/>
  <c r="T178" i="91"/>
  <c r="CC38" i="103"/>
  <c r="BQ67" i="92"/>
  <c r="BQ7" i="92"/>
  <c r="BR125" i="91"/>
  <c r="BR133" i="91"/>
  <c r="BR105" i="91" s="1"/>
  <c r="BR104" i="91" s="1"/>
  <c r="BR107" i="91" l="1"/>
  <c r="BR25" i="91" s="1"/>
  <c r="BR108" i="91"/>
  <c r="BP245" i="91"/>
  <c r="BP244" i="91" s="1"/>
  <c r="BP20" i="91" s="1"/>
  <c r="BP21" i="91" s="1"/>
  <c r="BP251" i="91"/>
  <c r="BP253" i="91" s="1"/>
  <c r="BQ254" i="91"/>
  <c r="BQ255" i="91"/>
  <c r="BP8" i="91"/>
  <c r="BQ240" i="91"/>
  <c r="BQ242" i="91" s="1"/>
  <c r="BQ22" i="91"/>
  <c r="BR116" i="91"/>
  <c r="R116" i="91" s="1"/>
  <c r="BQ11" i="92"/>
  <c r="BQ15" i="91"/>
  <c r="BR114" i="91"/>
  <c r="BR5" i="91"/>
  <c r="R104" i="91"/>
  <c r="BP118" i="91"/>
  <c r="BP11" i="91"/>
  <c r="BP117" i="91"/>
  <c r="BR127" i="91"/>
  <c r="BR128" i="91" s="1"/>
  <c r="R125" i="91"/>
  <c r="BP7" i="92"/>
  <c r="CB38" i="103"/>
  <c r="BP67" i="92"/>
  <c r="R107" i="91" l="1"/>
  <c r="R110" i="91" s="1"/>
  <c r="BR110" i="91"/>
  <c r="BR111" i="91"/>
  <c r="BQ241" i="91"/>
  <c r="BQ27" i="91"/>
  <c r="BQ28" i="91" s="1"/>
  <c r="BQ29" i="91" s="1"/>
  <c r="BR7" i="91"/>
  <c r="BR251" i="91" s="1"/>
  <c r="R127" i="91"/>
  <c r="R131" i="91"/>
  <c r="R137" i="91" s="1"/>
  <c r="BP13" i="91"/>
  <c r="BP14" i="91" s="1"/>
  <c r="BP240" i="91"/>
  <c r="BP254" i="91"/>
  <c r="BP255" i="91"/>
  <c r="R118" i="91"/>
  <c r="R11" i="91"/>
  <c r="R117" i="91"/>
  <c r="R5" i="91"/>
  <c r="R105" i="91"/>
  <c r="S125" i="91"/>
  <c r="S104" i="91"/>
  <c r="S126" i="91"/>
  <c r="R114" i="91"/>
  <c r="S114" i="91" s="1"/>
  <c r="T114" i="91" s="1"/>
  <c r="U114" i="91" s="1"/>
  <c r="R111" i="91"/>
  <c r="S108" i="91" s="1"/>
  <c r="BP49" i="92"/>
  <c r="BP22" i="91"/>
  <c r="BQ16" i="92"/>
  <c r="BQ48" i="92"/>
  <c r="BQ50" i="92" s="1"/>
  <c r="BQ72" i="92" s="1"/>
  <c r="BQ5" i="92"/>
  <c r="BQ71" i="92"/>
  <c r="BR118" i="91"/>
  <c r="BR11" i="91"/>
  <c r="BR117" i="91"/>
  <c r="R25" i="91" l="1"/>
  <c r="R108" i="91"/>
  <c r="BR245" i="91"/>
  <c r="BR244" i="91" s="1"/>
  <c r="BR20" i="91" s="1"/>
  <c r="BR21" i="91" s="1"/>
  <c r="BR3" i="92"/>
  <c r="BR7" i="92" s="1"/>
  <c r="R7" i="92" s="1"/>
  <c r="BR8" i="91"/>
  <c r="BP70" i="92"/>
  <c r="R7" i="91"/>
  <c r="R8" i="91" s="1"/>
  <c r="BR253" i="91"/>
  <c r="R251" i="91"/>
  <c r="R253" i="91" s="1"/>
  <c r="S107" i="91"/>
  <c r="R143" i="91"/>
  <c r="R145" i="91" s="1"/>
  <c r="BQ4" i="92"/>
  <c r="BQ68" i="92"/>
  <c r="BP11" i="92"/>
  <c r="BP15" i="91"/>
  <c r="S113" i="91"/>
  <c r="S18" i="91" s="1"/>
  <c r="S5" i="91"/>
  <c r="T125" i="91"/>
  <c r="T104" i="91"/>
  <c r="T126" i="91"/>
  <c r="R128" i="91"/>
  <c r="R133" i="91"/>
  <c r="BQ18" i="92"/>
  <c r="BQ19" i="92" s="1"/>
  <c r="S127" i="91"/>
  <c r="S128" i="91" s="1"/>
  <c r="BP27" i="91"/>
  <c r="BP28" i="91" s="1"/>
  <c r="BP29" i="91" s="1"/>
  <c r="BP241" i="91"/>
  <c r="BP242" i="91"/>
  <c r="R244" i="91" l="1"/>
  <c r="R240" i="91" s="1"/>
  <c r="R3" i="92"/>
  <c r="R69" i="92" s="1"/>
  <c r="S69" i="92" s="1"/>
  <c r="T69" i="92" s="1"/>
  <c r="CD38" i="103"/>
  <c r="BR67" i="92"/>
  <c r="BQ23" i="92"/>
  <c r="BQ32" i="92" s="1"/>
  <c r="BQ74" i="92" s="1"/>
  <c r="T127" i="91"/>
  <c r="T128" i="91" s="1"/>
  <c r="BP16" i="92"/>
  <c r="BP48" i="92"/>
  <c r="BP50" i="92" s="1"/>
  <c r="BP72" i="92" s="1"/>
  <c r="BP5" i="92"/>
  <c r="BP71" i="92"/>
  <c r="BR22" i="91"/>
  <c r="BR49" i="92"/>
  <c r="U104" i="91"/>
  <c r="U126" i="91"/>
  <c r="T113" i="91"/>
  <c r="T18" i="91" s="1"/>
  <c r="T5" i="91"/>
  <c r="U125" i="91"/>
  <c r="S25" i="91"/>
  <c r="S111" i="91"/>
  <c r="T108" i="91" s="1"/>
  <c r="T107" i="91" s="1"/>
  <c r="S110" i="91"/>
  <c r="S116" i="91"/>
  <c r="S7" i="91"/>
  <c r="BR255" i="91"/>
  <c r="BR254" i="91"/>
  <c r="BR240" i="91"/>
  <c r="BR13" i="91"/>
  <c r="BR14" i="91" s="1"/>
  <c r="R13" i="91"/>
  <c r="R254" i="91"/>
  <c r="S254" i="91" s="1"/>
  <c r="R255" i="91"/>
  <c r="R245" i="91" l="1"/>
  <c r="S245" i="91" s="1"/>
  <c r="T245" i="91" s="1"/>
  <c r="R67" i="92"/>
  <c r="R20" i="91"/>
  <c r="R21" i="91" s="1"/>
  <c r="R22" i="91" s="1"/>
  <c r="R43" i="2"/>
  <c r="R90" i="2" s="1"/>
  <c r="V38" i="103"/>
  <c r="BQ27" i="92"/>
  <c r="BQ34" i="92" s="1"/>
  <c r="BQ33" i="92"/>
  <c r="U127" i="91"/>
  <c r="U128" i="91" s="1"/>
  <c r="R14" i="91"/>
  <c r="R15" i="91" s="1"/>
  <c r="R27" i="91"/>
  <c r="R241" i="91"/>
  <c r="R242" i="91"/>
  <c r="T110" i="91"/>
  <c r="T116" i="91"/>
  <c r="T25" i="91"/>
  <c r="T111" i="91"/>
  <c r="U108" i="91" s="1"/>
  <c r="U107" i="91" s="1"/>
  <c r="U113" i="91"/>
  <c r="U18" i="91" s="1"/>
  <c r="U5" i="91"/>
  <c r="U7" i="91" s="1"/>
  <c r="BP4" i="92"/>
  <c r="BP68" i="92"/>
  <c r="S118" i="91"/>
  <c r="S11" i="91"/>
  <c r="S117" i="91"/>
  <c r="U69" i="92"/>
  <c r="BP18" i="92"/>
  <c r="BP19" i="92" s="1"/>
  <c r="T7" i="91"/>
  <c r="BR70" i="92"/>
  <c r="R49" i="92"/>
  <c r="BR11" i="92"/>
  <c r="BR15" i="91"/>
  <c r="S253" i="91"/>
  <c r="T254" i="91"/>
  <c r="BR242" i="91"/>
  <c r="BR27" i="91"/>
  <c r="BR28" i="91" s="1"/>
  <c r="BR29" i="91" s="1"/>
  <c r="BR241" i="91"/>
  <c r="S3" i="92"/>
  <c r="S8" i="91"/>
  <c r="S244" i="91" l="1"/>
  <c r="S20" i="91" s="1"/>
  <c r="S21" i="91" s="1"/>
  <c r="S49" i="92" s="1"/>
  <c r="R74" i="2"/>
  <c r="R46" i="2"/>
  <c r="R56" i="2" s="1"/>
  <c r="BQ35" i="92"/>
  <c r="BQ79" i="92"/>
  <c r="BP23" i="92"/>
  <c r="BP32" i="92" s="1"/>
  <c r="BP74" i="92" s="1"/>
  <c r="T253" i="91"/>
  <c r="U254" i="91"/>
  <c r="U253" i="91" s="1"/>
  <c r="R70" i="92"/>
  <c r="U25" i="91"/>
  <c r="U111" i="91"/>
  <c r="U110" i="91"/>
  <c r="U116" i="91"/>
  <c r="S13" i="91"/>
  <c r="S255" i="91"/>
  <c r="S43" i="2"/>
  <c r="W38" i="103"/>
  <c r="S67" i="92"/>
  <c r="S7" i="92"/>
  <c r="U3" i="92"/>
  <c r="U7" i="92" s="1"/>
  <c r="U8" i="91"/>
  <c r="T118" i="91"/>
  <c r="T11" i="91"/>
  <c r="T117" i="91"/>
  <c r="T244" i="91"/>
  <c r="T20" i="91" s="1"/>
  <c r="T21" i="91" s="1"/>
  <c r="U245" i="91"/>
  <c r="U244" i="91" s="1"/>
  <c r="U20" i="91" s="1"/>
  <c r="U21" i="91" s="1"/>
  <c r="BR5" i="92"/>
  <c r="BR16" i="92"/>
  <c r="BR48" i="92"/>
  <c r="BR50" i="92" s="1"/>
  <c r="BR72" i="92" s="1"/>
  <c r="BR71" i="92"/>
  <c r="R11" i="92"/>
  <c r="T3" i="92"/>
  <c r="T8" i="91"/>
  <c r="R28" i="91"/>
  <c r="R29" i="91" s="1"/>
  <c r="BP27" i="92" l="1"/>
  <c r="BP34" i="92" s="1"/>
  <c r="S22" i="91"/>
  <c r="S240" i="91"/>
  <c r="S242" i="91" s="1"/>
  <c r="R4" i="2"/>
  <c r="R20" i="8" s="1"/>
  <c r="S14" i="91"/>
  <c r="S15" i="91" s="1"/>
  <c r="BP33" i="92"/>
  <c r="U49" i="92"/>
  <c r="U22" i="91"/>
  <c r="T22" i="91"/>
  <c r="T49" i="92"/>
  <c r="T43" i="2"/>
  <c r="X38" i="103"/>
  <c r="T67" i="92"/>
  <c r="T7" i="92"/>
  <c r="BR18" i="92"/>
  <c r="BR19" i="92" s="1"/>
  <c r="R19" i="92" s="1"/>
  <c r="T255" i="91"/>
  <c r="T240" i="91"/>
  <c r="T13" i="91"/>
  <c r="S70" i="92"/>
  <c r="U43" i="2"/>
  <c r="Y38" i="103"/>
  <c r="U67" i="92"/>
  <c r="S46" i="2"/>
  <c r="S74" i="2"/>
  <c r="S90" i="2"/>
  <c r="U11" i="91"/>
  <c r="U117" i="91"/>
  <c r="U118" i="91"/>
  <c r="U240" i="91"/>
  <c r="U255" i="91"/>
  <c r="U13" i="91"/>
  <c r="R16" i="92"/>
  <c r="R48" i="92"/>
  <c r="R50" i="92" s="1"/>
  <c r="R71" i="92"/>
  <c r="R5" i="92"/>
  <c r="R68" i="92" s="1"/>
  <c r="BR4" i="92"/>
  <c r="R4" i="92" s="1"/>
  <c r="R44" i="2" s="1"/>
  <c r="BR68" i="92"/>
  <c r="BP79" i="92" l="1"/>
  <c r="BP35" i="92"/>
  <c r="S241" i="91"/>
  <c r="S27" i="91"/>
  <c r="S28" i="91" s="1"/>
  <c r="S29" i="91" s="1"/>
  <c r="S11" i="92"/>
  <c r="S48" i="92" s="1"/>
  <c r="S50" i="92" s="1"/>
  <c r="U14" i="91"/>
  <c r="U15" i="91" s="1"/>
  <c r="BR23" i="92"/>
  <c r="BR32" i="92" s="1"/>
  <c r="BR74" i="92" s="1"/>
  <c r="R72" i="92"/>
  <c r="R49" i="2"/>
  <c r="R52" i="2"/>
  <c r="S56" i="2"/>
  <c r="S4" i="2"/>
  <c r="T242" i="91"/>
  <c r="T27" i="91"/>
  <c r="T241" i="91"/>
  <c r="T46" i="2"/>
  <c r="T74" i="2"/>
  <c r="T90" i="2"/>
  <c r="U70" i="92"/>
  <c r="U27" i="91"/>
  <c r="U28" i="91" s="1"/>
  <c r="U29" i="91" s="1"/>
  <c r="U241" i="91"/>
  <c r="U242" i="91"/>
  <c r="T70" i="92"/>
  <c r="U74" i="2"/>
  <c r="U46" i="2"/>
  <c r="U90" i="2"/>
  <c r="T14" i="91"/>
  <c r="R12" i="8"/>
  <c r="R27" i="2" s="1"/>
  <c r="R18" i="92"/>
  <c r="R23" i="92" s="1"/>
  <c r="S16" i="92" l="1"/>
  <c r="S18" i="92" s="1"/>
  <c r="S23" i="92" s="1"/>
  <c r="S71" i="92"/>
  <c r="S5" i="92"/>
  <c r="S68" i="92" s="1"/>
  <c r="U11" i="92"/>
  <c r="U48" i="92" s="1"/>
  <c r="U50" i="92" s="1"/>
  <c r="U72" i="92" s="1"/>
  <c r="BR33" i="92"/>
  <c r="BR27" i="92"/>
  <c r="BR35" i="92" s="1"/>
  <c r="R21" i="92"/>
  <c r="U4" i="2"/>
  <c r="U56" i="2"/>
  <c r="T56" i="2"/>
  <c r="T4" i="2"/>
  <c r="T20" i="8" s="1"/>
  <c r="R57" i="2"/>
  <c r="R20" i="2"/>
  <c r="R27" i="92"/>
  <c r="R32" i="92"/>
  <c r="R74" i="92" s="1"/>
  <c r="R33" i="92"/>
  <c r="T28" i="91"/>
  <c r="T29" i="91" s="1"/>
  <c r="R55" i="2"/>
  <c r="R6" i="2"/>
  <c r="T15" i="91"/>
  <c r="T11" i="92"/>
  <c r="S20" i="8"/>
  <c r="S72" i="92"/>
  <c r="S4" i="92" l="1"/>
  <c r="S44" i="2" s="1"/>
  <c r="S52" i="2" s="1"/>
  <c r="U71" i="92"/>
  <c r="U16" i="92"/>
  <c r="U18" i="92" s="1"/>
  <c r="U19" i="92" s="1"/>
  <c r="U12" i="8" s="1"/>
  <c r="U5" i="92"/>
  <c r="U68" i="92" s="1"/>
  <c r="BR79" i="92"/>
  <c r="BR34" i="92"/>
  <c r="R58" i="2"/>
  <c r="R23" i="2"/>
  <c r="R29" i="2" s="1"/>
  <c r="R24" i="8"/>
  <c r="R35" i="2"/>
  <c r="R35" i="92"/>
  <c r="R34" i="92"/>
  <c r="R79" i="92"/>
  <c r="R3" i="8"/>
  <c r="S32" i="92"/>
  <c r="S74" i="92" s="1"/>
  <c r="S27" i="92"/>
  <c r="S33" i="92"/>
  <c r="R22" i="8"/>
  <c r="R60" i="2"/>
  <c r="R61" i="2" s="1"/>
  <c r="S49" i="2"/>
  <c r="T5" i="92"/>
  <c r="T16" i="92"/>
  <c r="T48" i="92"/>
  <c r="T50" i="92" s="1"/>
  <c r="T71" i="92"/>
  <c r="S19" i="92"/>
  <c r="S12" i="8" s="1"/>
  <c r="S27" i="2" s="1"/>
  <c r="U20" i="8"/>
  <c r="U4" i="92" l="1"/>
  <c r="U44" i="2" s="1"/>
  <c r="U52" i="2" s="1"/>
  <c r="U23" i="92"/>
  <c r="U27" i="92" s="1"/>
  <c r="T4" i="92"/>
  <c r="T44" i="2" s="1"/>
  <c r="T68" i="92"/>
  <c r="S20" i="2"/>
  <c r="S57" i="2"/>
  <c r="R28" i="8"/>
  <c r="S35" i="2"/>
  <c r="R36" i="2"/>
  <c r="R38" i="2" s="1"/>
  <c r="T72" i="92"/>
  <c r="S55" i="2"/>
  <c r="S6" i="2"/>
  <c r="T18" i="92"/>
  <c r="T23" i="92" s="1"/>
  <c r="S35" i="92"/>
  <c r="S3" i="8"/>
  <c r="S34" i="92"/>
  <c r="S79" i="92"/>
  <c r="S58" i="2" l="1"/>
  <c r="U49" i="2"/>
  <c r="U6" i="2" s="1"/>
  <c r="U33" i="92"/>
  <c r="U32" i="92"/>
  <c r="U74" i="92" s="1"/>
  <c r="U20" i="2"/>
  <c r="U57" i="2"/>
  <c r="U34" i="92"/>
  <c r="U3" i="8"/>
  <c r="U35" i="92"/>
  <c r="U79" i="92"/>
  <c r="T33" i="92"/>
  <c r="T32" i="92"/>
  <c r="T74" i="92" s="1"/>
  <c r="T27" i="92"/>
  <c r="T35" i="2" s="1"/>
  <c r="T19" i="92"/>
  <c r="T12" i="8" s="1"/>
  <c r="T27" i="2" s="1"/>
  <c r="S60" i="2"/>
  <c r="S61" i="2" s="1"/>
  <c r="S22" i="8"/>
  <c r="S36" i="2"/>
  <c r="S23" i="2"/>
  <c r="S29" i="2" s="1"/>
  <c r="S24" i="8"/>
  <c r="T49" i="2"/>
  <c r="T52" i="2"/>
  <c r="U55" i="2" l="1"/>
  <c r="U58" i="2" s="1"/>
  <c r="U60" i="2"/>
  <c r="U61" i="2" s="1"/>
  <c r="S38" i="2"/>
  <c r="T55" i="2"/>
  <c r="T6" i="2"/>
  <c r="T20" i="2"/>
  <c r="U24" i="8" s="1"/>
  <c r="T57" i="2"/>
  <c r="T36" i="2"/>
  <c r="U35" i="2"/>
  <c r="U36" i="2" s="1"/>
  <c r="T3" i="8"/>
  <c r="T34" i="92"/>
  <c r="T35" i="92"/>
  <c r="T79" i="92"/>
  <c r="U27" i="2"/>
  <c r="S28" i="8"/>
  <c r="U23" i="2"/>
  <c r="U29" i="2" l="1"/>
  <c r="U38" i="2" s="1"/>
  <c r="U22" i="8"/>
  <c r="U28" i="8" s="1"/>
  <c r="T60" i="2"/>
  <c r="T61" i="2" s="1"/>
  <c r="T22" i="8"/>
  <c r="T23" i="2"/>
  <c r="T29" i="2" s="1"/>
  <c r="T38" i="2" s="1"/>
  <c r="T24" i="8"/>
  <c r="T58" i="2"/>
  <c r="T28" i="8" l="1"/>
  <c r="Q3" i="2" l="1"/>
  <c r="R3" i="2"/>
  <c r="S3" i="2"/>
  <c r="T3" i="2"/>
  <c r="U3" i="2"/>
  <c r="Q8" i="2"/>
  <c r="R8" i="2"/>
  <c r="S8" i="2"/>
  <c r="T8" i="2"/>
  <c r="U8" i="2"/>
  <c r="R11" i="2"/>
  <c r="S11" i="2"/>
  <c r="T11" i="2"/>
  <c r="U11" i="2"/>
  <c r="R12" i="2"/>
  <c r="S12" i="2"/>
  <c r="T12" i="2"/>
  <c r="U12" i="2"/>
  <c r="R15" i="2"/>
  <c r="S15" i="2"/>
  <c r="T15" i="2"/>
  <c r="U15" i="2"/>
  <c r="Q17" i="2"/>
  <c r="R17" i="2"/>
  <c r="S17" i="2"/>
  <c r="T17" i="2"/>
  <c r="U17" i="2"/>
  <c r="Q40" i="2"/>
  <c r="R40" i="2"/>
  <c r="S40" i="2"/>
  <c r="T40" i="2"/>
  <c r="U40" i="2"/>
  <c r="S69" i="2"/>
  <c r="T69" i="2"/>
  <c r="U69" i="2"/>
  <c r="Q70" i="2"/>
  <c r="R70" i="2"/>
  <c r="S70" i="2"/>
  <c r="T70" i="2"/>
  <c r="U70" i="2"/>
  <c r="Q71" i="2"/>
  <c r="R72" i="2"/>
  <c r="S72" i="2"/>
  <c r="T72" i="2"/>
  <c r="U72" i="2"/>
  <c r="Q75" i="2"/>
  <c r="R75" i="2"/>
  <c r="S75" i="2"/>
  <c r="T75" i="2"/>
  <c r="U75" i="2"/>
  <c r="Q76" i="2"/>
  <c r="R76" i="2"/>
  <c r="S76" i="2"/>
  <c r="T76" i="2"/>
  <c r="U76" i="2"/>
  <c r="R78" i="2"/>
  <c r="S78" i="2"/>
  <c r="T78" i="2"/>
  <c r="U78" i="2"/>
  <c r="R80" i="2"/>
  <c r="S80" i="2"/>
  <c r="T80" i="2"/>
  <c r="U80" i="2"/>
  <c r="Q81" i="2"/>
  <c r="Q83" i="2"/>
  <c r="R83" i="2"/>
  <c r="S83" i="2"/>
  <c r="T83" i="2"/>
  <c r="U83" i="2"/>
  <c r="R85" i="2"/>
  <c r="S85" i="2"/>
  <c r="T85" i="2"/>
  <c r="U85" i="2"/>
  <c r="Q86" i="2"/>
  <c r="R86" i="2"/>
  <c r="S86" i="2"/>
  <c r="T86" i="2"/>
  <c r="U86" i="2"/>
  <c r="Q88" i="2"/>
  <c r="R88" i="2"/>
  <c r="S88" i="2"/>
  <c r="T88" i="2"/>
  <c r="U88" i="2"/>
  <c r="Q90" i="2"/>
  <c r="Q91" i="2"/>
  <c r="R91" i="2"/>
  <c r="S91" i="2"/>
  <c r="T91" i="2"/>
  <c r="U91" i="2"/>
  <c r="R94" i="2"/>
  <c r="S94" i="2"/>
  <c r="T94" i="2"/>
  <c r="U94" i="2"/>
  <c r="R102" i="2"/>
  <c r="S102" i="2"/>
  <c r="Q10" i="8"/>
  <c r="R10" i="8"/>
  <c r="S10" i="8"/>
  <c r="T10" i="8"/>
  <c r="U10" i="8"/>
  <c r="Q11" i="8"/>
  <c r="R11" i="8"/>
  <c r="S11" i="8"/>
  <c r="T11" i="8"/>
  <c r="U11" i="8"/>
  <c r="Q30" i="8"/>
  <c r="R30" i="8"/>
  <c r="S30" i="8"/>
  <c r="T30" i="8"/>
  <c r="U30" i="8"/>
  <c r="Q55" i="8"/>
  <c r="R55" i="8"/>
  <c r="S55" i="8"/>
  <c r="T55" i="8"/>
  <c r="U55" i="8"/>
  <c r="R57" i="8"/>
  <c r="S57" i="8"/>
  <c r="T57" i="8"/>
  <c r="U57" i="8"/>
  <c r="Q58" i="8"/>
  <c r="R58" i="8"/>
  <c r="S58" i="8"/>
  <c r="T58" i="8"/>
  <c r="U58" i="8"/>
  <c r="Q60" i="8"/>
  <c r="R60" i="8"/>
  <c r="S60" i="8"/>
  <c r="T60" i="8"/>
  <c r="U60" i="8"/>
  <c r="Q62" i="8"/>
  <c r="R62" i="8"/>
  <c r="S62" i="8"/>
  <c r="T62" i="8"/>
  <c r="U62" i="8"/>
  <c r="Q64" i="8"/>
  <c r="R64" i="8"/>
  <c r="S64" i="8"/>
  <c r="T64" i="8"/>
  <c r="U64" i="8"/>
  <c r="Q212" i="91"/>
  <c r="BN212" i="91"/>
  <c r="Q213" i="91"/>
  <c r="BN213" i="91"/>
  <c r="Q214" i="91"/>
  <c r="BN214" i="91"/>
  <c r="Q215" i="91"/>
  <c r="BN215" i="91"/>
  <c r="Q216" i="91"/>
  <c r="BN216" i="91"/>
  <c r="Q221" i="91"/>
  <c r="BN221" i="91"/>
  <c r="Q222" i="91"/>
  <c r="BN222" i="91"/>
  <c r="Q223" i="91"/>
  <c r="BN223" i="91"/>
  <c r="Q224" i="91"/>
  <c r="BN224" i="91"/>
</calcChain>
</file>

<file path=xl/comments1.xml><?xml version="1.0" encoding="utf-8"?>
<comments xmlns="http://schemas.openxmlformats.org/spreadsheetml/2006/main">
  <authors>
    <author>Scott, Brian (Research)</author>
    <author>Kumar, Neel (Research)</author>
  </authors>
  <commentList>
    <comment ref="R21" authorId="0">
      <text>
        <r>
          <rPr>
            <b/>
            <sz val="9"/>
            <color indexed="81"/>
            <rFont val="Tahoma"/>
            <family val="2"/>
          </rPr>
          <t>Scott, Brian (Research):</t>
        </r>
        <r>
          <rPr>
            <sz val="9"/>
            <color indexed="81"/>
            <rFont val="Tahoma"/>
            <family val="2"/>
          </rPr>
          <t xml:space="preserve">
$560-570</t>
        </r>
      </text>
    </comment>
    <comment ref="BN28" authorId="1">
      <text>
        <r>
          <rPr>
            <b/>
            <sz val="9"/>
            <color indexed="81"/>
            <rFont val="Tahoma"/>
            <family val="2"/>
          </rPr>
          <t>Kumar, Neel (Research):</t>
        </r>
        <r>
          <rPr>
            <sz val="9"/>
            <color indexed="81"/>
            <rFont val="Tahoma"/>
            <family val="2"/>
          </rPr>
          <t xml:space="preserve">
Guidance of $280M with +/- 5% variance</t>
        </r>
      </text>
    </comment>
    <comment ref="Q35" authorId="1">
      <text>
        <r>
          <rPr>
            <b/>
            <sz val="9"/>
            <color indexed="81"/>
            <rFont val="Tahoma"/>
            <family val="2"/>
          </rPr>
          <t>Kumar, Neel (Research):</t>
        </r>
        <r>
          <rPr>
            <sz val="9"/>
            <color indexed="81"/>
            <rFont val="Tahoma"/>
            <family val="2"/>
          </rPr>
          <t xml:space="preserve">
Adjusted EBITDA in the Chlor Alkali Products and Vinyls segment is expected to increase significantly for full year 2017 compared to 2016</t>
        </r>
      </text>
    </comment>
    <comment ref="BF42" authorId="1">
      <text>
        <r>
          <rPr>
            <b/>
            <sz val="9"/>
            <color indexed="81"/>
            <rFont val="Tahoma"/>
            <family val="2"/>
          </rPr>
          <t>Kumar, Neel (Research):</t>
        </r>
        <r>
          <rPr>
            <sz val="9"/>
            <color indexed="81"/>
            <rFont val="Tahoma"/>
            <family val="2"/>
          </rPr>
          <t xml:space="preserve">
$6.7 million of additional cost of goods sold related to the fair value adjustment related to the purchase accounting for inventory </t>
        </r>
      </text>
    </comment>
    <comment ref="AY49" authorId="0">
      <text>
        <r>
          <rPr>
            <b/>
            <sz val="9"/>
            <color indexed="81"/>
            <rFont val="Tahoma"/>
            <family val="2"/>
          </rPr>
          <t>Scott, Brian (Research):</t>
        </r>
        <r>
          <rPr>
            <sz val="9"/>
            <color indexed="81"/>
            <rFont val="Tahoma"/>
            <family val="2"/>
          </rPr>
          <t xml:space="preserve">
Chemical Distribution</t>
        </r>
      </text>
    </comment>
    <comment ref="AZ49" authorId="0">
      <text>
        <r>
          <rPr>
            <b/>
            <sz val="9"/>
            <color indexed="81"/>
            <rFont val="Tahoma"/>
            <family val="2"/>
          </rPr>
          <t>Scott, Brian (Research):</t>
        </r>
        <r>
          <rPr>
            <sz val="9"/>
            <color indexed="81"/>
            <rFont val="Tahoma"/>
            <family val="2"/>
          </rPr>
          <t xml:space="preserve">
Chemical Distribution</t>
        </r>
      </text>
    </comment>
    <comment ref="BA49" authorId="0">
      <text>
        <r>
          <rPr>
            <b/>
            <sz val="9"/>
            <color indexed="81"/>
            <rFont val="Tahoma"/>
            <family val="2"/>
          </rPr>
          <t>Scott, Brian (Research):</t>
        </r>
        <r>
          <rPr>
            <sz val="9"/>
            <color indexed="81"/>
            <rFont val="Tahoma"/>
            <family val="2"/>
          </rPr>
          <t xml:space="preserve">
Chemical Distribution</t>
        </r>
      </text>
    </comment>
    <comment ref="BB49" authorId="0">
      <text>
        <r>
          <rPr>
            <b/>
            <sz val="9"/>
            <color indexed="81"/>
            <rFont val="Tahoma"/>
            <family val="2"/>
          </rPr>
          <t>Scott, Brian (Research):</t>
        </r>
        <r>
          <rPr>
            <sz val="9"/>
            <color indexed="81"/>
            <rFont val="Tahoma"/>
            <family val="2"/>
          </rPr>
          <t xml:space="preserve">
Chemical Distribution</t>
        </r>
      </text>
    </comment>
    <comment ref="BC49" authorId="0">
      <text>
        <r>
          <rPr>
            <b/>
            <sz val="9"/>
            <color indexed="81"/>
            <rFont val="Tahoma"/>
            <family val="2"/>
          </rPr>
          <t>Scott, Brian (Research):</t>
        </r>
        <r>
          <rPr>
            <sz val="9"/>
            <color indexed="81"/>
            <rFont val="Tahoma"/>
            <family val="2"/>
          </rPr>
          <t xml:space="preserve">
Chemical Distribution</t>
        </r>
      </text>
    </comment>
    <comment ref="AU56" authorId="0">
      <text>
        <r>
          <rPr>
            <b/>
            <sz val="9"/>
            <color indexed="81"/>
            <rFont val="Tahoma"/>
            <family val="2"/>
          </rPr>
          <t>Scott, Brian (Research):</t>
        </r>
        <r>
          <rPr>
            <sz val="9"/>
            <color indexed="81"/>
            <rFont val="Tahoma"/>
            <family val="2"/>
          </rPr>
          <t xml:space="preserve">
Assumes all acquired revenue</t>
        </r>
      </text>
    </comment>
    <comment ref="AV56" authorId="0">
      <text>
        <r>
          <rPr>
            <b/>
            <sz val="9"/>
            <color indexed="81"/>
            <rFont val="Tahoma"/>
            <family val="2"/>
          </rPr>
          <t>Scott, Brian (Research):</t>
        </r>
        <r>
          <rPr>
            <sz val="9"/>
            <color indexed="81"/>
            <rFont val="Tahoma"/>
            <family val="2"/>
          </rPr>
          <t xml:space="preserve">
Assumes all acquired revenue</t>
        </r>
      </text>
    </comment>
    <comment ref="AW56" authorId="0">
      <text>
        <r>
          <rPr>
            <b/>
            <sz val="9"/>
            <color indexed="81"/>
            <rFont val="Tahoma"/>
            <family val="2"/>
          </rPr>
          <t>Scott, Brian (Research):</t>
        </r>
        <r>
          <rPr>
            <sz val="9"/>
            <color indexed="81"/>
            <rFont val="Tahoma"/>
            <family val="2"/>
          </rPr>
          <t xml:space="preserve">
Assumes all acquired revenue</t>
        </r>
      </text>
    </comment>
    <comment ref="AX56" authorId="0">
      <text>
        <r>
          <rPr>
            <b/>
            <sz val="9"/>
            <color indexed="81"/>
            <rFont val="Tahoma"/>
            <family val="2"/>
          </rPr>
          <t>Scott, Brian (Research):</t>
        </r>
        <r>
          <rPr>
            <sz val="9"/>
            <color indexed="81"/>
            <rFont val="Tahoma"/>
            <family val="2"/>
          </rPr>
          <t xml:space="preserve">
Assumes all acquired revenue</t>
        </r>
      </text>
    </comment>
    <comment ref="BM61" authorId="0">
      <text>
        <r>
          <rPr>
            <b/>
            <sz val="9"/>
            <color indexed="81"/>
            <rFont val="Tahoma"/>
            <family val="2"/>
          </rPr>
          <t>Scott, Brian (Research):</t>
        </r>
        <r>
          <rPr>
            <sz val="9"/>
            <color indexed="81"/>
            <rFont val="Tahoma"/>
            <family val="2"/>
          </rPr>
          <t xml:space="preserve">
Mix</t>
        </r>
      </text>
    </comment>
    <comment ref="Q107" authorId="0">
      <text>
        <r>
          <rPr>
            <b/>
            <sz val="9"/>
            <color indexed="81"/>
            <rFont val="Tahoma"/>
            <family val="2"/>
          </rPr>
          <t>Scott, Brian (Research):</t>
        </r>
        <r>
          <rPr>
            <sz val="9"/>
            <color indexed="81"/>
            <rFont val="Tahoma"/>
            <family val="2"/>
          </rPr>
          <t xml:space="preserve">
Full year in the $80-85m range per 3Q17 Call</t>
        </r>
      </text>
    </comment>
    <comment ref="BM107" authorId="1">
      <text>
        <r>
          <rPr>
            <b/>
            <sz val="9"/>
            <color indexed="81"/>
            <rFont val="Tahoma"/>
            <family val="2"/>
          </rPr>
          <t>Kumar, Neel (Research):</t>
        </r>
        <r>
          <rPr>
            <sz val="9"/>
            <color indexed="81"/>
            <rFont val="Tahoma"/>
            <family val="2"/>
          </rPr>
          <t xml:space="preserve">
Epoxy third quarter 2017 segment earnings were reduced by $18.7 million as a result of the hurricane.</t>
        </r>
      </text>
    </comment>
    <comment ref="BN107" authorId="1">
      <text>
        <r>
          <rPr>
            <b/>
            <sz val="9"/>
            <color indexed="81"/>
            <rFont val="Tahoma"/>
            <family val="2"/>
          </rPr>
          <t>Kumar, Neel (Research):</t>
        </r>
        <r>
          <rPr>
            <sz val="9"/>
            <color indexed="81"/>
            <rFont val="Tahoma"/>
            <family val="2"/>
          </rPr>
          <t xml:space="preserve">
In the fourth quarter of 2017, higher product prices more than offset the impact of higher raw material costs, primarily associated with benzene
and propylene pricing, approximately $16 million of higher turnaround related costs and an approximately $9 million negative impact from
Hurricane Harvey</t>
        </r>
      </text>
    </comment>
    <comment ref="BO108" authorId="0">
      <text>
        <r>
          <rPr>
            <b/>
            <sz val="9"/>
            <color indexed="81"/>
            <rFont val="Tahoma"/>
            <family val="2"/>
          </rPr>
          <t>Scott, Brian (Research):</t>
        </r>
        <r>
          <rPr>
            <sz val="9"/>
            <color indexed="81"/>
            <rFont val="Tahoma"/>
            <family val="2"/>
          </rPr>
          <t xml:space="preserve">
Assumes base margin expansion then deducts maintenance headwind</t>
        </r>
      </text>
    </comment>
    <comment ref="BQ108" authorId="0">
      <text>
        <r>
          <rPr>
            <b/>
            <sz val="9"/>
            <color indexed="81"/>
            <rFont val="Tahoma"/>
            <family val="2"/>
          </rPr>
          <t>Scott, Brian (Research):</t>
        </r>
        <r>
          <rPr>
            <sz val="9"/>
            <color indexed="81"/>
            <rFont val="Tahoma"/>
            <family val="2"/>
          </rPr>
          <t xml:space="preserve">
Assumes base margin expansion over adjusted prior-year margin</t>
        </r>
      </text>
    </comment>
    <comment ref="BR108" authorId="0">
      <text>
        <r>
          <rPr>
            <b/>
            <sz val="9"/>
            <color indexed="81"/>
            <rFont val="Tahoma"/>
            <family val="2"/>
          </rPr>
          <t>Scott, Brian (Research):</t>
        </r>
        <r>
          <rPr>
            <sz val="9"/>
            <color indexed="81"/>
            <rFont val="Tahoma"/>
            <family val="2"/>
          </rPr>
          <t xml:space="preserve">
Assumes base margin expansion over adjusted prior-year margin</t>
        </r>
      </text>
    </comment>
    <comment ref="BM109" authorId="0">
      <text>
        <r>
          <rPr>
            <b/>
            <sz val="9"/>
            <color indexed="81"/>
            <rFont val="Tahoma"/>
            <family val="2"/>
          </rPr>
          <t>Scott, Brian (Research):</t>
        </r>
        <r>
          <rPr>
            <sz val="9"/>
            <color indexed="81"/>
            <rFont val="Tahoma"/>
            <family val="2"/>
          </rPr>
          <t xml:space="preserve">
Maintenenace plus $9m of harvey</t>
        </r>
      </text>
    </comment>
    <comment ref="BN109" authorId="0">
      <text>
        <r>
          <rPr>
            <b/>
            <sz val="9"/>
            <color indexed="81"/>
            <rFont val="Tahoma"/>
            <family val="2"/>
          </rPr>
          <t>Scott, Brian (Research):</t>
        </r>
        <r>
          <rPr>
            <sz val="9"/>
            <color indexed="81"/>
            <rFont val="Tahoma"/>
            <family val="2"/>
          </rPr>
          <t xml:space="preserve">
Maintenenace plus $9m of harvey</t>
        </r>
      </text>
    </comment>
    <comment ref="Q116" authorId="1">
      <text>
        <r>
          <rPr>
            <b/>
            <sz val="9"/>
            <color indexed="81"/>
            <rFont val="Tahoma"/>
            <family val="2"/>
          </rPr>
          <t>Kumar, Neel (Research):</t>
        </r>
        <r>
          <rPr>
            <sz val="9"/>
            <color indexed="81"/>
            <rFont val="Tahoma"/>
            <family val="2"/>
          </rPr>
          <t xml:space="preserve">
Epoxy 2017 segment income is expected to be equal to or slightly lower than 2016 segment income of $15.4 million as improved volumes and pricing year over year are expected to be more than offset by the higher raw material costs, associated with benzene and propylene, and increased turnaround and outage costs.</t>
        </r>
      </text>
    </comment>
    <comment ref="BF116" authorId="1">
      <text>
        <r>
          <rPr>
            <b/>
            <sz val="9"/>
            <color indexed="81"/>
            <rFont val="Tahoma"/>
            <family val="2"/>
          </rPr>
          <t>Kumar, Neel (Research):</t>
        </r>
        <r>
          <rPr>
            <sz val="9"/>
            <color indexed="81"/>
            <rFont val="Tahoma"/>
            <family val="2"/>
          </rPr>
          <t xml:space="preserve">
The segment earnings also included $17.3 million of additional cost of goods sold related to the fair value adjustment related to the purchase accounting for inventory.</t>
        </r>
      </text>
    </comment>
    <comment ref="BN117" authorId="0">
      <text>
        <r>
          <rPr>
            <b/>
            <sz val="9"/>
            <color indexed="81"/>
            <rFont val="Tahoma"/>
            <family val="2"/>
          </rPr>
          <t>Scott, Brian (Research):</t>
        </r>
        <r>
          <rPr>
            <sz val="9"/>
            <color indexed="81"/>
            <rFont val="Tahoma"/>
            <family val="2"/>
          </rPr>
          <t xml:space="preserve">
Takes ~1 quarter to catch up to raw material inflation on pricing</t>
        </r>
      </text>
    </comment>
    <comment ref="BM122" authorId="1">
      <text>
        <r>
          <rPr>
            <b/>
            <sz val="9"/>
            <color indexed="81"/>
            <rFont val="Tahoma"/>
            <family val="2"/>
          </rPr>
          <t>Kumar, Neel (Research):</t>
        </r>
        <r>
          <rPr>
            <sz val="9"/>
            <color indexed="81"/>
            <rFont val="Tahoma"/>
            <family val="2"/>
          </rPr>
          <t xml:space="preserve">
Third quarter 2017 Epoxy adjusted EBITDA of $22.7 million declined approximately $10 million year-over-year, principally due to the $18.7 million of additional costs, unabsorbed fixed manufacturing costs and reduced profits from the lost sales associated with Hurricane Harvey</t>
        </r>
      </text>
    </comment>
    <comment ref="BL132" authorId="1">
      <text>
        <r>
          <rPr>
            <b/>
            <sz val="9"/>
            <color indexed="81"/>
            <rFont val="Tahoma"/>
            <family val="2"/>
          </rPr>
          <t>Kumar, Neel (Research):</t>
        </r>
        <r>
          <rPr>
            <sz val="9"/>
            <color indexed="81"/>
            <rFont val="Tahoma"/>
            <family val="2"/>
          </rPr>
          <t xml:space="preserve">
21-day unplanned Bisphenol-A outage in Freeport</t>
        </r>
      </text>
    </comment>
    <comment ref="BM132" authorId="1">
      <text>
        <r>
          <rPr>
            <b/>
            <sz val="9"/>
            <color indexed="81"/>
            <rFont val="Tahoma"/>
            <family val="2"/>
          </rPr>
          <t>Kumar, Neel (Research):</t>
        </r>
        <r>
          <rPr>
            <sz val="9"/>
            <color indexed="81"/>
            <rFont val="Tahoma"/>
            <family val="2"/>
          </rPr>
          <t xml:space="preserve">
Hurricane harvey impact</t>
        </r>
      </text>
    </comment>
    <comment ref="B136" authorId="0">
      <text>
        <r>
          <rPr>
            <b/>
            <sz val="9"/>
            <color indexed="81"/>
            <rFont val="Tahoma"/>
            <family val="2"/>
          </rPr>
          <t>Scott, Brian (Research):</t>
        </r>
        <r>
          <rPr>
            <sz val="9"/>
            <color indexed="81"/>
            <rFont val="Tahoma"/>
            <family val="2"/>
          </rPr>
          <t xml:space="preserve">
Assumes ~20% sensitivity to ECH, 80% to LER</t>
        </r>
      </text>
    </comment>
    <comment ref="B140" authorId="0">
      <text>
        <r>
          <rPr>
            <b/>
            <sz val="9"/>
            <color indexed="81"/>
            <rFont val="Tahoma"/>
            <family val="2"/>
          </rPr>
          <t>Scott, Brian (Research):</t>
        </r>
        <r>
          <rPr>
            <sz val="9"/>
            <color indexed="81"/>
            <rFont val="Tahoma"/>
            <family val="2"/>
          </rPr>
          <t xml:space="preserve">
Assumes equal sensitivity to benzene, propylene, and chlor-alkali (0 factor given vertical integration)</t>
        </r>
      </text>
    </comment>
    <comment ref="BO145" authorId="0">
      <text>
        <r>
          <rPr>
            <b/>
            <sz val="9"/>
            <color indexed="81"/>
            <rFont val="Tahoma"/>
            <family val="2"/>
          </rPr>
          <t>Scott, Brian (Research):</t>
        </r>
        <r>
          <rPr>
            <sz val="9"/>
            <color indexed="81"/>
            <rFont val="Tahoma"/>
            <family val="2"/>
          </rPr>
          <t xml:space="preserve">
Pricing benefit pronounced in Q1, like Q4</t>
        </r>
      </text>
    </comment>
    <comment ref="BO195" authorId="1">
      <text>
        <r>
          <rPr>
            <b/>
            <sz val="9"/>
            <color indexed="81"/>
            <rFont val="Tahoma"/>
            <family val="2"/>
          </rPr>
          <t>Kumar, Neel (Research):</t>
        </r>
        <r>
          <rPr>
            <sz val="9"/>
            <color indexed="81"/>
            <rFont val="Tahoma"/>
            <family val="2"/>
          </rPr>
          <t xml:space="preserve">
Tough comp in 1Q</t>
        </r>
      </text>
    </comment>
    <comment ref="Q198" authorId="1">
      <text>
        <r>
          <rPr>
            <b/>
            <sz val="9"/>
            <color indexed="81"/>
            <rFont val="Tahoma"/>
            <family val="2"/>
          </rPr>
          <t>Kumar, Neel (Research):</t>
        </r>
        <r>
          <rPr>
            <sz val="9"/>
            <color indexed="81"/>
            <rFont val="Tahoma"/>
            <family val="2"/>
          </rPr>
          <t xml:space="preserve">
3Q17 Call: We expect 4Q to be similar to 3Q, that would put you at ~$100m of EBITDA for the year
As of 2Q17: Winchester's full year 2017 adjusted EBITDA will be in the $115 million to $125 million range. 
And I think what you'll see is a run rate in the second half that would support $125 million a year of EBITDA.</t>
        </r>
      </text>
    </comment>
    <comment ref="Q205" authorId="1">
      <text>
        <r>
          <rPr>
            <b/>
            <sz val="9"/>
            <color indexed="81"/>
            <rFont val="Tahoma"/>
            <family val="2"/>
          </rPr>
          <t>Kumar, Neel (Research):</t>
        </r>
        <r>
          <rPr>
            <sz val="9"/>
            <color indexed="81"/>
            <rFont val="Tahoma"/>
            <family val="2"/>
          </rPr>
          <t xml:space="preserve">
As of 10-Q (2Q): Winchester 2017 segment income is expected to be in the $95 million to $105 million range</t>
        </r>
      </text>
    </comment>
    <comment ref="BN206" authorId="0">
      <text>
        <r>
          <rPr>
            <b/>
            <sz val="9"/>
            <color indexed="81"/>
            <rFont val="Tahoma"/>
            <family val="2"/>
          </rPr>
          <t>Scott, Brian (Research):</t>
        </r>
        <r>
          <rPr>
            <sz val="9"/>
            <color indexed="81"/>
            <rFont val="Tahoma"/>
            <family val="2"/>
          </rPr>
          <t xml:space="preserve">
Pricing expected to take effect in 2018</t>
        </r>
      </text>
    </comment>
    <comment ref="BM211" authorId="0">
      <text>
        <r>
          <rPr>
            <b/>
            <sz val="9"/>
            <color indexed="81"/>
            <rFont val="Tahoma"/>
            <family val="2"/>
          </rPr>
          <t>Scott, Brian (Research):</t>
        </r>
        <r>
          <rPr>
            <sz val="9"/>
            <color indexed="81"/>
            <rFont val="Tahoma"/>
            <family val="2"/>
          </rPr>
          <t xml:space="preserve">
Includes Law Enforcement</t>
        </r>
      </text>
    </comment>
    <comment ref="BN211" authorId="0">
      <text>
        <r>
          <rPr>
            <b/>
            <sz val="9"/>
            <color indexed="81"/>
            <rFont val="Tahoma"/>
            <family val="2"/>
          </rPr>
          <t>Scott, Brian (Research):</t>
        </r>
        <r>
          <rPr>
            <sz val="9"/>
            <color indexed="81"/>
            <rFont val="Tahoma"/>
            <family val="2"/>
          </rPr>
          <t xml:space="preserve">
Includes Law Enforcement</t>
        </r>
      </text>
    </comment>
    <comment ref="BN219" authorId="1">
      <text>
        <r>
          <rPr>
            <b/>
            <sz val="9"/>
            <color indexed="81"/>
            <rFont val="Tahoma"/>
            <family val="2"/>
          </rPr>
          <t>Kumar, Neel (Research):</t>
        </r>
        <r>
          <rPr>
            <sz val="9"/>
            <color indexed="81"/>
            <rFont val="Tahoma"/>
            <family val="2"/>
          </rPr>
          <t xml:space="preserve">
Winchester's fourth quarter
2017 segment earnings are expected to be below fourth quarter 2016 levels due to the continuation of lower commercial ammunition sales and
higher commodity and other material costs.</t>
        </r>
      </text>
    </comment>
    <comment ref="BO220" authorId="0">
      <text>
        <r>
          <rPr>
            <b/>
            <sz val="9"/>
            <color indexed="81"/>
            <rFont val="Tahoma"/>
            <family val="2"/>
          </rPr>
          <t>Scott, Brian (Research):</t>
        </r>
        <r>
          <rPr>
            <sz val="9"/>
            <color indexed="81"/>
            <rFont val="Tahoma"/>
            <family val="2"/>
          </rPr>
          <t xml:space="preserve">
Military sales are expected to be 25% of 2018 sales vs 10-15% typically</t>
        </r>
      </text>
    </comment>
    <comment ref="B233" authorId="1">
      <text>
        <r>
          <rPr>
            <b/>
            <sz val="9"/>
            <color indexed="81"/>
            <rFont val="Tahoma"/>
            <family val="2"/>
          </rPr>
          <t>Kumar, Neel (Research):</t>
        </r>
        <r>
          <rPr>
            <sz val="9"/>
            <color indexed="81"/>
            <rFont val="Tahoma"/>
            <family val="2"/>
          </rPr>
          <t xml:space="preserve">
Per 2/9/16 Olin Investor Day Presentaiton; Based on NSSF</t>
        </r>
      </text>
    </comment>
    <comment ref="B236" authorId="1">
      <text>
        <r>
          <rPr>
            <b/>
            <sz val="9"/>
            <color indexed="81"/>
            <rFont val="Tahoma"/>
            <family val="2"/>
          </rPr>
          <t>Kumar, Neel (Research):</t>
        </r>
        <r>
          <rPr>
            <sz val="9"/>
            <color indexed="81"/>
            <rFont val="Tahoma"/>
            <family val="2"/>
          </rPr>
          <t xml:space="preserve">
per IBISWorld</t>
        </r>
      </text>
    </comment>
    <comment ref="Q247" authorId="0">
      <text>
        <r>
          <rPr>
            <b/>
            <sz val="9"/>
            <color indexed="81"/>
            <rFont val="Tahoma"/>
            <family val="2"/>
          </rPr>
          <t>Scott, Brian (Research):</t>
        </r>
        <r>
          <rPr>
            <sz val="9"/>
            <color indexed="81"/>
            <rFont val="Tahoma"/>
            <family val="2"/>
          </rPr>
          <t xml:space="preserve">
$40M-$45M per guidance</t>
        </r>
      </text>
    </comment>
    <comment ref="R247" authorId="0">
      <text>
        <r>
          <rPr>
            <b/>
            <sz val="9"/>
            <color indexed="81"/>
            <rFont val="Tahoma"/>
            <family val="2"/>
          </rPr>
          <t>Scott, Brian (Research):</t>
        </r>
        <r>
          <rPr>
            <sz val="9"/>
            <color indexed="81"/>
            <rFont val="Tahoma"/>
            <family val="2"/>
          </rPr>
          <t xml:space="preserve">
$30M-$40M per guidance</t>
        </r>
      </text>
    </comment>
    <comment ref="Q248" authorId="0">
      <text>
        <r>
          <rPr>
            <b/>
            <sz val="9"/>
            <color indexed="81"/>
            <rFont val="Tahoma"/>
            <family val="2"/>
          </rPr>
          <t>Scott, Brian (Research):</t>
        </r>
        <r>
          <rPr>
            <sz val="9"/>
            <color indexed="81"/>
            <rFont val="Tahoma"/>
            <family val="2"/>
          </rPr>
          <t xml:space="preserve">
$8M-10M per guidance</t>
        </r>
      </text>
    </comment>
    <comment ref="R248" authorId="0">
      <text>
        <r>
          <rPr>
            <b/>
            <sz val="9"/>
            <color indexed="81"/>
            <rFont val="Tahoma"/>
            <family val="2"/>
          </rPr>
          <t>Scott, Brian (Research):</t>
        </r>
        <r>
          <rPr>
            <sz val="9"/>
            <color indexed="81"/>
            <rFont val="Tahoma"/>
            <family val="2"/>
          </rPr>
          <t xml:space="preserve">
$15M-20M per guidance</t>
        </r>
      </text>
    </comment>
    <comment ref="Q251" authorId="0">
      <text>
        <r>
          <rPr>
            <b/>
            <sz val="9"/>
            <color indexed="81"/>
            <rFont val="Tahoma"/>
            <family val="2"/>
          </rPr>
          <t>Scott, Brian (Research):</t>
        </r>
        <r>
          <rPr>
            <sz val="9"/>
            <color indexed="81"/>
            <rFont val="Tahoma"/>
            <family val="2"/>
          </rPr>
          <t xml:space="preserve">
$110-115m per guidance</t>
        </r>
      </text>
    </comment>
    <comment ref="R251" authorId="0">
      <text>
        <r>
          <rPr>
            <b/>
            <sz val="9"/>
            <color indexed="81"/>
            <rFont val="Tahoma"/>
            <family val="2"/>
          </rPr>
          <t>Scott, Brian (Research):</t>
        </r>
        <r>
          <rPr>
            <sz val="9"/>
            <color indexed="81"/>
            <rFont val="Tahoma"/>
            <family val="2"/>
          </rPr>
          <t xml:space="preserve">
$120-130m per guidance</t>
        </r>
      </text>
    </comment>
    <comment ref="BG252" authorId="1">
      <text>
        <r>
          <rPr>
            <b/>
            <sz val="9"/>
            <color indexed="81"/>
            <rFont val="Tahoma"/>
            <family val="2"/>
          </rPr>
          <t>Kumar, Neel (Research):</t>
        </r>
        <r>
          <rPr>
            <sz val="9"/>
            <color indexed="81"/>
            <rFont val="Tahoma"/>
            <family val="2"/>
          </rPr>
          <t xml:space="preserve">
Excludes $11M insurance recovery for propety damage</t>
        </r>
      </text>
    </comment>
    <comment ref="BN252" authorId="0">
      <text>
        <r>
          <rPr>
            <b/>
            <sz val="9"/>
            <color indexed="81"/>
            <rFont val="Tahoma"/>
            <family val="2"/>
          </rPr>
          <t>Scott, Brian (Research):</t>
        </r>
        <r>
          <rPr>
            <sz val="9"/>
            <color indexed="81"/>
            <rFont val="Tahoma"/>
            <family val="2"/>
          </rPr>
          <t xml:space="preserve">
2.4m IT project
-3.3m Non-recurring</t>
        </r>
      </text>
    </comment>
  </commentList>
</comments>
</file>

<file path=xl/comments2.xml><?xml version="1.0" encoding="utf-8"?>
<comments xmlns="http://schemas.openxmlformats.org/spreadsheetml/2006/main">
  <authors>
    <author>Scott, Brian (Research)</author>
    <author>Kumar, Neel (Research)</author>
    <author>Andrejkovics, Matthew (Research)</author>
  </authors>
  <commentList>
    <comment ref="U18" authorId="0">
      <text>
        <r>
          <rPr>
            <b/>
            <sz val="9"/>
            <color indexed="81"/>
            <rFont val="Tahoma"/>
            <family val="2"/>
          </rPr>
          <t>Scott, Brian (Research):</t>
        </r>
        <r>
          <rPr>
            <sz val="9"/>
            <color indexed="81"/>
            <rFont val="Tahoma"/>
            <family val="2"/>
          </rPr>
          <t xml:space="preserve">
$175m realized per 4Q17 presentation</t>
        </r>
      </text>
    </comment>
    <comment ref="CD18" authorId="0">
      <text>
        <r>
          <rPr>
            <b/>
            <sz val="9"/>
            <color indexed="81"/>
            <rFont val="Tahoma"/>
            <family val="2"/>
          </rPr>
          <t>Scott, Brian (Research):</t>
        </r>
        <r>
          <rPr>
            <sz val="9"/>
            <color indexed="81"/>
            <rFont val="Tahoma"/>
            <family val="2"/>
          </rPr>
          <t xml:space="preserve">
$250-275 recognized in 2018</t>
        </r>
      </text>
    </comment>
    <comment ref="Y67" authorId="1">
      <text>
        <r>
          <rPr>
            <b/>
            <sz val="9"/>
            <color indexed="81"/>
            <rFont val="Tahoma"/>
            <family val="2"/>
          </rPr>
          <t>Kumar, Neel (Research):</t>
        </r>
        <r>
          <rPr>
            <sz val="9"/>
            <color indexed="81"/>
            <rFont val="Tahoma"/>
            <family val="2"/>
          </rPr>
          <t xml:space="preserve">
Per 1Q17 Call: We had exercised the option on that ethylene -- third tranche of ethylene. It's obviously not going to be received until 2020, but I would take that as an indication that we've reached an agreement to extend that contract, and we will have a need for the ethylene</t>
        </r>
      </text>
    </comment>
    <comment ref="W83" authorId="2">
      <text>
        <r>
          <rPr>
            <b/>
            <sz val="9"/>
            <color indexed="81"/>
            <rFont val="Tahoma"/>
            <family val="2"/>
          </rPr>
          <t>Scott, Brian (Research):</t>
        </r>
        <r>
          <rPr>
            <sz val="9"/>
            <color indexed="81"/>
            <rFont val="Tahoma"/>
            <family val="2"/>
          </rPr>
          <t xml:space="preserve">
MS historical relationship between Ethane prices and cash costs</t>
        </r>
      </text>
    </comment>
    <comment ref="X83" authorId="2">
      <text>
        <r>
          <rPr>
            <b/>
            <sz val="9"/>
            <color indexed="81"/>
            <rFont val="Tahoma"/>
            <family val="2"/>
          </rPr>
          <t>Scott, Brian (Research):</t>
        </r>
        <r>
          <rPr>
            <sz val="9"/>
            <color indexed="81"/>
            <rFont val="Tahoma"/>
            <family val="2"/>
          </rPr>
          <t xml:space="preserve">
MS historical relationship between Ethane prices and cash costs</t>
        </r>
      </text>
    </comment>
    <comment ref="Y83" authorId="2">
      <text>
        <r>
          <rPr>
            <b/>
            <sz val="9"/>
            <color indexed="81"/>
            <rFont val="Tahoma"/>
            <family val="2"/>
          </rPr>
          <t>Scott, Brian (Research):</t>
        </r>
        <r>
          <rPr>
            <sz val="9"/>
            <color indexed="81"/>
            <rFont val="Tahoma"/>
            <family val="2"/>
          </rPr>
          <t xml:space="preserve">
MS historical relationship between Ethane prices and cash costs</t>
        </r>
      </text>
    </comment>
    <comment ref="BS96" authorId="1">
      <text>
        <r>
          <rPr>
            <b/>
            <sz val="9"/>
            <color indexed="81"/>
            <rFont val="Tahoma"/>
            <family val="2"/>
          </rPr>
          <t>Kumar, Neel (Research):</t>
        </r>
        <r>
          <rPr>
            <sz val="9"/>
            <color indexed="81"/>
            <rFont val="Tahoma"/>
            <family val="2"/>
          </rPr>
          <t xml:space="preserve">
VCM Cash cost of $450/mt per IHS less ethylene cost component</t>
        </r>
      </text>
    </comment>
    <comment ref="CA103" authorId="0">
      <text>
        <r>
          <rPr>
            <b/>
            <sz val="9"/>
            <color indexed="81"/>
            <rFont val="Tahoma"/>
            <family val="2"/>
          </rPr>
          <t>Scott, Brian (Research):</t>
        </r>
        <r>
          <rPr>
            <sz val="9"/>
            <color indexed="81"/>
            <rFont val="Tahoma"/>
            <family val="2"/>
          </rPr>
          <t xml:space="preserve">
Volume down y/y</t>
        </r>
      </text>
    </comment>
    <comment ref="BZ150" authorId="0">
      <text>
        <r>
          <rPr>
            <b/>
            <sz val="9"/>
            <color indexed="81"/>
            <rFont val="Tahoma"/>
            <family val="2"/>
          </rPr>
          <t>Scott, Brian (Research):</t>
        </r>
        <r>
          <rPr>
            <sz val="9"/>
            <color indexed="81"/>
            <rFont val="Tahoma"/>
            <family val="2"/>
          </rPr>
          <t xml:space="preserve">
Expect chlorine prices to rise further, rose $15 in 3Q and $25-30 announced effective Oct 1</t>
        </r>
      </text>
    </comment>
    <comment ref="BX162" authorId="1">
      <text>
        <r>
          <rPr>
            <b/>
            <sz val="9"/>
            <color indexed="81"/>
            <rFont val="Tahoma"/>
            <family val="2"/>
          </rPr>
          <t>Kumar, Neel (Research):</t>
        </r>
        <r>
          <rPr>
            <sz val="9"/>
            <color indexed="81"/>
            <rFont val="Tahoma"/>
            <family val="2"/>
          </rPr>
          <t xml:space="preserve">
Chlorine prices in the second quarter of 2017 were similar to first quarter levels and increased approximately 5% year-over-year</t>
        </r>
      </text>
    </comment>
    <comment ref="BY162" authorId="1">
      <text>
        <r>
          <rPr>
            <b/>
            <sz val="9"/>
            <color indexed="81"/>
            <rFont val="Tahoma"/>
            <family val="2"/>
          </rPr>
          <t>Kumar, Neel (Research):</t>
        </r>
        <r>
          <rPr>
            <sz val="9"/>
            <color indexed="81"/>
            <rFont val="Tahoma"/>
            <family val="2"/>
          </rPr>
          <t xml:space="preserve">
Although chlorine
prices in the third quarter of 2017 were similar to second quarter levels, we believe there is positive pricing momentum for chlorine</t>
        </r>
      </text>
    </comment>
    <comment ref="BS177" authorId="0">
      <text>
        <r>
          <rPr>
            <b/>
            <sz val="9"/>
            <color indexed="81"/>
            <rFont val="Tahoma"/>
            <family val="2"/>
          </rPr>
          <t>Scott, Brian (Research):</t>
        </r>
        <r>
          <rPr>
            <sz val="9"/>
            <color indexed="81"/>
            <rFont val="Tahoma"/>
            <family val="2"/>
          </rPr>
          <t xml:space="preserve">
95% industry op rate in 2015 per IHS </t>
        </r>
      </text>
    </comment>
    <comment ref="BY215" authorId="1">
      <text>
        <r>
          <rPr>
            <b/>
            <sz val="9"/>
            <color indexed="81"/>
            <rFont val="Tahoma"/>
            <family val="2"/>
          </rPr>
          <t>Kumar, Neel (Research):</t>
        </r>
        <r>
          <rPr>
            <sz val="9"/>
            <color indexed="81"/>
            <rFont val="Tahoma"/>
            <family val="2"/>
          </rPr>
          <t xml:space="preserve">
20% of caustic being exported per 3Q17 call</t>
        </r>
      </text>
    </comment>
    <comment ref="BZ215" authorId="1">
      <text>
        <r>
          <rPr>
            <b/>
            <sz val="9"/>
            <color indexed="81"/>
            <rFont val="Tahoma"/>
            <family val="2"/>
          </rPr>
          <t>Kumar, Neel (Research):</t>
        </r>
        <r>
          <rPr>
            <sz val="9"/>
            <color indexed="81"/>
            <rFont val="Tahoma"/>
            <family val="2"/>
          </rPr>
          <t xml:space="preserve">
20-25% of caustic being exported per 4Q17 call</t>
        </r>
      </text>
    </comment>
    <comment ref="BX239" authorId="1">
      <text>
        <r>
          <rPr>
            <b/>
            <sz val="9"/>
            <color indexed="81"/>
            <rFont val="Tahoma"/>
            <family val="2"/>
          </rPr>
          <t>Kumar, Neel (Research):</t>
        </r>
        <r>
          <rPr>
            <sz val="9"/>
            <color indexed="81"/>
            <rFont val="Tahoma"/>
            <family val="2"/>
          </rPr>
          <t xml:space="preserve">
Caustic soda prices in the Olin system increased approximately 8% in the second quarter of 2017 compared to the first quarter</t>
        </r>
      </text>
    </comment>
    <comment ref="BY239" authorId="1">
      <text>
        <r>
          <rPr>
            <b/>
            <sz val="9"/>
            <color indexed="81"/>
            <rFont val="Tahoma"/>
            <family val="2"/>
          </rPr>
          <t>Kumar, Neel (Research):</t>
        </r>
        <r>
          <rPr>
            <sz val="9"/>
            <color indexed="81"/>
            <rFont val="Tahoma"/>
            <family val="2"/>
          </rPr>
          <t xml:space="preserve">
Caustic soda prices in the Olin system increased approximately 6% in the third quarter of 2017 compared to the second
quarter</t>
        </r>
      </text>
    </comment>
    <comment ref="CA246" authorId="0">
      <text>
        <r>
          <rPr>
            <b/>
            <sz val="9"/>
            <color indexed="81"/>
            <rFont val="Tahoma"/>
            <family val="2"/>
          </rPr>
          <t>Scott, Brian (Research):</t>
        </r>
        <r>
          <rPr>
            <sz val="9"/>
            <color indexed="81"/>
            <rFont val="Tahoma"/>
            <family val="2"/>
          </rPr>
          <t xml:space="preserve">
Raised realization to 95-100%</t>
        </r>
      </text>
    </comment>
    <comment ref="CA253" authorId="0">
      <text>
        <r>
          <rPr>
            <b/>
            <sz val="9"/>
            <color indexed="81"/>
            <rFont val="Tahoma"/>
            <family val="2"/>
          </rPr>
          <t>Scott, Brian (Research):</t>
        </r>
        <r>
          <rPr>
            <sz val="9"/>
            <color indexed="81"/>
            <rFont val="Tahoma"/>
            <family val="2"/>
          </rPr>
          <t xml:space="preserve">
Lag updated to 30-90 days per 4Q17 call</t>
        </r>
      </text>
    </comment>
    <comment ref="CA254" authorId="0">
      <text>
        <r>
          <rPr>
            <b/>
            <sz val="9"/>
            <color indexed="81"/>
            <rFont val="Tahoma"/>
            <family val="2"/>
          </rPr>
          <t>Scott, Brian (Research):</t>
        </r>
        <r>
          <rPr>
            <sz val="9"/>
            <color indexed="81"/>
            <rFont val="Tahoma"/>
            <family val="2"/>
          </rPr>
          <t xml:space="preserve">
Raised index realization to 50-100%</t>
        </r>
      </text>
    </comment>
    <comment ref="W398" authorId="2">
      <text>
        <r>
          <rPr>
            <b/>
            <sz val="9"/>
            <color indexed="81"/>
            <rFont val="Tahoma"/>
            <family val="2"/>
          </rPr>
          <t>Scott, Brian (Research):</t>
        </r>
        <r>
          <rPr>
            <sz val="9"/>
            <color indexed="81"/>
            <rFont val="Tahoma"/>
            <family val="2"/>
          </rPr>
          <t xml:space="preserve">
ethane ~ 66,500 BTU/gal
10c/gal above fuel value as market tigthens from new crackers</t>
        </r>
      </text>
    </comment>
    <comment ref="X398" authorId="2">
      <text>
        <r>
          <rPr>
            <b/>
            <sz val="9"/>
            <color indexed="81"/>
            <rFont val="Tahoma"/>
            <family val="2"/>
          </rPr>
          <t>Scott, Brian (Research):</t>
        </r>
        <r>
          <rPr>
            <sz val="9"/>
            <color indexed="81"/>
            <rFont val="Tahoma"/>
            <family val="2"/>
          </rPr>
          <t xml:space="preserve">
ethane ~ 66,500 BTU/gal
10c/gal above fuel value as market tigthens from new crackers</t>
        </r>
      </text>
    </comment>
    <comment ref="Y398" authorId="2">
      <text>
        <r>
          <rPr>
            <b/>
            <sz val="9"/>
            <color indexed="81"/>
            <rFont val="Tahoma"/>
            <family val="2"/>
          </rPr>
          <t>Scott, Brian (Research):</t>
        </r>
        <r>
          <rPr>
            <sz val="9"/>
            <color indexed="81"/>
            <rFont val="Tahoma"/>
            <family val="2"/>
          </rPr>
          <t xml:space="preserve">
ethane ~ 66,500 BTU/gal
10c/gal above fuel value as market tigthens from new crackers</t>
        </r>
      </text>
    </comment>
    <comment ref="B464" authorId="1">
      <text>
        <r>
          <rPr>
            <b/>
            <sz val="9"/>
            <color indexed="81"/>
            <rFont val="Tahoma"/>
            <family val="2"/>
          </rPr>
          <t>Kumar, Neel (Research):</t>
        </r>
        <r>
          <rPr>
            <sz val="9"/>
            <color indexed="81"/>
            <rFont val="Tahoma"/>
            <family val="2"/>
          </rPr>
          <t xml:space="preserve">
Via Propylene Chlorohydrin process</t>
        </r>
      </text>
    </comment>
  </commentList>
</comments>
</file>

<file path=xl/comments3.xml><?xml version="1.0" encoding="utf-8"?>
<comments xmlns="http://schemas.openxmlformats.org/spreadsheetml/2006/main">
  <authors>
    <author>Scott, Brian (Research)</author>
    <author>Charles Dan</author>
    <author>dancharl</author>
    <author>Kumar, Neel (Research)</author>
  </authors>
  <commentList>
    <comment ref="R14" authorId="0">
      <text>
        <r>
          <rPr>
            <b/>
            <sz val="9"/>
            <color indexed="81"/>
            <rFont val="Tahoma"/>
            <family val="2"/>
          </rPr>
          <t>Scott, Brian (Research):</t>
        </r>
        <r>
          <rPr>
            <sz val="9"/>
            <color indexed="81"/>
            <rFont val="Tahoma"/>
            <family val="2"/>
          </rPr>
          <t xml:space="preserve">
$240m</t>
        </r>
      </text>
    </comment>
    <comment ref="J21" authorId="1">
      <text>
        <r>
          <rPr>
            <b/>
            <sz val="8"/>
            <color indexed="81"/>
            <rFont val="Tahoma"/>
            <family val="2"/>
          </rPr>
          <t>Charles Dan:</t>
        </r>
        <r>
          <rPr>
            <sz val="8"/>
            <color indexed="81"/>
            <rFont val="Tahoma"/>
            <family val="2"/>
          </rPr>
          <t xml:space="preserve">
24-25% in 2010 per Nov 3, 2009 guidance</t>
        </r>
      </text>
    </comment>
    <comment ref="K21" authorId="2">
      <text>
        <r>
          <rPr>
            <b/>
            <sz val="8"/>
            <color indexed="81"/>
            <rFont val="Tahoma"/>
            <family val="2"/>
          </rPr>
          <t>dancharl:</t>
        </r>
        <r>
          <rPr>
            <sz val="8"/>
            <color indexed="81"/>
            <rFont val="Tahoma"/>
            <family val="2"/>
          </rPr>
          <t xml:space="preserve">
20-21% guidance</t>
        </r>
      </text>
    </comment>
    <comment ref="Q41" authorId="0">
      <text>
        <r>
          <rPr>
            <b/>
            <sz val="9"/>
            <color indexed="81"/>
            <rFont val="Tahoma"/>
            <family val="2"/>
          </rPr>
          <t>Scott, Brian (Research):</t>
        </r>
        <r>
          <rPr>
            <sz val="9"/>
            <color indexed="81"/>
            <rFont val="Tahoma"/>
            <family val="2"/>
          </rPr>
          <t xml:space="preserve">
$50m total restructuring and acquisitions</t>
        </r>
      </text>
    </comment>
    <comment ref="BG41" authorId="3">
      <text>
        <r>
          <rPr>
            <b/>
            <sz val="9"/>
            <color indexed="81"/>
            <rFont val="Tahoma"/>
            <family val="2"/>
          </rPr>
          <t>Kumar, Neel (Research):</t>
        </r>
        <r>
          <rPr>
            <sz val="9"/>
            <color indexed="81"/>
            <rFont val="Tahoma"/>
            <family val="2"/>
          </rPr>
          <t xml:space="preserve">
Company started adjusting out restructuring charges from Adj. EBITDA in 1Q16</t>
        </r>
      </text>
    </comment>
    <comment ref="Q42" authorId="0">
      <text>
        <r>
          <rPr>
            <b/>
            <sz val="9"/>
            <color indexed="81"/>
            <rFont val="Tahoma"/>
            <family val="2"/>
          </rPr>
          <t>Scott, Brian (Research):</t>
        </r>
        <r>
          <rPr>
            <sz val="9"/>
            <color indexed="81"/>
            <rFont val="Tahoma"/>
            <family val="2"/>
          </rPr>
          <t xml:space="preserve">
$50m total restructuring and acquisitions</t>
        </r>
      </text>
    </comment>
    <comment ref="R42" authorId="3">
      <text>
        <r>
          <rPr>
            <b/>
            <sz val="9"/>
            <color indexed="81"/>
            <rFont val="Tahoma"/>
            <family val="2"/>
          </rPr>
          <t>Kumar, Neel (Research):</t>
        </r>
        <r>
          <rPr>
            <sz val="9"/>
            <color indexed="81"/>
            <rFont val="Tahoma"/>
            <family val="2"/>
          </rPr>
          <t xml:space="preserve">
$70M of total restructuring &amp; acquisition related charges including IT project of $50M</t>
        </r>
      </text>
    </comment>
    <comment ref="R43" authorId="3">
      <text>
        <r>
          <rPr>
            <b/>
            <sz val="9"/>
            <color indexed="81"/>
            <rFont val="Tahoma"/>
            <family val="2"/>
          </rPr>
          <t>Kumar, Neel (Research):</t>
        </r>
        <r>
          <rPr>
            <sz val="9"/>
            <color indexed="81"/>
            <rFont val="Tahoma"/>
            <family val="2"/>
          </rPr>
          <t xml:space="preserve">
Total capital spending for this multiyear IT project is forecast to be $250 million and associated expenses are forecast to be $100 million. In 2017, we spent $35 million of capital and $5 million of expenses associated with this project. We are forecasting that in 2018 we will spend approximately $100 million of capital, as I previously mentioned, and approximately $50 million of expenses associated with this project.</t>
        </r>
      </text>
    </comment>
    <comment ref="BN50" authorId="0">
      <text>
        <r>
          <rPr>
            <b/>
            <sz val="9"/>
            <color indexed="81"/>
            <rFont val="Tahoma"/>
            <family val="2"/>
          </rPr>
          <t>Scott, Brian (Research):</t>
        </r>
        <r>
          <rPr>
            <sz val="9"/>
            <color indexed="81"/>
            <rFont val="Tahoma"/>
            <family val="2"/>
          </rPr>
          <t xml:space="preserve">
$280</t>
        </r>
      </text>
    </comment>
  </commentList>
</comments>
</file>

<file path=xl/comments4.xml><?xml version="1.0" encoding="utf-8"?>
<comments xmlns="http://schemas.openxmlformats.org/spreadsheetml/2006/main">
  <authors>
    <author>Scott, Brian (Research)</author>
    <author>Kumar, Neel</author>
    <author>Kumar, Neel (Research)</author>
  </authors>
  <commentList>
    <comment ref="G4" authorId="0">
      <text>
        <r>
          <rPr>
            <b/>
            <sz val="9"/>
            <color indexed="81"/>
            <rFont val="Tahoma"/>
            <family val="2"/>
          </rPr>
          <t>Scott, Brian (Research):</t>
        </r>
        <r>
          <rPr>
            <sz val="9"/>
            <color indexed="81"/>
            <rFont val="Tahoma"/>
            <family val="2"/>
          </rPr>
          <t xml:space="preserve">
187.8 trade remainder is other</t>
        </r>
      </text>
    </comment>
    <comment ref="H4" authorId="0">
      <text>
        <r>
          <rPr>
            <b/>
            <sz val="9"/>
            <color indexed="81"/>
            <rFont val="Tahoma"/>
            <family val="2"/>
          </rPr>
          <t>Scott, Brian (Research):</t>
        </r>
        <r>
          <rPr>
            <sz val="9"/>
            <color indexed="81"/>
            <rFont val="Tahoma"/>
            <family val="2"/>
          </rPr>
          <t xml:space="preserve">
195.9 trade remainder is other</t>
        </r>
      </text>
    </comment>
    <comment ref="I4" authorId="0">
      <text>
        <r>
          <rPr>
            <b/>
            <sz val="9"/>
            <color indexed="81"/>
            <rFont val="Tahoma"/>
            <family val="2"/>
          </rPr>
          <t>Scott, Brian (Research):</t>
        </r>
        <r>
          <rPr>
            <sz val="9"/>
            <color indexed="81"/>
            <rFont val="Tahoma"/>
            <family val="2"/>
          </rPr>
          <t xml:space="preserve">
155.2 trade remainder is other</t>
        </r>
      </text>
    </comment>
    <comment ref="J4" authorId="0">
      <text>
        <r>
          <rPr>
            <b/>
            <sz val="9"/>
            <color indexed="81"/>
            <rFont val="Tahoma"/>
            <family val="2"/>
          </rPr>
          <t>Scott, Brian (Research):</t>
        </r>
        <r>
          <rPr>
            <sz val="9"/>
            <color indexed="81"/>
            <rFont val="Tahoma"/>
            <family val="2"/>
          </rPr>
          <t xml:space="preserve">
167.9 trade remainder is other</t>
        </r>
      </text>
    </comment>
    <comment ref="K4" authorId="0">
      <text>
        <r>
          <rPr>
            <b/>
            <sz val="9"/>
            <color indexed="81"/>
            <rFont val="Tahoma"/>
            <family val="2"/>
          </rPr>
          <t>Scott, Brian (Research):</t>
        </r>
        <r>
          <rPr>
            <sz val="9"/>
            <color indexed="81"/>
            <rFont val="Tahoma"/>
            <family val="2"/>
          </rPr>
          <t xml:space="preserve">
220.6 trade remainder is other</t>
        </r>
      </text>
    </comment>
    <comment ref="L4" authorId="0">
      <text>
        <r>
          <rPr>
            <b/>
            <sz val="9"/>
            <color indexed="81"/>
            <rFont val="Tahoma"/>
            <family val="2"/>
          </rPr>
          <t>Scott, Brian (Research):</t>
        </r>
        <r>
          <rPr>
            <sz val="9"/>
            <color indexed="81"/>
            <rFont val="Tahoma"/>
            <family val="2"/>
          </rPr>
          <t xml:space="preserve">
279.2 in trade remainder in other</t>
        </r>
      </text>
    </comment>
    <comment ref="M4" authorId="0">
      <text>
        <r>
          <rPr>
            <b/>
            <sz val="9"/>
            <color indexed="81"/>
            <rFont val="Tahoma"/>
            <family val="2"/>
          </rPr>
          <t>Scott, Brian (Research):</t>
        </r>
        <r>
          <rPr>
            <sz val="9"/>
            <color indexed="81"/>
            <rFont val="Tahoma"/>
            <family val="2"/>
          </rPr>
          <t xml:space="preserve">
266.5 in trade remainder in other</t>
        </r>
      </text>
    </comment>
    <comment ref="G7" authorId="0">
      <text>
        <r>
          <rPr>
            <b/>
            <sz val="9"/>
            <color indexed="81"/>
            <rFont val="Tahoma"/>
            <family val="2"/>
          </rPr>
          <t>Scott, Brian (Research):</t>
        </r>
        <r>
          <rPr>
            <sz val="9"/>
            <color indexed="81"/>
            <rFont val="Tahoma"/>
            <family val="2"/>
          </rPr>
          <t xml:space="preserve">
26.6 Short-term investments
71.3 current deferred tax
14.7 Other</t>
        </r>
      </text>
    </comment>
    <comment ref="H7" authorId="0">
      <text>
        <r>
          <rPr>
            <b/>
            <sz val="9"/>
            <color indexed="81"/>
            <rFont val="Tahoma"/>
            <family val="2"/>
          </rPr>
          <t>Scott, Brian (Research):</t>
        </r>
        <r>
          <rPr>
            <sz val="9"/>
            <color indexed="81"/>
            <rFont val="Tahoma"/>
            <family val="2"/>
          </rPr>
          <t xml:space="preserve">
68.5 current deferred tax
10.9 Other</t>
        </r>
      </text>
    </comment>
    <comment ref="I7" authorId="0">
      <text>
        <r>
          <rPr>
            <b/>
            <sz val="9"/>
            <color indexed="81"/>
            <rFont val="Tahoma"/>
            <family val="2"/>
          </rPr>
          <t>Scott, Brian (Research):</t>
        </r>
        <r>
          <rPr>
            <sz val="9"/>
            <color indexed="81"/>
            <rFont val="Tahoma"/>
            <family val="2"/>
          </rPr>
          <t xml:space="preserve">
50.5 current deferred tax
44.2 Other</t>
        </r>
      </text>
    </comment>
    <comment ref="J7" authorId="0">
      <text>
        <r>
          <rPr>
            <b/>
            <sz val="9"/>
            <color indexed="81"/>
            <rFont val="Tahoma"/>
            <family val="2"/>
          </rPr>
          <t>Scott, Brian (Research):</t>
        </r>
        <r>
          <rPr>
            <sz val="9"/>
            <color indexed="81"/>
            <rFont val="Tahoma"/>
            <family val="2"/>
          </rPr>
          <t xml:space="preserve">
46 current deferred tax
29.6 Other</t>
        </r>
      </text>
    </comment>
    <comment ref="K7" authorId="0">
      <text>
        <r>
          <rPr>
            <b/>
            <sz val="9"/>
            <color indexed="81"/>
            <rFont val="Tahoma"/>
            <family val="2"/>
          </rPr>
          <t>Scott, Brian (Research):</t>
        </r>
        <r>
          <rPr>
            <sz val="9"/>
            <color indexed="81"/>
            <rFont val="Tahoma"/>
            <family val="2"/>
          </rPr>
          <t xml:space="preserve">
50.9 deferred tax
10.2 other</t>
        </r>
      </text>
    </comment>
    <comment ref="L7" authorId="0">
      <text>
        <r>
          <rPr>
            <b/>
            <sz val="9"/>
            <color indexed="81"/>
            <rFont val="Tahoma"/>
            <family val="2"/>
          </rPr>
          <t>Scott, Brian (Research):</t>
        </r>
        <r>
          <rPr>
            <sz val="9"/>
            <color indexed="81"/>
            <rFont val="Tahoma"/>
            <family val="2"/>
          </rPr>
          <t xml:space="preserve">
Includes $61.3m of current deferred taxes</t>
        </r>
      </text>
    </comment>
    <comment ref="M7" authorId="0">
      <text>
        <r>
          <rPr>
            <b/>
            <sz val="9"/>
            <color indexed="81"/>
            <rFont val="Tahoma"/>
            <family val="2"/>
          </rPr>
          <t>Scott, Brian (Research):</t>
        </r>
        <r>
          <rPr>
            <sz val="9"/>
            <color indexed="81"/>
            <rFont val="Tahoma"/>
            <family val="2"/>
          </rPr>
          <t xml:space="preserve">
Includes $50.4m of current deferred taxes</t>
        </r>
      </text>
    </comment>
    <comment ref="N7" authorId="0">
      <text>
        <r>
          <rPr>
            <b/>
            <sz val="9"/>
            <color indexed="81"/>
            <rFont val="Tahoma"/>
            <family val="2"/>
          </rPr>
          <t>Scott, Brian (Research):</t>
        </r>
        <r>
          <rPr>
            <sz val="9"/>
            <color indexed="81"/>
            <rFont val="Tahoma"/>
            <family val="2"/>
          </rPr>
          <t xml:space="preserve">
Includes $54.2m of current deferred taxes</t>
        </r>
      </text>
    </comment>
    <comment ref="G14" authorId="0">
      <text>
        <r>
          <rPr>
            <b/>
            <sz val="9"/>
            <color indexed="81"/>
            <rFont val="Tahoma"/>
            <family val="2"/>
          </rPr>
          <t>Scott, Brian (Research):</t>
        </r>
        <r>
          <rPr>
            <sz val="9"/>
            <color indexed="81"/>
            <rFont val="Tahoma"/>
            <family val="2"/>
          </rPr>
          <t xml:space="preserve">
Includes 139.7 of prepaid pension cost</t>
        </r>
      </text>
    </comment>
    <comment ref="I14" authorId="0">
      <text>
        <r>
          <rPr>
            <b/>
            <sz val="9"/>
            <color indexed="81"/>
            <rFont val="Tahoma"/>
            <family val="2"/>
          </rPr>
          <t>Scott, Brian (Research):</t>
        </r>
        <r>
          <rPr>
            <sz val="9"/>
            <color indexed="81"/>
            <rFont val="Tahoma"/>
            <family val="2"/>
          </rPr>
          <t xml:space="preserve">
71 other, 5 prepaid pension costs</t>
        </r>
      </text>
    </comment>
    <comment ref="J14" authorId="0">
      <text>
        <r>
          <rPr>
            <b/>
            <sz val="9"/>
            <color indexed="81"/>
            <rFont val="Tahoma"/>
            <family val="2"/>
          </rPr>
          <t>Scott, Brian (Research):</t>
        </r>
        <r>
          <rPr>
            <sz val="9"/>
            <color indexed="81"/>
            <rFont val="Tahoma"/>
            <family val="2"/>
          </rPr>
          <t xml:space="preserve">
102 of restricted cash
16.3 prepaid pension cost
72.3 other</t>
        </r>
      </text>
    </comment>
    <comment ref="K14" authorId="0">
      <text>
        <r>
          <rPr>
            <b/>
            <sz val="9"/>
            <color indexed="81"/>
            <rFont val="Tahoma"/>
            <family val="2"/>
          </rPr>
          <t>Scott, Brian (Research):</t>
        </r>
        <r>
          <rPr>
            <sz val="9"/>
            <color indexed="81"/>
            <rFont val="Tahoma"/>
            <family val="2"/>
          </rPr>
          <t xml:space="preserve">
51.7 restricted cash
19.2 prepaid pension cost
85.6 other</t>
        </r>
      </text>
    </comment>
    <comment ref="L14" authorId="0">
      <text>
        <r>
          <rPr>
            <b/>
            <sz val="9"/>
            <color indexed="81"/>
            <rFont val="Tahoma"/>
            <family val="2"/>
          </rPr>
          <t>Scott, Brian (Research):</t>
        </r>
        <r>
          <rPr>
            <sz val="9"/>
            <color indexed="81"/>
            <rFont val="Tahoma"/>
            <family val="2"/>
          </rPr>
          <t xml:space="preserve">
Includes 224.1 of other assets, 2.1 of prepaid pension costs, and 11.9 of restricted cash</t>
        </r>
      </text>
    </comment>
    <comment ref="M14" authorId="0">
      <text>
        <r>
          <rPr>
            <b/>
            <sz val="9"/>
            <color indexed="81"/>
            <rFont val="Tahoma"/>
            <family val="2"/>
          </rPr>
          <t>Scott, Brian (Research):</t>
        </r>
        <r>
          <rPr>
            <sz val="9"/>
            <color indexed="81"/>
            <rFont val="Tahoma"/>
            <family val="2"/>
          </rPr>
          <t xml:space="preserve">
Includes 1.7m of prepaid pension costs, 4.2m of restricted cash, 213.1m of other assets</t>
        </r>
      </text>
    </comment>
    <comment ref="B66" authorId="1">
      <text>
        <r>
          <rPr>
            <b/>
            <sz val="9"/>
            <color indexed="81"/>
            <rFont val="Tahoma"/>
            <family val="2"/>
          </rPr>
          <t>Kumar, Neel:</t>
        </r>
        <r>
          <rPr>
            <sz val="9"/>
            <color indexed="81"/>
            <rFont val="Tahoma"/>
            <family val="2"/>
          </rPr>
          <t xml:space="preserve">
Acquisitions, disposals, and exchange adjustments</t>
        </r>
      </text>
    </comment>
    <comment ref="B71" authorId="1">
      <text>
        <r>
          <rPr>
            <b/>
            <sz val="9"/>
            <color indexed="81"/>
            <rFont val="Tahoma"/>
            <family val="2"/>
          </rPr>
          <t>Kumar, Neel:</t>
        </r>
        <r>
          <rPr>
            <sz val="9"/>
            <color indexed="81"/>
            <rFont val="Tahoma"/>
            <family val="2"/>
          </rPr>
          <t xml:space="preserve">
Acquisitions, disposals, and exchange adjustments</t>
        </r>
      </text>
    </comment>
    <comment ref="P98" authorId="1">
      <text>
        <r>
          <rPr>
            <b/>
            <sz val="9"/>
            <color indexed="81"/>
            <rFont val="Tahoma"/>
            <family val="2"/>
          </rPr>
          <t>Kumar, Neel:</t>
        </r>
        <r>
          <rPr>
            <sz val="9"/>
            <color indexed="81"/>
            <rFont val="Tahoma"/>
            <family val="2"/>
          </rPr>
          <t xml:space="preserve">
IR expects similar level of interest expense in 4Q to 3Q</t>
        </r>
      </text>
    </comment>
    <comment ref="Q99" authorId="2">
      <text>
        <r>
          <rPr>
            <b/>
            <sz val="9"/>
            <color indexed="81"/>
            <rFont val="Tahoma"/>
            <family val="2"/>
          </rPr>
          <t>Kumar, Neel (Research):</t>
        </r>
        <r>
          <rPr>
            <sz val="9"/>
            <color indexed="81"/>
            <rFont val="Tahoma"/>
            <family val="2"/>
          </rPr>
          <t xml:space="preserve">
Guidance of cash Interest of $210M</t>
        </r>
      </text>
    </comment>
  </commentList>
</comments>
</file>

<file path=xl/comments5.xml><?xml version="1.0" encoding="utf-8"?>
<comments xmlns="http://schemas.openxmlformats.org/spreadsheetml/2006/main">
  <authors>
    <author>Scott, Brian (Research)</author>
    <author>Kumar, Neel (Research)</author>
  </authors>
  <commentList>
    <comment ref="K5" authorId="0">
      <text>
        <r>
          <rPr>
            <b/>
            <sz val="9"/>
            <color indexed="81"/>
            <rFont val="Tahoma"/>
            <family val="2"/>
          </rPr>
          <t>Scott, Brian (Research):</t>
        </r>
        <r>
          <rPr>
            <sz val="9"/>
            <color indexed="81"/>
            <rFont val="Tahoma"/>
            <family val="2"/>
          </rPr>
          <t xml:space="preserve">
Gain on remeasurement of investment in Sunbelt</t>
        </r>
      </text>
    </comment>
    <comment ref="Q12" authorId="1">
      <text>
        <r>
          <rPr>
            <b/>
            <sz val="9"/>
            <color indexed="81"/>
            <rFont val="Tahoma"/>
            <family val="2"/>
          </rPr>
          <t>Kumar, Neel (Research):</t>
        </r>
        <r>
          <rPr>
            <sz val="9"/>
            <color indexed="81"/>
            <rFont val="Tahoma"/>
            <family val="2"/>
          </rPr>
          <t xml:space="preserve">
Company expects tax refund of $10M per 3Q17 presentation, pg. 9
We expect net operating loss carryforwards to provide a cash tax shield of approximately $70 million in 2017. </t>
        </r>
      </text>
    </comment>
    <comment ref="R12" authorId="0">
      <text>
        <r>
          <rPr>
            <b/>
            <sz val="9"/>
            <color indexed="81"/>
            <rFont val="Tahoma"/>
            <family val="2"/>
          </rPr>
          <t>Scott, Brian (Research):</t>
        </r>
        <r>
          <rPr>
            <sz val="9"/>
            <color indexed="81"/>
            <rFont val="Tahoma"/>
            <family val="2"/>
          </rPr>
          <t xml:space="preserve">
$50m in cash taxes in 2018</t>
        </r>
      </text>
    </comment>
    <comment ref="S12" authorId="0">
      <text>
        <r>
          <rPr>
            <b/>
            <sz val="9"/>
            <color indexed="81"/>
            <rFont val="Tahoma"/>
            <family val="2"/>
          </rPr>
          <t>Scott, Brian (Research):</t>
        </r>
        <r>
          <rPr>
            <sz val="9"/>
            <color indexed="81"/>
            <rFont val="Tahoma"/>
            <family val="2"/>
          </rPr>
          <t xml:space="preserve">
15-20% cash tax rate in '19+</t>
        </r>
      </text>
    </comment>
    <comment ref="Q32" authorId="1">
      <text>
        <r>
          <rPr>
            <b/>
            <sz val="9"/>
            <color indexed="81"/>
            <rFont val="Tahoma"/>
            <family val="2"/>
          </rPr>
          <t>Kumar, Neel (Research):</t>
        </r>
        <r>
          <rPr>
            <sz val="9"/>
            <color indexed="81"/>
            <rFont val="Tahoma"/>
            <family val="2"/>
          </rPr>
          <t xml:space="preserve">
In 2017, we spent $35 million of capital and $5 million of expenses associated with IT project.</t>
        </r>
      </text>
    </comment>
    <comment ref="R32" authorId="0">
      <text>
        <r>
          <rPr>
            <b/>
            <sz val="9"/>
            <color indexed="81"/>
            <rFont val="Tahoma"/>
            <family val="2"/>
          </rPr>
          <t>Scott, Brian (Research):</t>
        </r>
        <r>
          <rPr>
            <sz val="9"/>
            <color indexed="81"/>
            <rFont val="Tahoma"/>
            <family val="2"/>
          </rPr>
          <t xml:space="preserve">
Maintenance = $225-275m + $100m IT Project + ~$50m other 
Total IT project CapEx to be completed during 2020: $250M ($35M in 2017, $100M in 2018)</t>
        </r>
      </text>
    </comment>
    <comment ref="P34" authorId="1">
      <text>
        <r>
          <rPr>
            <b/>
            <sz val="9"/>
            <color indexed="81"/>
            <rFont val="Tahoma"/>
            <family val="2"/>
          </rPr>
          <t>Kumar, Neel (Research):</t>
        </r>
        <r>
          <rPr>
            <sz val="9"/>
            <color indexed="81"/>
            <rFont val="Tahoma"/>
            <family val="2"/>
          </rPr>
          <t xml:space="preserve">
During 2016, Olin entered into arrangements to increase our supply of low cost electricity.  In conjunction with these arrangements, Olin made payments of $175.7 million in 2016,</t>
        </r>
      </text>
    </comment>
    <comment ref="Q34" authorId="1">
      <text>
        <r>
          <rPr>
            <b/>
            <sz val="9"/>
            <color indexed="81"/>
            <rFont val="Tahoma"/>
            <family val="2"/>
          </rPr>
          <t>Kumar, Neel (Research):</t>
        </r>
        <r>
          <rPr>
            <sz val="9"/>
            <color indexed="81"/>
            <rFont val="Tahoma"/>
            <family val="2"/>
          </rPr>
          <t xml:space="preserve">
During 2016, one of the options to reserve additional future ethylene supply at producer economics was exercised by us and, accordingly, additional payments will be made to TDCC of approximately $209.4 million in 2017</t>
        </r>
      </text>
    </comment>
    <comment ref="T34" authorId="1">
      <text>
        <r>
          <rPr>
            <b/>
            <sz val="9"/>
            <color indexed="81"/>
            <rFont val="Tahoma"/>
            <family val="2"/>
          </rPr>
          <t>Kumar, Neel (Research):</t>
        </r>
        <r>
          <rPr>
            <sz val="9"/>
            <color indexed="81"/>
            <rFont val="Tahoma"/>
            <family val="2"/>
          </rPr>
          <t xml:space="preserve">
On February 27, 2017, Olin exercised the remaining option to reserve additional future ethylene supply and, in connection with the exercise, we also secured a long-term customer arrangement. Consequently, additional payments will be made to TDCC of between $425 million and $465 million on or about the fourth quarter of 2020</t>
        </r>
      </text>
    </comment>
    <comment ref="G39" authorId="0">
      <text>
        <r>
          <rPr>
            <b/>
            <sz val="9"/>
            <color indexed="81"/>
            <rFont val="Tahoma"/>
            <family val="2"/>
          </rPr>
          <t>Scott, Brian (Research):</t>
        </r>
        <r>
          <rPr>
            <sz val="9"/>
            <color indexed="81"/>
            <rFont val="Tahoma"/>
            <family val="2"/>
          </rPr>
          <t xml:space="preserve">
25.4 distributions from affiliates
2.2 other
50 sale of short term inv</t>
        </r>
      </text>
    </comment>
    <comment ref="H39" authorId="0">
      <text>
        <r>
          <rPr>
            <b/>
            <sz val="9"/>
            <color indexed="81"/>
            <rFont val="Tahoma"/>
            <family val="2"/>
          </rPr>
          <t>Scott, Brian (Research):</t>
        </r>
        <r>
          <rPr>
            <sz val="9"/>
            <color indexed="81"/>
            <rFont val="Tahoma"/>
            <family val="2"/>
          </rPr>
          <t xml:space="preserve">
27.6 distributions from affiliates
-3.9 other</t>
        </r>
      </text>
    </comment>
    <comment ref="I39" authorId="0">
      <text>
        <r>
          <rPr>
            <b/>
            <sz val="9"/>
            <color indexed="81"/>
            <rFont val="Tahoma"/>
            <family val="2"/>
          </rPr>
          <t>Scott, Brian (Research):</t>
        </r>
        <r>
          <rPr>
            <sz val="9"/>
            <color indexed="81"/>
            <rFont val="Tahoma"/>
            <family val="2"/>
          </rPr>
          <t xml:space="preserve">
37.1 distributions from affiliates
4.6 other</t>
        </r>
      </text>
    </comment>
    <comment ref="J39" authorId="0">
      <text>
        <r>
          <rPr>
            <b/>
            <sz val="9"/>
            <color indexed="81"/>
            <rFont val="Tahoma"/>
            <family val="2"/>
          </rPr>
          <t>Scott, Brian (Research):</t>
        </r>
        <r>
          <rPr>
            <sz val="9"/>
            <color indexed="81"/>
            <rFont val="Tahoma"/>
            <family val="2"/>
          </rPr>
          <t xml:space="preserve">
23.6 distributions from affiliates
0.9 other</t>
        </r>
      </text>
    </comment>
    <comment ref="K39" authorId="0">
      <text>
        <r>
          <rPr>
            <b/>
            <sz val="9"/>
            <color indexed="81"/>
            <rFont val="Tahoma"/>
            <family val="2"/>
          </rPr>
          <t>Scott, Brian (Research):</t>
        </r>
        <r>
          <rPr>
            <sz val="9"/>
            <color indexed="81"/>
            <rFont val="Tahoma"/>
            <family val="2"/>
          </rPr>
          <t xml:space="preserve">
1.9 distributions from affiliates
1.4 other</t>
        </r>
      </text>
    </comment>
    <comment ref="L39" authorId="0">
      <text>
        <r>
          <rPr>
            <b/>
            <sz val="9"/>
            <color indexed="81"/>
            <rFont val="Tahoma"/>
            <family val="2"/>
          </rPr>
          <t>Scott, Brian (Research):</t>
        </r>
        <r>
          <rPr>
            <sz val="9"/>
            <color indexed="81"/>
            <rFont val="Tahoma"/>
            <family val="2"/>
          </rPr>
          <t xml:space="preserve">
-0.4 other
1.3 distributions from affiliates</t>
        </r>
      </text>
    </comment>
    <comment ref="M39" authorId="0">
      <text>
        <r>
          <rPr>
            <b/>
            <sz val="9"/>
            <color indexed="81"/>
            <rFont val="Tahoma"/>
            <family val="2"/>
          </rPr>
          <t>Scott, Brian (Research):</t>
        </r>
        <r>
          <rPr>
            <sz val="9"/>
            <color indexed="81"/>
            <rFont val="Tahoma"/>
            <family val="2"/>
          </rPr>
          <t xml:space="preserve">
-2.6 other
1.5 distribution from affiliates</t>
        </r>
      </text>
    </comment>
    <comment ref="Q44" authorId="0">
      <text>
        <r>
          <rPr>
            <b/>
            <sz val="9"/>
            <color indexed="81"/>
            <rFont val="Tahoma"/>
            <family val="2"/>
          </rPr>
          <t>Scott, Brian (Research):</t>
        </r>
        <r>
          <rPr>
            <sz val="9"/>
            <color indexed="81"/>
            <rFont val="Tahoma"/>
            <family val="2"/>
          </rPr>
          <t xml:space="preserve">
Net repayment</t>
        </r>
      </text>
    </comment>
    <comment ref="N45" authorId="0">
      <text>
        <r>
          <rPr>
            <b/>
            <sz val="9"/>
            <color indexed="81"/>
            <rFont val="Tahoma"/>
            <family val="2"/>
          </rPr>
          <t>Scott, Brian (Research):</t>
        </r>
        <r>
          <rPr>
            <sz val="9"/>
            <color indexed="81"/>
            <rFont val="Tahoma"/>
            <family val="2"/>
          </rPr>
          <t xml:space="preserve">
Sunbelt earn out payment</t>
        </r>
      </text>
    </comment>
  </commentList>
</comments>
</file>

<file path=xl/comments6.xml><?xml version="1.0" encoding="utf-8"?>
<comments xmlns="http://schemas.openxmlformats.org/spreadsheetml/2006/main">
  <authors>
    <author>benneian</author>
  </authors>
  <commentList>
    <comment ref="A1" authorId="0">
      <text>
        <r>
          <rPr>
            <b/>
            <sz val="8"/>
            <color indexed="81"/>
            <rFont val="Tahoma"/>
            <family val="2"/>
          </rPr>
          <t>卟䙄_x0001_＀＀ࡷ伨,堡䑒䭋䅞䝖䤨䝂䕟䍘彈䅒䕔㐨㤰㤹㐬〱〹䐬䐬䭋⤩_x0018_＀＀_x0018_＀＀_x0008_＀＀_x0001_＀＀_x0001_＀＀_xD92A_퐣褌䀖ࡸ伨_x0012_㘲㔳㐳呂䙞彉佃偕乏_x0018_＀＀_x0018_＀＀_x0008_＀＀_x0001_＀＀_x0001_＀＀＀＀＀＀＀＀䀘ࡸ伨_x0014_㘲㔳㐳呂䙞彉䅍彔䅄䕔_x001B_＀＀_x0018_＀＀_x000B_＀＀_x0001_＀＀_x0008_＀＀㜰ㄯ⼵〲㠱찀ࡸ伨_x0016_㘲㔳㐳乂䙞彉䵁彔問⡔⤰_x0018_＀＀_x0018_＀＀_x0008_＀＀_x0001_＀＀_x0001_＀＀＀＀＀＀䀀䁿ࡷ伨,堡䑒䭋䅞䝖䤨䝂䕟䍘彈䅒䕔㌨㌸㈵㌬㜸㜱䐬䐬䭋⤩_x0018_＀＀_x0018_＀＀_x0008_＀＀_x0001_＀＀_x0001_＀＀䫚䓟ﷃ䀗ࡸ伨_x0012_㘲㔳䰳䉊䙞彉佃偕乏_x0018_＀＀_x0018_＀＀_x0008_＀＀_x0001_＀＀_x0001_＀＀＀＀＀＀耀䀐ࡸ伨_x0014_㘲㔳㐳䵂䙞彉䅍彔䅄䕔_x001B_＀＀_x0018_＀＀_x000B_＀＀_x0001_＀＀_x0008_＀＀㐰㌯⼰〲〱찀ࡸ伨_x0016_㘲㔳䰳䅊䙞彉䵁彔問⡔⤰_x0018_＀＀_x0018_＀＀_x0008_＀＀_x0001_＀＀_x0001_＀＀＀＀＀＀＀＀䁩ࡸ伨_x0012_㘲㔳㐳剂䙞彉佃偕乏_x0018_＀＀_x0018_＀＀_x0008_＀＀_x0001_＀＀_x0001_＀＀晧晦晦䀖ࡾ伨 䑄幞噁⡇䝆偟楲散㌨㐹㜴㌬㠹㌱䐬⤩_x0018_＀＀_x0018_＀＀_x0008_＀＀_x0001_＀＀_x0001_＀＀뱞킆䁄ࡷ伨,堡䑒䭋䅞䝖䤨䝂䕟䍘彈䅒䕔㐨㌲㤶㐬㜲㔳䐬䐬䭋⤩_x0018_＀＀_x0018_＀＀_x0008_＀＀_x0001_＀＀_x0001_＀＀_xD911_퐣褌䀖ࡾ伨 䑄幞噁⡇䝆偟楲散㌨㠶ㄹ㌬㈷㘵䐬⤩_x0018_＀＀_x0018_＀＀_x0008_＀＀_x0001_＀＀_x0001_＀＀鯔呃띏䁅ࡸ伨_x001A_㘲㔳㐳啂䙞䥔彄剐䍉⡅〴㜱⤸_x0018_＀＀_x0018_＀＀_x0008_＀＀_x0001_＀＀_x0001_＀＀晦晦䁚ࡸ伨_x0014_㘲㔳㐳䭂䙞彉䅍彔䅄䕔_x001B_＀＀_x0018_＀＀_x000B_＀＀_x0001_＀＀_x0008_＀＀ㄱㄯ⼵〲㈱찀ࡷ伨,堡䑒䭋䅞䝖䤨䝂䕟䍘彈䅒䕔㐨〰㘸㐬㄰㠷䐬䐬䭋⤩_x0018_＀＀_x0018_＀＀_x0008_＀＀_x0001_＀＀_x0001_＀＀ᵲ⧉䀔ࡾ伨 䑄幞噁⡇䝆偟楲散㌨〹㈸㌬㐹㜴䐬⤩_x0018_＀＀_x0018_＀＀_x0008_＀＀_x0001_＀＀_x0001_＀＀马榦Ꚛ䁈ࡾ伨 䑄幞噁⡇䝆偟楲散㌨㜸㜱㌬〹㈸䐬⤩_x0018_＀＀_x0018_＀＀_x0008_＀＀_x0001_＀＀_x0001_＀＀ᠹ欝恋䁅ࡷ伨,堡䑒䭋䅞䝖䤨䝂䕟䍘彈䅒䕔㌨㌹㔵㌬㐹㜴䐬䐬䭋⤩_x0018_＀＀_x0018_＀＀_x0008_＀＀_x0001_＀＀_x0001_＀＀੅◱鳫䀔ࡷ伨,堡䑒䭋䅞䝖䤨䝂䕟䍘彈䅒䕔㌨㤸〹㌬〹㈸䐬䐬䭋⤩_x0018_＀＀_x0018_＀＀_x0008_＀＀_x0001_＀＀_x0001_＀＀踰삀▹䀗ࡾ伨 䑄幞噁⡇䝆偟楲散㐨㔰㌴㐬㤰㠰䐬⤩_x0018_＀＀_x0018_＀＀_x0008_＀＀_x0001_＀＀_x0001_＀＀樵盀䁈ࡾ伨 䑄幞噁⡇䝆偟楲散㐨㄰㠷㐬㔰㌴䐬⤩_x0018_＀＀_x0018_＀＀_x0008_＀＀_x0001_＀＀_x0001_＀＀椒포ნ䁄ࡸ伨_x0012_㘲㔳㐳乂䙞彉佃偕乏_x0018_＀＀_x0018_＀＀_x0008_＀＀_x0001_＀＀_x0001_＀＀＀＀＀＀耀䀓ࡷ伨,堡䑒䭋䅞䝖䤨䝂䕟䍘彈䅒䕔㐨ㄱ㈸㐬㈱㐷䐬䐬䭋⤩_x0018_＀＀_x0018_＀＀_x0008_＀＀_x0001_＀＀_x0001_＀＀_xD92A_퐣褌䀖ࡷ伨,堡䑒䭋䅞䝖䤨䝂䕟䍘彈䅒䕔㌨㔸㌳㌬㘸㔲䐬䐬䭋⤩_x0018_＀＀_x0018_＀＀_x0008_＀＀_x0001_＀＀_x0001_＀＀㐵챓砒䀘ࡸ伨_x0014_㘲㔳㐳剂䙞彉䅍彔䅄䕔_x001B_＀＀_x0018_＀＀_x000B_＀＀_x0001_＀＀_x0008_＀＀㈱ㄯ⼵〲㘳찀ࡸ伨_x0016_㘲㔳䰳䉊䙞彉䵁彔問⡔⤰_x0018_＀＀_x0018_＀＀_x0008_＀＀_x0001_＀＀_x0001_＀＀＀＀＀＀䀀䁯ࡾ伨 䑄幞噁⡇䝆偟楲散㌨㈷㘵㌬㘷ㄲ䐬⤩_x0018_＀＀_x0018_＀＀_x0008_＀＀_x0001_＀＀_x0001_＀＀⏚㊢ꇉ䁅ࡸ伨_x0016_㘲㔳㐳噂䙞彉䵁彔問⡔⤰_x0018_＀＀_x0018_＀＀_x0008_＀＀_x0001_＀＀_x0001_＀＀＀＀＀＀䀀䁥ࡷ伨"㘲㔳㐳啂䵞彌呙⡗ⰰ䐬∬䥆䕖䅄䕙䵏⤢_x0018_＀＀_x0018_＀＀_x0008_＀＀_x0001_＀＀_x0001_＀＀꟰䯆褷㿥ࡷ伨_x0019_䵃啔㉓ⵙ䑆幓䝆偟䥒䕃⴨䐲착_x0018_＀＀_x0018_＀＀_x0008_＀＀_x0001_＀＀_x0001_＀＀尩슏⣵㿌ࡷ伨_x0019_䵃啔㙓ⵍ䑆幓䝆偟䥒䕃⴨䐲착_x0018_＀＀_x0018_＀＀_x0008_＀＀_x0001_＀＀_x0001_＀＀ᑻ䞮竡㾴ࡹ伨"㘲㔳㐳塂䵞彌呙⡗ⰰ䐬∬䥆䕖䅄䕙䵏⤢_x0018_＀＀_x0018_＀＀_x0008_＀＀_x0001_＀＀_x0001_＀＀탦_xDB22_绹㿮ࡸ伨_x0014_㘲㔳㐳奂䙞彉䅍彔䅄䕔_x001B_＀＀_x0018_＀＀_x000B_＀＀_x0001_＀＀_x0008_＀＀㄰ㄯ⼵〲㔱찀ࡷ伨,堡䑒䭋䅞䝖䤨䝂䕟䍘彈䅒䕔㐨㤰㠰㐬㤰㤹䐬䐬䭋⤩_x0018_＀＀_x0018_＀＀_x0008_＀＀_x0001_＀＀_x0001_＀＀氎᡻둣䀖ࡺ伨"㘲㔳㐳剂䵞彌呙⡗ⰰ䐬∬䥆䕖䅄䕙䵏⤢_x0018_＀＀_x0018_＀＀_x0008_＀＀_x0001_＀＀_x0001_＀＀ⓝ脆䎕䀐ࡷ伨,堡䑒䭋䅞䝖䤨䝂䕟䍘彈䅒䕔㐨〲㐰㐬㌲㤶䐬䐬䭋⤩_x0018_＀＀_x0018_＀＀_x0008_＀＀_x0001_＀＀_x0001_＀＀_xD911_퐣褌䀖ࡷ伨,堡䑒䭋䅞䝖䤨䝂䕟䍘彈䅒䕔㐨㈰㠶㐬㌰㤵䐬䐬䭋⤩_x0018_＀＀_x0018_＀＀_x0008_＀＀_x0001_＀＀_x0001_＀＀∁槵䀗ࡷ伨,堡䑒䭋䅞䝖䤨䝂䕟䍘彈䅒䕔㐨㄰㠷㐬㈰㠶䐬䐬䭋⤩_x0018_＀＀_x0018_＀＀_x0008_＀＀_x0001_＀＀_x0001_＀＀ꜘᾆ覲䀕ࡷ伨,堡䑒䭋䅞䝖䤨䝂䕟䍘彈䅒䕔㐨㘱㤳㐬〲㐰䐬䐬䭋⤩_x0018_＀＀_x0018_＀＀_x0008_＀＀_x0001_＀＀_x0001_＀＀_xD911_퐣褌䀖ࡷ伨,堡䑒䭋䅞䝖䤨䝂䕟䍘彈䅒䕔㐨ㄳ〰㐬㐳㔶䐬䐬䭋⤩_x0018_＀＀_x0018_＀＀_x0008_＀＀_x0001_＀＀_x0001_＀＀_xD911_퐣褌䀖ࡷ伨,堡䑒䭋䅞䝖䤨䝂䕟䍘彈䅒䕔㐨㤰㠰㐬㈱㐷䐬䐬䭋⤩_x0018_＀＀_x0018_＀＀_x0008_＀＀_x0001_＀＀_x0001_＀＀䪍滅鏗䀖ࡸ伨_x0016_㘲㔳㐳坂䙞彉䵁彔問⡔⤰_x0018_＀＀_x0018_＀＀_x0008_＀＀_x0001_＀＀_x0001_＀＀＀＀＀＀䀀䁿ࡸ伨_x001A_㘲㔳㐳乂䙞䥔彄剐䍉⡅〴㜱⤸_x0018_＀＀_x0018_＀＀_x0008_＀＀_x0001_＀＀_x0001_＀＀帵䦺ꨌ䁚ࡸ伨_x0014_㘲㔳㐳坂䙞彉䅍彔䅄䕔_x001B_＀＀_x0018_＀＀_x000B_＀＀_x0001_＀＀_x0008_＀＀㌰ㄯ⼵〲㤱찀ࡷ伨_x001A_䵃啔㉓夰䘭卄䙞彇剐䍉⡅㈭⥄_x0018_＀＀_x0018_＀＀_x0008_＀＀_x0001_＀＀_x0001_＀＀凬Ẹ䀅ࡸ伨_x001A_㘲㔳㐳呂䙞䥔彄剐䍉⡅〴㜱⤸_x0018_＀＀_x0018_＀＀_x0008_＀＀_x0001_＀＀_x0001_＀＀桳䝼䁛ࡷ伨,堡䑒䭋䅞䝖䤨䝂䕟䍘彈䅒䕔㌨〹㈸㌬ㄹ㈷䐬䐬䭋⤩_x0018_＀＀_x0018_＀＀_x0008_＀＀_x0001_＀＀_x0001_＀＀愩濅뽬䀖ࡸ伨_x001A_㘲㔳㐳婂䙞䥔彄剐䍉⡅〴㜱⤸_x0018_＀＀_x0018_＀＀_x0008_＀＀_x0001_＀＀_x0001_＀＀馚香禙䁘ࡷ伨,堡䑒䭋䅞䝖䤨䝂䕟䍘彈䅒䕔㐨㜲㔳㐬ㄳ〰䐬䐬䭋⤩_x0018_＀＀_x0018_＀＀_x0008_＀＀_x0001_＀＀_x0001_＀＀_xD911_퐣褌䀖ࡷ伨,堡䑒䭋䅞䝖䤨䝂䕟䍘彈䅒䕔㐨㠰㘱㐬㤰㠰䐬䐬䭋⤩_x0018_＀＀_x0018_＀＀_x0008_＀＀_x0001_＀＀_x0001_＀＀獀ᙉ䀖ࡷ伨,堡䑒䭋䅞䝖䤨䝂䕟䍘彈䅒䕔㐨㐰ㄵ㐬㔰㌴䐬䐬䭋⤩_x0018_＀＀_x0018_＀＀_x0008_＀＀_x0001_＀＀_x0001_＀＀ᓖᮥ䀕ࡸ伨_x0012_㘲㔳㐳奂䙞彉佃偕乏_x0018_＀＀_x0018_＀＀_x0008_＀＀_x0001_＀＀_x0001_＀＀＀＀＀＀＀＀䀊ࡷ伨,堡䑒䭋䅞䝖䤨䝂䕟䍘彈䅒䕔㌨㤹㐹㐬〰㘸䐬䐬䭋⤩_x0018_＀＀_x0018_＀＀_x0008_＀＀_x0001_＀＀_x0001_＀＀藬㼚펂䀔ࡷ伨,堡䑒䭋䅞䝖䤨䝂䕟䍘彈䅒䕔㌨ㄹ㈷㌬㈹㌶䐬䐬䭋⤩_x0018_＀＀_x0018_＀＀_x0008_＀＀_x0001_＀＀_x0001_＀＀썟⯓᧥䀖ࡾ伨 䑄幞噁⡇䝆偟楲散㌨㤷㘸㌬㌸㈵䐬⤩_x0018_＀＀_x0018_＀＀_x0008_＀＀_x0001_＀＀_x0001_＀＀愧䪃퇳䁅ࡾ伨 䑄幞噁⡇䝆偟楲散㌨ㄶ〶㌬㔶㔲䐬⤩_x0018_＀＀_x0018_＀＀_x0008_＀＀_x0001_＀＀_x0001_＀＀ă쥋䁏ࡸ伨_x0014_㘲㔳㐳䝂䙞彉䅍彔䅄䕔_x001B_＀＀_x0018_＀＀_x000B_＀＀_x0001_＀＀_x0008_＀＀㄰ㄯ⼵〲㠲찀ࡾ伨D䑄䙞彅䅖啌呁佉⡎䔧彖䉅呉䅄Ⱗ䴧䅅❎✬乁啎䱁Ⱗ⬧✲丬坏Ⱜ✬䘬㈱㴳䅍ⱊ⤧_x0018_＀＀_x0018_＀＀_x0008_＀＀_x0001_＀＀_x0001_＀＀뱄﹵닭䀚ࡸ伨_x0012_㘲㔳㐳坂䙞彉佃偕乏_x0018_＀＀_x0018_＀＀_x0008_＀＀_x0001_＀＀_x0001_＀＀＀＀＀＀＀＀䀗ࡸ伨_x0016_㘲㔳㐳塂䙞彉䵁彔問⡔⤰_x0018_＀＀_x0018_＀＀_x0008_＀＀_x0001_＀＀_x0001_＀＀＀＀＀＀＀＀䁹ࡸ伨_x0014_㘲㔳㐳乂䙞彉䅍彔䅄䕔_x001B_＀＀_x0018_＀＀_x000B_＀＀_x0001_＀＀_x0008_＀＀㐰㌯⼰〲〱찀ࡷ伨,堡䑒䭋䅞䝖䤨䝂䕟䍘彈䅒䕔㐨㄰㠷㐬㔰㌴䐬䐬䭋⤩_x0018_＀＀_x0018_＀＀_x0008_＀＀_x0001_＀＀_x0001_＀＀ᧈ✯翩䀖ࡷ伨,堡䑒䭋䅞䝖䤨䝂䕟䍘彈䅒䕔㌨㐹㜴㌬㔹㠳䐬䐬䭋⤩_x0018_＀＀_x0018_＀＀_x0008_＀＀_x0001_＀＀_x0001_＀＀轄债䀓ࡸ伨_x001A_㘲㔳䰳䉊䙞䥔彄剐䍉⡅〴㜱⤸_x0018_＀＀_x0018_＀＀_x0008_＀＀_x0001_＀＀_x0001_＀＀䦺Ȍ༫䁚ࡸ伨_x0016_㘲㔳㐳兂䙞彉䵁彔問⡔⤰_x0018_＀＀_x0018_＀＀_x0008_＀＀_x0001_＀＀_x0001_＀＀＀＀＀＀쀀䂂ࡸ伨_x0012_㘲㔳㐳啂䙞彉佃偕乏_x0018_＀＀_x0018_＀＀_x0008_＀＀_x0001_＀＀_x0001_＀＀＀＀＀＀＀＀䀔ࡷ伨,堡䑒䭋䅞䝖䤨䝂䕟䍘彈䅒䕔㐨㈱㐷㐬㘱㤳䐬䐬䭋⤩_x0018_＀＀_x0018_＀＀_x0008_＀＀_x0001_＀＀_x0001_＀＀_xD911_퐣褌䀖ࡷ伨,堡䑒䭋䅞䝖䤨䝂䕟䍘彈䅒䕔㌨㠸㜰㌬㠸㠹䐬䐬䭋⤩_x0018_＀＀_x0018_＀＀_x0008_＀＀_x0001_＀＀_x0001_＀＀년㐕믍䀗ࡷ伨,堡䑒䭋䅞䝖䤨䝂䕟䍘彈䅒䕔㌨㠹㌱㐬㄰㠷䐬䐬䭋⤩_x0018_＀＀_x0018_＀＀_x0008_＀＀_x0001_＀＀_x0001_＀＀櫊邓欷䀕ࡾ伨 䑄幞噁⡇䝆偟楲散㌨㐵〳㌬㜵㔹䐬⤩_x0018_＀＀_x0018_＀＀_x0008_＀＀_x0001_＀＀_x0001_＀＀咩锪⡊䁍ࡸ伨_x0014_㘲㔳㐳啂䙞彉䅍彔䅄䕔_x001B_＀＀_x0018_＀＀_x000B_＀＀_x0001_＀＀_x0008_＀＀㜰ㄯ⼵〲㌱찀ࡷ伨,堡䑒䭋䅞䝖䤨䝂䕟䍘彈䅒䕔㌨㠸㠹㌬㤸〹䐬䐬䭋⤩_x0018_＀＀_x0018_＀＀_x0008_＀＀_x0001_＀＀_x0001_＀＀䑇ꕂ氛䀗ࡷ伨,堡䑒䭋䅞䝖䤨䝂䕟䍘彈䅒䕔㌨㜸㜱㌬〹㈸䐬䐬䭋⤩_x0018_＀＀_x0018_＀＀_x0008_＀＀_x0001_＀＀_x0001_＀＀陰嚘웞䀗ࡸ伨_x001A_㘲㔳㐳䝂䙞䥔彄剐䍉⡅〴㜱⤸_x0018_＀＀_x0018_＀＀_x0008_＀＀_x0001_＀＀_x0001_＀＀㵱휊肣䁛ࡸ伨_x0014_㘲㔳䰳䅊䙞彉䅍彔䅄䕔_x001B_＀＀_x0018_＀＀_x000B_＀＀_x0001_＀＀_x0008_＀＀㌰〯⼶〲㌱찀ࡾ伨 䑄幞噁⡇䝆偟楲散㌨㜵㔹㌬ㄶ〶䐬⤩_x0018_＀＀_x0018_＀＀_x0008_＀＀_x0001_＀＀_x0001_＀＀叻ࡱ䁐ࡸ伨_x001A_㘲㔳㐳䵂䙞䥔彄剐䍉⡅〴㜱⤸_x0018_＀＀_x0018_＀＀_x0008_＀＀_x0001_＀＀_x0001_＀＀ꇋ뙅嗳䁙ࡷ伨,堡䑒䭋䅞䝖䤨䝂䕟䍘彈䅒䕔㌨㤹㌰㌬㤹㐹䐬䐬䭋⤩_x0018_＀＀_x0018_＀＀_x0008_＀＀_x0001_＀＀_x0001_＀＀ҁ迅䀕ࡸ伨_x001A_㘲㔳㐳卂䙞䥔彄剐䍉⡅〴㜱⤸_x0018_＀＀_x0018_＀＀_x0008_＀＀_x0001_＀＀_x0001_＀＀ꇋ뙅엳䁚ࡷ伨,堡䑒䭋䅞䝖䤨䝂䕟䍘彈䅒䕔㐨㔰㌴㐬㘰㌳䐬䐬䭋⤩_x0018_＀＀_x0018_＀＀_x0008_＀＀_x0001_＀＀_x0001_＀＀켌筆짡䀕ࡸ伨_x0012_㘲㔳㐳卂䙞彉佃偕乏_x0018_＀＀_x0018_＀＀_x0008_＀＀_x0001_＀＀_x0001_＀＀＀＀＀＀＀＀䀔ࡸ伨_x001A_㘲㔳㐳奂䙞䥔彄剐䍉⡅〴㜱⤸_x0018_＀＀_x0018_＀＀_x0008_＀＀_x0001_＀＀_x0001_＀＀ㄦ쐈䁘ࡹ伨"㘲㔳㐳䝂䵞彌呙⡗ⰰ䐬∬䥆䕖䅄䕙䵏⤢_x0018_＀＀_x0018_＀＀_x0008_＀＀_x0001_＀＀_x0001_＀＀ⓝ脆䎕䀐ࡷ伨,堡䑒䭋䅞䝖䤨䝂䕟䍘彈䅒䕔㌨〹㈸㌬㐹㜴䐬䐬䭋⤩_x0018_＀＀_x0018_＀＀_x0008_＀＀_x0001_＀＀_x0001_＀＀轜獰씬䀕ࡷ伨,堡䑒䭋䅞䝖䤨䝂䕟䍘彈䅒䕔㐨㘰㌳㐬㜰㐲䐬䐬䭋⤩_x0018_＀＀_x0018_＀＀_x0008_＀＀_x0001_＀＀_x0001_＀＀Й๖묭䀔ࡹ伨"㘲㔳㐳奂䵞彌呙⡗ⰰ䐬∬䥆䕖䅄䕙䵏⤢_x0018_＀＀_x0018_＀＀_x0008_＀＀_x0001_＀＀_x0001_＀＀譄ꧻ㿩ࡸ伨_x0012_㘲㔳㐳兂䙞彉佃偕乏_x0018_＀＀_x0018_＀＀_x0008_＀＀_x0001_＀＀_x0001_＀＀＀＀＀＀＀＀䀕ࡷ伨,堡䑒䭋䅞䝖䤨䝂䕟䍘彈䅒䕔㌨㤷㘸㌬㌸㈵䐬䐬䭋⤩_x0018_＀＀_x0018_＀＀_x0008_＀＀_x0001_＀＀_x0001_＀＀懐罻䀗ࡾ伨 䑄幞噁⡇䝆偟楲散㌨㘷ㄲ㌬㤷㘸䐬⤩_x0018_＀＀_x0018_＀＀_x0008_＀＀_x0001_＀＀_x0001_＀＀ᇀ뫬䁄ࡸ伨_x0016_㘲㔳㐳剂䙞彉䵁彔問⡔⤰_x0018_＀＀_x0018_＀＀_x0008_＀＀_x0001_＀＀_x0001_＀＀＀＀＀＀＀＀䁹ࡸ伨_x001A_㘲㔳䰳䅊䙞䥔彄剐䍉⡅〴㜱⤸_x0018_＀＀_x0018_＀＀_x0008_＀＀_x0001_＀＀_x0001_＀＀㔿멞_xDC49_䁛ࡾ伨 䑄幞噁⡇䝆偟楲散㌨〵㐶㌬㐵〳䐬⤩_x0018_＀＀_x0018_＀＀_x0008_＀＀_x0001_＀＀_x0001_＀＀過婞䁄ࡷ伨,堡䑒䭋䅞䝖䤨䝂䕟䍘彈䅒䕔㐨㌰㤵㐬㐰ㄵ䐬䐬䭋⤩_x0018_＀＀_x0018_＀＀_x0008_＀＀_x0001_＀＀_x0001_＀＀僂獁ხ䀗ࡷ伨"㘲㔳㐳卂䵞彌呙⡗ⰰ䐬∬䥆䕖䅄䕙䵏⤢_x0018_＀＀_x0018_＀＀_x0008_＀＀_x0001_＀＀_x0001_＀＀눭욧㿣ࡸ伨_x0012_㘲㔳䰳䅊䙞彉佃偕乏_x0018_＀＀_x0018_＀＀_x0008_＀＀_x0001_＀＀_x0001_＀＀扎堐됹䀚ࡷ伨,堡䑒䭋䅞䝖䤨䝂䕟䍘彈䅒䕔㌨㐹㜴㌬㠹㌱䐬䐬䭋⤩_x0018_＀＀_x0018_＀＀_x0008_＀＀_x0001_＀＀_x0001_＀＀급繙憈䀔ࡸ伨_x0016_㘲㔳㐳䭂䙞彉䵁彔問⡔⤰_x0018_＀＀_x0018_＀＀_x0008_＀＀_x0001_＀＀_x0001_＀＀＀＀＀＀＀＀䁹ࡷ伨,堡䑒䭋䅞䝖䤨䝂䕟䍘彈䅒䕔㌨㔹㠳㌬㘹㤲䐬䐬䭋⤩_x0018_＀＀_x0018_＀＀_x0008_＀＀_x0001_＀＀_x0001_＀＀럀ᦽ䀓ࡾ伨_x0016_䑄幞噁⡇䝆偟楲散Ⱘ䐬⤩_x0018_＀＀_x0018_＀＀_x0008_＀＀_x0001_＀＀_x0001_＀＀炤਽菗䁉ࡸ伨_x0014_㘲㔳㐳婂䙞彉䅍彔䅄䕔_x001B_＀＀_x0018_＀＀_x000B_＀＀_x0001_＀＀_x0008_＀＀㄰ㄯ⼵〲〲찀ࡸ伨_x0016_㘲㔳㐳奂䙞彉䵁彔問⡔⤰_x0018_＀＀_x0018_＀＀_x0008_＀＀_x0001_＀＀_x0001_＀＀＀＀＀＀䀀䂏ࡸ伨_x0014_㘲㔳㐳卂䙞彉䅍彔䅄䕔_x001B_＀＀_x0018_＀＀_x000B_＀＀_x0001_＀＀_x0008_＀＀㄰ㄯ⼵〲㌱찀ࡾ伨 䑄幞噁⡇䝆偟楲散㌨㠹㌱㐬㄰㠷䐬⤩_x0018_＀＀_x0018_＀＀_x0008_＀＀_x0001_＀＀_x0001_＀＀჌圞䀼ࡸ伨_x001A_㘲㔳㐳塂䙞䥔彄剐䍉⡅〴㜱⤸_x0018_＀＀_x0018_＀＀_x0008_＀＀_x0001_＀＀_x0001_＀＀ﷴ磔雩䁚ࡷ伨,堡䑒䭋䅞䝖䤨䝂䕟䍘彈䅒䕔㐨㔰㌴㐬㤰㠰䐬䐬䭋⤩_x0018_＀＀_x0018_＀＀_x0008_＀＀_x0001_＀＀_x0001_＀＀䡙៍清䀕ࡷ伨_x0012_㘲㔳㐳䵂䙞彉佃偕乏_x0018_＀＀_x0018_＀＀_x0008_＀＀_x0001_＀＀_x0001_＀＀＀＀＀＀耀䀐ࡷ伨,堡䑒䭋䅞䝖䤨䝂䕟䍘彈䅒䕔㌨㘸㔲㌬㜸㜱䐬䐬䭋⤩_x0018_＀＀_x0018_＀＀_x0008_＀＀_x0001_＀＀_x0001_＀＀紼︄ᢐ䀙ࡷ伨_x001A_䵃啔ㅓ夰䘭卄䙞彇剐䍉⡅㈭⥄_x0018_＀＀_x0018_＀＀_x0008_＀＀_x0001_＀＀_x0001_＀＀轜尨㿿ࡷ伨,堡䑒䭋䅞䝖䤨䝂䕟䍘彈䅒䕔㌨㈹㌶㌬㌹㔵䐬䐬䭋⤩_x0018_＀＀_x0018_＀＀_x0008_＀＀_x0001_＀＀_x0001_＀＀ᨶꭀ䀕ࡸ伨_x001A_㘲㔳㐳剂䙞䥔彄剐䍉⡅〴㜱⤸_x0018_＀＀_x0018_＀＀_x0008_＀＀_x0001_＀＀_x0001_＀＀긔_xDC7A_䁘ࡷ伨,堡䑒䭋䅞䝖䤨䝂䕟䍘彈䅒䕔㌨㜹ㄲ㌬㠹㌱䐬䐬䭋⤩_x0018_＀＀_x0018_＀＀_x0008_＀＀_x0001_＀＀_x0001_＀＀賁驯䀖ࡾ伨 䑄幞噁⡇䝆偟楲散㌨㔶㔲㌬㠶ㄹ䐬⤩_x0018_＀＀_x0018_＀＀_x0008_＀＀_x0001_＀＀_x0001_＀＀ﷹ窩䁈ࡸ伨_x0012_㘲㔳㐳䭂䙞彉佃偕乏_x0018_＀＀_x0018_＀＀_x0008_＀＀_x0001_＀＀_x0001_＀＀＀＀＀＀＀＀䀓ࡷ伨_x0019_䵃啔ㅓⵙ䑆幓䝆偟䥒䕃⴨䐲착_x0018_＀＀_x0018_＀＀_x0008_＀＀_x0001_＀＀_x0001_＀＀Ẹ롑㾾ࡸ伨_x0014_㘲㔳㐳兂䙞彉䅍彔䅄䕔_x001B_＀＀_x0018_＀＀_x000B_＀＀_x0001_＀＀_x0008_＀＀㈱ㄯ⼵〲㘱찀ࡷ伨_x0019_䵃啔㝓ⵙ䑆幓䝆偟䥒䕃⴨䐲착_x0018_＀＀_x0018_＀＀_x0008_＀＀_x0001_＀＀_x0001_＀＀㵱휊炣㿵ࡸ伨_x0016_㘲㔳㐳婂䙞彉䵁彔問⡔⤰_x0018_＀＀_x0018_＀＀_x0008_＀＀_x0001_＀＀_x0001_＀＀＀＀＀＀䀀䂏ࡷ伨_x0019_䵃啔㕓ⵙ䑆幓䝆偟䥒䕃⴨䐲착_x0018_＀＀_x0018_＀＀_x0008_＀＀_x0001_＀＀_x0001_＀＀炤਽ꏗ㿨ࡷ伨,堡䑒䭋䅞䝖䤨䝂䕟䍘彈䅒䕔㐨〱〹㐬ㄱ㈸䐬䐬䭋⤩_x0018_＀＀_x0018_＀＀_x0008_＀＀_x0001_＀＀_x0001_＀＀_xD92A_퐣褌䀖ࡷ伨_x001E_䡌乍㘱〹帳䉌奟䕉䑌呟彏佗卒⡔⤰_x0018_＀＀_x0018_＀＀_x0008_＀＀_x0001_＀＀_x0001_＀＀ꏗ㵰휊䀗ࡸ伨_x0016_㘲㔳㐳卂䙞彉䵁彔問⡔⤰_x0018_＀＀_x0018_＀＀_x0008_＀＀_x0001_＀＀_x0001_＀＀＀＀＀＀䀀䁯ࡷ伨_x0019_䵃啔㍓ⵙ䑆幓䝆偟䥒䕃⴨䐲착_x0018_＀＀_x0018_＀＀_x0008_＀＀_x0001_＀＀_x0001_＀＀ꏗ㵰휊㿓ࡸ伨_x0014_㘲㔳㐳塂䙞彉䅍彔䅄䕔_x001B_＀＀_x0018_＀＀_x000B_＀＀_x0001_＀＀_x0008_＀＀㌰ㄯ⼵〲㔱찀ࡾ伨 䑄幞噁⡇䝆偟楲散㌨㌸㈵㌬㜸㜱䐬⤩_x0018_＀＀_x0018_＀＀_x0008_＀＀_x0001_＀＀_x0001_＀＀뺗輏䁆ࡾ伨 䑄幞噁⡇䝆偟楲散㌨㘴㤹㌬〵㐶䐬⤩_x0018_＀＀_x0018_＀＀_x0008_＀＀_x0001_＀＀_x0001_＀＀誠횃Ɯ䁀ࡸ伨_x0012_㘲㔳㐳䝂䙞彉佃偕乏_x0018_＀＀_x0018_＀＀_x0008_＀＀_x0001_＀＀_x0001_＀＀＀＀＀＀＀＀䀚ࡸ伨_x001A_㘲㔳㐳䭂䙞䥔彄剐䍉⡅〴㜱⤸_x0018_＀＀_x0018_＀＀_x0008_＀＀_x0001_＀＀_x0001_＀＀ﯧ헒䁚ࡸ伨_x0012_㘲㔳㐳婂䙞彉佃偕乏_x0018_＀＀_x0018_＀＀_x0008_＀＀_x0001_＀＀_x0001_＀＀＀＀＀＀耀䀒ࡷ伨,堡䑒䭋䅞䝖䤨䝂䕟䍘彈䅒䕔㌨㜸㜱㌬㠸㜰䐬䐬䭋⤩_x0018_＀＀_x0018_＀＀_x0008_＀＀_x0001_＀＀_x0001_＀＀랳浶틦䀘ࡸ伨_x001A_㘲㔳㐳兂䙞䥔彄剐䍉⡅〴㜱⤸_x0018_＀＀_x0018_＀＀_x0008_＀＀_x0001_＀＀_x0001_＀＀_xDB23_绹汪䁚ࡸ伨_x001A_㘲㔳㐳坂䙞䥔彄剐䍉⡅〴㜱⤸_x0018_＀＀_x0018_＀＀_x0008_＀＀_x0001_＀＀_x0001_＀＀ﯧ췒䁚ࡺ伨_x0012_单䑄䭋䙞彇剐䍉⡅⤰_x0018_＀＀_x0018_＀＀_x0008_＀＀_x0001_＀＀_x0001_＀＀䉛곙䀖ࡷ伨,堡䑒䭋䅞䝖䤨䝂䕟䍘彈䅒䕔㌨㌸㈵㌬㐸㈴䐬䐬䭋⤩_x0018_＀＀_x0018_＀＀_x0008_＀＀_x0001_＀＀_x0001_＀＀ꄘ닩䀖ࡷ伨,堡䑒䭋䅞䝖䤨䝂䕟䍘彈䅒䕔㌨㘷ㄲ㌬㤷㘸䐬䐬䭋⤩_x0018_＀＀_x0018_＀＀_x0008_＀＀_x0001_＀＀_x0001_＀＀螭萗不䀚ࡷ伨_x0016_㘲㔳㐳䵂䙞彉䵁彔問⡔⤰_x0018_＀＀_x0018_＀＀_x0008_＀＀_x0001_＀＀_x0001_＀＀＀＀＀＀＀＀＀＀ࡷ伨,堡䑒䭋䅞䝖䤨䝂䕟䍘彈䅒䕔㌨㠹㌱㌬㤹㌰䐬䐬䭋⤩_x0018_＀＀_x0018_＀＀_x0008_＀＀_x0001_＀＀_x0001_＀＀횘넡_xDCFE_䀖ࡷ伨,堡䑒䭋䅞䝖䤨䝂䕟䍘彈䅒䕔㐨㜰㐲㐬㠰㘱䐬䐬䭋⤩_x0018_＀＀_x0018_＀＀_x0008_＀＀_x0001_＀＀_x0001_＀＀钯补ᵣ䀕ࡸ伨_x0012_㘲㔳㐳塂䙞彉佃偕乏_x0018_＀＀_x0018_＀＀_x0008_＀＀_x0001_＀＀_x0001_＀＀＀＀＀＀＀＀䀓ࡷ伨,堡䑒䭋䅞䝖䤨䝂䕟䍘彈䅒䕔㌨㐸㈴㌬㔸㌳䐬䐬䭋⤩_x0018_＀＀_x0018_＀＀_x0008_＀＀_x0001_＀＀_x0001_＀＀_xDF92_‹ꧦ䀗ࡹ伨"㘲㔳㐳坂䵞彌呙⡗ⰰ䐬∬䥆䕖䅄䕙䵏⤢_x0018_＀＀_x0018_＀＀_x0008_＀＀_x0001_＀＀_x0001_＀＀炤਽ꏗ䀂ࡷ伨"㘲㔳㐳䭂䵞彌呙⡗ⰰ䐬∬䥆䕖䅄䕙䵏⤢_x0018_＀＀_x0018_＀＀_x0008_＀＀_x0001_＀＀_x0001_＀＀豀碵꼝쐕ࡸ伨_x0016_㘲㔳㐳呂䙞彉䵁彔問⡔⤰_x0018_＀＀_x0018_＀＀_x0008_＀＀_x0001_＀＀_x0001_＀＀＀＀＀＀蠀䂓ࡹ伨"㘲㔳㐳婂䵞彌呙⡗ⰰ䐬∬䥆䕖䅄䕙䵏⤢_x0018_＀＀_x0018_＀＀_x0008_＀＀_x0001_＀＀_x0001_＀＀ꏗ㵰휊䀁ࡹ伨"㘲㔳㐳乂䵞彌呙⡗ⰰ䐬∬䥆䕖䅄䕙䵏⤢_x0018_＀＀_x0018_＀＀_x0008_＀＀_x0001_＀＀_x0001_＀＀馚香香㿥ࡺ伨_x001A_䵃啔㍓夰䘭卄䙞彇剐䍉⡅㈭⥄_x0018_＀＀_x0018_＀＀_x0008_＀＀_x0001_＀＀_x0001_＀＀쳍쳌쳌䀈ࡹ伨"㘲㔳㐳兂䵞彌呙⡗ⰰ䐬∬䥆䕖䅄䕙䵏⤢_x0018_＀＀_x0018_＀＀_x0008_＀＀_x0001_＀＀_x0001_＀＀沋ﯧ㿶ࡷ伨,堡䑒䭋䅞䝖䤨䝂䕟䍘彈䅒䕔㐨㠳〳㐬ㄴ㘹䐬䐬䭋⤩_x0018_＀＀_x0018_＀＀_x0008_＀＀_x0001_＀＀_x0001_＀＀_xD911_퐣褌䀖ࡷ伨,堡䑒䭋䅞䝖䤨䝂䕟䍘彈䅒䕔㐨㐳㔶㐬㠳〳䐬䐬䭋⤩_x0018_＀＀_x0018_＀＀_x0008_＀＀_x0001_＀＀_x0001_＀＀_xD911_퐣褌䀖ࡷ伨"㘲㔳䰳䉊䵞彌呙⡗ⰰ䐬∬䥆䕖䅄䕙䵏⤢_x0018_＀＀_x0018_＀＀_x0008_＀＀_x0001_＀＀_x0001_＀＀㕀멞౉㿪ࡷ伨,堡䑒䭋䅞䝖䤨䝂䕟䍘彈䅒䕔㌨㘹㤲㌬㜹ㄲ䐬䐬䭋⤩_x0018_＀＀_x0018_＀＀_x0008_＀＀_x0001_＀＀_x0001_＀＀ꄋꇬ_xDDA0_䀓ࡸ伨_x0014_㘲㔳㐳噂䙞彉䅍彔䅄䕔_x001B_＀＀_x0018_＀＀_x000B_＀＀_x0001_＀＀_x0008_＀＀㄰ㄯ⼵〲㐱찀ࡹ伨"㘲㔳㐳呂䵞彌呙⡗ⰰ䐬∬䥆䕖䅄䕙䵏⤢_x0018_＀＀_x0018_＀＀_x0008_＀＀_x0001_＀＀_x0001_＀＀뀡桲㿾ࡷ伨,堡䑒䭋䅞䝖䤨䝂䕟䍘彈䅒䕔㌨㠶ㄹ㌬㈷㘵䐬䐬䭋⤩_x0018_＀＀_x0018_＀＀_x0008_＀＀_x0001_＀＀_x0001_＀＀監ノꤾ䀠ࡸ伨_x0014_㘲㔳䰳䉊䙞彉䅍彔䅄䕔_x001B_＀＀_x0018_＀＀_x000B_＀＀_x0001_＀＀_x0008_＀＀㌰〯⼶〲㌱찀ࡾ伨_x001B_䑄幞噁⡇䝆偟楲散Ⱘ㐳㤶ⰹ⥄착_x0018_＀＀_x0018_＀＀_x0008_＀＀_x0001_＀＀_x0001_＀＀ៃ쨍䁆ࡷ伨,堡䑒䭋䅞䝖䤨䝂䕟䍘彈䅒䕔㌨㈷㘵㌬㘷ㄲ䐬䐬䭋⤩_x0018_＀＀_x0018_＀＀_x0008_＀＀_x0001_＀＀_x0001_＀＀ᚦ칆藞䀟ࡸ伨_x0012_㘲㔳㐳噂䙞彉佃偕乏_x0018_＀＀_x0018_＀＀_x0008_＀＀_x0001_＀＀_x0001_＀＀＀＀＀＀耀䀗ࡸ伨_x0016_㘲㔳㐳䝂䙞彉䵁彔問⡔⤰_x0018_＀＀_x0018_＀＀_x0008_＀＀_x0001_＀＀_x0001_＀＀＀＀＀＀쀀䁲ࡸ伨_x0016_㘲㔳㐳啂䙞彉䵁彔問⡔⤰_x0018_＀＀_x0018_＀＀_x0008_＀＀_x0001_＀＀_x0001_＀＀＀＀＀＀瀀䂇ࡸ伨_x001A_㘲㔳㐳噂䙞䥔彄剐䍉⡅〴㜱⤸_x0018_＀＀_x0018_＀＀_x0008_＀＀_x0001_＀＀_x0001_＀＀嘄ⴎ鶲䁛</t>
        </r>
      </text>
    </comment>
    <comment ref="B1" authorId="0">
      <text>
        <r>
          <rPr>
            <b/>
            <sz val="8"/>
            <color indexed="81"/>
            <rFont val="Tahoma"/>
            <family val="2"/>
          </rPr>
          <t>6157</t>
        </r>
      </text>
    </comment>
  </commentList>
</comments>
</file>

<file path=xl/sharedStrings.xml><?xml version="1.0" encoding="utf-8"?>
<sst xmlns="http://schemas.openxmlformats.org/spreadsheetml/2006/main" count="1550" uniqueCount="1067">
  <si>
    <t>Sales</t>
  </si>
  <si>
    <t>Additional paid-in capital</t>
  </si>
  <si>
    <t>Accumulated other comprehensive loss</t>
  </si>
  <si>
    <t>3Q09</t>
  </si>
  <si>
    <t>Effect of exchange rate changes on cash</t>
  </si>
  <si>
    <t>Increase (decrease) in cash and cash equivalents</t>
  </si>
  <si>
    <t>Cash and cash equivalents at beginning of year</t>
  </si>
  <si>
    <t>Cash and cash equivalents at end of year</t>
  </si>
  <si>
    <t>Accounts payable days</t>
  </si>
  <si>
    <t>Inventory/COGS*365</t>
  </si>
  <si>
    <t>Receivables/sales*365</t>
  </si>
  <si>
    <t>Payables/COGS*365</t>
  </si>
  <si>
    <t>Cash Conversion Cycle</t>
  </si>
  <si>
    <t>Net working Capital</t>
  </si>
  <si>
    <t>Working capital as % revenues</t>
  </si>
  <si>
    <t>Average useful life</t>
  </si>
  <si>
    <t>Other (e.g. write down)</t>
  </si>
  <si>
    <t>Amortization charge</t>
  </si>
  <si>
    <t>Other</t>
  </si>
  <si>
    <t>4Q14</t>
  </si>
  <si>
    <t>1Q15</t>
  </si>
  <si>
    <t>2Q15</t>
  </si>
  <si>
    <t>3Q15</t>
  </si>
  <si>
    <t>4Q15</t>
  </si>
  <si>
    <t>Preferred stock</t>
  </si>
  <si>
    <t>Working Capital</t>
  </si>
  <si>
    <t>Accounts receivable - net</t>
  </si>
  <si>
    <t>Trade Receivable days</t>
  </si>
  <si>
    <t>Other investing activities – net</t>
  </si>
  <si>
    <t>Operating Income</t>
  </si>
  <si>
    <t>Other current assets</t>
  </si>
  <si>
    <t>Unrecorded goodwill</t>
  </si>
  <si>
    <t>Statutory Tax Rate</t>
  </si>
  <si>
    <t>DD,mscalc:closePriceCurrencyCalc</t>
  </si>
  <si>
    <t>DD,mscalc:sedolCodeCalc</t>
  </si>
  <si>
    <t>DD,mscalc:targetPrice,,,,USD</t>
  </si>
  <si>
    <t>4.24599981307983</t>
  </si>
  <si>
    <t>4.76800012588501</t>
  </si>
  <si>
    <t>Cash and cash equivalents</t>
  </si>
  <si>
    <t>Inventories</t>
  </si>
  <si>
    <t>Total current assets</t>
  </si>
  <si>
    <t>Property, plant and equipment</t>
  </si>
  <si>
    <t>Less: Accumulated depreciation</t>
  </si>
  <si>
    <t>Net property, plant and equipment</t>
  </si>
  <si>
    <t>Goodwill</t>
  </si>
  <si>
    <t>Other intangible assets</t>
  </si>
  <si>
    <t>Other assets</t>
  </si>
  <si>
    <t>Accounts payable</t>
  </si>
  <si>
    <t>Inventory turnover (x)</t>
  </si>
  <si>
    <t>Revenue Growth (%)</t>
  </si>
  <si>
    <t>Total Assets</t>
  </si>
  <si>
    <t>Total Liabilities</t>
  </si>
  <si>
    <t>DD.N,mscalc:freeCashFlowPerShareForConsensus,2011FY,,FYR,,,HOLD</t>
  </si>
  <si>
    <t>DD.N,mscalc:priceToEarningsBeforeOperatingLeaseAdjustments,2009FY,,FYR,,,HOLD</t>
  </si>
  <si>
    <t>DD.N,mscalc:dividendYield,2012FY,,FYR,,,HOLD</t>
  </si>
  <si>
    <t>DD.N,mscalc:freeCashFlowPerShareForConsensus,2009FY,,FYR,,,HOLD</t>
  </si>
  <si>
    <t>DD.N,mscalc:dividendYield,2014FY,,FYR,,,HOLD</t>
  </si>
  <si>
    <t>DD.N,mscalc:priceToEarningsBeforeOperatingLeaseAdjustments,2013FY,,FYR,,,HOLD</t>
  </si>
  <si>
    <t>DD.N,mscalc:freeCashFlowPerShareForConsensus,2013FY,,FYR,,,HOLD</t>
  </si>
  <si>
    <t>DD.N,mscalc:priceToBookValueBasic,2013FY,,FYR,,,HOLD</t>
  </si>
  <si>
    <t>DD.N,mscalc:dividendYield,2009FY,,FYR,,,HOLD</t>
  </si>
  <si>
    <t>DD.N,mscalc:freeCashFlowPerShareForConsensus,2012FY,,FYR,,,HOLD</t>
  </si>
  <si>
    <t>DD.N,mscalc:priceToBookValueBasic,2012FY,,FYR,,,HOLD</t>
  </si>
  <si>
    <t>DD.N,mscalc:priceToEarningsBeforeOperatingLeaseAdjustments,2011FY,,FYR,,,HOLD</t>
  </si>
  <si>
    <t>DD.N,mscalc:priceToEarningsBeforeOperatingLeaseAdjustments,2010FY,,FYR,,,HOLD</t>
  </si>
  <si>
    <t>DD.N,mscalc:priceToEarningsBeforeOperatingLeaseAdjustments,2014FY,,FYR,,,HOLD</t>
  </si>
  <si>
    <t>DD.N,mscalc:freeCashFlowPerShareForConsensus,2010FY,,FYR,,,HOLD</t>
  </si>
  <si>
    <t>DD.N,mscalc:dividendYield,2013FY,,FYR,,,HOLD</t>
  </si>
  <si>
    <t>DD.N,mscalc:dividendYield,2010FY,,FYR,,,HOLD</t>
  </si>
  <si>
    <t>DD.N,mscalc:priceToBookValueBasic,2010FY,,FYR,,,HOLD</t>
  </si>
  <si>
    <t>DD.N,mscalc:priceToBookValueBasic,2014FY,,FYR,,,HOLD</t>
  </si>
  <si>
    <t>DD.N,mscalc:priceToEarningsBeforeOperatingLeaseAdjustments,2012FY,,FYR,,,HOLD</t>
  </si>
  <si>
    <t>DD.N,mscalc:priceToBookValueBasic,2009FY,,FYR,,,HOLD</t>
  </si>
  <si>
    <t>5.07394817376735</t>
  </si>
  <si>
    <t>2.20239388734509</t>
  </si>
  <si>
    <t>0.0357857679622487</t>
  </si>
  <si>
    <t>3.69489144330302</t>
  </si>
  <si>
    <t>16.3354687880406</t>
  </si>
  <si>
    <t>0.0382593482638492</t>
  </si>
  <si>
    <t>3.85160534910951</t>
  </si>
  <si>
    <t>0.0468881814256735</t>
  </si>
  <si>
    <t>13.6490588321619</t>
  </si>
  <si>
    <t>2.45666179692039</t>
  </si>
  <si>
    <t>3.46938588690036</t>
  </si>
  <si>
    <t>0.0456142960247914</t>
  </si>
  <si>
    <t>5.7828349146215</t>
  </si>
  <si>
    <t>4.13534841006005</t>
  </si>
  <si>
    <t>11.9039258413927</t>
  </si>
  <si>
    <t>15.157319947247</t>
  </si>
  <si>
    <t>11.6615026190497</t>
  </si>
  <si>
    <t>3.48829008685463</t>
  </si>
  <si>
    <t>0.0398187674406244</t>
  </si>
  <si>
    <t>0.0328672095382636</t>
  </si>
  <si>
    <t>5.06088074328061</t>
  </si>
  <si>
    <t>2.92652304606102</t>
  </si>
  <si>
    <t>12.8003619947221</t>
  </si>
  <si>
    <t>4.361051501863</t>
  </si>
  <si>
    <t>EBITDA</t>
  </si>
  <si>
    <t>Net income</t>
  </si>
  <si>
    <t>Basic shares outstanding</t>
  </si>
  <si>
    <t>Diluted shares outstanding</t>
  </si>
  <si>
    <t>Cash dividends per share</t>
  </si>
  <si>
    <t>Dividend growth (%)</t>
  </si>
  <si>
    <t>Payout ratio</t>
  </si>
  <si>
    <t>Gross Profit</t>
  </si>
  <si>
    <t>Gross Margin (%)</t>
  </si>
  <si>
    <t>SG&amp;A as % Revenues</t>
  </si>
  <si>
    <t>D&amp;A</t>
  </si>
  <si>
    <t>D&amp;A as % Revenues</t>
  </si>
  <si>
    <t>Recurring Operating Profit</t>
  </si>
  <si>
    <t>Recurring Operating Margin (%)</t>
  </si>
  <si>
    <t>1Q09</t>
  </si>
  <si>
    <t>2Q09</t>
  </si>
  <si>
    <t>DD.N,mscalc:targetPrice</t>
  </si>
  <si>
    <t>,mscalc:sedolCodeCalc</t>
  </si>
  <si>
    <t>Other liabilities</t>
  </si>
  <si>
    <t>Deferred income taxes</t>
  </si>
  <si>
    <t>Price</t>
  </si>
  <si>
    <t>Currency</t>
  </si>
  <si>
    <t>Additions/(reductions)</t>
  </si>
  <si>
    <t>Federal</t>
  </si>
  <si>
    <t>Count</t>
  </si>
  <si>
    <t>Check</t>
  </si>
  <si>
    <t>Depreciation</t>
  </si>
  <si>
    <t>Current Stock Price</t>
  </si>
  <si>
    <t>DD.N,mscalc:consensusEps,2013FY,,FYR</t>
  </si>
  <si>
    <t>DD.N,mscalc:consensusEps,2012FY,,FYR</t>
  </si>
  <si>
    <t>USD</t>
  </si>
  <si>
    <t>NA</t>
  </si>
  <si>
    <t xml:space="preserve"> </t>
  </si>
  <si>
    <t>,mscalc:closePriceCurrencyCalc</t>
  </si>
  <si>
    <t>,mscalc:targetPrice,,,,USD</t>
  </si>
  <si>
    <t>DD.N,mscalc:sedolCodeCalc</t>
  </si>
  <si>
    <t>DD.N,mscalc:closePriceCurrencyCalc</t>
  </si>
  <si>
    <t>DD.N,mscalc:targetPrice,,,,USD</t>
  </si>
  <si>
    <t>This sheet contains Factset binary data for use with this workbook's =FDS codes.  Modifying the worksheet's contents may damage the workbook's =FDS functionality.</t>
  </si>
  <si>
    <t>Domestic operations</t>
  </si>
  <si>
    <t xml:space="preserve">Lower effective tax rates on international operations-net </t>
  </si>
  <si>
    <t>DD.N,mscalc:priceToBookValueBasic,2011FY,,FYR,,,HOLD</t>
  </si>
  <si>
    <t>DD.N,mscalc:freeCashFlowPerShareForConsensus,2014FY,,FYR,,,HOLD</t>
  </si>
  <si>
    <t>DD.N,mscalc:dividendYield,2011FY,,FYR,,,HOLD</t>
  </si>
  <si>
    <t>% Growth</t>
  </si>
  <si>
    <t>Modelware requirements</t>
  </si>
  <si>
    <t>Net Income Reported</t>
  </si>
  <si>
    <t>Common stock</t>
  </si>
  <si>
    <t>3Q14</t>
  </si>
  <si>
    <t>Ending Share Count</t>
  </si>
  <si>
    <t>Shares Repurchased</t>
  </si>
  <si>
    <t>Beginning Share Count</t>
  </si>
  <si>
    <t>+ Shared Issued / Other</t>
  </si>
  <si>
    <t>x</t>
  </si>
  <si>
    <t>1Q08</t>
  </si>
  <si>
    <t>2Q08</t>
  </si>
  <si>
    <t>3Q08</t>
  </si>
  <si>
    <t>4Q08</t>
  </si>
  <si>
    <t>4Q09</t>
  </si>
  <si>
    <t>1Q10</t>
  </si>
  <si>
    <t>2Q10</t>
  </si>
  <si>
    <t>3Q10</t>
  </si>
  <si>
    <t>4Q10</t>
  </si>
  <si>
    <t>1Q11</t>
  </si>
  <si>
    <t>2Q11</t>
  </si>
  <si>
    <t>3Q11</t>
  </si>
  <si>
    <t>4Q11</t>
  </si>
  <si>
    <t>1Q12</t>
  </si>
  <si>
    <t>2Q12</t>
  </si>
  <si>
    <t>3Q12</t>
  </si>
  <si>
    <t>4Q12</t>
  </si>
  <si>
    <t>1Q13</t>
  </si>
  <si>
    <t>2Q13</t>
  </si>
  <si>
    <t>3Q13</t>
  </si>
  <si>
    <t>4Q13</t>
  </si>
  <si>
    <t>1Q14</t>
  </si>
  <si>
    <t>2Q14</t>
  </si>
  <si>
    <t>Consolidated</t>
  </si>
  <si>
    <t>1Q05</t>
  </si>
  <si>
    <t>2Q05</t>
  </si>
  <si>
    <t>3Q05</t>
  </si>
  <si>
    <t>4Q05</t>
  </si>
  <si>
    <t>1Q06</t>
  </si>
  <si>
    <t>2Q06</t>
  </si>
  <si>
    <t>3Q06</t>
  </si>
  <si>
    <t>4Q06</t>
  </si>
  <si>
    <t>1Q07</t>
  </si>
  <si>
    <t>2Q07</t>
  </si>
  <si>
    <t>3Q07</t>
  </si>
  <si>
    <t>4Q07</t>
  </si>
  <si>
    <t>($ in millions)</t>
  </si>
  <si>
    <t>% Total Growth</t>
  </si>
  <si>
    <t>% Margin</t>
  </si>
  <si>
    <t>Less: Operating Costs</t>
  </si>
  <si>
    <t>% Volume Growth</t>
  </si>
  <si>
    <t>% Price / Currency Growth</t>
  </si>
  <si>
    <t>% Acquisitions/Divestitures Growth</t>
  </si>
  <si>
    <t>Revenue Growth Rates</t>
  </si>
  <si>
    <t>Net Revenue</t>
  </si>
  <si>
    <t>Operating Earnings</t>
  </si>
  <si>
    <t>Less: Selling General &amp; Administrative Expenses</t>
  </si>
  <si>
    <t>Net Income, GAAP</t>
  </si>
  <si>
    <t>Plus: Extraordinary items - Post tax</t>
  </si>
  <si>
    <t>Growth / Margins / Drivers</t>
  </si>
  <si>
    <t>EBITDA Calculation</t>
  </si>
  <si>
    <t>Dividends Paid</t>
  </si>
  <si>
    <t>Total Current Liabilities</t>
  </si>
  <si>
    <t>Total Stockholders’ Equity</t>
  </si>
  <si>
    <t>Total Liabilities and Equity</t>
  </si>
  <si>
    <t>Cash Used for Investing Activities</t>
  </si>
  <si>
    <t>Cash Provided by (Used for) Financing Activities</t>
  </si>
  <si>
    <t>Plus: Capital Expenditures</t>
  </si>
  <si>
    <t>Less: Disposals and Other</t>
  </si>
  <si>
    <t>Beginning Balance of PP&amp;E</t>
  </si>
  <si>
    <t>Ending Balance of PP&amp;E</t>
  </si>
  <si>
    <t>Beginning Accumulated Depreciation</t>
  </si>
  <si>
    <t>Ending Accumulated Depreciation</t>
  </si>
  <si>
    <t>Plus: Depreciation Expense</t>
  </si>
  <si>
    <t>Net PP&amp;E</t>
  </si>
  <si>
    <t>Depreciation and Amortization Schedule</t>
  </si>
  <si>
    <t>Shares Schedule</t>
  </si>
  <si>
    <t>- Amount Repurchased</t>
  </si>
  <si>
    <t>Average Basic Shares Outstanding</t>
  </si>
  <si>
    <t>Average Diluted Shares Outstanding</t>
  </si>
  <si>
    <t>Cost of Equity (%)</t>
  </si>
  <si>
    <t>/ Repurchase Price</t>
  </si>
  <si>
    <t>Beginning Balance of Intangibles</t>
  </si>
  <si>
    <t>Ending Balance of Intangibles</t>
  </si>
  <si>
    <t>Beginning Accumulated Amortization</t>
  </si>
  <si>
    <t>Ending Accumulated Amortization</t>
  </si>
  <si>
    <t>Capex-to-Depreciation</t>
  </si>
  <si>
    <t>Capex as % of Sales</t>
  </si>
  <si>
    <t>Additions-to-Amortization</t>
  </si>
  <si>
    <t>Additions to Intangibles as % of Sales</t>
  </si>
  <si>
    <t>Net Intangible Assets</t>
  </si>
  <si>
    <t>Modelware Requirements</t>
  </si>
  <si>
    <t>($ in millions, except per share data)</t>
  </si>
  <si>
    <t>Cost of sales (incl. D&amp;A)</t>
  </si>
  <si>
    <t>Changes in Working capital</t>
  </si>
  <si>
    <t>Plus: Depreciation &amp; Amortization</t>
  </si>
  <si>
    <t>Adjusted Net Income</t>
  </si>
  <si>
    <t>Debt Schedule</t>
  </si>
  <si>
    <t>Existing Debt</t>
  </si>
  <si>
    <t>Net Interest Expense</t>
  </si>
  <si>
    <t>Weighted Average Interest Rate</t>
  </si>
  <si>
    <t>Total Interest Expense</t>
  </si>
  <si>
    <t>1Q16</t>
  </si>
  <si>
    <t>2Q16</t>
  </si>
  <si>
    <t>3Q16</t>
  </si>
  <si>
    <t>4Q16</t>
  </si>
  <si>
    <t>$ Amount Repurchased</t>
  </si>
  <si>
    <t>1Q17</t>
  </si>
  <si>
    <t>2Q17</t>
  </si>
  <si>
    <t>3Q17</t>
  </si>
  <si>
    <t>4Q17</t>
  </si>
  <si>
    <t>Chlor Alkali and Vinyls</t>
  </si>
  <si>
    <t>Olin Annual Segment Financials</t>
  </si>
  <si>
    <t>Olin Quarterly Segment Financials</t>
  </si>
  <si>
    <t>Epoxy</t>
  </si>
  <si>
    <t>Winchester</t>
  </si>
  <si>
    <t>Pension Income</t>
  </si>
  <si>
    <t>Environmental Expense</t>
  </si>
  <si>
    <t>Other Corp and Unallocated Costs</t>
  </si>
  <si>
    <t>Acquisition Related</t>
  </si>
  <si>
    <t>Plus: Interest Income</t>
  </si>
  <si>
    <t>Less: Interest Expense</t>
  </si>
  <si>
    <t>Plus: Other Operating Income (Expense)</t>
  </si>
  <si>
    <t>Plus: Earnings from Non-Consolidated Affiliates</t>
  </si>
  <si>
    <t xml:space="preserve">Profit Before Taxes </t>
  </si>
  <si>
    <t>Adjusted EBITDA</t>
  </si>
  <si>
    <t>Olin Annual Income Statement</t>
  </si>
  <si>
    <t>Olin Quarterly Income Statement</t>
  </si>
  <si>
    <t>Adjusted EBITDA Margin (%)</t>
  </si>
  <si>
    <t>Receivables, Net</t>
  </si>
  <si>
    <t>Income taxes receivable</t>
  </si>
  <si>
    <t>Long-term debt</t>
  </si>
  <si>
    <t>Accrued pension liability</t>
  </si>
  <si>
    <t>Income taxes payable</t>
  </si>
  <si>
    <t>Current installments of long-term debt</t>
  </si>
  <si>
    <t>Accrued liabilities</t>
  </si>
  <si>
    <t>Write-off of equipment and facility in restructuring</t>
  </si>
  <si>
    <t>Amortization</t>
  </si>
  <si>
    <t>Earnings of non-consolidated affiliates</t>
  </si>
  <si>
    <t>Losses (gains) on disposition of PP&amp;E</t>
  </si>
  <si>
    <t>Stock-based compensation</t>
  </si>
  <si>
    <t>Qualified pension plan contributions</t>
  </si>
  <si>
    <t>Qualified pension plan income</t>
  </si>
  <si>
    <t>Receivables</t>
  </si>
  <si>
    <t>Income taxes receivable/payable</t>
  </si>
  <si>
    <t>Accounts payable and accrued liabilities</t>
  </si>
  <si>
    <t>Other noncurrent liabilities</t>
  </si>
  <si>
    <t>Other operating activities</t>
  </si>
  <si>
    <t>Capital expenditures</t>
  </si>
  <si>
    <t>Business acquired and related transactions, net of cash</t>
  </si>
  <si>
    <t>Payments under long-term supply contract</t>
  </si>
  <si>
    <t>Proceeds from sale/leaseback of equipment</t>
  </si>
  <si>
    <t>Proceeds from disposition of PP&amp;E</t>
  </si>
  <si>
    <t>Proceeds from disposition of investment in affiliate</t>
  </si>
  <si>
    <t>Restricted cash activity, net</t>
  </si>
  <si>
    <t>Borrowings</t>
  </si>
  <si>
    <t>Repayments</t>
  </si>
  <si>
    <t>Earn out payment</t>
  </si>
  <si>
    <t>Common stock repurchased and retired</t>
  </si>
  <si>
    <t>Stock options exercised</t>
  </si>
  <si>
    <t>Excess tax benefits from stock-based compensation</t>
  </si>
  <si>
    <t>Debt and equity issuance costs</t>
  </si>
  <si>
    <t>Dividends paid</t>
  </si>
  <si>
    <t>Retained earnings</t>
  </si>
  <si>
    <t>Plus: Other Income</t>
  </si>
  <si>
    <t>Loss (Income) from discontinued ops, net</t>
  </si>
  <si>
    <t>Impairment of investment in corporate debt securities</t>
  </si>
  <si>
    <t>Common stock issued under employee benefit plans</t>
  </si>
  <si>
    <t>Cash provided by discontinued operations</t>
  </si>
  <si>
    <t>Cash provided by (used for) discontinued operations</t>
  </si>
  <si>
    <t>Issuance of common stock</t>
  </si>
  <si>
    <t>Gain on disposition of non-consolidated affiliate</t>
  </si>
  <si>
    <t>Legacy Chlor Alkali Products</t>
  </si>
  <si>
    <t>Olin Balance Sheet</t>
  </si>
  <si>
    <t>Olin Cash Flow Statement</t>
  </si>
  <si>
    <t>Contribution to Revenue Growth</t>
  </si>
  <si>
    <t>Volumes</t>
  </si>
  <si>
    <t>Contribution to Income Growth</t>
  </si>
  <si>
    <t>Input Costs</t>
  </si>
  <si>
    <t>Operating Costs</t>
  </si>
  <si>
    <t>EDC</t>
  </si>
  <si>
    <t>Chlorine</t>
  </si>
  <si>
    <t>Caustic</t>
  </si>
  <si>
    <t>Commercial</t>
  </si>
  <si>
    <t>Military</t>
  </si>
  <si>
    <t>Law Enforcement</t>
  </si>
  <si>
    <t>% Price Growth</t>
  </si>
  <si>
    <t>Acquisition</t>
  </si>
  <si>
    <t>Acquisition + Synergies</t>
  </si>
  <si>
    <t>Contribution to Revenue Growth Rates</t>
  </si>
  <si>
    <t>Industrial</t>
  </si>
  <si>
    <t>International</t>
  </si>
  <si>
    <t>OLN.N</t>
  </si>
  <si>
    <t>OLN.N,mscalc:targetPrice,,,,USD</t>
  </si>
  <si>
    <t>OLN.N,mscalc:sedolCodeCalc</t>
  </si>
  <si>
    <t>OLN.N,mscalc:closePriceCurrencyCalc</t>
  </si>
  <si>
    <t>$BZ$2</t>
  </si>
  <si>
    <t>briscott</t>
  </si>
  <si>
    <t>Company</t>
  </si>
  <si>
    <t>United States</t>
  </si>
  <si>
    <t>Plaquemine</t>
  </si>
  <si>
    <t>Becancour</t>
  </si>
  <si>
    <t>Freeport</t>
  </si>
  <si>
    <t>McIntosh</t>
  </si>
  <si>
    <t>Henderson</t>
  </si>
  <si>
    <t>Niagara Falls</t>
  </si>
  <si>
    <t>St. Gabriel</t>
  </si>
  <si>
    <t>Augusta</t>
  </si>
  <si>
    <t>Charleston</t>
  </si>
  <si>
    <t>Stade</t>
  </si>
  <si>
    <t>Ethylene</t>
  </si>
  <si>
    <t>Oyster Creek</t>
  </si>
  <si>
    <t>Maintenance/Turnaround Costs</t>
  </si>
  <si>
    <t>Olin Annual Chlor Alkali and Vinyls Segment Model</t>
  </si>
  <si>
    <t>Olin Quarterly Chlor Alkali and Vinyls Segment Model</t>
  </si>
  <si>
    <t>Caustic Capacity</t>
  </si>
  <si>
    <t>Freeport, TX</t>
  </si>
  <si>
    <t>St Gabriel</t>
  </si>
  <si>
    <t>Chlorine Capacity</t>
  </si>
  <si>
    <t>EDC Capacity</t>
  </si>
  <si>
    <t>Total EDC Capacity</t>
  </si>
  <si>
    <t>HCl Capacity</t>
  </si>
  <si>
    <t>Total HCl Capacity</t>
  </si>
  <si>
    <t>Chlor-Alkali Operating Rate</t>
  </si>
  <si>
    <t>Caustic Volume</t>
  </si>
  <si>
    <t>Chlorine Volume</t>
  </si>
  <si>
    <t>VCM Capacity</t>
  </si>
  <si>
    <t>Total VCM Capacity</t>
  </si>
  <si>
    <t>EDC Operating Rate</t>
  </si>
  <si>
    <t>VCM Operating Rate</t>
  </si>
  <si>
    <t>EDC Revenue</t>
  </si>
  <si>
    <t>VCM</t>
  </si>
  <si>
    <t>VCM Revenue</t>
  </si>
  <si>
    <t>Caustic Revenue</t>
  </si>
  <si>
    <t>Caustic Exported</t>
  </si>
  <si>
    <t>Caustic Soda</t>
  </si>
  <si>
    <t>Benchmark Prices</t>
  </si>
  <si>
    <t>Ethylene Costs</t>
  </si>
  <si>
    <t>&lt;---- Virtually all of the domestic sales are done under contract</t>
  </si>
  <si>
    <t>Total</t>
  </si>
  <si>
    <t>Chlorine Revenue</t>
  </si>
  <si>
    <t>Caustic Sold to Dow</t>
  </si>
  <si>
    <t>Markup Assumption:</t>
  </si>
  <si>
    <t>VCM Sold to Dow</t>
  </si>
  <si>
    <t>Dow VCM Revenue</t>
  </si>
  <si>
    <t>VCM Volume</t>
  </si>
  <si>
    <t>Dow Revenue % of Total</t>
  </si>
  <si>
    <t>IHS Cash Costs per ECU (in $/mt of Chlorine)</t>
  </si>
  <si>
    <t>OLN Cash Costs per ECU</t>
  </si>
  <si>
    <t>Plus: Fixed Cost Estimate ($/mt)</t>
  </si>
  <si>
    <t>Total Costs per ECU</t>
  </si>
  <si>
    <t>Ethane-USGC</t>
  </si>
  <si>
    <t>Propane</t>
  </si>
  <si>
    <t>Naphtha</t>
  </si>
  <si>
    <t>Chlorine Sold to Dow for PO</t>
  </si>
  <si>
    <t>Total Diaphragm Cell Capacity</t>
  </si>
  <si>
    <t>Total Membrane Cell Capacity</t>
  </si>
  <si>
    <t>Total Caustic Capacity</t>
  </si>
  <si>
    <t>Chlorine Capacity / Production</t>
  </si>
  <si>
    <t>Total Chlorine Capacity</t>
  </si>
  <si>
    <t>% of Chlorine Volume</t>
  </si>
  <si>
    <t xml:space="preserve">Chlorine </t>
  </si>
  <si>
    <t>Chlorine Production</t>
  </si>
  <si>
    <t>Chlorine Capacity in mt</t>
  </si>
  <si>
    <t>EDC Capacity / Production</t>
  </si>
  <si>
    <t>EDC Capacity in mt</t>
  </si>
  <si>
    <t>EDC Production</t>
  </si>
  <si>
    <t>per mt</t>
  </si>
  <si>
    <t>Relevant Dow Capacity</t>
  </si>
  <si>
    <t>Propylene Oxide Capacity</t>
  </si>
  <si>
    <t>Plaquemine, US</t>
  </si>
  <si>
    <t>Freeport, US</t>
  </si>
  <si>
    <t>Aratu, Brazil</t>
  </si>
  <si>
    <t>Stade, Germany</t>
  </si>
  <si>
    <t>Propylene Oxide Operating Rate</t>
  </si>
  <si>
    <t>Chlorine Sold in Merchant Market</t>
  </si>
  <si>
    <t>Total Propylene Oxide US Capacity</t>
  </si>
  <si>
    <t>Total Propylene Oxide Global Capacity</t>
  </si>
  <si>
    <t>&lt;---- US capacity per IHS. Dow retained its chlor-alkali and vinyl assets in Europe and Latin America for back-integration purposes.</t>
  </si>
  <si>
    <t>Dow US Propylene Oxide Capacity</t>
  </si>
  <si>
    <t>Dow US Propylene Oxide Production</t>
  </si>
  <si>
    <t>&lt;---- Used US Dow PO Capacity to imply; 1.4 mt of chlorine per PO mt</t>
  </si>
  <si>
    <t>&lt;---- Assumes remainder used internally for chlorinated organics, bleach, other derivatives</t>
  </si>
  <si>
    <t>Chlorine Proportion of ECU Costs:</t>
  </si>
  <si>
    <t>&lt;---- Cost plus arrangement with Dow; 10% likely too low per IR</t>
  </si>
  <si>
    <t>Segment Results</t>
  </si>
  <si>
    <t>Total (External Price)</t>
  </si>
  <si>
    <t>Chlorine Sold to Dow for PO Assumptions</t>
  </si>
  <si>
    <t>Chlorine Sold in Merchant Market Assumptions</t>
  </si>
  <si>
    <t>Chlorine Contract Benchmark ($/mt)</t>
  </si>
  <si>
    <t>Olin Premium / Discount to Benchmark</t>
  </si>
  <si>
    <t>Olin Realized Price % Change YoY</t>
  </si>
  <si>
    <t>Olin Realized Price % Change % Change QoQ</t>
  </si>
  <si>
    <t>Caustic Capacity / Production</t>
  </si>
  <si>
    <t>Caustic Capacity in mt</t>
  </si>
  <si>
    <t>Caustic Production</t>
  </si>
  <si>
    <t>% of Caustic Volume</t>
  </si>
  <si>
    <t>Chlorine (Contract $/mt)</t>
  </si>
  <si>
    <t>Caustic Sold to Dow Assumptions</t>
  </si>
  <si>
    <t>Caustic Sold Domestically via Contract</t>
  </si>
  <si>
    <t>Caustic Exported Assumptions</t>
  </si>
  <si>
    <t>&lt;---- Realization of index price changes are typically 30% to 70%</t>
  </si>
  <si>
    <t>&lt;---- Changes in export index prices are typically realized on a 30 to 90 day lag</t>
  </si>
  <si>
    <t>&lt;---- Price realization lags index price changes by 30 to 120 days</t>
  </si>
  <si>
    <t>Caustic Sold Domestically via Contract Assumptions</t>
  </si>
  <si>
    <t>Caustic Proportion of ECU Costs:</t>
  </si>
  <si>
    <t>Assumed OLN Cost Advantage</t>
  </si>
  <si>
    <t>Chlorine Portion of ECU</t>
  </si>
  <si>
    <t>Caustic Portion of ECU</t>
  </si>
  <si>
    <t>Olin Caustic Exported Realized Price ($/mt)</t>
  </si>
  <si>
    <t>Olin Caustic Sold Domestically Realized Price ($/mt)</t>
  </si>
  <si>
    <t>Olin Caustic Sold to Dow Realized Price ($/mt)</t>
  </si>
  <si>
    <t>Olin Chlorine Sold in Merchant Market Realized Price ($/mt)</t>
  </si>
  <si>
    <t>Olin Chlorine Sold to Dow Realized Price ($/mt)</t>
  </si>
  <si>
    <t>% of EDC Volume</t>
  </si>
  <si>
    <t>EDC Sold in Merchant Market</t>
  </si>
  <si>
    <t>EDC Consumed Internally for VCM</t>
  </si>
  <si>
    <t>EDC Volume</t>
  </si>
  <si>
    <t>VCM Capacity in mt</t>
  </si>
  <si>
    <t>VCM Production</t>
  </si>
  <si>
    <t>% of VCM Volume</t>
  </si>
  <si>
    <t>VCM Capacity / Production</t>
  </si>
  <si>
    <t>VCM Sold to Dow Assumptions</t>
  </si>
  <si>
    <t>Cost Assumptions</t>
  </si>
  <si>
    <t>EDC Sold in Merchant Market Assumptions</t>
  </si>
  <si>
    <t>Olin EDC Sold in Merchant Market Realized Price ($/mt)</t>
  </si>
  <si>
    <t>VCM Sold in Merchant Market</t>
  </si>
  <si>
    <t>VCM Sold in Merchant Market Assumptions</t>
  </si>
  <si>
    <t>VCM FOB USG Export Benchmark ($/mt)</t>
  </si>
  <si>
    <t>Olin VCM Sold in Merchant Market Realized Price ($/mt)</t>
  </si>
  <si>
    <t>EDC Realized Prices</t>
  </si>
  <si>
    <t>VCM Realized Prices</t>
  </si>
  <si>
    <t>Caustic Realized Prices</t>
  </si>
  <si>
    <t>Chlorine Realized Prices</t>
  </si>
  <si>
    <t>Volume in mt</t>
  </si>
  <si>
    <t>Chlorine &amp; Caustic Costs</t>
  </si>
  <si>
    <t>ECU Cash Costs (Electricity, Salt, etc.)</t>
  </si>
  <si>
    <t>Tranche #1 of Ethylene from Dow (acq. at closing)</t>
  </si>
  <si>
    <t>Tranche #2 of Ethylene from Dow (available 3Q17)</t>
  </si>
  <si>
    <t>Tranche #3 of Ethylene from Dow (available ~4Q20)</t>
  </si>
  <si>
    <t>Ethylene Cost at Producer Economics</t>
  </si>
  <si>
    <t>Ethylene Volume at Market Prices</t>
  </si>
  <si>
    <t>Ethylene Cost at Market Prices</t>
  </si>
  <si>
    <t>Ethane-USGC Cost</t>
  </si>
  <si>
    <t>Propane Cost</t>
  </si>
  <si>
    <t>Naphtha Cost</t>
  </si>
  <si>
    <t>Feedstock Costs</t>
  </si>
  <si>
    <t>Dow Total Cost of Ethylene Production (c/lb)</t>
  </si>
  <si>
    <t>Dow Total Cost of Ethylene Production ($/mt)</t>
  </si>
  <si>
    <t>Ethylene Cost ($/mt)</t>
  </si>
  <si>
    <t>Ethylene Cost at Producer Economics ($/mt)</t>
  </si>
  <si>
    <t>Ethylene Cost at Market Prices ($/mt)</t>
  </si>
  <si>
    <t>US Ethylene Contract (c/lb)</t>
  </si>
  <si>
    <t>US Ethylene Contract ($/mt)</t>
  </si>
  <si>
    <t>Olin Ethylene Cost at Market Prices</t>
  </si>
  <si>
    <t>Other Revenue</t>
  </si>
  <si>
    <t>% Acquisition Growth</t>
  </si>
  <si>
    <t>Reported Revenue Growth Rates</t>
  </si>
  <si>
    <t>Other EDC and VCM Costs</t>
  </si>
  <si>
    <t>Cash Production Costs</t>
  </si>
  <si>
    <t>Other Costs</t>
  </si>
  <si>
    <t>Revenue from Dow</t>
  </si>
  <si>
    <t>Total Revenue from Dow</t>
  </si>
  <si>
    <t>% of Sales</t>
  </si>
  <si>
    <t>&lt;---- According to IHS, VCM raw material costs, primarily for ethylene and chlorine, generally averaged 75% of plant gate costs. Fixed costs for EDC and VCM are ~25% of costs</t>
  </si>
  <si>
    <t>&lt;---- Dow was 15% of revenue in '16 per 10K, not accounting for chlorinated organics sold to Dow</t>
  </si>
  <si>
    <t>Volumes (implied pre-3Q16)</t>
  </si>
  <si>
    <t>Caustic Consumed Internally</t>
  </si>
  <si>
    <t>Total (Merchant Market)</t>
  </si>
  <si>
    <t>US Industry Operating Rate (per IHS)</t>
  </si>
  <si>
    <t> ⇑ </t>
  </si>
  <si>
    <t> ⇓</t>
  </si>
  <si>
    <t>⇔</t>
  </si>
  <si>
    <t>⇗</t>
  </si>
  <si>
    <t>⇘</t>
  </si>
  <si>
    <t>N/A</t>
  </si>
  <si>
    <t>EDC FOB USG Export Benchmark (2mo Lag $/mt)</t>
  </si>
  <si>
    <t>Dow Feedstock Mix (Proportion of Capacity at Freeport Facility)</t>
  </si>
  <si>
    <t>Y/Y Caustic Domestic Realized Price Change</t>
  </si>
  <si>
    <t>Q/Q Caustic Domestic Realized Price Change</t>
  </si>
  <si>
    <t>&lt;---- OLN sells EDC into the spot export market and tracks spot export pricing</t>
  </si>
  <si>
    <t>Oyster Creek - Direct Chlorination</t>
  </si>
  <si>
    <t>Oyster Creek - Oxychlorination</t>
  </si>
  <si>
    <t>Direct Chlorination Production</t>
  </si>
  <si>
    <t>Oxychlorination Production</t>
  </si>
  <si>
    <t>Direct Chlorination Capacity</t>
  </si>
  <si>
    <t>Oxychlorination Capacity</t>
  </si>
  <si>
    <t>&lt;---- 0.73 mt of chlorine per EDC mt in direct chlorination</t>
  </si>
  <si>
    <t>Total Revenue</t>
  </si>
  <si>
    <t>Corporate</t>
  </si>
  <si>
    <t>Total Adjusted EBITDA</t>
  </si>
  <si>
    <t>Corporate / Other</t>
  </si>
  <si>
    <t>Other Operating Income (Expense)</t>
  </si>
  <si>
    <t>Total D&amp;A</t>
  </si>
  <si>
    <t>Total Operating Income</t>
  </si>
  <si>
    <t>Legacy Chemical Distribution</t>
  </si>
  <si>
    <t>Less: Income taxes - recurring</t>
  </si>
  <si>
    <t>Income taxes - reported</t>
  </si>
  <si>
    <t>Income taxes - extraordinary</t>
  </si>
  <si>
    <t>Income tax rate (recurring)</t>
  </si>
  <si>
    <t>Restructuring Charges</t>
  </si>
  <si>
    <t>Acquisition Related Costs</t>
  </si>
  <si>
    <t>Pre-Tax Extraordinary Items</t>
  </si>
  <si>
    <t>GAAP Basic EPS</t>
  </si>
  <si>
    <t>GAAP Diluted EPS</t>
  </si>
  <si>
    <t>Adjusted Basic EPS</t>
  </si>
  <si>
    <t>Adjusted Diluted EPS</t>
  </si>
  <si>
    <t>Certain Non-recurring items</t>
  </si>
  <si>
    <t>Fair Value Inventory Purchase Accounting Adj.</t>
  </si>
  <si>
    <t>Intersegment Sales Elimination</t>
  </si>
  <si>
    <t>% of Revenue</t>
  </si>
  <si>
    <t>Plus: Income from Discontinued Operations, Net</t>
  </si>
  <si>
    <t>Less: Restructuring / Acq. Related Charges</t>
  </si>
  <si>
    <t>Legacy Intersegment</t>
  </si>
  <si>
    <t>Cash Provided by Operating Activities</t>
  </si>
  <si>
    <t>Industry Benchmarks</t>
  </si>
  <si>
    <t>Unadj. NICS Firearm Background Checks (in M)</t>
  </si>
  <si>
    <t>Adj. NICS Firearm Background Checks (in M)</t>
  </si>
  <si>
    <t>US Guns &amp; Ammo Manufacturing Sales (in $M)</t>
  </si>
  <si>
    <t>Total Domestic Commercial Unit Volume (in M)</t>
  </si>
  <si>
    <t>Corr.</t>
  </si>
  <si>
    <t>1Q18</t>
  </si>
  <si>
    <t>2Q18</t>
  </si>
  <si>
    <t>3Q18</t>
  </si>
  <si>
    <t>4Q18</t>
  </si>
  <si>
    <t>% Growth YoY</t>
  </si>
  <si>
    <t>% Growth QoQ</t>
  </si>
  <si>
    <t>Raw Materials Benchmarks</t>
  </si>
  <si>
    <t>Operating Income Growth Rates</t>
  </si>
  <si>
    <t>Contribution to Operating Income Growth</t>
  </si>
  <si>
    <t>Average % Increase YOY</t>
  </si>
  <si>
    <t>Average % Increase QoQ</t>
  </si>
  <si>
    <t>Less: Cost of Sales</t>
  </si>
  <si>
    <t>ECH Capacity</t>
  </si>
  <si>
    <t>Total ECH Capacity</t>
  </si>
  <si>
    <t>&lt;---- Assumes 2016 US operating rate per IHS and incremental annual change to get to 2021 forecast</t>
  </si>
  <si>
    <t>&lt;---- Assumes majority sold to Dow, which supplies VCM to Shintech via long-term agreement. Shintech has ~1.7M mt of VCM capacity and ~2.8M mt of PVC Capacity. 1 mt of PVC requires 1.03 mt of VCM, requiring more than Olin's capacity to supply net short position. Olin also does not provide EBITDA sensitivty for VCM as it does with chlorine and caustic soda, which implies it probably sells minimal volume on merchant market.</t>
  </si>
  <si>
    <t>Freeport - Direct Chlorination</t>
  </si>
  <si>
    <t>Plaquemine - Direct Chlorination only</t>
  </si>
  <si>
    <t>&lt;---- Chlorine used in Epoxy segment is transferred at cost from the Chlor Alkali Products and Vinyls segment</t>
  </si>
  <si>
    <t>&lt;---- 95% operating rate in US per IHS in 2015</t>
  </si>
  <si>
    <t>Olin Chlorine Sold Inersegment Realized Price ($/mt)</t>
  </si>
  <si>
    <t>Epichlorohydrin Capacity in mt</t>
  </si>
  <si>
    <t>Epichlorohydrin Operating Rate</t>
  </si>
  <si>
    <t>Epichlorohydrin Production</t>
  </si>
  <si>
    <t>Olin VCM Sold to Dow Realized Price ($/mt)</t>
  </si>
  <si>
    <t>&lt;---- 10-20% of merchant caustic is exported; sold on a combination of negotiated sales and export index price</t>
  </si>
  <si>
    <t>% Realized Price Growth YoY</t>
  </si>
  <si>
    <t>% Realized Price Growth QoQ</t>
  </si>
  <si>
    <t>% Realized Merchant Price Growth QoQ</t>
  </si>
  <si>
    <t>% Realized Merchant Price Growth YoY</t>
  </si>
  <si>
    <t>QoQ arrow shown in quarterly presentation</t>
  </si>
  <si>
    <t>YoY arrow shown in quarterly presentation</t>
  </si>
  <si>
    <t>Olin Caustic Consumed Internally Realized Price ($/mt)</t>
  </si>
  <si>
    <t>Caustic US Contract Benchmark - 2M Lag ($/mt)</t>
  </si>
  <si>
    <t>Caustic US Spot Export Benchmark - 2M Lag ($/mt)</t>
  </si>
  <si>
    <t>US Caustic Soda (Contract, No lag, $/mt)</t>
  </si>
  <si>
    <t>US Caustic Soda (Contract, 1M lag, $/mt)</t>
  </si>
  <si>
    <t>US Caustic Soda (Contract, 2M lag, $/mt)</t>
  </si>
  <si>
    <t>US Caustic Soda Export (Spot, No Lag, $/mt)</t>
  </si>
  <si>
    <t>US Caustic Soda Export (Spot, 2M Lag, $/mt)</t>
  </si>
  <si>
    <t>US Caustic Soda Export (Spot, 1M Lag, $/mt)</t>
  </si>
  <si>
    <t>x % of Index Price Realized</t>
  </si>
  <si>
    <t>Total Ethylene Needed for Merchant EDC (in mt)</t>
  </si>
  <si>
    <t>Chlorine Consumed Internally for EDC</t>
  </si>
  <si>
    <t>Chlorine Consumed Internally for Other Products</t>
  </si>
  <si>
    <t>Chlorine Consumed Internally for ECH</t>
  </si>
  <si>
    <t>Chlorine Consumed Internally Assumptions</t>
  </si>
  <si>
    <t>&lt;---- 1M tons sold on merchant market</t>
  </si>
  <si>
    <t>&lt;---- ~20% Per IR; assuming half of remaining caustic after merchant volume sold to Dow</t>
  </si>
  <si>
    <t>Olin Chlor Alkali and Vinyls Capacity per IHS (in thousands of mt)</t>
  </si>
  <si>
    <t>Total (in millions of lbs)</t>
  </si>
  <si>
    <t>Total (in millions of mt)</t>
  </si>
  <si>
    <t>Olin EDC Sold in Merchant Market Realized Price ($/lb)</t>
  </si>
  <si>
    <t>Premium / (Discount)</t>
  </si>
  <si>
    <t>EDC FOB USG Export (1M Lag $/mt)</t>
  </si>
  <si>
    <t>EDC FOB USG Export (No lag, $/mt)</t>
  </si>
  <si>
    <t>EDC FOB USG Export (No lag, $/lb)</t>
  </si>
  <si>
    <t>EDC FOB USG Export (2M Lag $/mt)</t>
  </si>
  <si>
    <t>EDC FOB USG Export (1M Lag $/lb)</t>
  </si>
  <si>
    <t>EDC FOB USG Export (2M Lag $/lb)</t>
  </si>
  <si>
    <t>VCM FOB USG Export (No lag, $/mt)</t>
  </si>
  <si>
    <t>VCM FOB USG Export (No lag, $/lb)</t>
  </si>
  <si>
    <t>Chlorine (Contract, 2M Lag, $/mt)</t>
  </si>
  <si>
    <t>Total (External Price $/mt)</t>
  </si>
  <si>
    <t>Total (External Price $/lb)</t>
  </si>
  <si>
    <t>EDC &amp; VCM Cash Costs / mt</t>
  </si>
  <si>
    <t>VCM Tolling Cost for Dow / mt</t>
  </si>
  <si>
    <t>&lt;---- Accounted for under VCM revenue</t>
  </si>
  <si>
    <t>Assumed EDC Fixed Cost/mt</t>
  </si>
  <si>
    <t>Assumed VCM Fixed Cost/mt</t>
  </si>
  <si>
    <t>Less: D&amp;A</t>
  </si>
  <si>
    <t>Less: Cash Production Costs</t>
  </si>
  <si>
    <t>Less: Other Costs</t>
  </si>
  <si>
    <t>Plus: Synergies</t>
  </si>
  <si>
    <t>Other Costs / mt</t>
  </si>
  <si>
    <t>x Total Volume</t>
  </si>
  <si>
    <t>Turnaround Costs</t>
  </si>
  <si>
    <t>VCM Cost for Dow / mt</t>
  </si>
  <si>
    <t>Ethylene Volume Available at Producer Economics</t>
  </si>
  <si>
    <t>9.75%, due 2023</t>
  </si>
  <si>
    <t>10.00%, due 2025</t>
  </si>
  <si>
    <t>5.50%, due 2022</t>
  </si>
  <si>
    <t>6.75%, due 2016</t>
  </si>
  <si>
    <t>7.23%, SunBelt Notes due 2013-2017</t>
  </si>
  <si>
    <t>Receivables financing agreement</t>
  </si>
  <si>
    <t>Capital lease obligations</t>
  </si>
  <si>
    <t>Total notes payable</t>
  </si>
  <si>
    <t>Deferred debt issuance costs and unamortized fair value premium</t>
  </si>
  <si>
    <t>Interest rate swaps</t>
  </si>
  <si>
    <t>Total debt</t>
  </si>
  <si>
    <t>Amounts due within one year</t>
  </si>
  <si>
    <t>Total long-term debt</t>
  </si>
  <si>
    <t>Debt Schedule Detail</t>
  </si>
  <si>
    <t>Interest Expense</t>
  </si>
  <si>
    <t>5.125%, due 2027</t>
  </si>
  <si>
    <t>Senior Credit Facility</t>
  </si>
  <si>
    <t>Variable-rate Senior Term Loan facility, due 2020</t>
  </si>
  <si>
    <t>Variable-rate Sumitomo credit facility, due 2018</t>
  </si>
  <si>
    <t>Variable-rate Recovery Zone bonds, due 2024-2035</t>
  </si>
  <si>
    <t>Variable-rate Go Zone bonds, due 2024</t>
  </si>
  <si>
    <t xml:space="preserve">Variable-rate Ind. dev. and env. improvement obligations, due 2025 </t>
  </si>
  <si>
    <t>Natural Gas ($/mmbtu)</t>
  </si>
  <si>
    <t>Ethane / Natural Gas Costs</t>
  </si>
  <si>
    <t>US Ethane Spot Costs ($/lb)</t>
  </si>
  <si>
    <t>EDC per</t>
  </si>
  <si>
    <t>mt VCM</t>
  </si>
  <si>
    <t>Actual Interest Expense</t>
  </si>
  <si>
    <t>Other Interest</t>
  </si>
  <si>
    <t>Corp and Unallocated % of Revenue</t>
  </si>
  <si>
    <t>CFO</t>
  </si>
  <si>
    <t>CapEx</t>
  </si>
  <si>
    <t>FCF</t>
  </si>
  <si>
    <t>&lt;---- Realization of index price changes are typically 80% to 100%; changed to 90% to 100% on 4Q17 call</t>
  </si>
  <si>
    <t>5.000%, due 2030</t>
  </si>
  <si>
    <t>Increase in Variable Interest Rates</t>
  </si>
  <si>
    <t>2658526</t>
  </si>
  <si>
    <t>Price Benchmarks</t>
  </si>
  <si>
    <t>Price Relative to Commodities</t>
  </si>
  <si>
    <t>OLN Realized Pricing Relative to Commodities</t>
  </si>
  <si>
    <t>Feedstock Cost Inflation</t>
  </si>
  <si>
    <t>Weighted Avg Change in Epoxy Commodities</t>
  </si>
  <si>
    <t>Weighted Avg Change in Feedstocks</t>
  </si>
  <si>
    <t>LER Index</t>
  </si>
  <si>
    <t>ECH Index</t>
  </si>
  <si>
    <t>Benzene Index</t>
  </si>
  <si>
    <t>Propylene Index</t>
  </si>
  <si>
    <t>Commodity Pricing Rel. to Feedstock Inflation</t>
  </si>
  <si>
    <t>% Margin (ex-maintenance, hurricane)</t>
  </si>
  <si>
    <t>Extraordinary Headwind</t>
  </si>
  <si>
    <t>Olin Margin Expansion Rel. to Price Over Inflation</t>
  </si>
  <si>
    <t>Y/Y Olin Margin Exp. (ex-Maintenance/Hurricane)</t>
  </si>
  <si>
    <t>Olin Margin Expansion</t>
  </si>
  <si>
    <t>US Benzene Contract (No lag, c/lbs)</t>
  </si>
  <si>
    <t>US Propylene Contract (No lag, c/lbs)</t>
  </si>
  <si>
    <t>US LER (2mo lag, $/lb)</t>
  </si>
  <si>
    <t>NW Europe ECH (2mo lag, $/mt)</t>
  </si>
  <si>
    <t>Maintenance</t>
  </si>
  <si>
    <t>Lost Volume</t>
  </si>
  <si>
    <t>NW Europe LER (2mo lag, $/mt)</t>
  </si>
  <si>
    <t>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</si>
  <si>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</si>
  <si>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</si>
  <si>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</si>
  <si>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</si>
  <si>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</si>
  <si>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</si>
  <si>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</si>
  <si>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Neel Kumar, Vincent Andrews</t>
  </si>
  <si>
    <t>Date: 25 Apr 2018</t>
  </si>
  <si>
    <t>Ticker: OLN.N</t>
  </si>
  <si>
    <t>Stock Rating: Overweight</t>
  </si>
  <si>
    <t>Industry: Chemicals</t>
  </si>
  <si>
    <t>Industry View: Attractive</t>
  </si>
  <si>
    <t>Price as of 25 Apr 2018: 29.86</t>
  </si>
  <si>
    <t>Target Price: 42</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</si>
  <si>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</si>
  <si>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</si>
  <si>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</si>
  <si>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</si>
  <si>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Olin Corp..</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</si>
  <si>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</si>
  <si>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</si>
  <si>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</si>
  <si>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</si>
  <si>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</si>
  <si>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</si>
  <si>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</si>
  <si>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</si>
  <si>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</si>
  <si>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</si>
  <si>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</si>
  <si>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</si>
  <si>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</si>
  <si>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</si>
  <si>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</si>
  <si>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</si>
  <si>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</si>
  <si>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</si>
  <si>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</si>
  <si>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</si>
  <si>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</si>
  <si>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</si>
  <si>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</si>
  <si>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</si>
  <si>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</si>
  <si>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</si>
  <si>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</si>
  <si>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</si>
  <si>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</si>
  <si>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</si>
  <si>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</si>
  <si>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</si>
  <si>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</si>
  <si>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</si>
  <si>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</si>
  <si>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</si>
  <si>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</si>
  <si>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</si>
  <si>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</si>
  <si>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</si>
  <si>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</si>
  <si>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</si>
  <si>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</si>
  <si>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</si>
  <si>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</si>
  <si>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</si>
  <si>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</si>
  <si>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</si>
  <si>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</si>
  <si>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</si>
  <si>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</si>
  <si>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</si>
  <si>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</si>
  <si>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</si>
  <si>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</si>
  <si>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</si>
  <si>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</si>
  <si>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</si>
  <si>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</si>
  <si>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</si>
  <si>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</si>
  <si>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</si>
  <si>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</si>
  <si>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</si>
  <si>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</si>
  <si>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</si>
  <si>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</si>
  <si>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</si>
  <si>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</si>
  <si>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</si>
  <si>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</si>
  <si>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</si>
  <si>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</si>
  <si>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</si>
  <si>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</si>
  <si>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</si>
  <si>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</si>
  <si>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</si>
  <si>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</si>
  <si>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</si>
  <si>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</si>
  <si>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</si>
  <si>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</si>
  <si>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</si>
  <si>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</si>
  <si>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</si>
  <si>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</si>
  <si>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</si>
  <si>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</si>
  <si>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</si>
  <si>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</si>
  <si>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</si>
  <si>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</si>
  <si>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</si>
  <si>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</si>
  <si>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</si>
  <si>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</si>
  <si>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</si>
  <si>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</si>
  <si>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</si>
  <si>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</si>
  <si>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</si>
  <si>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</si>
  <si>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</si>
  <si>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</si>
  <si>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</si>
  <si>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</si>
  <si>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</si>
  <si>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</si>
  <si>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</si>
  <si>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</si>
  <si>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</si>
  <si>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</si>
  <si>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</si>
  <si>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</si>
  <si>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</si>
  <si>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</si>
  <si>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</si>
  <si>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</si>
  <si>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</si>
  <si>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</si>
  <si>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</si>
  <si>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</si>
  <si>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</si>
  <si>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</si>
  <si>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</si>
  <si>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</si>
  <si>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</si>
  <si>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</si>
  <si>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</si>
  <si>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</si>
  <si>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</si>
  <si>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</si>
  <si>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</si>
  <si>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</si>
  <si>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</si>
  <si>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</si>
  <si>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</si>
  <si>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</si>
  <si>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</si>
  <si>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</si>
  <si>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</si>
  <si>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</si>
  <si>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</si>
  <si>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</si>
  <si>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</si>
  <si>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</si>
  <si>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</si>
  <si>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</si>
  <si>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</si>
  <si>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</si>
  <si>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</si>
  <si>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</si>
  <si>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</si>
  <si>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</si>
  <si>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</si>
  <si>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</si>
  <si>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</si>
  <si>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</si>
  <si>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</si>
  <si>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</si>
  <si>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</si>
  <si>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</si>
  <si>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</si>
  <si>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</si>
  <si>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</si>
  <si>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</si>
  <si>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</si>
  <si>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</si>
  <si>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</si>
  <si>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</si>
  <si>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</si>
  <si>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</si>
  <si>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</si>
  <si>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</si>
  <si>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</si>
  <si>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Olin Corp..</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</si>
  <si>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</si>
  <si>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</si>
  <si>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</si>
  <si>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</si>
  <si>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</si>
  <si>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</si>
  <si>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</si>
  <si>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</si>
  <si>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</si>
  <si>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</si>
  <si>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</si>
  <si>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</si>
  <si>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</si>
  <si>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</si>
  <si>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</si>
  <si>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</si>
  <si>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</si>
  <si>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</si>
  <si>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</si>
  <si>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</si>
  <si>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</si>
  <si>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</si>
  <si>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</si>
  <si>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</si>
  <si>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</si>
  <si>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</si>
  <si>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</si>
  <si>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</si>
  <si>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</si>
  <si>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</si>
  <si>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</si>
  <si>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</si>
  <si>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</si>
  <si>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</si>
  <si>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</si>
  <si>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</si>
  <si>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</si>
  <si>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</si>
  <si>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</si>
  <si>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</si>
  <si>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</si>
  <si>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</si>
  <si>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</si>
  <si>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</si>
  <si>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</si>
  <si>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</si>
  <si>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</si>
  <si>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</si>
  <si>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</si>
  <si>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</si>
  <si>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</si>
  <si>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</si>
  <si>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</si>
  <si>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</si>
  <si>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</si>
  <si>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</si>
  <si>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</si>
  <si>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</si>
  <si>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</si>
  <si>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</si>
  <si>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</si>
  <si>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</si>
  <si>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</si>
  <si>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</si>
  <si>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</si>
  <si>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</si>
  <si>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</si>
  <si>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</si>
  <si>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Olin Corp..</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</si>
  <si>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</si>
  <si>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</si>
  <si>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</si>
  <si>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</si>
  <si>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</si>
  <si>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Neel Kumar,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</si>
  <si>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</si>
  <si>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</si>
  <si>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</si>
  <si>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</si>
  <si>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</si>
  <si>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</si>
  <si>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</si>
  <si>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</si>
  <si>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</si>
  <si>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</si>
  <si>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</si>
  <si>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</si>
  <si>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</si>
  <si>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</si>
  <si>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</si>
  <si>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</si>
  <si>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</si>
  <si>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</si>
  <si>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</si>
  <si>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</si>
  <si>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</si>
  <si>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</si>
  <si>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</si>
  <si>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</si>
  <si>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</si>
  <si>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</si>
  <si>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</si>
  <si>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</si>
  <si>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</si>
  <si>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</si>
  <si>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</si>
  <si>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</si>
  <si>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</si>
  <si>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</si>
  <si>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</si>
  <si>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</si>
  <si>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</si>
  <si>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</si>
  <si>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</si>
  <si>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</si>
  <si>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</si>
  <si>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</si>
  <si>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</si>
  <si>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</si>
  <si>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</si>
  <si>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</si>
  <si>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</si>
  <si>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</si>
  <si>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</si>
  <si>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</si>
  <si>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</si>
  <si>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</si>
  <si>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</si>
  <si>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</si>
  <si>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</si>
  <si>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</si>
  <si>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</si>
  <si>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</si>
  <si>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</si>
  <si>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</si>
  <si>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</si>
  <si>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</si>
  <si>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</si>
  <si>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</si>
  <si>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</si>
  <si>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</si>
  <si>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</si>
  <si>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Attractive</t>
  </si>
  <si>
    <t>Regular Update</t>
  </si>
  <si>
    <t>NorthAmerica</t>
  </si>
  <si>
    <t>Olin Corp.</t>
  </si>
  <si>
    <t>MSA95JNJ, MSA11892</t>
  </si>
  <si>
    <t>L:\CHEMICAL\Companies\Olin\Models\OLN Model vpublish.xlsm</t>
  </si>
  <si>
    <t>[BRO MSA]</t>
  </si>
  <si>
    <t>[PRODUCT MODEL]</t>
  </si>
  <si>
    <t>[EMAIL_ALERT YES]</t>
  </si>
  <si>
    <t>[DISCIPLINE Company]</t>
  </si>
  <si>
    <t>[SUPPRESSED NO]</t>
  </si>
  <si>
    <t>[DOCDAT 2018-04-25]</t>
  </si>
  <si>
    <t>[DOCTIME 08:38]</t>
  </si>
  <si>
    <t>[PSYM OLN.N(S&amp;P) (None)]</t>
  </si>
  <si>
    <t>[COU 1]</t>
  </si>
  <si>
    <t>[ANA MSA11892]</t>
  </si>
  <si>
    <t>[HL OLN.N Model]</t>
  </si>
  <si>
    <t>[IND CHEMLS]</t>
  </si>
  <si>
    <t>[PANA MSA95JNJ]</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</si>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</sst>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_(* #,##0_);_(* \(#,##0\);_(* &quot;-&quot;??_);_(@_)"/>
    <numFmt numFmtId="165" formatCode="0.0%"/>
    <numFmt numFmtId="166" formatCode="_(* #,##0.0_);_(* \(#,##0.0\);_(* &quot;-&quot;??_);_(@_)"/>
    <numFmt numFmtId="167" formatCode="&quot;$&quot;#,##0.00"/>
    <numFmt numFmtId="168" formatCode="&quot;$&quot;#,##0.0"/>
    <numFmt numFmtId="169" formatCode="#,##0.0"/>
    <numFmt numFmtId="170" formatCode="0.0"/>
    <numFmt numFmtId="171" formatCode="0.000"/>
    <numFmt numFmtId="172" formatCode="_ * #,##0_ ;_ * \-#,##0_ ;_ * &quot;-&quot;_ ;_ @_ "/>
    <numFmt numFmtId="173" formatCode="#,##0.0_);\(#,##0.0\)"/>
    <numFmt numFmtId="174" formatCode="#&quot;A&quot;"/>
    <numFmt numFmtId="175" formatCode="#&quot;E&quot;"/>
    <numFmt numFmtId="176" formatCode="@&quot;E&quot;"/>
    <numFmt numFmtId="177" formatCode="@&quot;A&quot;"/>
    <numFmt numFmtId="178" formatCode="#,##0.000_);\(#,##0.000\)"/>
    <numFmt numFmtId="179" formatCode="0.0\x_);\(0.0\x\)"/>
    <numFmt numFmtId="180" formatCode="&quot;$&quot;#,##0.0_);\(&quot;$&quot;#,##0.0\)"/>
    <numFmt numFmtId="181" formatCode="0.0000"/>
    <numFmt numFmtId="182" formatCode="0.0%_);\(0.0%\);&quot;–&quot;_)"/>
    <numFmt numFmtId="183" formatCode="_(&quot;$&quot;* #,##0.0_);_(&quot;$&quot;* \(#,##0.0\);_(&quot;$&quot;* &quot;-&quot;?_);_(@_)"/>
    <numFmt numFmtId="184" formatCode="_(* #,##0.0_);_(* \(#,##0.0\);_(* &quot;-&quot;?_);_(@_)"/>
    <numFmt numFmtId="185" formatCode="_(&quot;$&quot;* #,##0.0000_);_(&quot;$&quot;* \(#,##0.0000\);_(&quot;$&quot;* &quot;-&quot;????_);_(@_)"/>
    <numFmt numFmtId="186" formatCode="#,##0_);\(#,##0\);\-\-\-\-"/>
    <numFmt numFmtId="187" formatCode="&quot;$&quot;#,##0.000_);\(&quot;$&quot;#,##0.000\)"/>
    <numFmt numFmtId="188" formatCode="&quot;$&quot;#,##0.0000_);\(&quot;$&quot;#,##0.0000\)"/>
    <numFmt numFmtId="189" formatCode="_(0.0&quot;%&quot;_);\(0.0&quot;%&quot;\);_(&quot;–&quot;_)_%;@_)_%"/>
    <numFmt numFmtId="190" formatCode="0.00\x"/>
    <numFmt numFmtId="191" formatCode="0&quot;bps&quot;"/>
    <numFmt numFmtId="192" formatCode="mm/dd/yy\ hh:mm"/>
  </numFmts>
  <fonts count="95">
    <font>
      <sz val="10"/>
      <name val="helvetica"/>
    </font>
    <font>
      <sz val="11"/>
      <color theme="1"/>
      <name val="Calibri"/>
      <family val="2"/>
      <scheme val="minor"/>
    </font>
    <font>
      <sz val="11"/>
      <color theme="1"/>
      <name val="Calibri"/>
      <family val="2"/>
      <scheme val="minor"/>
    </font>
    <font>
      <sz val="10"/>
      <name val="Helvetica"/>
      <family val="2"/>
    </font>
    <font>
      <sz val="8"/>
      <name val="Arial"/>
      <family val="2"/>
    </font>
    <font>
      <sz val="10"/>
      <name val="Arial"/>
      <family val="2"/>
    </font>
    <font>
      <sz val="8"/>
      <color indexed="81"/>
      <name val="Tahoma"/>
      <family val="2"/>
    </font>
    <font>
      <sz val="8"/>
      <name val="Helvetica"/>
      <family val="2"/>
    </font>
    <font>
      <sz val="10"/>
      <name val="Arial"/>
      <family val="2"/>
    </font>
    <font>
      <b/>
      <sz val="8"/>
      <color indexed="81"/>
      <name val="Tahoma"/>
      <family val="2"/>
    </font>
    <font>
      <b/>
      <sz val="10"/>
      <color indexed="9"/>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color indexed="9"/>
      <name val="Arial"/>
      <family val="2"/>
    </font>
    <font>
      <b/>
      <sz val="10"/>
      <name val="Arial"/>
      <family val="2"/>
    </font>
    <font>
      <sz val="10"/>
      <name val="Helv"/>
    </font>
    <font>
      <sz val="10"/>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2"/>
      <name val="바탕체"/>
      <family val="1"/>
      <charset val="129"/>
    </font>
    <font>
      <sz val="9"/>
      <color indexed="81"/>
      <name val="Tahoma"/>
      <family val="2"/>
    </font>
    <font>
      <b/>
      <sz val="9"/>
      <color indexed="81"/>
      <name val="Tahoma"/>
      <family val="2"/>
    </font>
    <font>
      <b/>
      <sz val="10"/>
      <color indexed="8"/>
      <name val="Arial"/>
      <family val="2"/>
    </font>
    <font>
      <u/>
      <sz val="10"/>
      <color indexed="12"/>
      <name val="Times New Roman"/>
      <family val="1"/>
    </font>
    <font>
      <i/>
      <sz val="10"/>
      <name val="Arial"/>
      <family val="2"/>
    </font>
    <font>
      <b/>
      <i/>
      <sz val="10"/>
      <name val="Arial"/>
      <family val="2"/>
    </font>
    <font>
      <sz val="10"/>
      <color indexed="17"/>
      <name val="Arial"/>
      <family val="2"/>
    </font>
    <font>
      <sz val="10"/>
      <color indexed="10"/>
      <name val="Arial"/>
      <family val="2"/>
    </font>
    <font>
      <b/>
      <u/>
      <sz val="10"/>
      <name val="Arial"/>
      <family val="2"/>
    </font>
    <font>
      <i/>
      <sz val="10"/>
      <color indexed="12"/>
      <name val="Arial"/>
      <family val="2"/>
    </font>
    <font>
      <i/>
      <sz val="10"/>
      <color indexed="10"/>
      <name val="Arial"/>
      <family val="2"/>
    </font>
    <font>
      <u/>
      <sz val="10"/>
      <name val="Arial"/>
      <family val="2"/>
    </font>
    <font>
      <sz val="10"/>
      <name val="Helvetica"/>
      <family val="2"/>
    </font>
    <font>
      <sz val="11"/>
      <color theme="1"/>
      <name val="Calibri"/>
      <family val="2"/>
      <scheme val="minor"/>
    </font>
    <font>
      <sz val="10"/>
      <name val="Calibri"/>
      <family val="2"/>
      <scheme val="minor"/>
    </font>
    <font>
      <b/>
      <sz val="10"/>
      <color rgb="FFFFFFFF"/>
      <name val="Arial"/>
      <family val="2"/>
    </font>
    <font>
      <b/>
      <sz val="10"/>
      <color theme="1"/>
      <name val="Arial"/>
      <family val="2"/>
    </font>
    <font>
      <sz val="10"/>
      <color theme="1"/>
      <name val="Arial"/>
      <family val="2"/>
    </font>
    <font>
      <sz val="10"/>
      <color rgb="FF008000"/>
      <name val="Arial"/>
      <family val="2"/>
    </font>
    <font>
      <b/>
      <sz val="10"/>
      <color theme="0"/>
      <name val="Arial"/>
      <family val="2"/>
    </font>
    <font>
      <sz val="10"/>
      <color rgb="FF000000"/>
      <name val="Arial"/>
      <family val="2"/>
    </font>
    <font>
      <sz val="10"/>
      <color rgb="FF0000FF"/>
      <name val="Arial"/>
      <family val="2"/>
    </font>
    <font>
      <b/>
      <sz val="10"/>
      <color rgb="FF0000FF"/>
      <name val="Arial"/>
      <family val="2"/>
    </font>
    <font>
      <i/>
      <sz val="10"/>
      <color theme="1"/>
      <name val="Arial"/>
      <family val="2"/>
    </font>
    <font>
      <i/>
      <sz val="10"/>
      <color rgb="FF0000FF"/>
      <name val="Arial"/>
      <family val="2"/>
    </font>
    <font>
      <b/>
      <sz val="10"/>
      <color rgb="FF000000"/>
      <name val="Arial"/>
      <family val="2"/>
    </font>
    <font>
      <b/>
      <u/>
      <sz val="10"/>
      <color theme="1"/>
      <name val="Arial"/>
      <family val="2"/>
    </font>
    <font>
      <i/>
      <sz val="10"/>
      <color rgb="FF000000"/>
      <name val="Arial"/>
      <family val="2"/>
    </font>
    <font>
      <i/>
      <sz val="10"/>
      <color rgb="FF008000"/>
      <name val="Arial"/>
      <family val="2"/>
    </font>
    <font>
      <b/>
      <sz val="10"/>
      <color rgb="FF008000"/>
      <name val="Arial"/>
      <family val="2"/>
    </font>
    <font>
      <i/>
      <sz val="10"/>
      <color rgb="FFFF0000"/>
      <name val="Arial"/>
      <family val="2"/>
    </font>
    <font>
      <u/>
      <sz val="10"/>
      <color rgb="FF0000FF"/>
      <name val="Arial"/>
      <family val="2"/>
    </font>
    <font>
      <b/>
      <sz val="14"/>
      <color rgb="FF6B6B6B"/>
      <name val="Arial"/>
      <family val="2"/>
    </font>
    <font>
      <sz val="10"/>
      <color rgb="FF800080"/>
      <name val="Arial"/>
      <family val="2"/>
    </font>
    <font>
      <i/>
      <sz val="10"/>
      <color rgb="FF800080"/>
      <name val="Arial"/>
      <family val="2"/>
    </font>
    <font>
      <b/>
      <i/>
      <sz val="10"/>
      <color rgb="FF0000FF"/>
      <name val="Arial"/>
      <family val="2"/>
    </font>
    <font>
      <b/>
      <sz val="10"/>
      <color rgb="FF6B6B6B"/>
      <name val="Arial"/>
      <family val="2"/>
    </font>
    <font>
      <b/>
      <sz val="10"/>
      <color rgb="FF800080"/>
      <name val="Arial"/>
      <family val="2"/>
    </font>
    <font>
      <u/>
      <sz val="10"/>
      <color rgb="FF800080"/>
      <name val="Arial"/>
      <family val="2"/>
    </font>
    <font>
      <sz val="10"/>
      <color rgb="FF000000"/>
      <name val="Inherit"/>
    </font>
    <font>
      <sz val="10"/>
      <color theme="4" tint="-0.249977111117893"/>
      <name val="Arial"/>
      <family val="2"/>
    </font>
    <font>
      <b/>
      <sz val="10"/>
      <color rgb="FF000000"/>
      <name val="Inherit"/>
    </font>
    <font>
      <i/>
      <sz val="10"/>
      <color rgb="FF000000"/>
      <name val="Inherit"/>
    </font>
    <font>
      <sz val="10"/>
      <color rgb="FF0000FF"/>
      <name val="Inherit"/>
    </font>
    <font>
      <sz val="11"/>
      <name val="Arial"/>
      <family val="2"/>
    </font>
    <font>
      <u/>
      <sz val="10"/>
      <color indexed="12"/>
      <name val="Arial"/>
      <family val="2"/>
    </font>
    <font>
      <sz val="10"/>
      <name val="Helv"/>
      <family val="2"/>
    </font>
    <font>
      <b/>
      <sz val="16"/>
      <color indexed="8"/>
      <name val="Arial"/>
      <family val="2"/>
    </font>
    <font>
      <b/>
      <sz val="12"/>
      <color indexed="8"/>
      <name val="Arial"/>
      <family val="2"/>
    </font>
    <font>
      <sz val="8"/>
      <color indexed="8"/>
      <name val="Arial"/>
      <family val="2"/>
    </font>
    <font>
      <sz val="8"/>
      <color indexed="39"/>
      <name val="Arial"/>
      <family val="2"/>
    </font>
    <font>
      <b/>
      <u/>
      <sz val="10"/>
      <color indexed="8"/>
      <name val="Arial"/>
      <family val="2"/>
    </font>
    <font>
      <sz val="10"/>
      <name val="Courier"/>
      <family val="3"/>
    </font>
    <font>
      <b/>
      <sz val="12"/>
      <color rgb="FF000080"/>
      <name val="Arial"/>
      <family val="2"/>
    </font>
    <font>
      <sz val="14"/>
      <name val="Arial"/>
      <family val="2"/>
    </font>
    <font>
      <u/>
      <sz val="14"/>
      <name val="Arial"/>
      <family val="2"/>
    </font>
    <font>
      <b/>
      <u/>
      <sz val="14"/>
      <color indexed="10"/>
      <name val="Arial"/>
      <family val="2"/>
    </font>
  </fonts>
  <fills count="22">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theme="4"/>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indexed="63"/>
        <bgColor indexed="64"/>
      </patternFill>
    </fill>
    <fill>
      <patternFill patternType="solid">
        <fgColor indexed="44"/>
        <bgColor indexed="64"/>
      </patternFill>
    </fill>
    <fill>
      <patternFill patternType="solid">
        <fgColor indexed="65"/>
        <bgColor indexed="64"/>
      </patternFill>
    </fill>
  </fills>
  <borders count="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medium">
        <color indexed="64"/>
      </top>
      <bottom/>
      <diagonal/>
    </border>
    <border>
      <left/>
      <right/>
      <top/>
      <bottom style="medium">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auto="1"/>
      </top>
      <bottom/>
      <diagonal/>
    </border>
    <border>
      <left/>
      <right/>
      <top/>
      <bottom style="thin">
        <color auto="1"/>
      </bottom>
      <diagonal/>
    </border>
    <border>
      <left style="thin">
        <color auto="1"/>
      </left>
      <right style="thin">
        <color auto="1"/>
      </right>
      <top style="thin">
        <color auto="1"/>
      </top>
      <bottom style="thin">
        <color auto="1"/>
      </bottom>
      <diagonal/>
    </border>
    <border>
      <left/>
      <right/>
      <top style="medium">
        <color indexed="64"/>
      </top>
      <bottom style="double">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auto="1"/>
      </left>
      <right style="thin">
        <color auto="1"/>
      </right>
      <top style="thin">
        <color auto="1"/>
      </top>
      <bottom style="thin">
        <color auto="1"/>
      </bottom>
      <diagonal/>
    </border>
    <border>
      <left/>
      <right/>
      <top/>
      <bottom style="thin">
        <color indexed="8"/>
      </bottom>
      <diagonal/>
    </border>
    <border>
      <left style="thin">
        <color auto="1"/>
      </left>
      <right style="thin">
        <color auto="1"/>
      </right>
      <top style="thin">
        <color auto="1"/>
      </top>
      <bottom style="thin">
        <color auto="1"/>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92">
    <xf numFmtId="0" fontId="0" fillId="0" borderId="0"/>
    <xf numFmtId="0" fontId="5" fillId="0" borderId="0"/>
    <xf numFmtId="0" fontId="5" fillId="0" borderId="0"/>
    <xf numFmtId="0" fontId="8" fillId="0" borderId="0" applyNumberFormat="0" applyFill="0" applyBorder="0" applyAlignment="0" applyProtection="0"/>
    <xf numFmtId="0" fontId="18" fillId="0" borderId="0"/>
    <xf numFmtId="0" fontId="5" fillId="0" borderId="0"/>
    <xf numFmtId="0" fontId="11" fillId="0" borderId="0"/>
    <xf numFmtId="0" fontId="11" fillId="0" borderId="0"/>
    <xf numFmtId="0" fontId="11"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2" borderId="0" applyNumberFormat="0" applyBorder="0" applyAlignment="0" applyProtection="0"/>
    <xf numFmtId="0" fontId="20" fillId="5" borderId="0" applyNumberFormat="0" applyBorder="0" applyAlignment="0" applyProtection="0"/>
    <xf numFmtId="0" fontId="20" fillId="4" borderId="0" applyNumberFormat="0" applyBorder="0" applyAlignment="0" applyProtection="0"/>
    <xf numFmtId="0" fontId="20" fillId="6"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4" borderId="0" applyNumberFormat="0" applyBorder="0" applyAlignment="0" applyProtection="0"/>
    <xf numFmtId="0" fontId="21" fillId="8" borderId="0" applyNumberFormat="0" applyBorder="0" applyAlignment="0" applyProtection="0"/>
    <xf numFmtId="0" fontId="21" fillId="3" borderId="0" applyNumberFormat="0" applyBorder="0" applyAlignment="0" applyProtection="0"/>
    <xf numFmtId="0" fontId="21" fillId="9" borderId="0" applyNumberFormat="0" applyBorder="0" applyAlignment="0" applyProtection="0"/>
    <xf numFmtId="0" fontId="21" fillId="6" borderId="0" applyNumberFormat="0" applyBorder="0" applyAlignment="0" applyProtection="0"/>
    <xf numFmtId="0" fontId="21" fillId="8" borderId="0" applyNumberFormat="0" applyBorder="0" applyAlignment="0" applyProtection="0"/>
    <xf numFmtId="0" fontId="21" fillId="4" borderId="0" applyNumberFormat="0" applyBorder="0" applyAlignment="0" applyProtection="0"/>
    <xf numFmtId="0" fontId="21" fillId="8" borderId="0" applyNumberFormat="0" applyBorder="0" applyAlignment="0" applyProtection="0"/>
    <xf numFmtId="0" fontId="21" fillId="3"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8" borderId="0" applyNumberFormat="0" applyBorder="0" applyAlignment="0" applyProtection="0"/>
    <xf numFmtId="0" fontId="21" fillId="3" borderId="0" applyNumberFormat="0" applyBorder="0" applyAlignment="0" applyProtection="0"/>
    <xf numFmtId="0" fontId="22" fillId="11" borderId="0" applyNumberFormat="0" applyBorder="0" applyAlignment="0" applyProtection="0"/>
    <xf numFmtId="0" fontId="12" fillId="0" borderId="0"/>
    <xf numFmtId="0" fontId="23" fillId="12" borderId="1" applyNumberFormat="0" applyAlignment="0" applyProtection="0"/>
    <xf numFmtId="0" fontId="24" fillId="13" borderId="2" applyNumberFormat="0" applyAlignment="0" applyProtection="0"/>
    <xf numFmtId="43" fontId="3" fillId="0" borderId="0" applyFont="0" applyFill="0" applyBorder="0" applyAlignment="0" applyProtection="0"/>
    <xf numFmtId="44" fontId="5" fillId="0" borderId="0" applyFont="0" applyFill="0" applyBorder="0" applyAlignment="0" applyProtection="0"/>
    <xf numFmtId="0" fontId="25" fillId="0" borderId="0" applyNumberFormat="0" applyFill="0" applyBorder="0" applyAlignment="0" applyProtection="0"/>
    <xf numFmtId="0" fontId="26" fillId="14" borderId="0" applyNumberFormat="0" applyBorder="0" applyAlignment="0" applyProtection="0"/>
    <xf numFmtId="0" fontId="27" fillId="0" borderId="3" applyNumberFormat="0" applyFill="0" applyAlignment="0" applyProtection="0"/>
    <xf numFmtId="0" fontId="28" fillId="0" borderId="4" applyNumberFormat="0" applyFill="0" applyAlignment="0" applyProtection="0"/>
    <xf numFmtId="0" fontId="29" fillId="0" borderId="5" applyNumberFormat="0" applyFill="0" applyAlignment="0" applyProtection="0"/>
    <xf numFmtId="0" fontId="29" fillId="0" borderId="0" applyNumberFormat="0" applyFill="0" applyBorder="0" applyAlignment="0" applyProtection="0"/>
    <xf numFmtId="0" fontId="41" fillId="0" borderId="0" applyNumberFormat="0" applyFill="0" applyBorder="0" applyAlignment="0" applyProtection="0">
      <alignment vertical="top"/>
      <protection locked="0"/>
    </xf>
    <xf numFmtId="0" fontId="30" fillId="4" borderId="1" applyNumberFormat="0" applyAlignment="0" applyProtection="0"/>
    <xf numFmtId="0" fontId="31" fillId="0" borderId="6" applyNumberFormat="0" applyFill="0" applyAlignment="0" applyProtection="0"/>
    <xf numFmtId="0" fontId="32" fillId="4" borderId="0" applyNumberFormat="0" applyBorder="0" applyAlignment="0" applyProtection="0"/>
    <xf numFmtId="0" fontId="5" fillId="0" borderId="0"/>
    <xf numFmtId="0" fontId="51" fillId="0" borderId="0"/>
    <xf numFmtId="0" fontId="5" fillId="4" borderId="7" applyNumberFormat="0" applyFont="0" applyAlignment="0" applyProtection="0"/>
    <xf numFmtId="0" fontId="33" fillId="12" borderId="8" applyNumberFormat="0" applyAlignment="0" applyProtection="0"/>
    <xf numFmtId="0" fontId="13" fillId="0" borderId="0">
      <alignment vertical="center"/>
    </xf>
    <xf numFmtId="9" fontId="3" fillId="0" borderId="0" applyFont="0" applyFill="0" applyBorder="0" applyAlignment="0" applyProtection="0"/>
    <xf numFmtId="9" fontId="50" fillId="0" borderId="0" applyFont="0" applyFill="0" applyBorder="0" applyAlignment="0" applyProtection="0"/>
    <xf numFmtId="0" fontId="5" fillId="15" borderId="0" applyNumberFormat="0" applyFont="0" applyBorder="0" applyAlignment="0" applyProtection="0"/>
    <xf numFmtId="0" fontId="5" fillId="15" borderId="0" applyNumberFormat="0" applyFont="0" applyBorder="0" applyAlignment="0" applyProtection="0"/>
    <xf numFmtId="0" fontId="14" fillId="0" borderId="0"/>
    <xf numFmtId="0" fontId="14" fillId="0" borderId="9">
      <alignment horizontal="centerContinuous"/>
    </xf>
    <xf numFmtId="0" fontId="15" fillId="0" borderId="9"/>
    <xf numFmtId="0" fontId="34" fillId="0" borderId="0" applyNumberFormat="0" applyFill="0" applyBorder="0" applyAlignment="0" applyProtection="0"/>
    <xf numFmtId="0" fontId="35" fillId="0" borderId="10" applyNumberFormat="0" applyFill="0" applyAlignment="0" applyProtection="0"/>
    <xf numFmtId="0" fontId="36" fillId="0" borderId="0" applyNumberFormat="0" applyFill="0" applyBorder="0" applyAlignment="0" applyProtection="0"/>
    <xf numFmtId="172" fontId="37" fillId="0" borderId="0" applyFont="0" applyFill="0" applyBorder="0" applyAlignment="0" applyProtection="0"/>
    <xf numFmtId="0" fontId="37" fillId="0" borderId="0" applyFont="0" applyFill="0" applyBorder="0" applyAlignment="0" applyProtection="0"/>
    <xf numFmtId="0" fontId="3" fillId="0" borderId="0"/>
    <xf numFmtId="0" fontId="3" fillId="0" borderId="0"/>
    <xf numFmtId="0" fontId="83" fillId="0" borderId="0" applyNumberFormat="0" applyFill="0" applyBorder="0" applyAlignment="0" applyProtection="0">
      <alignment vertical="top"/>
      <protection locked="0"/>
    </xf>
    <xf numFmtId="0" fontId="5" fillId="0" borderId="0"/>
    <xf numFmtId="0" fontId="5" fillId="0" borderId="0"/>
    <xf numFmtId="0" fontId="5" fillId="0" borderId="0" applyFont="0" applyFill="0" applyBorder="0" applyAlignment="0" applyProtection="0"/>
    <xf numFmtId="0" fontId="5" fillId="0" borderId="0" applyNumberForma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pplyNumberFormat="0" applyFill="0" applyBorder="0" applyAlignment="0" applyProtection="0"/>
    <xf numFmtId="0" fontId="5" fillId="0" borderId="0"/>
    <xf numFmtId="0" fontId="84" fillId="0" borderId="0"/>
    <xf numFmtId="0" fontId="5" fillId="0" borderId="0"/>
    <xf numFmtId="0" fontId="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2" fillId="0" borderId="0"/>
    <xf numFmtId="0" fontId="12" fillId="0" borderId="0"/>
    <xf numFmtId="43" fontId="3"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3" fillId="0" borderId="0" applyFont="0" applyFill="0" applyBorder="0" applyAlignment="0" applyProtection="0"/>
    <xf numFmtId="0" fontId="5" fillId="0" borderId="0"/>
    <xf numFmtId="0" fontId="5" fillId="0" borderId="0"/>
    <xf numFmtId="0" fontId="2" fillId="0" borderId="0"/>
    <xf numFmtId="0" fontId="5" fillId="0" borderId="0" applyNumberFormat="0" applyFont="0" applyFill="0" applyBorder="0" applyAlignment="0" applyProtection="0">
      <alignment vertical="top"/>
    </xf>
    <xf numFmtId="0" fontId="3" fillId="0" borderId="0"/>
    <xf numFmtId="9" fontId="3" fillId="0" borderId="0" applyFont="0" applyFill="0" applyBorder="0" applyAlignment="0" applyProtection="0"/>
    <xf numFmtId="9" fontId="3" fillId="0" borderId="0" applyFont="0" applyFill="0" applyBorder="0" applyAlignment="0" applyProtection="0"/>
    <xf numFmtId="9" fontId="2"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9">
      <alignment horizontal="centerContinuous"/>
    </xf>
    <xf numFmtId="0" fontId="14" fillId="0" borderId="9">
      <alignment horizontal="centerContinuous"/>
    </xf>
    <xf numFmtId="0" fontId="14" fillId="0" borderId="9">
      <alignment horizontal="centerContinuous"/>
    </xf>
    <xf numFmtId="0" fontId="14" fillId="0" borderId="9">
      <alignment horizontal="centerContinuous"/>
    </xf>
    <xf numFmtId="0" fontId="14" fillId="0" borderId="9">
      <alignment horizontal="centerContinuous"/>
    </xf>
    <xf numFmtId="0" fontId="14" fillId="0" borderId="9">
      <alignment horizontal="centerContinuous"/>
    </xf>
    <xf numFmtId="0" fontId="5" fillId="0" borderId="0">
      <alignment vertical="top"/>
    </xf>
    <xf numFmtId="0" fontId="5" fillId="0" borderId="0">
      <alignment vertical="top"/>
    </xf>
    <xf numFmtId="0" fontId="85" fillId="0" borderId="0" applyNumberFormat="0" applyFill="0" applyBorder="0" applyProtection="0">
      <alignment horizontal="center"/>
    </xf>
    <xf numFmtId="0" fontId="85" fillId="0" borderId="0" applyNumberFormat="0" applyFill="0" applyBorder="0" applyProtection="0">
      <alignment horizontal="center"/>
    </xf>
    <xf numFmtId="0" fontId="86" fillId="19" borderId="0" applyNumberFormat="0" applyBorder="0" applyProtection="0">
      <alignment horizontal="center"/>
    </xf>
    <xf numFmtId="0" fontId="87" fillId="0" borderId="0" applyNumberFormat="0" applyFill="0" applyBorder="0" applyProtection="0">
      <alignment horizontal="center"/>
    </xf>
    <xf numFmtId="0" fontId="40" fillId="0" borderId="0" applyNumberFormat="0" applyFill="0" applyBorder="0" applyProtection="0">
      <alignment horizontal="left"/>
    </xf>
    <xf numFmtId="0" fontId="4" fillId="20" borderId="18" applyNumberFormat="0" applyProtection="0">
      <alignment horizontal="center" wrapText="1"/>
    </xf>
    <xf numFmtId="0" fontId="19" fillId="0" borderId="0" applyNumberFormat="0" applyFill="0" applyBorder="0" applyProtection="0">
      <alignment horizontal="left" vertical="top"/>
    </xf>
    <xf numFmtId="186" fontId="40" fillId="0" borderId="19" applyFill="0" applyProtection="0">
      <alignment horizontal="right" vertical="top"/>
    </xf>
    <xf numFmtId="0" fontId="4" fillId="0" borderId="0" applyNumberFormat="0" applyFill="0" applyBorder="0" applyProtection="0">
      <alignment vertical="center"/>
    </xf>
    <xf numFmtId="186" fontId="19" fillId="0" borderId="0" applyFill="0" applyBorder="0" applyProtection="0">
      <alignment horizontal="right" vertical="top"/>
    </xf>
    <xf numFmtId="186" fontId="19" fillId="0" borderId="0" applyFill="0" applyBorder="0" applyProtection="0">
      <alignment horizontal="right" vertical="top"/>
    </xf>
    <xf numFmtId="4" fontId="88" fillId="0" borderId="0" applyFill="0" applyBorder="0" applyAlignment="0" applyProtection="0"/>
    <xf numFmtId="0" fontId="40" fillId="0" borderId="12" applyNumberFormat="0" applyFill="0" applyProtection="0">
      <alignment horizontal="right"/>
    </xf>
    <xf numFmtId="0" fontId="40" fillId="0" borderId="12" applyNumberFormat="0" applyFill="0" applyProtection="0">
      <alignment horizontal="right"/>
    </xf>
    <xf numFmtId="0" fontId="40" fillId="0" borderId="0" applyNumberFormat="0" applyFill="0" applyBorder="0" applyProtection="0">
      <alignment horizontal="center"/>
    </xf>
    <xf numFmtId="41" fontId="5" fillId="0" borderId="0" applyFont="0" applyFill="0" applyBorder="0" applyAlignment="0" applyProtection="0"/>
    <xf numFmtId="0" fontId="19" fillId="0" borderId="0" applyNumberFormat="0" applyFill="0" applyBorder="0" applyProtection="0">
      <alignment horizontal="left" vertical="top"/>
    </xf>
    <xf numFmtId="0" fontId="19" fillId="0" borderId="0" applyNumberFormat="0" applyFill="0" applyBorder="0" applyProtection="0">
      <alignment horizontal="center" vertical="top"/>
    </xf>
    <xf numFmtId="186" fontId="19" fillId="0" borderId="11" applyFill="0" applyProtection="0">
      <alignment horizontal="right" vertical="top"/>
    </xf>
    <xf numFmtId="10" fontId="19" fillId="0" borderId="0" applyFill="0" applyBorder="0" applyProtection="0">
      <alignment horizontal="right"/>
    </xf>
    <xf numFmtId="10" fontId="19" fillId="0" borderId="0" applyFill="0" applyBorder="0" applyProtection="0">
      <alignment horizontal="right"/>
    </xf>
    <xf numFmtId="10" fontId="89" fillId="0" borderId="0" applyFill="0" applyBorder="0" applyProtection="0">
      <alignment horizontal="left"/>
    </xf>
    <xf numFmtId="0" fontId="5" fillId="0" borderId="0">
      <alignment vertical="top"/>
    </xf>
    <xf numFmtId="0" fontId="5" fillId="0" borderId="0">
      <alignment vertical="top"/>
    </xf>
    <xf numFmtId="0" fontId="5" fillId="0" borderId="0">
      <alignment vertical="top"/>
    </xf>
    <xf numFmtId="0" fontId="3" fillId="0" borderId="0" applyNumberFormat="0" applyFont="0" applyFill="0" applyBorder="0" applyAlignment="0" applyProtection="0"/>
    <xf numFmtId="0" fontId="5" fillId="0" borderId="0"/>
    <xf numFmtId="0" fontId="5" fillId="0" borderId="0" applyNumberFormat="0" applyFill="0" applyBorder="0" applyAlignment="0" applyProtection="0"/>
    <xf numFmtId="0" fontId="23" fillId="12" borderId="21" applyNumberFormat="0" applyAlignment="0" applyProtection="0"/>
    <xf numFmtId="0" fontId="4" fillId="20" borderId="26" applyNumberFormat="0" applyProtection="0">
      <alignment horizontal="center" wrapText="1"/>
    </xf>
    <xf numFmtId="0" fontId="30" fillId="4" borderId="21" applyNumberFormat="0" applyAlignment="0" applyProtection="0"/>
    <xf numFmtId="0" fontId="1" fillId="0" borderId="0"/>
    <xf numFmtId="0" fontId="5" fillId="4" borderId="20" applyNumberFormat="0" applyFont="0" applyAlignment="0" applyProtection="0"/>
    <xf numFmtId="0" fontId="33" fillId="12" borderId="22" applyNumberFormat="0" applyAlignment="0" applyProtection="0"/>
    <xf numFmtId="0" fontId="33" fillId="12" borderId="29" applyNumberFormat="0" applyAlignment="0" applyProtection="0"/>
    <xf numFmtId="0" fontId="35" fillId="0" borderId="23" applyNumberFormat="0" applyFill="0" applyAlignment="0" applyProtection="0"/>
    <xf numFmtId="0" fontId="4" fillId="20" borderId="15" applyNumberFormat="0" applyProtection="0">
      <alignment horizontal="center" wrapText="1"/>
    </xf>
    <xf numFmtId="0" fontId="14" fillId="0" borderId="25">
      <alignment horizontal="centerContinuous"/>
    </xf>
    <xf numFmtId="0" fontId="14" fillId="0" borderId="25">
      <alignment horizontal="centerContinuous"/>
    </xf>
    <xf numFmtId="0" fontId="14" fillId="0" borderId="25">
      <alignment horizontal="centerContinuous"/>
    </xf>
    <xf numFmtId="0" fontId="14" fillId="0" borderId="25">
      <alignment horizontal="centerContinuous"/>
    </xf>
    <xf numFmtId="0" fontId="14" fillId="0" borderId="25">
      <alignment horizontal="centerContinuous"/>
    </xf>
    <xf numFmtId="0" fontId="14" fillId="0" borderId="25">
      <alignment horizontal="centerContinuous"/>
    </xf>
    <xf numFmtId="0" fontId="5" fillId="4" borderId="27" applyNumberFormat="0" applyFont="0" applyAlignment="0" applyProtection="0"/>
    <xf numFmtId="0" fontId="30" fillId="4" borderId="28" applyNumberFormat="0" applyAlignment="0" applyProtection="0"/>
    <xf numFmtId="0" fontId="23" fillId="12" borderId="28"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0" fontId="15" fillId="0" borderId="25"/>
    <xf numFmtId="0" fontId="14" fillId="0" borderId="25">
      <alignment horizontal="centerContinuous"/>
    </xf>
    <xf numFmtId="0" fontId="1" fillId="0" borderId="0"/>
    <xf numFmtId="9" fontId="1" fillId="0" borderId="0" applyFont="0" applyFill="0" applyBorder="0" applyAlignment="0" applyProtection="0"/>
    <xf numFmtId="0" fontId="4" fillId="20" borderId="24" applyNumberFormat="0" applyProtection="0">
      <alignment horizontal="center" wrapText="1"/>
    </xf>
    <xf numFmtId="0" fontId="35" fillId="0" borderId="30" applyNumberFormat="0" applyFill="0" applyAlignment="0" applyProtection="0"/>
    <xf numFmtId="0" fontId="90" fillId="0" borderId="0"/>
  </cellStyleXfs>
  <cellXfs count="568">
    <xf numFmtId="0" fontId="0" fillId="0" borderId="0" xfId="0"/>
    <xf numFmtId="0" fontId="17" fillId="0" borderId="0" xfId="0" applyFont="1" applyFill="1" applyBorder="1"/>
    <xf numFmtId="49" fontId="0" fillId="0" borderId="0" xfId="0" applyNumberFormat="1"/>
    <xf numFmtId="0" fontId="5" fillId="0" borderId="0" xfId="49"/>
    <xf numFmtId="0" fontId="52" fillId="0" borderId="0" xfId="0" applyFont="1"/>
    <xf numFmtId="0" fontId="5" fillId="0" borderId="0" xfId="0" applyFont="1"/>
    <xf numFmtId="7" fontId="53" fillId="16" borderId="0" xfId="0" applyNumberFormat="1" applyFont="1" applyFill="1" applyBorder="1" applyAlignment="1">
      <alignment horizontal="right"/>
    </xf>
    <xf numFmtId="0" fontId="5" fillId="0" borderId="0" xfId="0" applyFont="1" applyBorder="1"/>
    <xf numFmtId="1" fontId="10" fillId="16" borderId="0" xfId="0" applyNumberFormat="1" applyFont="1" applyFill="1" applyBorder="1" applyAlignment="1">
      <alignment horizontal="center"/>
    </xf>
    <xf numFmtId="174" fontId="54" fillId="17" borderId="0" xfId="0" applyNumberFormat="1" applyFont="1" applyFill="1" applyAlignment="1">
      <alignment horizontal="center"/>
    </xf>
    <xf numFmtId="175" fontId="54" fillId="17" borderId="0" xfId="0" applyNumberFormat="1" applyFont="1" applyFill="1" applyAlignment="1">
      <alignment horizontal="center"/>
    </xf>
    <xf numFmtId="0" fontId="54" fillId="0" borderId="0" xfId="0" applyFont="1" applyFill="1"/>
    <xf numFmtId="9" fontId="42" fillId="0" borderId="0" xfId="0" applyNumberFormat="1" applyFont="1" applyBorder="1"/>
    <xf numFmtId="0" fontId="55" fillId="0" borderId="0" xfId="0" applyFont="1" applyFill="1"/>
    <xf numFmtId="165" fontId="5" fillId="0" borderId="0" xfId="0" applyNumberFormat="1" applyFont="1" applyBorder="1"/>
    <xf numFmtId="0" fontId="5" fillId="0" borderId="0" xfId="0" applyFont="1" applyFill="1" applyBorder="1"/>
    <xf numFmtId="5" fontId="56" fillId="0" borderId="0" xfId="0" applyNumberFormat="1" applyFont="1" applyBorder="1"/>
    <xf numFmtId="165" fontId="5" fillId="0" borderId="0" xfId="54" applyNumberFormat="1" applyFont="1"/>
    <xf numFmtId="0" fontId="17" fillId="0" borderId="0" xfId="0" applyFont="1"/>
    <xf numFmtId="0" fontId="57" fillId="16" borderId="0" xfId="0" applyFont="1" applyFill="1"/>
    <xf numFmtId="0" fontId="57" fillId="16" borderId="0" xfId="0" applyFont="1" applyFill="1" applyAlignment="1">
      <alignment horizontal="right"/>
    </xf>
    <xf numFmtId="0" fontId="5" fillId="17" borderId="0" xfId="0" applyFont="1" applyFill="1"/>
    <xf numFmtId="5" fontId="56" fillId="0" borderId="0" xfId="0" applyNumberFormat="1" applyFont="1"/>
    <xf numFmtId="5" fontId="58" fillId="0" borderId="0" xfId="0" applyNumberFormat="1" applyFont="1"/>
    <xf numFmtId="9" fontId="5" fillId="0" borderId="0" xfId="0" applyNumberFormat="1" applyFont="1"/>
    <xf numFmtId="5" fontId="59" fillId="0" borderId="0" xfId="0" applyNumberFormat="1" applyFont="1"/>
    <xf numFmtId="5" fontId="5" fillId="0" borderId="0" xfId="0" applyNumberFormat="1" applyFont="1"/>
    <xf numFmtId="0" fontId="17" fillId="18" borderId="0" xfId="0" applyFont="1" applyFill="1"/>
    <xf numFmtId="0" fontId="5" fillId="18" borderId="0" xfId="0" applyFont="1" applyFill="1"/>
    <xf numFmtId="5" fontId="17" fillId="18" borderId="0" xfId="0" applyNumberFormat="1" applyFont="1" applyFill="1" applyBorder="1"/>
    <xf numFmtId="0" fontId="59" fillId="0" borderId="0" xfId="0" applyFont="1"/>
    <xf numFmtId="177" fontId="54" fillId="17" borderId="0" xfId="0" applyNumberFormat="1" applyFont="1" applyFill="1" applyAlignment="1">
      <alignment horizontal="center"/>
    </xf>
    <xf numFmtId="176" fontId="54" fillId="17" borderId="0" xfId="0" applyNumberFormat="1" applyFont="1" applyFill="1" applyAlignment="1">
      <alignment horizontal="center"/>
    </xf>
    <xf numFmtId="0" fontId="54" fillId="18" borderId="0" xfId="0" applyFont="1" applyFill="1"/>
    <xf numFmtId="180" fontId="5" fillId="0" borderId="0" xfId="0" applyNumberFormat="1" applyFont="1"/>
    <xf numFmtId="180" fontId="5" fillId="0" borderId="0" xfId="0" applyNumberFormat="1" applyFont="1" applyAlignment="1">
      <alignment horizontal="left" indent="1"/>
    </xf>
    <xf numFmtId="173" fontId="5" fillId="0" borderId="0" xfId="0" applyNumberFormat="1" applyFont="1"/>
    <xf numFmtId="173" fontId="5" fillId="0" borderId="0" xfId="0" applyNumberFormat="1" applyFont="1" applyAlignment="1">
      <alignment horizontal="left" indent="1"/>
    </xf>
    <xf numFmtId="180" fontId="54" fillId="0" borderId="0" xfId="0" applyNumberFormat="1" applyFont="1" applyFill="1"/>
    <xf numFmtId="180" fontId="17" fillId="0" borderId="13" xfId="0" applyNumberFormat="1" applyFont="1" applyBorder="1"/>
    <xf numFmtId="173" fontId="59" fillId="0" borderId="0" xfId="0" applyNumberFormat="1" applyFont="1"/>
    <xf numFmtId="173" fontId="59" fillId="0" borderId="0" xfId="0" applyNumberFormat="1" applyFont="1" applyFill="1" applyBorder="1"/>
    <xf numFmtId="173" fontId="58" fillId="0" borderId="0" xfId="0" applyNumberFormat="1" applyFont="1" applyFill="1" applyBorder="1"/>
    <xf numFmtId="164" fontId="17" fillId="0" borderId="0" xfId="0" applyNumberFormat="1" applyFont="1" applyFill="1" applyBorder="1"/>
    <xf numFmtId="7" fontId="5" fillId="0" borderId="0" xfId="0" applyNumberFormat="1" applyFont="1"/>
    <xf numFmtId="173" fontId="5" fillId="0" borderId="0" xfId="0" applyNumberFormat="1" applyFont="1" applyBorder="1"/>
    <xf numFmtId="173" fontId="59" fillId="0" borderId="0" xfId="0" applyNumberFormat="1" applyFont="1" applyBorder="1"/>
    <xf numFmtId="173" fontId="5" fillId="0" borderId="0" xfId="0" applyNumberFormat="1" applyFont="1" applyFill="1" applyBorder="1"/>
    <xf numFmtId="165" fontId="5" fillId="0" borderId="0" xfId="0" applyNumberFormat="1" applyFont="1"/>
    <xf numFmtId="37" fontId="59" fillId="0" borderId="0" xfId="0" applyNumberFormat="1" applyFont="1" applyFill="1" applyBorder="1"/>
    <xf numFmtId="5" fontId="5" fillId="18" borderId="0" xfId="0" applyNumberFormat="1" applyFont="1" applyFill="1"/>
    <xf numFmtId="180" fontId="5" fillId="0" borderId="0" xfId="0" applyNumberFormat="1" applyFont="1" applyBorder="1"/>
    <xf numFmtId="180" fontId="17" fillId="0" borderId="0" xfId="0" applyNumberFormat="1" applyFont="1" applyBorder="1"/>
    <xf numFmtId="180" fontId="60" fillId="0" borderId="0" xfId="0" applyNumberFormat="1" applyFont="1" applyFill="1" applyBorder="1"/>
    <xf numFmtId="0" fontId="61" fillId="0" borderId="0" xfId="0" applyFont="1" applyAlignment="1">
      <alignment horizontal="left" indent="1"/>
    </xf>
    <xf numFmtId="9" fontId="42" fillId="0" borderId="0" xfId="0" applyNumberFormat="1" applyFont="1" applyFill="1" applyBorder="1" applyAlignment="1">
      <alignment horizontal="right"/>
    </xf>
    <xf numFmtId="9" fontId="62" fillId="0" borderId="0" xfId="0" applyNumberFormat="1" applyFont="1" applyFill="1" applyBorder="1" applyAlignment="1">
      <alignment horizontal="right"/>
    </xf>
    <xf numFmtId="5" fontId="5" fillId="0" borderId="0" xfId="0" applyNumberFormat="1" applyFont="1" applyBorder="1"/>
    <xf numFmtId="5" fontId="60" fillId="0" borderId="0" xfId="0" applyNumberFormat="1" applyFont="1" applyFill="1" applyBorder="1"/>
    <xf numFmtId="173" fontId="55" fillId="0" borderId="0" xfId="0" applyNumberFormat="1" applyFont="1" applyFill="1"/>
    <xf numFmtId="180" fontId="5" fillId="0" borderId="13" xfId="0" applyNumberFormat="1" applyFont="1" applyBorder="1"/>
    <xf numFmtId="180" fontId="60" fillId="0" borderId="13" xfId="0" applyNumberFormat="1" applyFont="1" applyFill="1" applyBorder="1"/>
    <xf numFmtId="180" fontId="63" fillId="0" borderId="13" xfId="0" applyNumberFormat="1" applyFont="1" applyFill="1" applyBorder="1"/>
    <xf numFmtId="165" fontId="42" fillId="0" borderId="0" xfId="0" applyNumberFormat="1" applyFont="1" applyFill="1" applyBorder="1" applyAlignment="1">
      <alignment horizontal="right"/>
    </xf>
    <xf numFmtId="165" fontId="62" fillId="0" borderId="0" xfId="0" applyNumberFormat="1" applyFont="1" applyFill="1" applyBorder="1" applyAlignment="1">
      <alignment horizontal="right"/>
    </xf>
    <xf numFmtId="165" fontId="60" fillId="0" borderId="0" xfId="0" applyNumberFormat="1" applyFont="1" applyFill="1" applyBorder="1"/>
    <xf numFmtId="9" fontId="5" fillId="0" borderId="0" xfId="54" applyFont="1" applyBorder="1"/>
    <xf numFmtId="9" fontId="60" fillId="0" borderId="0" xfId="54" applyFont="1" applyFill="1" applyBorder="1"/>
    <xf numFmtId="0" fontId="64" fillId="0" borderId="0" xfId="0" applyFont="1"/>
    <xf numFmtId="168" fontId="5" fillId="0" borderId="0" xfId="0" applyNumberFormat="1" applyFont="1"/>
    <xf numFmtId="9" fontId="65" fillId="0" borderId="0" xfId="0" applyNumberFormat="1" applyFont="1" applyFill="1" applyBorder="1" applyAlignment="1">
      <alignment horizontal="right"/>
    </xf>
    <xf numFmtId="0" fontId="5" fillId="0" borderId="13" xfId="0" applyFont="1" applyBorder="1"/>
    <xf numFmtId="9" fontId="42" fillId="0" borderId="13" xfId="0" applyNumberFormat="1" applyFont="1" applyBorder="1"/>
    <xf numFmtId="0" fontId="42" fillId="0" borderId="0" xfId="0" applyFont="1"/>
    <xf numFmtId="0" fontId="42" fillId="0" borderId="13" xfId="0" applyFont="1" applyBorder="1"/>
    <xf numFmtId="0" fontId="42" fillId="0" borderId="0" xfId="0" applyFont="1" applyBorder="1"/>
    <xf numFmtId="170" fontId="5" fillId="0" borderId="0" xfId="0" applyNumberFormat="1" applyFont="1"/>
    <xf numFmtId="2" fontId="5" fillId="0" borderId="0" xfId="0" applyNumberFormat="1" applyFont="1"/>
    <xf numFmtId="2" fontId="5" fillId="0" borderId="0" xfId="54" applyNumberFormat="1" applyFont="1"/>
    <xf numFmtId="169" fontId="5" fillId="0" borderId="0" xfId="0" applyNumberFormat="1" applyFont="1" applyAlignment="1"/>
    <xf numFmtId="165" fontId="66" fillId="0" borderId="0" xfId="0" applyNumberFormat="1" applyFont="1" applyFill="1" applyBorder="1" applyAlignment="1">
      <alignment horizontal="right"/>
    </xf>
    <xf numFmtId="10" fontId="62" fillId="0" borderId="0" xfId="0" applyNumberFormat="1" applyFont="1" applyFill="1" applyBorder="1" applyAlignment="1">
      <alignment horizontal="right"/>
    </xf>
    <xf numFmtId="9" fontId="66" fillId="0" borderId="0" xfId="0" applyNumberFormat="1" applyFont="1" applyFill="1" applyBorder="1" applyAlignment="1">
      <alignment horizontal="right"/>
    </xf>
    <xf numFmtId="164" fontId="42" fillId="0" borderId="0" xfId="0" applyNumberFormat="1" applyFont="1" applyFill="1" applyAlignment="1">
      <alignment horizontal="left" indent="2"/>
    </xf>
    <xf numFmtId="2" fontId="62" fillId="0" borderId="0" xfId="0" applyNumberFormat="1" applyFont="1" applyFill="1" applyBorder="1" applyAlignment="1">
      <alignment horizontal="right"/>
    </xf>
    <xf numFmtId="0" fontId="55" fillId="0" borderId="0" xfId="0" applyFont="1" applyFill="1" applyAlignment="1">
      <alignment horizontal="left" indent="1"/>
    </xf>
    <xf numFmtId="5" fontId="59" fillId="0" borderId="0" xfId="0" applyNumberFormat="1" applyFont="1" applyFill="1" applyBorder="1"/>
    <xf numFmtId="10" fontId="60" fillId="0" borderId="0" xfId="0" applyNumberFormat="1" applyFont="1" applyFill="1" applyBorder="1"/>
    <xf numFmtId="3" fontId="5" fillId="0" borderId="0" xfId="0" applyNumberFormat="1" applyFont="1"/>
    <xf numFmtId="180" fontId="5" fillId="0" borderId="0" xfId="0" applyNumberFormat="1" applyFont="1" applyFill="1" applyBorder="1"/>
    <xf numFmtId="180" fontId="17" fillId="0" borderId="0" xfId="0" applyNumberFormat="1" applyFont="1" applyFill="1" applyBorder="1"/>
    <xf numFmtId="173" fontId="17" fillId="0" borderId="0" xfId="0" applyNumberFormat="1" applyFont="1" applyBorder="1"/>
    <xf numFmtId="173" fontId="60" fillId="0" borderId="0" xfId="0" applyNumberFormat="1" applyFont="1" applyFill="1" applyBorder="1"/>
    <xf numFmtId="180" fontId="17" fillId="0" borderId="13" xfId="0" applyNumberFormat="1" applyFont="1" applyFill="1" applyBorder="1"/>
    <xf numFmtId="5" fontId="17" fillId="0" borderId="0" xfId="0" applyNumberFormat="1" applyFont="1" applyFill="1" applyBorder="1"/>
    <xf numFmtId="164" fontId="5" fillId="0" borderId="0" xfId="0" applyNumberFormat="1" applyFont="1" applyBorder="1"/>
    <xf numFmtId="1" fontId="10" fillId="16" borderId="0" xfId="0" applyNumberFormat="1" applyFont="1" applyFill="1" applyBorder="1"/>
    <xf numFmtId="164" fontId="5" fillId="0" borderId="0" xfId="0" applyNumberFormat="1" applyFont="1" applyFill="1" applyBorder="1"/>
    <xf numFmtId="1" fontId="5" fillId="0" borderId="0" xfId="0" applyNumberFormat="1" applyFont="1" applyFill="1" applyBorder="1"/>
    <xf numFmtId="164" fontId="17" fillId="17" borderId="0" xfId="0" applyNumberFormat="1" applyFont="1" applyFill="1" applyBorder="1"/>
    <xf numFmtId="0" fontId="5" fillId="17" borderId="0" xfId="0" applyFont="1" applyFill="1" applyBorder="1"/>
    <xf numFmtId="180" fontId="63" fillId="0" borderId="0" xfId="0" applyNumberFormat="1" applyFont="1" applyFill="1" applyBorder="1"/>
    <xf numFmtId="180" fontId="67" fillId="0" borderId="0" xfId="0" applyNumberFormat="1" applyFont="1" applyFill="1" applyBorder="1"/>
    <xf numFmtId="180" fontId="55" fillId="0" borderId="0" xfId="0" applyNumberFormat="1" applyFont="1" applyFill="1"/>
    <xf numFmtId="180" fontId="58" fillId="0" borderId="0" xfId="0" applyNumberFormat="1" applyFont="1" applyFill="1" applyBorder="1"/>
    <xf numFmtId="180" fontId="59" fillId="0" borderId="0" xfId="0" applyNumberFormat="1" applyFont="1" applyFill="1" applyBorder="1"/>
    <xf numFmtId="180" fontId="54" fillId="18" borderId="0" xfId="0" applyNumberFormat="1" applyFont="1" applyFill="1"/>
    <xf numFmtId="180" fontId="17" fillId="18" borderId="0" xfId="0" applyNumberFormat="1" applyFont="1" applyFill="1" applyBorder="1"/>
    <xf numFmtId="180" fontId="5" fillId="18" borderId="0" xfId="0" applyNumberFormat="1" applyFont="1" applyFill="1" applyBorder="1"/>
    <xf numFmtId="180" fontId="40" fillId="18" borderId="13" xfId="0" applyNumberFormat="1" applyFont="1" applyFill="1" applyBorder="1"/>
    <xf numFmtId="180" fontId="17" fillId="18" borderId="13" xfId="0" applyNumberFormat="1" applyFont="1" applyFill="1" applyBorder="1"/>
    <xf numFmtId="37" fontId="5" fillId="0" borderId="0" xfId="0" applyNumberFormat="1" applyFont="1" applyBorder="1"/>
    <xf numFmtId="173" fontId="19" fillId="0" borderId="0" xfId="0" applyNumberFormat="1" applyFont="1" applyFill="1" applyBorder="1"/>
    <xf numFmtId="173" fontId="59" fillId="0" borderId="0" xfId="0" applyNumberFormat="1" applyFont="1" applyFill="1" applyBorder="1" applyAlignment="1">
      <alignment horizontal="right"/>
    </xf>
    <xf numFmtId="173" fontId="42" fillId="0" borderId="0" xfId="54" applyNumberFormat="1" applyFont="1" applyFill="1" applyBorder="1"/>
    <xf numFmtId="173" fontId="44" fillId="0" borderId="0" xfId="0" applyNumberFormat="1" applyFont="1" applyFill="1" applyBorder="1"/>
    <xf numFmtId="173" fontId="55" fillId="0" borderId="0" xfId="0" quotePrefix="1" applyNumberFormat="1" applyFont="1" applyFill="1"/>
    <xf numFmtId="180" fontId="67" fillId="18" borderId="13" xfId="0" applyNumberFormat="1" applyFont="1" applyFill="1" applyBorder="1" applyAlignment="1">
      <alignment horizontal="right"/>
    </xf>
    <xf numFmtId="180" fontId="45" fillId="0" borderId="0" xfId="0" applyNumberFormat="1" applyFont="1" applyFill="1" applyBorder="1"/>
    <xf numFmtId="180" fontId="55" fillId="0" borderId="0" xfId="0" quotePrefix="1" applyNumberFormat="1" applyFont="1" applyFill="1"/>
    <xf numFmtId="180" fontId="40" fillId="0" borderId="13" xfId="0" applyNumberFormat="1" applyFont="1" applyFill="1" applyBorder="1"/>
    <xf numFmtId="43" fontId="5" fillId="0" borderId="0" xfId="0" applyNumberFormat="1" applyFont="1" applyFill="1" applyBorder="1"/>
    <xf numFmtId="164" fontId="45" fillId="0" borderId="0" xfId="0" applyNumberFormat="1" applyFont="1" applyFill="1" applyBorder="1"/>
    <xf numFmtId="173" fontId="17" fillId="0" borderId="0" xfId="0" applyNumberFormat="1" applyFont="1" applyFill="1" applyBorder="1"/>
    <xf numFmtId="165" fontId="42" fillId="0" borderId="0" xfId="54" applyNumberFormat="1" applyFont="1" applyFill="1" applyBorder="1"/>
    <xf numFmtId="165" fontId="62" fillId="0" borderId="0" xfId="54" applyNumberFormat="1" applyFont="1" applyFill="1" applyBorder="1"/>
    <xf numFmtId="37" fontId="5" fillId="0" borderId="0" xfId="0" applyNumberFormat="1" applyFont="1" applyFill="1" applyBorder="1"/>
    <xf numFmtId="7" fontId="5" fillId="0" borderId="0" xfId="0" applyNumberFormat="1" applyFont="1" applyBorder="1"/>
    <xf numFmtId="173" fontId="45" fillId="0" borderId="0" xfId="0" applyNumberFormat="1" applyFont="1" applyFill="1" applyBorder="1"/>
    <xf numFmtId="173" fontId="54" fillId="0" borderId="0" xfId="0" applyNumberFormat="1" applyFont="1" applyFill="1"/>
    <xf numFmtId="173" fontId="17" fillId="0" borderId="13" xfId="0" applyNumberFormat="1" applyFont="1" applyFill="1" applyBorder="1"/>
    <xf numFmtId="166" fontId="59" fillId="0" borderId="0" xfId="0" applyNumberFormat="1" applyFont="1" applyFill="1" applyBorder="1"/>
    <xf numFmtId="166" fontId="5" fillId="0" borderId="0" xfId="0" applyNumberFormat="1" applyFont="1" applyFill="1" applyBorder="1"/>
    <xf numFmtId="166" fontId="58" fillId="0" borderId="0" xfId="0" applyNumberFormat="1" applyFont="1" applyFill="1" applyBorder="1"/>
    <xf numFmtId="166" fontId="45" fillId="0" borderId="0" xfId="0" applyNumberFormat="1" applyFont="1" applyFill="1" applyBorder="1"/>
    <xf numFmtId="43" fontId="5" fillId="0" borderId="0" xfId="0" applyNumberFormat="1" applyFont="1" applyBorder="1"/>
    <xf numFmtId="166" fontId="5" fillId="0" borderId="0" xfId="0" applyNumberFormat="1" applyFont="1" applyBorder="1"/>
    <xf numFmtId="43" fontId="5" fillId="0" borderId="0" xfId="37" applyFont="1" applyBorder="1"/>
    <xf numFmtId="7" fontId="17" fillId="18" borderId="0" xfId="0" applyNumberFormat="1" applyFont="1" applyFill="1" applyBorder="1" applyAlignment="1">
      <alignment horizontal="right"/>
    </xf>
    <xf numFmtId="164" fontId="17" fillId="18" borderId="0" xfId="0" applyNumberFormat="1" applyFont="1" applyFill="1" applyBorder="1"/>
    <xf numFmtId="0" fontId="17" fillId="18" borderId="0" xfId="0" applyFont="1" applyFill="1" applyBorder="1"/>
    <xf numFmtId="7" fontId="5" fillId="0" borderId="0" xfId="0" applyNumberFormat="1" applyFont="1" applyFill="1" applyBorder="1"/>
    <xf numFmtId="0" fontId="17" fillId="0" borderId="0" xfId="0" applyFont="1" applyBorder="1"/>
    <xf numFmtId="164" fontId="42" fillId="0" borderId="0" xfId="0" applyNumberFormat="1" applyFont="1" applyFill="1" applyBorder="1"/>
    <xf numFmtId="43" fontId="19" fillId="0" borderId="0" xfId="0" applyNumberFormat="1" applyFont="1" applyFill="1" applyBorder="1"/>
    <xf numFmtId="7" fontId="17" fillId="0" borderId="0" xfId="0" applyNumberFormat="1" applyFont="1" applyFill="1" applyBorder="1" applyAlignment="1">
      <alignment horizontal="right"/>
    </xf>
    <xf numFmtId="43" fontId="58" fillId="0" borderId="0" xfId="0" applyNumberFormat="1" applyFont="1" applyFill="1" applyBorder="1"/>
    <xf numFmtId="43" fontId="59" fillId="0" borderId="0" xfId="0" applyNumberFormat="1" applyFont="1" applyFill="1" applyBorder="1"/>
    <xf numFmtId="180" fontId="5" fillId="0" borderId="0" xfId="0" applyNumberFormat="1" applyFont="1" applyFill="1" applyBorder="1" applyAlignment="1">
      <alignment horizontal="right"/>
    </xf>
    <xf numFmtId="0" fontId="46" fillId="0" borderId="0" xfId="0" applyFont="1"/>
    <xf numFmtId="180" fontId="17" fillId="0" borderId="0" xfId="0" applyNumberFormat="1" applyFont="1"/>
    <xf numFmtId="173" fontId="5" fillId="0" borderId="0" xfId="0" quotePrefix="1" applyNumberFormat="1" applyFont="1"/>
    <xf numFmtId="0" fontId="10" fillId="16" borderId="0" xfId="0" applyFont="1" applyFill="1" applyBorder="1"/>
    <xf numFmtId="173" fontId="5" fillId="0" borderId="0" xfId="0" applyNumberFormat="1" applyFont="1" applyFill="1"/>
    <xf numFmtId="164" fontId="5" fillId="0" borderId="0" xfId="0" quotePrefix="1" applyNumberFormat="1" applyFont="1" applyFill="1" applyBorder="1"/>
    <xf numFmtId="173" fontId="59" fillId="0" borderId="0" xfId="0" applyNumberFormat="1" applyFont="1" applyFill="1"/>
    <xf numFmtId="173" fontId="59" fillId="0" borderId="13" xfId="0" applyNumberFormat="1" applyFont="1" applyFill="1" applyBorder="1"/>
    <xf numFmtId="173" fontId="58" fillId="0" borderId="13" xfId="0" applyNumberFormat="1" applyFont="1" applyFill="1" applyBorder="1"/>
    <xf numFmtId="43" fontId="45" fillId="0" borderId="0" xfId="0" applyNumberFormat="1" applyFont="1" applyBorder="1"/>
    <xf numFmtId="164" fontId="44" fillId="0" borderId="0" xfId="0" applyNumberFormat="1" applyFont="1" applyFill="1" applyBorder="1"/>
    <xf numFmtId="5" fontId="58" fillId="0" borderId="0" xfId="0" applyNumberFormat="1" applyFont="1" applyBorder="1"/>
    <xf numFmtId="7" fontId="58" fillId="0" borderId="0" xfId="0" applyNumberFormat="1" applyFont="1" applyFill="1" applyBorder="1" applyAlignment="1">
      <alignment horizontal="right"/>
    </xf>
    <xf numFmtId="7" fontId="59" fillId="0" borderId="0" xfId="0" applyNumberFormat="1" applyFont="1" applyFill="1" applyBorder="1"/>
    <xf numFmtId="7" fontId="58" fillId="0" borderId="0" xfId="0" applyNumberFormat="1" applyFont="1" applyFill="1" applyBorder="1"/>
    <xf numFmtId="7" fontId="59" fillId="0" borderId="0" xfId="0" applyNumberFormat="1" applyFont="1" applyFill="1" applyBorder="1" applyAlignment="1">
      <alignment horizontal="right"/>
    </xf>
    <xf numFmtId="0" fontId="5" fillId="0" borderId="0" xfId="0" quotePrefix="1" applyFont="1" applyBorder="1"/>
    <xf numFmtId="0" fontId="5" fillId="0" borderId="0" xfId="0" applyFont="1" applyBorder="1" applyAlignment="1"/>
    <xf numFmtId="164" fontId="5" fillId="0" borderId="0" xfId="0" applyNumberFormat="1" applyFont="1" applyBorder="1" applyAlignment="1"/>
    <xf numFmtId="43" fontId="45" fillId="0" borderId="0" xfId="0" applyNumberFormat="1" applyFont="1" applyBorder="1" applyAlignment="1"/>
    <xf numFmtId="167" fontId="5" fillId="0" borderId="0" xfId="0" applyNumberFormat="1" applyFont="1" applyBorder="1" applyAlignment="1"/>
    <xf numFmtId="165" fontId="59" fillId="0" borderId="0" xfId="0" applyNumberFormat="1" applyFont="1" applyFill="1" applyBorder="1" applyAlignment="1"/>
    <xf numFmtId="165" fontId="58" fillId="0" borderId="0" xfId="0" applyNumberFormat="1" applyFont="1" applyFill="1" applyBorder="1" applyAlignment="1"/>
    <xf numFmtId="165" fontId="5" fillId="0" borderId="0" xfId="54" applyNumberFormat="1" applyFont="1" applyFill="1" applyBorder="1"/>
    <xf numFmtId="165" fontId="5" fillId="0" borderId="0" xfId="54" applyNumberFormat="1" applyFont="1" applyFill="1" applyBorder="1" applyAlignment="1">
      <alignment horizontal="right"/>
    </xf>
    <xf numFmtId="165" fontId="59" fillId="0" borderId="0" xfId="54" applyNumberFormat="1" applyFont="1" applyFill="1" applyBorder="1"/>
    <xf numFmtId="165" fontId="47" fillId="0" borderId="0" xfId="54" applyNumberFormat="1" applyFont="1" applyFill="1" applyBorder="1"/>
    <xf numFmtId="165" fontId="42" fillId="0" borderId="0" xfId="54" applyNumberFormat="1" applyFont="1" applyFill="1" applyBorder="1" applyAlignment="1">
      <alignment horizontal="right"/>
    </xf>
    <xf numFmtId="1" fontId="17" fillId="0" borderId="0" xfId="0" applyNumberFormat="1" applyFont="1" applyBorder="1"/>
    <xf numFmtId="166" fontId="5" fillId="0" borderId="0" xfId="0" applyNumberFormat="1" applyFont="1" applyFill="1" applyBorder="1" applyAlignment="1">
      <alignment horizontal="right"/>
    </xf>
    <xf numFmtId="0" fontId="53" fillId="16" borderId="0" xfId="0" applyFont="1" applyFill="1" applyBorder="1"/>
    <xf numFmtId="1" fontId="16" fillId="16" borderId="0" xfId="0" applyNumberFormat="1" applyFont="1" applyFill="1" applyBorder="1" applyAlignment="1">
      <alignment horizontal="center"/>
    </xf>
    <xf numFmtId="164" fontId="5" fillId="0" borderId="0" xfId="0" applyNumberFormat="1" applyFont="1" applyFill="1"/>
    <xf numFmtId="1" fontId="54" fillId="17" borderId="0" xfId="0" applyNumberFormat="1" applyFont="1" applyFill="1" applyBorder="1"/>
    <xf numFmtId="1" fontId="54" fillId="17" borderId="0" xfId="0" applyNumberFormat="1" applyFont="1" applyFill="1" applyBorder="1" applyAlignment="1">
      <alignment horizontal="center"/>
    </xf>
    <xf numFmtId="180" fontId="5" fillId="0" borderId="0" xfId="0" applyNumberFormat="1" applyFont="1" applyFill="1"/>
    <xf numFmtId="180" fontId="44" fillId="0" borderId="0" xfId="0" applyNumberFormat="1" applyFont="1" applyFill="1"/>
    <xf numFmtId="180" fontId="56" fillId="0" borderId="0" xfId="0" applyNumberFormat="1" applyFont="1" applyFill="1"/>
    <xf numFmtId="173" fontId="17" fillId="0" borderId="0" xfId="0" applyNumberFormat="1" applyFont="1" applyFill="1"/>
    <xf numFmtId="37" fontId="5" fillId="0" borderId="0" xfId="0" applyNumberFormat="1" applyFont="1" applyFill="1"/>
    <xf numFmtId="180" fontId="59" fillId="0" borderId="0" xfId="0" applyNumberFormat="1" applyFont="1" applyFill="1"/>
    <xf numFmtId="173" fontId="59" fillId="0" borderId="14" xfId="0" applyNumberFormat="1" applyFont="1" applyFill="1" applyBorder="1"/>
    <xf numFmtId="173" fontId="5" fillId="0" borderId="14" xfId="0" applyNumberFormat="1" applyFont="1" applyFill="1" applyBorder="1"/>
    <xf numFmtId="180" fontId="17" fillId="0" borderId="0" xfId="0" applyNumberFormat="1" applyFont="1" applyFill="1"/>
    <xf numFmtId="180" fontId="17" fillId="18" borderId="0" xfId="0" applyNumberFormat="1" applyFont="1" applyFill="1"/>
    <xf numFmtId="173" fontId="56" fillId="0" borderId="0" xfId="0" applyNumberFormat="1" applyFont="1" applyFill="1"/>
    <xf numFmtId="173" fontId="54" fillId="18" borderId="0" xfId="0" applyNumberFormat="1" applyFont="1" applyFill="1"/>
    <xf numFmtId="173" fontId="17" fillId="18" borderId="0" xfId="0" applyNumberFormat="1" applyFont="1" applyFill="1"/>
    <xf numFmtId="173" fontId="17" fillId="18" borderId="13" xfId="0" applyNumberFormat="1" applyFont="1" applyFill="1" applyBorder="1"/>
    <xf numFmtId="164" fontId="48" fillId="0" borderId="0" xfId="0" applyNumberFormat="1" applyFont="1" applyFill="1"/>
    <xf numFmtId="178" fontId="68" fillId="0" borderId="0" xfId="0" applyNumberFormat="1" applyFont="1" applyFill="1"/>
    <xf numFmtId="1" fontId="16" fillId="16" borderId="0" xfId="0" applyNumberFormat="1" applyFont="1" applyFill="1" applyBorder="1"/>
    <xf numFmtId="164" fontId="44" fillId="0" borderId="0" xfId="0" applyNumberFormat="1" applyFont="1" applyFill="1"/>
    <xf numFmtId="164" fontId="17" fillId="0" borderId="0" xfId="0" applyNumberFormat="1" applyFont="1" applyFill="1"/>
    <xf numFmtId="5" fontId="17" fillId="0" borderId="0" xfId="0" applyNumberFormat="1" applyFont="1" applyFill="1"/>
    <xf numFmtId="37" fontId="17" fillId="0" borderId="13" xfId="0" applyNumberFormat="1" applyFont="1" applyFill="1" applyBorder="1"/>
    <xf numFmtId="164" fontId="42" fillId="0" borderId="0" xfId="0" applyNumberFormat="1" applyFont="1" applyFill="1"/>
    <xf numFmtId="165" fontId="42" fillId="0" borderId="0" xfId="54" applyNumberFormat="1" applyFont="1" applyFill="1"/>
    <xf numFmtId="173" fontId="55" fillId="0" borderId="0" xfId="0" applyNumberFormat="1" applyFont="1" applyFill="1" applyAlignment="1">
      <alignment horizontal="left" indent="1"/>
    </xf>
    <xf numFmtId="173" fontId="44" fillId="0" borderId="0" xfId="0" applyNumberFormat="1" applyFont="1" applyFill="1"/>
    <xf numFmtId="165" fontId="5" fillId="0" borderId="0" xfId="54" applyNumberFormat="1" applyFont="1" applyFill="1"/>
    <xf numFmtId="179" fontId="5" fillId="0" borderId="0" xfId="0" applyNumberFormat="1" applyFont="1" applyFill="1"/>
    <xf numFmtId="164" fontId="17" fillId="18" borderId="0" xfId="0" applyNumberFormat="1" applyFont="1" applyFill="1"/>
    <xf numFmtId="173" fontId="19" fillId="0" borderId="0" xfId="0" applyNumberFormat="1" applyFont="1" applyFill="1"/>
    <xf numFmtId="178" fontId="5" fillId="0" borderId="0" xfId="0" applyNumberFormat="1" applyFont="1" applyFill="1"/>
    <xf numFmtId="165" fontId="5" fillId="0" borderId="0" xfId="54" applyNumberFormat="1" applyFont="1" applyFill="1" applyAlignment="1">
      <alignment horizontal="right"/>
    </xf>
    <xf numFmtId="179" fontId="5" fillId="0" borderId="0" xfId="0" applyNumberFormat="1" applyFont="1" applyFill="1" applyAlignment="1">
      <alignment horizontal="right"/>
    </xf>
    <xf numFmtId="37" fontId="56" fillId="0" borderId="0" xfId="0" applyNumberFormat="1" applyFont="1" applyFill="1"/>
    <xf numFmtId="165" fontId="5" fillId="0" borderId="0" xfId="0" applyNumberFormat="1" applyFont="1" applyFill="1"/>
    <xf numFmtId="165" fontId="59" fillId="0" borderId="0" xfId="0" applyNumberFormat="1" applyFont="1" applyFill="1"/>
    <xf numFmtId="5" fontId="58" fillId="0" borderId="0" xfId="0" applyNumberFormat="1" applyFont="1" applyFill="1" applyBorder="1"/>
    <xf numFmtId="164" fontId="63" fillId="18" borderId="0" xfId="0" applyNumberFormat="1" applyFont="1" applyFill="1"/>
    <xf numFmtId="5" fontId="63" fillId="18" borderId="0" xfId="0" applyNumberFormat="1" applyFont="1" applyFill="1"/>
    <xf numFmtId="1" fontId="5" fillId="0" borderId="0" xfId="0" applyNumberFormat="1" applyFont="1" applyBorder="1"/>
    <xf numFmtId="37" fontId="59" fillId="0" borderId="0" xfId="0" applyNumberFormat="1" applyFont="1" applyFill="1"/>
    <xf numFmtId="9" fontId="19" fillId="0" borderId="0" xfId="54" applyNumberFormat="1" applyFont="1" applyFill="1"/>
    <xf numFmtId="9" fontId="5" fillId="0" borderId="0" xfId="54" applyNumberFormat="1" applyFont="1" applyFill="1"/>
    <xf numFmtId="9" fontId="59" fillId="0" borderId="0" xfId="54" applyNumberFormat="1" applyFont="1" applyFill="1"/>
    <xf numFmtId="5" fontId="5" fillId="0" borderId="0" xfId="0" applyNumberFormat="1" applyFont="1" applyFill="1"/>
    <xf numFmtId="180" fontId="5" fillId="0" borderId="13" xfId="0" applyNumberFormat="1" applyFont="1" applyFill="1" applyBorder="1"/>
    <xf numFmtId="0" fontId="5" fillId="0" borderId="0" xfId="0" applyFont="1" applyFill="1"/>
    <xf numFmtId="173" fontId="5" fillId="0" borderId="0" xfId="0" applyNumberFormat="1" applyFont="1" applyFill="1" applyAlignment="1">
      <alignment horizontal="left" indent="1"/>
    </xf>
    <xf numFmtId="173" fontId="55" fillId="0" borderId="0" xfId="0" applyNumberFormat="1" applyFont="1" applyFill="1" applyAlignment="1">
      <alignment horizontal="left" indent="2"/>
    </xf>
    <xf numFmtId="180" fontId="55" fillId="0" borderId="0" xfId="0" applyNumberFormat="1" applyFont="1" applyFill="1" applyAlignment="1">
      <alignment horizontal="left" indent="1"/>
    </xf>
    <xf numFmtId="0" fontId="17" fillId="0" borderId="0" xfId="0" applyFont="1" applyFill="1"/>
    <xf numFmtId="37" fontId="17" fillId="0" borderId="0" xfId="0" applyNumberFormat="1" applyFont="1" applyFill="1" applyBorder="1"/>
    <xf numFmtId="173" fontId="58" fillId="0" borderId="0" xfId="0" applyNumberFormat="1" applyFont="1" applyFill="1"/>
    <xf numFmtId="173" fontId="48" fillId="0" borderId="0" xfId="0" applyNumberFormat="1" applyFont="1" applyFill="1"/>
    <xf numFmtId="7" fontId="59" fillId="0" borderId="0" xfId="0" applyNumberFormat="1" applyFont="1"/>
    <xf numFmtId="9" fontId="5" fillId="0" borderId="0" xfId="54" applyFont="1" applyFill="1" applyBorder="1"/>
    <xf numFmtId="9" fontId="5" fillId="0" borderId="0" xfId="54" applyFont="1"/>
    <xf numFmtId="0" fontId="5" fillId="0" borderId="0" xfId="0" quotePrefix="1" applyFont="1"/>
    <xf numFmtId="0" fontId="5" fillId="0" borderId="0" xfId="0" applyFont="1" applyAlignment="1">
      <alignment horizontal="left" indent="1"/>
    </xf>
    <xf numFmtId="0" fontId="49" fillId="0" borderId="0" xfId="0" applyFont="1"/>
    <xf numFmtId="0" fontId="42" fillId="0" borderId="0" xfId="0" applyFont="1" applyAlignment="1">
      <alignment horizontal="left" indent="1"/>
    </xf>
    <xf numFmtId="0" fontId="17" fillId="0" borderId="0" xfId="0" applyFont="1" applyAlignment="1">
      <alignment horizontal="left"/>
    </xf>
    <xf numFmtId="170" fontId="5" fillId="0" borderId="0" xfId="0" applyNumberFormat="1" applyFont="1" applyFill="1" applyBorder="1"/>
    <xf numFmtId="170" fontId="17" fillId="0" borderId="0" xfId="0" applyNumberFormat="1" applyFont="1"/>
    <xf numFmtId="170" fontId="42" fillId="0" borderId="0" xfId="0" applyNumberFormat="1" applyFont="1"/>
    <xf numFmtId="168" fontId="17" fillId="0" borderId="0" xfId="0" applyNumberFormat="1" applyFont="1"/>
    <xf numFmtId="169" fontId="17" fillId="0" borderId="0" xfId="0" applyNumberFormat="1" applyFont="1" applyAlignment="1"/>
    <xf numFmtId="169" fontId="17" fillId="0" borderId="0" xfId="0" applyNumberFormat="1" applyFont="1"/>
    <xf numFmtId="170" fontId="5" fillId="18" borderId="0" xfId="0" applyNumberFormat="1" applyFont="1" applyFill="1"/>
    <xf numFmtId="0" fontId="54" fillId="0" borderId="0" xfId="0" applyFont="1" applyAlignment="1">
      <alignment horizontal="left"/>
    </xf>
    <xf numFmtId="173" fontId="17" fillId="0" borderId="0" xfId="0" applyNumberFormat="1" applyFont="1"/>
    <xf numFmtId="173" fontId="17" fillId="0" borderId="13" xfId="0" applyNumberFormat="1" applyFont="1" applyBorder="1"/>
    <xf numFmtId="5" fontId="59" fillId="0" borderId="0" xfId="0" applyNumberFormat="1" applyFont="1" applyAlignment="1"/>
    <xf numFmtId="9" fontId="62" fillId="0" borderId="0" xfId="0" applyNumberFormat="1" applyFont="1"/>
    <xf numFmtId="170" fontId="17" fillId="0" borderId="0" xfId="0" applyNumberFormat="1" applyFont="1" applyFill="1" applyBorder="1"/>
    <xf numFmtId="165" fontId="5" fillId="0" borderId="0" xfId="54" applyNumberFormat="1" applyFont="1" applyAlignment="1"/>
    <xf numFmtId="165" fontId="5" fillId="18" borderId="0" xfId="54" applyNumberFormat="1" applyFont="1" applyFill="1"/>
    <xf numFmtId="165" fontId="17" fillId="0" borderId="0" xfId="54" applyNumberFormat="1" applyFont="1"/>
    <xf numFmtId="165" fontId="59" fillId="0" borderId="0" xfId="54" applyNumberFormat="1" applyFont="1"/>
    <xf numFmtId="9" fontId="69" fillId="0" borderId="0" xfId="0" applyNumberFormat="1" applyFont="1"/>
    <xf numFmtId="169" fontId="59" fillId="0" borderId="0" xfId="0" applyNumberFormat="1" applyFont="1"/>
    <xf numFmtId="180" fontId="67" fillId="0" borderId="13" xfId="0" applyNumberFormat="1" applyFont="1" applyBorder="1"/>
    <xf numFmtId="173" fontId="56" fillId="0" borderId="0" xfId="0" applyNumberFormat="1" applyFont="1"/>
    <xf numFmtId="0" fontId="5" fillId="0" borderId="0" xfId="0" applyFont="1" applyAlignment="1">
      <alignment horizontal="left"/>
    </xf>
    <xf numFmtId="0" fontId="17" fillId="0" borderId="0" xfId="0" applyFont="1" applyAlignment="1"/>
    <xf numFmtId="165" fontId="17" fillId="0" borderId="13" xfId="0" applyNumberFormat="1" applyFont="1" applyBorder="1"/>
    <xf numFmtId="0" fontId="17" fillId="0" borderId="0" xfId="0" applyFont="1" applyAlignment="1">
      <alignment horizontal="center"/>
    </xf>
    <xf numFmtId="39" fontId="59" fillId="0" borderId="15" xfId="0" applyNumberFormat="1" applyFont="1" applyBorder="1" applyAlignment="1">
      <alignment horizontal="center"/>
    </xf>
    <xf numFmtId="9" fontId="59" fillId="0" borderId="0" xfId="54" applyNumberFormat="1" applyFont="1" applyFill="1" applyBorder="1"/>
    <xf numFmtId="169" fontId="58" fillId="0" borderId="0" xfId="0" applyNumberFormat="1" applyFont="1"/>
    <xf numFmtId="165" fontId="59" fillId="0" borderId="0" xfId="0" applyNumberFormat="1" applyFont="1"/>
    <xf numFmtId="170" fontId="17" fillId="0" borderId="13" xfId="0" applyNumberFormat="1" applyFont="1" applyFill="1" applyBorder="1"/>
    <xf numFmtId="165" fontId="59" fillId="0" borderId="15" xfId="0" applyNumberFormat="1" applyFont="1" applyBorder="1"/>
    <xf numFmtId="165" fontId="58" fillId="0" borderId="0" xfId="54" applyNumberFormat="1" applyFont="1"/>
    <xf numFmtId="5" fontId="17" fillId="0" borderId="13" xfId="0" applyNumberFormat="1" applyFont="1" applyFill="1" applyBorder="1"/>
    <xf numFmtId="180" fontId="67" fillId="0" borderId="0" xfId="0" applyNumberFormat="1" applyFont="1" applyBorder="1"/>
    <xf numFmtId="165" fontId="56" fillId="0" borderId="0" xfId="0" applyNumberFormat="1" applyFont="1"/>
    <xf numFmtId="165" fontId="42" fillId="0" borderId="0" xfId="0" applyNumberFormat="1" applyFont="1"/>
    <xf numFmtId="165" fontId="5" fillId="0" borderId="13" xfId="0" applyNumberFormat="1" applyFont="1" applyBorder="1"/>
    <xf numFmtId="180" fontId="63" fillId="0" borderId="13" xfId="0" applyNumberFormat="1" applyFont="1" applyBorder="1"/>
    <xf numFmtId="165" fontId="58" fillId="0" borderId="0" xfId="0" applyNumberFormat="1" applyFont="1"/>
    <xf numFmtId="173" fontId="58" fillId="0" borderId="0" xfId="0" applyNumberFormat="1" applyFont="1" applyBorder="1"/>
    <xf numFmtId="173" fontId="58" fillId="0" borderId="0" xfId="0" applyNumberFormat="1" applyFont="1"/>
    <xf numFmtId="0" fontId="42" fillId="0" borderId="0" xfId="0" applyFont="1" applyAlignment="1">
      <alignment horizontal="left"/>
    </xf>
    <xf numFmtId="180" fontId="61" fillId="0" borderId="0" xfId="0" applyNumberFormat="1" applyFont="1" applyFill="1" applyAlignment="1">
      <alignment horizontal="left" indent="1"/>
    </xf>
    <xf numFmtId="165" fontId="42" fillId="0" borderId="0" xfId="54" applyNumberFormat="1" applyFont="1"/>
    <xf numFmtId="165" fontId="62" fillId="0" borderId="0" xfId="54" applyNumberFormat="1" applyFont="1"/>
    <xf numFmtId="165" fontId="65" fillId="0" borderId="0" xfId="54" applyNumberFormat="1" applyFont="1"/>
    <xf numFmtId="165" fontId="59" fillId="0" borderId="0" xfId="0" applyNumberFormat="1" applyFont="1" applyAlignment="1"/>
    <xf numFmtId="165" fontId="58" fillId="0" borderId="0" xfId="0" applyNumberFormat="1" applyFont="1" applyAlignment="1"/>
    <xf numFmtId="5" fontId="17" fillId="0" borderId="13" xfId="0" applyNumberFormat="1" applyFont="1" applyBorder="1" applyAlignment="1"/>
    <xf numFmtId="5" fontId="58" fillId="0" borderId="0" xfId="0" applyNumberFormat="1" applyFont="1" applyAlignment="1"/>
    <xf numFmtId="7" fontId="59" fillId="0" borderId="0" xfId="0" applyNumberFormat="1" applyFont="1" applyAlignment="1"/>
    <xf numFmtId="0" fontId="5" fillId="0" borderId="0" xfId="0" quotePrefix="1" applyFont="1" applyAlignment="1">
      <alignment horizontal="left"/>
    </xf>
    <xf numFmtId="5" fontId="17" fillId="0" borderId="0" xfId="0" applyNumberFormat="1" applyFont="1" applyBorder="1" applyAlignment="1"/>
    <xf numFmtId="168" fontId="42" fillId="0" borderId="0" xfId="0" applyNumberFormat="1" applyFont="1"/>
    <xf numFmtId="180" fontId="49" fillId="0" borderId="0" xfId="0" applyNumberFormat="1" applyFont="1"/>
    <xf numFmtId="180" fontId="59" fillId="0" borderId="0" xfId="0" applyNumberFormat="1" applyFont="1"/>
    <xf numFmtId="180" fontId="63" fillId="0" borderId="0" xfId="0" applyNumberFormat="1" applyFont="1"/>
    <xf numFmtId="173" fontId="49" fillId="0" borderId="0" xfId="0" applyNumberFormat="1" applyFont="1"/>
    <xf numFmtId="173" fontId="59" fillId="0" borderId="14" xfId="0" applyNumberFormat="1" applyFont="1" applyBorder="1"/>
    <xf numFmtId="180" fontId="63" fillId="0" borderId="0" xfId="0" applyNumberFormat="1" applyFont="1" applyBorder="1"/>
    <xf numFmtId="5" fontId="63" fillId="0" borderId="13" xfId="0" applyNumberFormat="1" applyFont="1" applyBorder="1" applyAlignment="1"/>
    <xf numFmtId="170" fontId="17" fillId="0" borderId="13" xfId="0" applyNumberFormat="1" applyFont="1" applyBorder="1"/>
    <xf numFmtId="170" fontId="17" fillId="0" borderId="0" xfId="0" applyNumberFormat="1" applyFont="1" applyBorder="1"/>
    <xf numFmtId="7" fontId="56" fillId="0" borderId="0" xfId="0" applyNumberFormat="1" applyFont="1"/>
    <xf numFmtId="173" fontId="59" fillId="0" borderId="15" xfId="0" applyNumberFormat="1" applyFont="1" applyBorder="1" applyAlignment="1">
      <alignment horizontal="center"/>
    </xf>
    <xf numFmtId="39" fontId="59" fillId="0" borderId="0" xfId="0" applyNumberFormat="1" applyFont="1" applyBorder="1" applyAlignment="1">
      <alignment horizontal="center"/>
    </xf>
    <xf numFmtId="173" fontId="5" fillId="0" borderId="13" xfId="0" applyNumberFormat="1" applyFont="1" applyBorder="1"/>
    <xf numFmtId="180" fontId="5" fillId="0" borderId="0" xfId="0" applyNumberFormat="1" applyFont="1" applyBorder="1" applyAlignment="1"/>
    <xf numFmtId="165" fontId="59" fillId="0" borderId="0" xfId="55" applyNumberFormat="1" applyFont="1" applyFill="1" applyBorder="1"/>
    <xf numFmtId="165" fontId="58" fillId="0" borderId="0" xfId="55" applyNumberFormat="1" applyFont="1" applyFill="1" applyBorder="1"/>
    <xf numFmtId="173" fontId="63" fillId="0" borderId="0" xfId="0" applyNumberFormat="1" applyFont="1" applyBorder="1"/>
    <xf numFmtId="37" fontId="59" fillId="0" borderId="15" xfId="0" applyNumberFormat="1" applyFont="1" applyBorder="1" applyAlignment="1">
      <alignment horizontal="center"/>
    </xf>
    <xf numFmtId="37" fontId="56" fillId="0" borderId="15" xfId="0" applyNumberFormat="1" applyFont="1" applyBorder="1" applyAlignment="1">
      <alignment horizontal="center"/>
    </xf>
    <xf numFmtId="180" fontId="58" fillId="0" borderId="0" xfId="0" applyNumberFormat="1" applyFont="1"/>
    <xf numFmtId="180" fontId="17" fillId="0" borderId="13" xfId="0" applyNumberFormat="1" applyFont="1" applyBorder="1" applyAlignment="1"/>
    <xf numFmtId="180" fontId="17" fillId="0" borderId="0" xfId="0" applyNumberFormat="1" applyFont="1" applyBorder="1" applyAlignment="1"/>
    <xf numFmtId="173" fontId="58" fillId="0" borderId="14" xfId="0" applyNumberFormat="1" applyFont="1" applyBorder="1"/>
    <xf numFmtId="180" fontId="17" fillId="0" borderId="0" xfId="54" applyNumberFormat="1" applyFont="1"/>
    <xf numFmtId="165" fontId="62" fillId="0" borderId="0" xfId="0" applyNumberFormat="1" applyFont="1"/>
    <xf numFmtId="0" fontId="55" fillId="0" borderId="0" xfId="0" applyFont="1" applyAlignment="1">
      <alignment horizontal="left"/>
    </xf>
    <xf numFmtId="180" fontId="58" fillId="0" borderId="0" xfId="0" applyNumberFormat="1" applyFont="1" applyBorder="1"/>
    <xf numFmtId="180" fontId="5" fillId="0" borderId="0" xfId="0" applyNumberFormat="1" applyFont="1" applyAlignment="1"/>
    <xf numFmtId="182" fontId="42" fillId="0" borderId="0" xfId="0" applyNumberFormat="1" applyFont="1"/>
    <xf numFmtId="165" fontId="42" fillId="0" borderId="0" xfId="0" applyNumberFormat="1" applyFont="1" applyFill="1"/>
    <xf numFmtId="9" fontId="17" fillId="0" borderId="0" xfId="54" applyNumberFormat="1" applyFont="1"/>
    <xf numFmtId="2" fontId="46" fillId="0" borderId="0" xfId="0" applyNumberFormat="1" applyFont="1"/>
    <xf numFmtId="5" fontId="42" fillId="0" borderId="0" xfId="0" applyNumberFormat="1" applyFont="1" applyBorder="1"/>
    <xf numFmtId="0" fontId="42" fillId="0" borderId="0" xfId="0" applyFont="1" applyAlignment="1"/>
    <xf numFmtId="5" fontId="42" fillId="0" borderId="0" xfId="0" applyNumberFormat="1" applyFont="1" applyFill="1" applyBorder="1"/>
    <xf numFmtId="5" fontId="62" fillId="0" borderId="0" xfId="0" applyNumberFormat="1" applyFont="1" applyFill="1" applyBorder="1"/>
    <xf numFmtId="165" fontId="62" fillId="0" borderId="0" xfId="0" applyNumberFormat="1" applyFont="1" applyFill="1" applyBorder="1"/>
    <xf numFmtId="0" fontId="70" fillId="0" borderId="0" xfId="0" applyFont="1" applyAlignment="1">
      <alignment horizontal="center"/>
    </xf>
    <xf numFmtId="165" fontId="46" fillId="0" borderId="0" xfId="54" applyNumberFormat="1" applyFont="1"/>
    <xf numFmtId="170" fontId="42" fillId="0" borderId="0" xfId="54" applyNumberFormat="1" applyFont="1"/>
    <xf numFmtId="165" fontId="5" fillId="0" borderId="0" xfId="54" applyNumberFormat="1" applyFont="1" applyBorder="1"/>
    <xf numFmtId="173" fontId="56" fillId="0" borderId="0" xfId="0" applyNumberFormat="1" applyFont="1" applyFill="1" applyBorder="1" applyAlignment="1">
      <alignment horizontal="right"/>
    </xf>
    <xf numFmtId="173" fontId="56" fillId="0" borderId="0" xfId="0" applyNumberFormat="1" applyFont="1" applyFill="1" applyBorder="1"/>
    <xf numFmtId="180" fontId="56" fillId="0" borderId="0" xfId="0" applyNumberFormat="1" applyFont="1" applyBorder="1"/>
    <xf numFmtId="180" fontId="71" fillId="0" borderId="0" xfId="0" applyNumberFormat="1" applyFont="1" applyBorder="1"/>
    <xf numFmtId="173" fontId="71" fillId="0" borderId="0" xfId="0" applyNumberFormat="1" applyFont="1" applyBorder="1"/>
    <xf numFmtId="173" fontId="71" fillId="0" borderId="0" xfId="0" applyNumberFormat="1" applyFont="1" applyFill="1" applyBorder="1" applyAlignment="1">
      <alignment horizontal="right"/>
    </xf>
    <xf numFmtId="173" fontId="71" fillId="0" borderId="0" xfId="0" applyNumberFormat="1" applyFont="1" applyFill="1" applyBorder="1"/>
    <xf numFmtId="180" fontId="63" fillId="18" borderId="13" xfId="0" applyNumberFormat="1" applyFont="1" applyFill="1" applyBorder="1" applyAlignment="1">
      <alignment horizontal="right"/>
    </xf>
    <xf numFmtId="180" fontId="71" fillId="0" borderId="0" xfId="0" applyNumberFormat="1" applyFont="1"/>
    <xf numFmtId="173" fontId="71" fillId="0" borderId="0" xfId="0" applyNumberFormat="1" applyFont="1"/>
    <xf numFmtId="180" fontId="71" fillId="0" borderId="0" xfId="54" applyNumberFormat="1" applyFont="1"/>
    <xf numFmtId="173" fontId="71" fillId="0" borderId="0" xfId="54" applyNumberFormat="1" applyFont="1"/>
    <xf numFmtId="180" fontId="60" fillId="0" borderId="13" xfId="0" applyNumberFormat="1" applyFont="1" applyFill="1" applyBorder="1" applyAlignment="1">
      <alignment horizontal="right"/>
    </xf>
    <xf numFmtId="180" fontId="71" fillId="0" borderId="0" xfId="0" applyNumberFormat="1" applyFont="1" applyFill="1" applyBorder="1"/>
    <xf numFmtId="183" fontId="5" fillId="18" borderId="0" xfId="0" applyNumberFormat="1" applyFont="1" applyFill="1"/>
    <xf numFmtId="165" fontId="42" fillId="0" borderId="0" xfId="55" applyNumberFormat="1" applyFont="1" applyFill="1" applyBorder="1" applyAlignment="1">
      <alignment horizontal="left" indent="1"/>
    </xf>
    <xf numFmtId="173" fontId="64" fillId="0" borderId="0" xfId="0" quotePrefix="1" applyNumberFormat="1" applyFont="1" applyFill="1"/>
    <xf numFmtId="173" fontId="17" fillId="0" borderId="0" xfId="0" quotePrefix="1" applyNumberFormat="1" applyFont="1"/>
    <xf numFmtId="173" fontId="63" fillId="0" borderId="13" xfId="0" applyNumberFormat="1" applyFont="1" applyFill="1" applyBorder="1" applyAlignment="1">
      <alignment horizontal="right"/>
    </xf>
    <xf numFmtId="39" fontId="5" fillId="0" borderId="0" xfId="0" applyNumberFormat="1" applyFont="1" applyFill="1" applyBorder="1"/>
    <xf numFmtId="0" fontId="55" fillId="0" borderId="0" xfId="0" applyFont="1" applyAlignment="1">
      <alignment horizontal="left" indent="1"/>
    </xf>
    <xf numFmtId="166" fontId="71" fillId="0" borderId="0" xfId="0" applyNumberFormat="1" applyFont="1" applyFill="1" applyBorder="1"/>
    <xf numFmtId="166" fontId="71" fillId="0" borderId="0" xfId="0" applyNumberFormat="1" applyFont="1" applyBorder="1"/>
    <xf numFmtId="180" fontId="59" fillId="0" borderId="0" xfId="0" applyNumberFormat="1" applyFont="1" applyBorder="1"/>
    <xf numFmtId="180" fontId="42" fillId="0" borderId="0" xfId="0" applyNumberFormat="1" applyFont="1" applyFill="1"/>
    <xf numFmtId="180" fontId="43" fillId="0" borderId="0" xfId="0" applyNumberFormat="1" applyFont="1" applyBorder="1"/>
    <xf numFmtId="184" fontId="42" fillId="0" borderId="0" xfId="0" applyNumberFormat="1" applyFont="1" applyBorder="1"/>
    <xf numFmtId="180" fontId="42" fillId="0" borderId="0" xfId="0" applyNumberFormat="1" applyFont="1"/>
    <xf numFmtId="0" fontId="55" fillId="0" borderId="0" xfId="0" applyFont="1"/>
    <xf numFmtId="169" fontId="56" fillId="0" borderId="0" xfId="0" applyNumberFormat="1" applyFont="1"/>
    <xf numFmtId="165" fontId="58" fillId="0" borderId="0" xfId="0" applyNumberFormat="1" applyFont="1" applyFill="1" applyBorder="1" applyAlignment="1">
      <alignment horizontal="right"/>
    </xf>
    <xf numFmtId="165" fontId="59" fillId="0" borderId="0" xfId="0" applyNumberFormat="1" applyFont="1" applyFill="1" applyBorder="1" applyAlignment="1">
      <alignment horizontal="right"/>
    </xf>
    <xf numFmtId="7" fontId="42" fillId="0" borderId="0" xfId="0" applyNumberFormat="1" applyFont="1"/>
    <xf numFmtId="169" fontId="66" fillId="0" borderId="0" xfId="0" applyNumberFormat="1" applyFont="1"/>
    <xf numFmtId="169" fontId="62" fillId="0" borderId="0" xfId="0" applyNumberFormat="1" applyFont="1"/>
    <xf numFmtId="2" fontId="42" fillId="0" borderId="0" xfId="0" applyNumberFormat="1" applyFont="1" applyFill="1" applyBorder="1" applyAlignment="1">
      <alignment horizontal="right"/>
    </xf>
    <xf numFmtId="165" fontId="72" fillId="0" borderId="0" xfId="0" applyNumberFormat="1" applyFont="1" applyFill="1" applyBorder="1" applyAlignment="1">
      <alignment horizontal="right"/>
    </xf>
    <xf numFmtId="165" fontId="65" fillId="0" borderId="0" xfId="0" applyNumberFormat="1" applyFont="1" applyFill="1" applyBorder="1" applyAlignment="1">
      <alignment horizontal="right"/>
    </xf>
    <xf numFmtId="180" fontId="42" fillId="0" borderId="0" xfId="0" applyNumberFormat="1" applyFont="1" applyBorder="1"/>
    <xf numFmtId="180" fontId="73" fillId="0" borderId="0" xfId="0" applyNumberFormat="1" applyFont="1" applyFill="1" applyBorder="1"/>
    <xf numFmtId="180" fontId="43" fillId="0" borderId="0" xfId="0" applyNumberFormat="1" applyFont="1" applyFill="1" applyBorder="1"/>
    <xf numFmtId="165" fontId="42" fillId="0" borderId="13" xfId="0" applyNumberFormat="1" applyFont="1" applyBorder="1"/>
    <xf numFmtId="165" fontId="72" fillId="0" borderId="13" xfId="0" applyNumberFormat="1" applyFont="1" applyBorder="1"/>
    <xf numFmtId="165" fontId="5" fillId="0" borderId="15" xfId="0" applyNumberFormat="1" applyFont="1" applyBorder="1" applyAlignment="1">
      <alignment horizontal="center"/>
    </xf>
    <xf numFmtId="4" fontId="56" fillId="0" borderId="0" xfId="0" applyNumberFormat="1" applyFont="1"/>
    <xf numFmtId="0" fontId="55" fillId="0" borderId="0" xfId="0" applyFont="1" applyAlignment="1"/>
    <xf numFmtId="165" fontId="65" fillId="0" borderId="13" xfId="0" applyNumberFormat="1" applyFont="1" applyBorder="1"/>
    <xf numFmtId="165" fontId="65" fillId="0" borderId="13" xfId="0" applyNumberFormat="1" applyFont="1" applyBorder="1" applyAlignment="1">
      <alignment horizontal="right"/>
    </xf>
    <xf numFmtId="170" fontId="42" fillId="0" borderId="0" xfId="0" applyNumberFormat="1" applyFont="1" applyBorder="1"/>
    <xf numFmtId="173" fontId="42" fillId="0" borderId="0" xfId="0" applyNumberFormat="1" applyFont="1" applyBorder="1"/>
    <xf numFmtId="165" fontId="42" fillId="0" borderId="0" xfId="0" applyNumberFormat="1" applyFont="1" applyFill="1" applyBorder="1"/>
    <xf numFmtId="173" fontId="42" fillId="0" borderId="0" xfId="0" applyNumberFormat="1" applyFont="1" applyFill="1" applyBorder="1"/>
    <xf numFmtId="180" fontId="59" fillId="0" borderId="0" xfId="0" applyNumberFormat="1" applyFont="1" applyFill="1" applyBorder="1" applyAlignment="1">
      <alignment horizontal="right"/>
    </xf>
    <xf numFmtId="180" fontId="71" fillId="0" borderId="0" xfId="0" applyNumberFormat="1" applyFont="1" applyFill="1" applyBorder="1" applyAlignment="1">
      <alignment horizontal="right"/>
    </xf>
    <xf numFmtId="180" fontId="58" fillId="0" borderId="0" xfId="0" applyNumberFormat="1" applyFont="1" applyFill="1" applyBorder="1" applyAlignment="1">
      <alignment horizontal="right"/>
    </xf>
    <xf numFmtId="180" fontId="58" fillId="0" borderId="13" xfId="0" applyNumberFormat="1" applyFont="1" applyBorder="1"/>
    <xf numFmtId="173" fontId="71" fillId="0" borderId="0" xfId="0" applyNumberFormat="1" applyFont="1" applyFill="1"/>
    <xf numFmtId="0" fontId="71" fillId="0" borderId="0" xfId="0" applyFont="1"/>
    <xf numFmtId="165" fontId="71" fillId="0" borderId="0" xfId="55" applyNumberFormat="1" applyFont="1" applyFill="1" applyBorder="1"/>
    <xf numFmtId="165" fontId="71" fillId="0" borderId="0" xfId="0" applyNumberFormat="1" applyFont="1"/>
    <xf numFmtId="0" fontId="74" fillId="0" borderId="0" xfId="0" applyFont="1" applyAlignment="1">
      <alignment horizontal="center"/>
    </xf>
    <xf numFmtId="173" fontId="75" fillId="0" borderId="13" xfId="0" applyNumberFormat="1" applyFont="1" applyBorder="1"/>
    <xf numFmtId="165" fontId="71" fillId="0" borderId="0" xfId="54" applyNumberFormat="1" applyFont="1"/>
    <xf numFmtId="180" fontId="71" fillId="0" borderId="0" xfId="0" applyNumberFormat="1" applyFont="1" applyAlignment="1"/>
    <xf numFmtId="5" fontId="71" fillId="0" borderId="0" xfId="0" applyNumberFormat="1" applyFont="1" applyFill="1" applyBorder="1"/>
    <xf numFmtId="5" fontId="71" fillId="0" borderId="0" xfId="0" applyNumberFormat="1" applyFont="1" applyBorder="1"/>
    <xf numFmtId="5" fontId="75" fillId="0" borderId="0" xfId="0" applyNumberFormat="1" applyFont="1" applyFill="1" applyBorder="1"/>
    <xf numFmtId="165" fontId="75" fillId="0" borderId="0" xfId="0" applyNumberFormat="1" applyFont="1" applyFill="1" applyBorder="1"/>
    <xf numFmtId="5" fontId="71" fillId="0" borderId="0" xfId="0" applyNumberFormat="1" applyFont="1" applyAlignment="1"/>
    <xf numFmtId="168" fontId="71" fillId="0" borderId="0" xfId="0" applyNumberFormat="1" applyFont="1"/>
    <xf numFmtId="5" fontId="71" fillId="0" borderId="0" xfId="0" applyNumberFormat="1" applyFont="1"/>
    <xf numFmtId="165" fontId="58" fillId="0" borderId="0" xfId="54" applyNumberFormat="1" applyFont="1" applyFill="1" applyBorder="1"/>
    <xf numFmtId="170" fontId="71" fillId="0" borderId="0" xfId="0" applyNumberFormat="1" applyFont="1"/>
    <xf numFmtId="181" fontId="5" fillId="0" borderId="0" xfId="0" applyNumberFormat="1" applyFont="1"/>
    <xf numFmtId="180" fontId="71" fillId="0" borderId="0" xfId="0" applyNumberFormat="1" applyFont="1" applyFill="1"/>
    <xf numFmtId="180" fontId="75" fillId="0" borderId="0" xfId="54" applyNumberFormat="1" applyFont="1"/>
    <xf numFmtId="168" fontId="75" fillId="0" borderId="0" xfId="0" applyNumberFormat="1" applyFont="1"/>
    <xf numFmtId="169" fontId="75" fillId="0" borderId="0" xfId="0" applyNumberFormat="1" applyFont="1" applyAlignment="1"/>
    <xf numFmtId="169" fontId="75" fillId="0" borderId="0" xfId="0" applyNumberFormat="1" applyFont="1"/>
    <xf numFmtId="169" fontId="71" fillId="0" borderId="0" xfId="0" applyNumberFormat="1" applyFont="1"/>
    <xf numFmtId="0" fontId="76" fillId="0" borderId="0" xfId="0" applyFont="1"/>
    <xf numFmtId="180" fontId="63" fillId="0" borderId="0" xfId="0" applyNumberFormat="1" applyFont="1" applyFill="1"/>
    <xf numFmtId="180" fontId="75" fillId="0" borderId="0" xfId="0" applyNumberFormat="1" applyFont="1" applyFill="1"/>
    <xf numFmtId="9" fontId="72" fillId="0" borderId="13" xfId="0" applyNumberFormat="1" applyFont="1" applyBorder="1"/>
    <xf numFmtId="9" fontId="5" fillId="0" borderId="0" xfId="0" applyNumberFormat="1" applyFont="1" applyBorder="1"/>
    <xf numFmtId="5" fontId="71" fillId="0" borderId="14" xfId="0" applyNumberFormat="1" applyFont="1" applyFill="1" applyBorder="1"/>
    <xf numFmtId="5" fontId="71" fillId="0" borderId="0" xfId="54" applyNumberFormat="1" applyFont="1"/>
    <xf numFmtId="185" fontId="5" fillId="0" borderId="0" xfId="0" applyNumberFormat="1" applyFont="1"/>
    <xf numFmtId="165" fontId="17" fillId="0" borderId="0" xfId="54" applyNumberFormat="1" applyFont="1" applyBorder="1"/>
    <xf numFmtId="165" fontId="62" fillId="0" borderId="0" xfId="0" applyNumberFormat="1" applyFont="1" applyFill="1"/>
    <xf numFmtId="5" fontId="56" fillId="0" borderId="0" xfId="0" applyNumberFormat="1" applyFont="1" applyFill="1" applyBorder="1"/>
    <xf numFmtId="7" fontId="56" fillId="0" borderId="0" xfId="0" applyNumberFormat="1" applyFont="1" applyFill="1" applyBorder="1"/>
    <xf numFmtId="180" fontId="56" fillId="0" borderId="0" xfId="0" applyNumberFormat="1" applyFont="1" applyFill="1" applyBorder="1"/>
    <xf numFmtId="165" fontId="60" fillId="0" borderId="0" xfId="54" applyNumberFormat="1" applyFont="1" applyFill="1" applyBorder="1"/>
    <xf numFmtId="5" fontId="5" fillId="0" borderId="0" xfId="0" applyNumberFormat="1" applyFont="1" applyFill="1" applyBorder="1"/>
    <xf numFmtId="5" fontId="58" fillId="0" borderId="0" xfId="0" applyNumberFormat="1" applyFont="1" applyFill="1" applyAlignment="1"/>
    <xf numFmtId="180" fontId="56" fillId="0" borderId="0" xfId="0" applyNumberFormat="1" applyFont="1"/>
    <xf numFmtId="165" fontId="42" fillId="0" borderId="0" xfId="0" applyNumberFormat="1" applyFont="1" applyBorder="1"/>
    <xf numFmtId="165" fontId="5" fillId="0" borderId="0" xfId="55" applyNumberFormat="1" applyFont="1" applyFill="1" applyBorder="1"/>
    <xf numFmtId="165" fontId="5" fillId="0" borderId="0" xfId="0" applyNumberFormat="1" applyFont="1" applyAlignment="1"/>
    <xf numFmtId="5" fontId="56" fillId="0" borderId="0" xfId="0" applyNumberFormat="1" applyFont="1" applyFill="1" applyBorder="1" applyAlignment="1">
      <alignment horizontal="right"/>
    </xf>
    <xf numFmtId="1" fontId="5" fillId="0" borderId="0" xfId="0" applyNumberFormat="1" applyFont="1"/>
    <xf numFmtId="9" fontId="42" fillId="0" borderId="0" xfId="0" applyNumberFormat="1" applyFont="1"/>
    <xf numFmtId="7" fontId="71" fillId="0" borderId="0" xfId="0" applyNumberFormat="1" applyFont="1" applyFill="1"/>
    <xf numFmtId="5" fontId="71" fillId="0" borderId="0" xfId="0" applyNumberFormat="1" applyFont="1" applyFill="1"/>
    <xf numFmtId="173" fontId="75" fillId="0" borderId="0" xfId="0" applyNumberFormat="1" applyFont="1" applyBorder="1"/>
    <xf numFmtId="37" fontId="71" fillId="0" borderId="15" xfId="0" applyNumberFormat="1" applyFont="1" applyBorder="1" applyAlignment="1">
      <alignment horizontal="center"/>
    </xf>
    <xf numFmtId="180" fontId="63" fillId="0" borderId="0" xfId="0" applyNumberFormat="1" applyFont="1" applyBorder="1" applyAlignment="1"/>
    <xf numFmtId="7" fontId="17" fillId="0" borderId="0" xfId="0" applyNumberFormat="1" applyFont="1" applyBorder="1" applyAlignment="1"/>
    <xf numFmtId="5" fontId="56" fillId="0" borderId="0" xfId="0" applyNumberFormat="1" applyFont="1" applyAlignment="1">
      <alignment horizontal="right"/>
    </xf>
    <xf numFmtId="7" fontId="56" fillId="0" borderId="0" xfId="0" applyNumberFormat="1" applyFont="1" applyAlignment="1">
      <alignment horizontal="right"/>
    </xf>
    <xf numFmtId="7" fontId="58" fillId="0" borderId="0" xfId="0" applyNumberFormat="1" applyFont="1"/>
    <xf numFmtId="5" fontId="5" fillId="0" borderId="0" xfId="0" applyNumberFormat="1" applyFont="1" applyAlignment="1"/>
    <xf numFmtId="165" fontId="63" fillId="0" borderId="13" xfId="54" applyNumberFormat="1" applyFont="1" applyFill="1" applyBorder="1"/>
    <xf numFmtId="165" fontId="17" fillId="0" borderId="13" xfId="54" applyNumberFormat="1" applyFont="1" applyBorder="1"/>
    <xf numFmtId="167" fontId="5" fillId="0" borderId="0" xfId="0" applyNumberFormat="1" applyFont="1"/>
    <xf numFmtId="182" fontId="43" fillId="0" borderId="0" xfId="0" applyNumberFormat="1" applyFont="1" applyBorder="1" applyAlignment="1"/>
    <xf numFmtId="180" fontId="59" fillId="0" borderId="0" xfId="0" applyNumberFormat="1" applyFont="1" applyBorder="1" applyAlignment="1"/>
    <xf numFmtId="182" fontId="42" fillId="0" borderId="0" xfId="0" applyNumberFormat="1" applyFont="1" applyBorder="1"/>
    <xf numFmtId="180" fontId="63" fillId="0" borderId="16" xfId="0" applyNumberFormat="1" applyFont="1" applyBorder="1"/>
    <xf numFmtId="180" fontId="75" fillId="0" borderId="16" xfId="0" applyNumberFormat="1" applyFont="1" applyBorder="1"/>
    <xf numFmtId="180" fontId="60" fillId="0" borderId="16" xfId="0" applyNumberFormat="1" applyFont="1" applyBorder="1"/>
    <xf numFmtId="180" fontId="46" fillId="0" borderId="0" xfId="0" applyNumberFormat="1" applyFont="1" applyBorder="1"/>
    <xf numFmtId="180" fontId="5" fillId="0" borderId="0" xfId="0" quotePrefix="1" applyNumberFormat="1" applyFont="1" applyBorder="1"/>
    <xf numFmtId="180" fontId="17" fillId="0" borderId="16" xfId="0" applyNumberFormat="1" applyFont="1" applyBorder="1"/>
    <xf numFmtId="37" fontId="71" fillId="0" borderId="0" xfId="0" applyNumberFormat="1" applyFont="1" applyBorder="1"/>
    <xf numFmtId="37" fontId="63" fillId="0" borderId="16" xfId="0" applyNumberFormat="1" applyFont="1" applyBorder="1"/>
    <xf numFmtId="165" fontId="59" fillId="0" borderId="0" xfId="54" applyNumberFormat="1" applyFont="1" applyFill="1"/>
    <xf numFmtId="165" fontId="72" fillId="0" borderId="0" xfId="0" applyNumberFormat="1" applyFont="1"/>
    <xf numFmtId="165" fontId="56" fillId="0" borderId="0" xfId="0" applyNumberFormat="1" applyFont="1" applyFill="1" applyBorder="1"/>
    <xf numFmtId="7" fontId="71" fillId="0" borderId="0" xfId="54" applyNumberFormat="1" applyFont="1"/>
    <xf numFmtId="165" fontId="59" fillId="0" borderId="0" xfId="54" applyNumberFormat="1" applyFont="1" applyAlignment="1"/>
    <xf numFmtId="178" fontId="56" fillId="0" borderId="0" xfId="0" applyNumberFormat="1" applyFont="1"/>
    <xf numFmtId="0" fontId="77" fillId="0" borderId="0" xfId="0" applyFont="1" applyFill="1" applyAlignment="1">
      <alignment vertical="center"/>
    </xf>
    <xf numFmtId="0" fontId="77" fillId="0" borderId="0" xfId="0" applyFont="1" applyFill="1" applyBorder="1" applyAlignment="1">
      <alignment vertical="center"/>
    </xf>
    <xf numFmtId="165" fontId="78" fillId="0" borderId="0" xfId="54" applyNumberFormat="1" applyFont="1" applyFill="1"/>
    <xf numFmtId="0" fontId="79" fillId="0" borderId="0" xfId="0" applyFont="1" applyFill="1" applyAlignment="1">
      <alignment vertical="center"/>
    </xf>
    <xf numFmtId="0" fontId="77" fillId="0" borderId="0" xfId="0" applyFont="1" applyFill="1" applyAlignment="1">
      <alignment horizontal="left" vertical="center" indent="1"/>
    </xf>
    <xf numFmtId="0" fontId="80" fillId="0" borderId="0" xfId="0" applyFont="1" applyFill="1" applyAlignment="1">
      <alignment vertical="center"/>
    </xf>
    <xf numFmtId="180" fontId="81" fillId="0" borderId="0" xfId="0" applyNumberFormat="1" applyFont="1" applyFill="1" applyAlignment="1">
      <alignment vertical="center"/>
    </xf>
    <xf numFmtId="173" fontId="81" fillId="0" borderId="0" xfId="0" applyNumberFormat="1" applyFont="1" applyFill="1" applyAlignment="1">
      <alignment vertical="center"/>
    </xf>
    <xf numFmtId="173" fontId="81" fillId="0" borderId="14" xfId="0" applyNumberFormat="1" applyFont="1" applyFill="1" applyBorder="1" applyAlignment="1">
      <alignment vertical="center"/>
    </xf>
    <xf numFmtId="180" fontId="79" fillId="0" borderId="0" xfId="0" applyNumberFormat="1" applyFont="1" applyFill="1" applyBorder="1" applyAlignment="1">
      <alignment vertical="center"/>
    </xf>
    <xf numFmtId="165" fontId="71" fillId="0" borderId="0" xfId="54" applyNumberFormat="1" applyFont="1" applyFill="1"/>
    <xf numFmtId="165" fontId="17" fillId="0" borderId="16" xfId="54" applyNumberFormat="1" applyFont="1" applyFill="1" applyBorder="1"/>
    <xf numFmtId="173" fontId="71" fillId="0" borderId="14" xfId="0" applyNumberFormat="1" applyFont="1" applyFill="1" applyBorder="1"/>
    <xf numFmtId="168" fontId="17" fillId="0" borderId="0" xfId="54" applyNumberFormat="1" applyFont="1" applyFill="1"/>
    <xf numFmtId="180" fontId="75" fillId="18" borderId="0" xfId="0" applyNumberFormat="1" applyFont="1" applyFill="1"/>
    <xf numFmtId="5" fontId="56" fillId="0" borderId="0" xfId="54" applyNumberFormat="1" applyFont="1"/>
    <xf numFmtId="5" fontId="74" fillId="0" borderId="0" xfId="0" applyNumberFormat="1" applyFont="1" applyAlignment="1">
      <alignment horizontal="center"/>
    </xf>
    <xf numFmtId="7" fontId="59" fillId="0" borderId="0" xfId="54" applyNumberFormat="1" applyFont="1"/>
    <xf numFmtId="165" fontId="75" fillId="0" borderId="0" xfId="54" applyNumberFormat="1" applyFont="1" applyBorder="1"/>
    <xf numFmtId="1" fontId="42" fillId="0" borderId="0" xfId="0" applyNumberFormat="1" applyFont="1"/>
    <xf numFmtId="182" fontId="42" fillId="0" borderId="0" xfId="0" applyNumberFormat="1" applyFont="1" applyFill="1"/>
    <xf numFmtId="9" fontId="5" fillId="18" borderId="0" xfId="0" applyNumberFormat="1" applyFont="1" applyFill="1"/>
    <xf numFmtId="10" fontId="42" fillId="0" borderId="0" xfId="0" applyNumberFormat="1" applyFont="1" applyBorder="1"/>
    <xf numFmtId="7" fontId="17" fillId="0" borderId="0" xfId="0" applyNumberFormat="1" applyFont="1" applyFill="1" applyBorder="1"/>
    <xf numFmtId="5" fontId="17" fillId="0" borderId="0" xfId="0" applyNumberFormat="1" applyFont="1"/>
    <xf numFmtId="5" fontId="60" fillId="0" borderId="0" xfId="0" applyNumberFormat="1" applyFont="1"/>
    <xf numFmtId="10" fontId="5" fillId="0" borderId="0" xfId="0" applyNumberFormat="1" applyFont="1"/>
    <xf numFmtId="37" fontId="5" fillId="0" borderId="0" xfId="0" applyNumberFormat="1" applyFont="1"/>
    <xf numFmtId="37" fontId="17" fillId="0" borderId="0" xfId="0" applyNumberFormat="1" applyFont="1"/>
    <xf numFmtId="37" fontId="60" fillId="0" borderId="0" xfId="0" applyNumberFormat="1" applyFont="1"/>
    <xf numFmtId="2" fontId="42" fillId="0" borderId="0" xfId="0" applyNumberFormat="1" applyFont="1"/>
    <xf numFmtId="2" fontId="42" fillId="0" borderId="0" xfId="0" applyNumberFormat="1" applyFont="1" applyBorder="1"/>
    <xf numFmtId="182" fontId="42" fillId="0" borderId="0" xfId="0" applyNumberFormat="1" applyFont="1" applyFill="1" applyBorder="1"/>
    <xf numFmtId="183" fontId="59" fillId="0" borderId="0" xfId="0" applyNumberFormat="1" applyFont="1" applyFill="1" applyBorder="1"/>
    <xf numFmtId="180" fontId="42" fillId="0" borderId="0" xfId="0" applyNumberFormat="1" applyFont="1" applyFill="1" applyBorder="1" applyAlignment="1">
      <alignment horizontal="right"/>
    </xf>
    <xf numFmtId="187" fontId="5" fillId="0" borderId="0" xfId="0" applyNumberFormat="1" applyFont="1" applyBorder="1"/>
    <xf numFmtId="168" fontId="60" fillId="0" borderId="0" xfId="54" applyNumberFormat="1" applyFont="1" applyFill="1"/>
    <xf numFmtId="0" fontId="5" fillId="0" borderId="17" xfId="0" applyFont="1" applyBorder="1"/>
    <xf numFmtId="164" fontId="5" fillId="0" borderId="17" xfId="0" applyNumberFormat="1" applyFont="1" applyFill="1" applyBorder="1"/>
    <xf numFmtId="180" fontId="58" fillId="0" borderId="0" xfId="0" applyNumberFormat="1" applyFont="1" applyFill="1"/>
    <xf numFmtId="180" fontId="75" fillId="0" borderId="13" xfId="0" applyNumberFormat="1" applyFont="1" applyFill="1" applyBorder="1"/>
    <xf numFmtId="180" fontId="60" fillId="18" borderId="0" xfId="0" applyNumberFormat="1" applyFont="1" applyFill="1" applyBorder="1"/>
    <xf numFmtId="180" fontId="75" fillId="18" borderId="0" xfId="0" applyNumberFormat="1" applyFont="1" applyFill="1" applyBorder="1"/>
    <xf numFmtId="188" fontId="45" fillId="0" borderId="0" xfId="0" applyNumberFormat="1" applyFont="1" applyFill="1" applyBorder="1"/>
    <xf numFmtId="7" fontId="45" fillId="0" borderId="0" xfId="0" applyNumberFormat="1" applyFont="1" applyFill="1" applyBorder="1"/>
    <xf numFmtId="9" fontId="17" fillId="0" borderId="0" xfId="0" applyNumberFormat="1" applyFont="1" applyFill="1" applyBorder="1"/>
    <xf numFmtId="178" fontId="17" fillId="0" borderId="0" xfId="0" applyNumberFormat="1" applyFont="1" applyFill="1" applyBorder="1"/>
    <xf numFmtId="165" fontId="58" fillId="0" borderId="0" xfId="54" applyNumberFormat="1" applyFont="1" applyFill="1"/>
    <xf numFmtId="165" fontId="58" fillId="0" borderId="0" xfId="0" applyNumberFormat="1" applyFont="1" applyFill="1"/>
    <xf numFmtId="165" fontId="71" fillId="0" borderId="0" xfId="0" applyNumberFormat="1" applyFont="1" applyFill="1"/>
    <xf numFmtId="173" fontId="71" fillId="0" borderId="17" xfId="0" applyNumberFormat="1" applyFont="1" applyFill="1" applyBorder="1"/>
    <xf numFmtId="173" fontId="58" fillId="0" borderId="17" xfId="0" applyNumberFormat="1" applyFont="1" applyFill="1" applyBorder="1"/>
    <xf numFmtId="189" fontId="42" fillId="0" borderId="0" xfId="0" applyNumberFormat="1" applyFont="1"/>
    <xf numFmtId="165" fontId="17" fillId="0" borderId="0" xfId="0" applyNumberFormat="1" applyFont="1"/>
    <xf numFmtId="165" fontId="17" fillId="0" borderId="0" xfId="0" applyNumberFormat="1" applyFont="1" applyFill="1" applyBorder="1"/>
    <xf numFmtId="173" fontId="5" fillId="0" borderId="0" xfId="0" applyNumberFormat="1" applyFont="1" applyBorder="1" applyAlignment="1">
      <alignment horizontal="center"/>
    </xf>
    <xf numFmtId="165" fontId="72" fillId="0" borderId="0" xfId="0" applyNumberFormat="1" applyFont="1" applyBorder="1"/>
    <xf numFmtId="165" fontId="65" fillId="0" borderId="0" xfId="0" applyNumberFormat="1" applyFont="1" applyBorder="1"/>
    <xf numFmtId="190" fontId="65" fillId="0" borderId="0" xfId="0" applyNumberFormat="1" applyFont="1" applyBorder="1"/>
    <xf numFmtId="190" fontId="62" fillId="0" borderId="0" xfId="0" applyNumberFormat="1" applyFont="1" applyBorder="1"/>
    <xf numFmtId="191" fontId="65" fillId="0" borderId="0" xfId="0" applyNumberFormat="1" applyFont="1" applyBorder="1"/>
    <xf numFmtId="10" fontId="5" fillId="0" borderId="0" xfId="0" applyNumberFormat="1" applyFont="1" applyBorder="1"/>
    <xf numFmtId="7" fontId="42" fillId="0" borderId="0" xfId="0" applyNumberFormat="1" applyFont="1" applyBorder="1"/>
    <xf numFmtId="171" fontId="5" fillId="0" borderId="0" xfId="0" applyNumberFormat="1" applyFont="1"/>
    <xf numFmtId="165" fontId="71" fillId="0" borderId="0" xfId="54" applyNumberFormat="1" applyFont="1" applyAlignment="1"/>
    <xf numFmtId="0" fontId="5" fillId="21" borderId="0" xfId="191" applyFont="1" applyFill="1" applyAlignment="1">
      <alignment vertical="top"/>
    </xf>
    <xf numFmtId="0" fontId="5" fillId="21" borderId="0" xfId="49" applyFill="1" applyAlignment="1">
      <alignment vertical="top"/>
    </xf>
    <xf numFmtId="0" fontId="5" fillId="21" borderId="0" xfId="49" applyFill="1"/>
    <xf numFmtId="0" fontId="82" fillId="21" borderId="0" xfId="191" applyFont="1" applyFill="1" applyAlignment="1">
      <alignment horizontal="left" vertical="top"/>
    </xf>
    <xf numFmtId="0" fontId="5" fillId="21" borderId="0" xfId="49" applyFont="1" applyFill="1" applyAlignment="1">
      <alignment vertical="top"/>
    </xf>
    <xf numFmtId="0" fontId="42" fillId="21" borderId="0" xfId="191" applyFont="1" applyFill="1" applyAlignment="1">
      <alignment vertical="top"/>
    </xf>
    <xf numFmtId="0" fontId="0" fillId="21" borderId="0" xfId="0" applyFill="1" applyAlignment="1">
      <alignment vertical="top"/>
    </xf>
    <xf numFmtId="0" fontId="58" fillId="21" borderId="0" xfId="0" applyFont="1" applyFill="1" applyAlignment="1">
      <alignment vertical="top"/>
    </xf>
    <xf numFmtId="0" fontId="91" fillId="21" borderId="0" xfId="0" applyFont="1" applyFill="1" applyAlignment="1">
      <alignment vertical="top"/>
    </xf>
    <xf numFmtId="0" fontId="58" fillId="21" borderId="31" xfId="0" applyFont="1" applyFill="1" applyBorder="1" applyAlignment="1">
      <alignment vertical="top"/>
    </xf>
    <xf numFmtId="9" fontId="58" fillId="21" borderId="31" xfId="0" applyNumberFormat="1" applyFont="1" applyFill="1" applyBorder="1" applyAlignment="1">
      <alignment vertical="top"/>
    </xf>
    <xf numFmtId="3" fontId="58" fillId="21" borderId="31" xfId="0" applyNumberFormat="1" applyFont="1" applyFill="1" applyBorder="1" applyAlignment="1">
      <alignment vertical="top"/>
    </xf>
    <xf numFmtId="2" fontId="5" fillId="0" borderId="0" xfId="49" applyNumberFormat="1" applyAlignment="1">
      <alignment horizontal="left"/>
    </xf>
    <xf numFmtId="0" fontId="5" fillId="0" borderId="0" xfId="49" applyNumberFormat="1" applyAlignment="1">
      <alignment horizontal="left"/>
    </xf>
    <xf numFmtId="1" fontId="5" fillId="0" borderId="0" xfId="49" applyNumberFormat="1" applyAlignment="1">
      <alignment horizontal="left"/>
    </xf>
    <xf numFmtId="0" fontId="5" fillId="0" borderId="0" xfId="49" applyFont="1"/>
    <xf numFmtId="192" fontId="5" fillId="0" borderId="0" xfId="49" applyNumberFormat="1" applyAlignment="1">
      <alignment horizontal="left"/>
    </xf>
    <xf numFmtId="49" fontId="5" fillId="0" borderId="0" xfId="49" applyNumberFormat="1"/>
    <xf numFmtId="0" fontId="92" fillId="0" borderId="0" xfId="49" applyFont="1" applyAlignment="1">
      <alignment wrapText="1"/>
    </xf>
    <xf numFmtId="0" fontId="92" fillId="0" borderId="0" xfId="49" applyFont="1" applyAlignment="1">
      <alignment horizontal="left" wrapText="1" indent="3"/>
    </xf>
    <xf numFmtId="0" fontId="92" fillId="0" borderId="0" xfId="49" applyFont="1" applyAlignment="1">
      <alignment horizontal="left" wrapText="1" indent="1"/>
    </xf>
    <xf numFmtId="0" fontId="94" fillId="0" borderId="0" xfId="49" applyFont="1" applyAlignment="1">
      <alignment wrapText="1"/>
    </xf>
    <xf numFmtId="0" fontId="0" fillId="21" borderId="36" xfId="0" applyFill="1" applyBorder="1" applyAlignment="1">
      <alignment vertical="top"/>
    </xf>
    <xf numFmtId="0" fontId="58" fillId="21" borderId="0" xfId="0" applyFont="1" applyFill="1" applyAlignment="1">
      <alignment vertical="top"/>
    </xf>
    <xf numFmtId="0" fontId="58" fillId="21" borderId="32" xfId="0" applyFont="1" applyFill="1" applyBorder="1" applyAlignment="1">
      <alignment vertical="top"/>
    </xf>
    <xf numFmtId="0" fontId="58" fillId="21" borderId="33" xfId="0" applyFont="1" applyFill="1" applyBorder="1" applyAlignment="1">
      <alignment vertical="top"/>
    </xf>
    <xf numFmtId="0" fontId="58" fillId="21" borderId="34" xfId="0" applyFont="1" applyFill="1" applyBorder="1" applyAlignment="1">
      <alignment vertical="top"/>
    </xf>
    <xf numFmtId="0" fontId="91" fillId="21" borderId="0" xfId="0" applyFont="1" applyFill="1" applyAlignment="1">
      <alignment vertical="top"/>
    </xf>
    <xf numFmtId="0" fontId="0" fillId="21" borderId="0" xfId="0" applyFill="1" applyAlignment="1">
      <alignment vertical="top"/>
    </xf>
    <xf numFmtId="0" fontId="0" fillId="21" borderId="35" xfId="0" applyFill="1" applyBorder="1" applyAlignment="1">
      <alignment vertical="top"/>
    </xf>
  </cellXfs>
  <cellStyles count="192">
    <cellStyle name=" 1" xfId="1"/>
    <cellStyle name=" 1 2" xfId="2"/>
    <cellStyle name="%" xfId="69"/>
    <cellStyle name="?Q\?1@" xfId="70"/>
    <cellStyle name="_BS " xfId="3"/>
    <cellStyle name="_BS  2" xfId="164"/>
    <cellStyle name="_CF_Amba" xfId="71"/>
    <cellStyle name="_DCF " xfId="4"/>
    <cellStyle name="_Pension1" xfId="72"/>
    <cellStyle name="_RRS1" xfId="73"/>
    <cellStyle name="_RRS11" xfId="74"/>
    <cellStyle name="_RRS12" xfId="75"/>
    <cellStyle name="_RRS2" xfId="76"/>
    <cellStyle name="_RRS4" xfId="77"/>
    <cellStyle name="_RRS5" xfId="78"/>
    <cellStyle name="_RRS6" xfId="79"/>
    <cellStyle name="_RRS8" xfId="80"/>
    <cellStyle name="_SUMMARY " xfId="5"/>
    <cellStyle name="_wipALB" xfId="81"/>
    <cellStyle name="_wipAPD" xfId="82"/>
    <cellStyle name="_wipCE" xfId="83"/>
    <cellStyle name="_wipDD" xfId="84"/>
    <cellStyle name="_wipDOW" xfId="85"/>
    <cellStyle name="_wipSHW" xfId="86"/>
    <cellStyle name="=C:\WINNT35\SYSTEM32\COMMAND.COM" xfId="87"/>
    <cellStyle name="0_Capex &amp; Depreciation " xfId="6"/>
    <cellStyle name="0_Capex &amp; Depreciation _CF_Amba" xfId="88"/>
    <cellStyle name="0_Capex &amp; Depreciation _MOS" xfId="89"/>
    <cellStyle name="0_Capex &amp; Depreciation _RRS1" xfId="90"/>
    <cellStyle name="0_Capex &amp; Depreciation _RRS5" xfId="91"/>
    <cellStyle name="0_Capex &amp; Depreciation _RRST1" xfId="92"/>
    <cellStyle name="0_Capex &amp; Depreciation _RRST3" xfId="93"/>
    <cellStyle name="0_OMV EP 2000-2015 Consolidated " xfId="7"/>
    <cellStyle name="0_Valuing BP " xfId="8"/>
    <cellStyle name="0_Valuing BP _CF_Amba" xfId="94"/>
    <cellStyle name="0_Valuing BP _MOS" xfId="95"/>
    <cellStyle name="0_Valuing BP _RRS1" xfId="96"/>
    <cellStyle name="0_Valuing BP _RRS5" xfId="97"/>
    <cellStyle name="0_Valuing BP _RRST1" xfId="98"/>
    <cellStyle name="0_Valuing BP _RRST3" xfId="99"/>
    <cellStyle name="20% - Accent1" xfId="9" builtinId="30" customBuiltin="1"/>
    <cellStyle name="20% - Accent2" xfId="10" builtinId="34" customBuiltin="1"/>
    <cellStyle name="20% - Accent3" xfId="11" builtinId="38" customBuiltin="1"/>
    <cellStyle name="20% - Accent4" xfId="12" builtinId="42" customBuiltin="1"/>
    <cellStyle name="20% - Accent5" xfId="13" builtinId="46" customBuiltin="1"/>
    <cellStyle name="20% - Accent6" xfId="14" builtinId="50" customBuiltin="1"/>
    <cellStyle name="40% - Accent1" xfId="15" builtinId="31" customBuiltin="1"/>
    <cellStyle name="40% - Accent2" xfId="16" builtinId="35" customBuiltin="1"/>
    <cellStyle name="40% - Accent3" xfId="17" builtinId="39" customBuiltin="1"/>
    <cellStyle name="40% - Accent4" xfId="18" builtinId="43" customBuiltin="1"/>
    <cellStyle name="40% - Accent5" xfId="19" builtinId="47" customBuiltin="1"/>
    <cellStyle name="40% - Accent6" xfId="20" builtinId="51" customBuiltin="1"/>
    <cellStyle name="60% - Accent1" xfId="21" builtinId="32" customBuiltin="1"/>
    <cellStyle name="60% - Accent2" xfId="22" builtinId="36" customBuiltin="1"/>
    <cellStyle name="60% - Accent3" xfId="23" builtinId="40" customBuiltin="1"/>
    <cellStyle name="60% - Accent4" xfId="24" builtinId="44" customBuiltin="1"/>
    <cellStyle name="60% - Accent5" xfId="25" builtinId="48" customBuiltin="1"/>
    <cellStyle name="60% - Accent6" xfId="26" builtinId="52" customBuiltin="1"/>
    <cellStyle name="Accent1" xfId="27" builtinId="29" customBuiltin="1"/>
    <cellStyle name="Accent2" xfId="28" builtinId="33" customBuiltin="1"/>
    <cellStyle name="Accent3" xfId="29" builtinId="37" customBuiltin="1"/>
    <cellStyle name="Accent4" xfId="30" builtinId="41" customBuiltin="1"/>
    <cellStyle name="Accent5" xfId="31" builtinId="45" customBuiltin="1"/>
    <cellStyle name="Accent6" xfId="32" builtinId="49" customBuiltin="1"/>
    <cellStyle name="Bad" xfId="33" builtinId="27" customBuiltin="1"/>
    <cellStyle name="c_HardInc " xfId="34"/>
    <cellStyle name="c_HardInc _CF_Amba" xfId="100"/>
    <cellStyle name="c_HardInc _MOS" xfId="101"/>
    <cellStyle name="c_HardInc _RRS1" xfId="102"/>
    <cellStyle name="c_HardInc _RRS5" xfId="103"/>
    <cellStyle name="c_HardInc _RRST1" xfId="104"/>
    <cellStyle name="c_HardInc _RRST3" xfId="105"/>
    <cellStyle name="Calculation" xfId="35" builtinId="22" customBuiltin="1"/>
    <cellStyle name="Calculation 2" xfId="165"/>
    <cellStyle name="Calculation 3" xfId="182"/>
    <cellStyle name="Check Cell" xfId="36" builtinId="23" customBuiltin="1"/>
    <cellStyle name="Comma" xfId="37" builtinId="3"/>
    <cellStyle name="Comma 2" xfId="106"/>
    <cellStyle name="Comma 3" xfId="107"/>
    <cellStyle name="Comma 4" xfId="108"/>
    <cellStyle name="Comma 4 2" xfId="183"/>
    <cellStyle name="Currency 2" xfId="38"/>
    <cellStyle name="Currency 3" xfId="109"/>
    <cellStyle name="Currency 3 2" xfId="184"/>
    <cellStyle name="Currency 4" xfId="110"/>
    <cellStyle name="Currency 5" xfId="111"/>
    <cellStyle name="Currency 6" xfId="112"/>
    <cellStyle name="Explanatory Text" xfId="39" builtinId="53" customBuiltin="1"/>
    <cellStyle name="Good" xfId="40" builtinId="26" customBuiltin="1"/>
    <cellStyle name="Heading 1" xfId="41" builtinId="16" customBuiltin="1"/>
    <cellStyle name="Heading 2" xfId="42" builtinId="17" customBuiltin="1"/>
    <cellStyle name="Heading 3" xfId="43" builtinId="18" customBuiltin="1"/>
    <cellStyle name="Heading 4" xfId="44" builtinId="19" customBuiltin="1"/>
    <cellStyle name="Hyperlink 2" xfId="45"/>
    <cellStyle name="Hyperlink 3" xfId="68"/>
    <cellStyle name="Input" xfId="46" builtinId="20" customBuiltin="1"/>
    <cellStyle name="Input 2" xfId="167"/>
    <cellStyle name="Input 3" xfId="181"/>
    <cellStyle name="Linked Cell" xfId="47" builtinId="24" customBuiltin="1"/>
    <cellStyle name="Neutral" xfId="48" builtinId="28" customBuiltin="1"/>
    <cellStyle name="Normal" xfId="0" builtinId="0"/>
    <cellStyle name="Normal 2" xfId="49"/>
    <cellStyle name="Normal 2 2" xfId="113"/>
    <cellStyle name="Normal 2 2 2" xfId="114"/>
    <cellStyle name="Normal 3" xfId="50"/>
    <cellStyle name="Normal 3 2" xfId="67"/>
    <cellStyle name="Normal 3 2 2" xfId="115"/>
    <cellStyle name="Normal 3 2 2 2" xfId="187"/>
    <cellStyle name="Normal 3 3" xfId="168"/>
    <cellStyle name="Normal 4" xfId="66"/>
    <cellStyle name="Normal 5" xfId="116"/>
    <cellStyle name="Normal 6" xfId="117"/>
    <cellStyle name="Normal_DisclaimerSheet Samples" xfId="191"/>
    <cellStyle name="Note" xfId="51" builtinId="10" customBuiltin="1"/>
    <cellStyle name="Note 2" xfId="169"/>
    <cellStyle name="Note 3" xfId="180"/>
    <cellStyle name="Output" xfId="52" builtinId="21" customBuiltin="1"/>
    <cellStyle name="Output 2" xfId="170"/>
    <cellStyle name="Output 3" xfId="171"/>
    <cellStyle name="p " xfId="53"/>
    <cellStyle name="Percent" xfId="54" builtinId="5"/>
    <cellStyle name="Percent 2" xfId="55"/>
    <cellStyle name="Percent 2 2" xfId="118"/>
    <cellStyle name="Percent 3" xfId="119"/>
    <cellStyle name="Percent 4" xfId="120"/>
    <cellStyle name="Percent 4 2" xfId="188"/>
    <cellStyle name="Percent 5" xfId="121"/>
    <cellStyle name="Percent 6" xfId="122"/>
    <cellStyle name="RRSInstruction" xfId="56"/>
    <cellStyle name="RRSInstruction 2" xfId="57"/>
    <cellStyle name="s_HardInc " xfId="58"/>
    <cellStyle name="s_HardInc _CF_Amba" xfId="123"/>
    <cellStyle name="s_HardInc _MOS" xfId="124"/>
    <cellStyle name="s_HardInc _RRS1" xfId="125"/>
    <cellStyle name="s_HardInc _RRS5" xfId="126"/>
    <cellStyle name="s_HardInc _RRST1" xfId="127"/>
    <cellStyle name="s_HardInc _RRST3" xfId="128"/>
    <cellStyle name="s_Valuation " xfId="59"/>
    <cellStyle name="s_Valuation  2" xfId="186"/>
    <cellStyle name="s_Valuation _CF_Amba" xfId="129"/>
    <cellStyle name="s_Valuation _CF_Amba 2" xfId="179"/>
    <cellStyle name="s_Valuation _MOS" xfId="130"/>
    <cellStyle name="s_Valuation _MOS 2" xfId="178"/>
    <cellStyle name="s_Valuation _RRS1" xfId="131"/>
    <cellStyle name="s_Valuation _RRS1 2" xfId="177"/>
    <cellStyle name="s_Valuation _RRS5" xfId="132"/>
    <cellStyle name="s_Valuation _RRS5 2" xfId="176"/>
    <cellStyle name="s_Valuation _RRST1" xfId="133"/>
    <cellStyle name="s_Valuation _RRST1 2" xfId="175"/>
    <cellStyle name="s_Valuation _RRST3" xfId="134"/>
    <cellStyle name="s_Valuation _RRST3 2" xfId="174"/>
    <cellStyle name="ssp " xfId="60"/>
    <cellStyle name="ssp  2" xfId="185"/>
    <cellStyle name="Style 1" xfId="135"/>
    <cellStyle name="Style 2" xfId="136"/>
    <cellStyle name="Style 21" xfId="137"/>
    <cellStyle name="Style 21 2" xfId="138"/>
    <cellStyle name="Style 22" xfId="139"/>
    <cellStyle name="Style 23" xfId="140"/>
    <cellStyle name="Style 23 2" xfId="141"/>
    <cellStyle name="Style 24" xfId="142"/>
    <cellStyle name="Style 24 2" xfId="143"/>
    <cellStyle name="Style 24 3" xfId="189"/>
    <cellStyle name="Style 24 4" xfId="173"/>
    <cellStyle name="Style 24 5" xfId="166"/>
    <cellStyle name="Style 25" xfId="144"/>
    <cellStyle name="Style 26" xfId="145"/>
    <cellStyle name="Style 26 2" xfId="146"/>
    <cellStyle name="Style 26 3" xfId="147"/>
    <cellStyle name="Style 27" xfId="148"/>
    <cellStyle name="Style 28" xfId="149"/>
    <cellStyle name="Style 28 2" xfId="150"/>
    <cellStyle name="Style 29" xfId="151"/>
    <cellStyle name="Style 3" xfId="152"/>
    <cellStyle name="Style 30" xfId="153"/>
    <cellStyle name="Style 31" xfId="154"/>
    <cellStyle name="Style 32" xfId="155"/>
    <cellStyle name="Style 33" xfId="156"/>
    <cellStyle name="Style 33 2" xfId="157"/>
    <cellStyle name="Style 34" xfId="158"/>
    <cellStyle name="Style 4" xfId="159"/>
    <cellStyle name="Style 5" xfId="160"/>
    <cellStyle name="Style 6" xfId="161"/>
    <cellStyle name="Title" xfId="61" builtinId="15" customBuiltin="1"/>
    <cellStyle name="Total" xfId="62" builtinId="25" customBuiltin="1"/>
    <cellStyle name="Total 2" xfId="172"/>
    <cellStyle name="Total 3" xfId="190"/>
    <cellStyle name="TRHyperlink" xfId="162"/>
    <cellStyle name="Warning Text" xfId="63" builtinId="11" customBuiltin="1"/>
    <cellStyle name="쬞\?1@" xfId="163"/>
    <cellStyle name="콤마 [0]_#3이설 견적_준공내역총괄표 " xfId="64"/>
    <cellStyle name="콤마_#3이설 견적_준공내역총괄표 " xfId="6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1B4694"/>
      <rgbColor rgb="0041A95C"/>
      <rgbColor rgb="00125A31"/>
      <rgbColor rgb="00125A31"/>
      <rgbColor rgb="00DDDDDD"/>
      <rgbColor rgb="008E006A"/>
      <rgbColor rgb="001B4694"/>
      <rgbColor rgb="00333333"/>
    </indexed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externalLinks/externalLink1.xml" Type="http://schemas.openxmlformats.org/officeDocument/2006/relationships/externalLink"/>
<Relationship Id="rId14" Target="externalLinks/externalLink2.xml" Type="http://schemas.openxmlformats.org/officeDocument/2006/relationships/externalLink"/>
<Relationship Id="rId15" Target="externalLinks/externalLink3.xml" Type="http://schemas.openxmlformats.org/officeDocument/2006/relationships/externalLink"/>
<Relationship Id="rId16" Target="externalLinks/externalLink4.xml" Type="http://schemas.openxmlformats.org/officeDocument/2006/relationships/externalLink"/>
<Relationship Id="rId17" Target="externalLinks/externalLink5.xml" Type="http://schemas.openxmlformats.org/officeDocument/2006/relationships/externalLink"/>
<Relationship Id="rId18" Target="externalLinks/externalLink6.xml" Type="http://schemas.openxmlformats.org/officeDocument/2006/relationships/externalLink"/>
<Relationship Id="rId19" Target="externalLinks/externalLink7.xml" Type="http://schemas.openxmlformats.org/officeDocument/2006/relationships/externalLink"/>
<Relationship Id="rId2" Target="worksheets/sheet2.xml" Type="http://schemas.openxmlformats.org/officeDocument/2006/relationships/worksheet"/>
<Relationship Id="rId20" Target="externalLinks/externalLink8.xml" Type="http://schemas.openxmlformats.org/officeDocument/2006/relationships/externalLink"/>
<Relationship Id="rId21" Target="externalLinks/externalLink9.xml" Type="http://schemas.openxmlformats.org/officeDocument/2006/relationships/externalLink"/>
<Relationship Id="rId22" Target="externalLinks/externalLink10.xml" Type="http://schemas.openxmlformats.org/officeDocument/2006/relationships/externalLink"/>
<Relationship Id="rId23" Target="externalLinks/externalLink11.xml" Type="http://schemas.openxmlformats.org/officeDocument/2006/relationships/externalLink"/>
<Relationship Id="rId24" Target="externalLinks/externalLink12.xml" Type="http://schemas.openxmlformats.org/officeDocument/2006/relationships/externalLink"/>
<Relationship Id="rId25" Target="externalLinks/externalLink13.xml" Type="http://schemas.openxmlformats.org/officeDocument/2006/relationships/externalLink"/>
<Relationship Id="rId26" Target="externalLinks/externalLink14.xml" Type="http://schemas.openxmlformats.org/officeDocument/2006/relationships/externalLink"/>
<Relationship Id="rId27" Target="externalLinks/externalLink15.xml" Type="http://schemas.openxmlformats.org/officeDocument/2006/relationships/externalLink"/>
<Relationship Id="rId28" Target="externalLinks/externalLink16.xml" Type="http://schemas.openxmlformats.org/officeDocument/2006/relationships/externalLink"/>
<Relationship Id="rId29" Target="externalLinks/externalLink17.xml" Type="http://schemas.openxmlformats.org/officeDocument/2006/relationships/externalLink"/>
<Relationship Id="rId3" Target="worksheets/sheet3.xml" Type="http://schemas.openxmlformats.org/officeDocument/2006/relationships/worksheet"/>
<Relationship Id="rId30" Target="externalLinks/externalLink18.xml" Type="http://schemas.openxmlformats.org/officeDocument/2006/relationships/externalLink"/>
<Relationship Id="rId31" Target="externalLinks/externalLink19.xml" Type="http://schemas.openxmlformats.org/officeDocument/2006/relationships/externalLink"/>
<Relationship Id="rId32" Target="externalLinks/externalLink20.xml" Type="http://schemas.openxmlformats.org/officeDocument/2006/relationships/externalLink"/>
<Relationship Id="rId33" Target="externalLinks/externalLink21.xml" Type="http://schemas.openxmlformats.org/officeDocument/2006/relationships/externalLink"/>
<Relationship Id="rId34" Target="externalLinks/externalLink22.xml" Type="http://schemas.openxmlformats.org/officeDocument/2006/relationships/externalLink"/>
<Relationship Id="rId35" Target="externalLinks/externalLink23.xml" Type="http://schemas.openxmlformats.org/officeDocument/2006/relationships/externalLink"/>
<Relationship Id="rId36" Target="externalLinks/externalLink24.xml" Type="http://schemas.openxmlformats.org/officeDocument/2006/relationships/externalLink"/>
<Relationship Id="rId37" Target="externalLinks/externalLink25.xml" Type="http://schemas.openxmlformats.org/officeDocument/2006/relationships/externalLink"/>
<Relationship Id="rId38" Target="externalLinks/externalLink26.xml" Type="http://schemas.openxmlformats.org/officeDocument/2006/relationships/externalLink"/>
<Relationship Id="rId39" Target="externalLinks/externalLink27.xml" Type="http://schemas.openxmlformats.org/officeDocument/2006/relationships/externalLink"/>
<Relationship Id="rId4" Target="worksheets/sheet4.xml" Type="http://schemas.openxmlformats.org/officeDocument/2006/relationships/worksheet"/>
<Relationship Id="rId40" Target="externalLinks/externalLink28.xml" Type="http://schemas.openxmlformats.org/officeDocument/2006/relationships/externalLink"/>
<Relationship Id="rId41" Target="externalLinks/externalLink29.xml" Type="http://schemas.openxmlformats.org/officeDocument/2006/relationships/externalLink"/>
<Relationship Id="rId42" Target="externalLinks/externalLink30.xml" Type="http://schemas.openxmlformats.org/officeDocument/2006/relationships/externalLink"/>
<Relationship Id="rId43" Target="externalLinks/externalLink31.xml" Type="http://schemas.openxmlformats.org/officeDocument/2006/relationships/externalLink"/>
<Relationship Id="rId44" Target="externalLinks/externalLink32.xml" Type="http://schemas.openxmlformats.org/officeDocument/2006/relationships/externalLink"/>
<Relationship Id="rId45" Target="externalLinks/externalLink33.xml" Type="http://schemas.openxmlformats.org/officeDocument/2006/relationships/externalLink"/>
<Relationship Id="rId46" Target="externalLinks/externalLink34.xml" Type="http://schemas.openxmlformats.org/officeDocument/2006/relationships/externalLink"/>
<Relationship Id="rId47" Target="externalLinks/externalLink35.xml" Type="http://schemas.openxmlformats.org/officeDocument/2006/relationships/externalLink"/>
<Relationship Id="rId48" Target="externalLinks/externalLink36.xml" Type="http://schemas.openxmlformats.org/officeDocument/2006/relationships/externalLink"/>
<Relationship Id="rId49" Target="externalLinks/externalLink37.xml" Type="http://schemas.openxmlformats.org/officeDocument/2006/relationships/externalLink"/>
<Relationship Id="rId5" Target="worksheets/sheet5.xml" Type="http://schemas.openxmlformats.org/officeDocument/2006/relationships/worksheet"/>
<Relationship Id="rId50" Target="externalLinks/externalLink38.xml" Type="http://schemas.openxmlformats.org/officeDocument/2006/relationships/externalLink"/>
<Relationship Id="rId51" Target="externalLinks/externalLink39.xml" Type="http://schemas.openxmlformats.org/officeDocument/2006/relationships/externalLink"/>
<Relationship Id="rId52" Target="externalLinks/externalLink40.xml" Type="http://schemas.openxmlformats.org/officeDocument/2006/relationships/externalLink"/>
<Relationship Id="rId53" Target="externalLinks/externalLink41.xml" Type="http://schemas.openxmlformats.org/officeDocument/2006/relationships/externalLink"/>
<Relationship Id="rId54" Target="externalLinks/externalLink42.xml" Type="http://schemas.openxmlformats.org/officeDocument/2006/relationships/externalLink"/>
<Relationship Id="rId55" Target="externalLinks/externalLink43.xml" Type="http://schemas.openxmlformats.org/officeDocument/2006/relationships/externalLink"/>
<Relationship Id="rId56" Target="externalLinks/externalLink44.xml" Type="http://schemas.openxmlformats.org/officeDocument/2006/relationships/externalLink"/>
<Relationship Id="rId57" Target="externalLinks/externalLink45.xml" Type="http://schemas.openxmlformats.org/officeDocument/2006/relationships/externalLink"/>
<Relationship Id="rId58" Target="externalLinks/externalLink46.xml" Type="http://schemas.openxmlformats.org/officeDocument/2006/relationships/externalLink"/>
<Relationship Id="rId59" Target="externalLinks/externalLink47.xml" Type="http://schemas.openxmlformats.org/officeDocument/2006/relationships/externalLink"/>
<Relationship Id="rId6" Target="worksheets/sheet6.xml" Type="http://schemas.openxmlformats.org/officeDocument/2006/relationships/worksheet"/>
<Relationship Id="rId60" Target="externalLinks/externalLink48.xml" Type="http://schemas.openxmlformats.org/officeDocument/2006/relationships/externalLink"/>
<Relationship Id="rId61" Target="externalLinks/externalLink49.xml" Type="http://schemas.openxmlformats.org/officeDocument/2006/relationships/externalLink"/>
<Relationship Id="rId62" Target="externalLinks/externalLink50.xml" Type="http://schemas.openxmlformats.org/officeDocument/2006/relationships/externalLink"/>
<Relationship Id="rId63" Target="externalLinks/externalLink51.xml" Type="http://schemas.openxmlformats.org/officeDocument/2006/relationships/externalLink"/>
<Relationship Id="rId64" Target="externalLinks/externalLink52.xml" Type="http://schemas.openxmlformats.org/officeDocument/2006/relationships/externalLink"/>
<Relationship Id="rId65" Target="externalLinks/externalLink53.xml" Type="http://schemas.openxmlformats.org/officeDocument/2006/relationships/externalLink"/>
<Relationship Id="rId66" Target="externalLinks/externalLink54.xml" Type="http://schemas.openxmlformats.org/officeDocument/2006/relationships/externalLink"/>
<Relationship Id="rId67" Target="externalLinks/externalLink55.xml" Type="http://schemas.openxmlformats.org/officeDocument/2006/relationships/externalLink"/>
<Relationship Id="rId68" Target="externalLinks/externalLink56.xml" Type="http://schemas.openxmlformats.org/officeDocument/2006/relationships/externalLink"/>
<Relationship Id="rId69" Target="externalLinks/externalLink57.xml" Type="http://schemas.openxmlformats.org/officeDocument/2006/relationships/externalLink"/>
<Relationship Id="rId7" Target="worksheets/sheet7.xml" Type="http://schemas.openxmlformats.org/officeDocument/2006/relationships/worksheet"/>
<Relationship Id="rId70" Target="externalLinks/externalLink58.xml" Type="http://schemas.openxmlformats.org/officeDocument/2006/relationships/externalLink"/>
<Relationship Id="rId71" Target="externalLinks/externalLink59.xml" Type="http://schemas.openxmlformats.org/officeDocument/2006/relationships/externalLink"/>
<Relationship Id="rId72" Target="externalLinks/externalLink60.xml" Type="http://schemas.openxmlformats.org/officeDocument/2006/relationships/externalLink"/>
<Relationship Id="rId73" Target="externalLinks/externalLink61.xml" Type="http://schemas.openxmlformats.org/officeDocument/2006/relationships/externalLink"/>
<Relationship Id="rId74" Target="theme/theme1.xml" Type="http://schemas.openxmlformats.org/officeDocument/2006/relationships/theme"/>
<Relationship Id="rId75" Target="styles.xml" Type="http://schemas.openxmlformats.org/officeDocument/2006/relationships/styles"/>
<Relationship Id="rId76" Target="sharedStrings.xml" Type="http://schemas.openxmlformats.org/officeDocument/2006/relationships/sharedStrings"/>
<Relationship Id="rId77" Target="calcChain.xml" Type="http://schemas.openxmlformats.org/officeDocument/2006/relationships/calcChain"/>
<Relationship Id="rId78" Target="../customXml/item1.xml" Type="http://schemas.openxmlformats.org/officeDocument/2006/relationships/customXml"/>
<Relationship Id="rId79" Target="../customXml/item2.xml" Type="http://schemas.openxmlformats.org/officeDocument/2006/relationships/customXml"/>
<Relationship Id="rId8" Target="worksheets/sheet8.xml" Type="http://schemas.openxmlformats.org/officeDocument/2006/relationships/worksheet"/>
<Relationship Id="rId80" Target="vbaProject.bin" Type="http://schemas.microsoft.com/office/2006/relationships/vbaProjec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165</xdr:row>
      <xdr:rowOff>0</xdr:rowOff>
    </xdr:from>
    <xdr:to>
      <xdr:col>7</xdr:col>
      <xdr:colOff>390525</xdr:colOff>
      <xdr:row>188</xdr:row>
      <xdr:rowOff>104775</xdr:rowOff>
    </xdr:to>
    <xdr:pic>
      <xdr:nvPicPr>
        <xdr:cNvPr id="53323777" name="Picture 1" descr="C:\Users\briscott\AppData\Local\Temp\MercuryPriceRatingHistoryChart\OLN.N_2018_04_24_18_36_14.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3460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
<Relationship Id="rId1" Target="http://www.monsanto.com/Data/XL/2001%20Report/Q4Q1Scenari.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doug/P.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Documents%20and%20Settings/shysunm/Local%20Settings/Temporary%20Internet%20Files/OLK1AD/Rolta-Exhibits-061208_JD.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CHEMICAL/Models/wipCE.xls" TargetMode="External" Type="http://schemas.microsoft.com/office/2006/relationships/xlExternalLinkPath/xlAlternateStartup"/>
</Relationships>

</file>

<file path=xl/externalLinks/_rels/externalLink5.xml.rels><?xml version="1.0" encoding="UTF-8" standalone="yes"?>
<Relationships xmlns="http://schemas.openxmlformats.org/package/2006/relationships">
<Relationship Id="rId1" Target="CHEMICAL/Models/wipLYB.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Documents%20and%20Settings/shysunm/Local%20Settings/Temporary%20Internet%20Files/OLK1AD/Market%20View%20Exhibits_052808a.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Documents%20and%20Settings/shysunm/Local%20Settings/Temporary%20Internet%20Files/OLK1AD/old/Old%20peer%20benchmarks.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Documents%20and%20Settings/shysunm/Local%20Settings/Temporary%20Internet%20Files/OLK1AD/wiltamuth/SVU%20exhibits.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CHEMICAL/Companies/Du%20Pont/DD%20Bull%20to%20Bear%20Chart%20EPS%202010.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Documents%20and%20Settings/shysunm/Local%20Settings/Temporary%20Internet%20Files/OLK1AD/ROE%20Template.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CONSUMER/Mid-Cap%20Food/Agriculture_Vincent/Monsanto/Agriculture_Vincent/Industry/Ag_Charts.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CHEMICAL/Petrochemicals/Data%20and%20charts%20for%20primer/Industry%20model/Margin%20Decomposition%20030111.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Documents%20and%20Settings/shysunm/Local%20Settings/Temporary%20Internet%20Files/OLK1AD/Rolta-Exhibits-OLD_JD.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CONSUMER/Mid-Cap%20Food/Agriculture_Vincent/Monsanto/International%20Corn_3.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COMMOD/Marketin/Conference%20calls/Inventory%20Story/Update%203'01.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http://www.monsanto.com/Finance/Carl/02_portfolioCopy.xls" TargetMode="External" Type="http://schemas.openxmlformats.org/officeDocument/2006/relationships/externalLinkPath"/>
</Relationships>

</file>

<file path=xl/externalLinks/_rels/externalLink18.xml.rels><?xml version="1.0" encoding="UTF-8" standalone="yes"?>
<Relationships xmlns="http://schemas.openxmlformats.org/package/2006/relationships">
<Relationship Id="rId1" Target="http://www.monsanto.com/$TEAM/Private/BSCF02/Forecast/January/LAN.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file:///Y:/Research/Chemical%20Models/Ethylene%20Cost_Curve.xls" TargetMode="External" Type="http://schemas.openxmlformats.org/officeDocument/2006/relationships/externalLinkPath"/>
</Relationships>

</file>

<file path=xl/externalLinks/_rels/externalLink20.xml.rels><?xml version="1.0" encoding="UTF-8" standalone="yes"?>
<Relationships xmlns="http://schemas.openxmlformats.org/package/2006/relationships">
<Relationship Id="rId1" Target="file:///S:/LFORM/BZE/BZEWLD98.XLS" TargetMode="External" Type="http://schemas.openxmlformats.org/officeDocument/2006/relationships/externalLinkPath"/>
</Relationships>

</file>

<file path=xl/externalLinks/_rels/externalLink21.xml.rels><?xml version="1.0" encoding="UTF-8" standalone="yes"?>
<Relationships xmlns="http://schemas.openxmlformats.org/package/2006/relationships">
<Relationship Id="rId1" Target="http://www.monsanto.com/Documents%20and%20Settings/srtich/Local%20Settings/Temporary%20Internet%20Files/OLK13/P&amp;LMEX02.xls" TargetMode="External" Type="http://schemas.openxmlformats.org/officeDocument/2006/relationships/externalLinkPath"/>
</Relationships>

</file>

<file path=xl/externalLinks/_rels/externalLink22.xml.rels><?xml version="1.0" encoding="UTF-8" standalone="yes"?>
<Relationships xmlns="http://schemas.openxmlformats.org/package/2006/relationships">
<Relationship Id="rId1" Target="Chem/COMMOD/PRODUCTS/POLYMERS/PE/C_HDPE.xls"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http://www.monsanto.com/Documents%20and%20Settings/EBEDWA/Local%20Settings/Temporary%20Internet%20Files/OLK25/02BOD%20Financials%20-%20ProForma.xls" TargetMode="External" Type="http://schemas.openxmlformats.org/officeDocument/2006/relationships/externalLinkPath"/>
</Relationships>

</file>

<file path=xl/externalLinks/_rels/externalLink24.xml.rels><?xml version="1.0" encoding="UTF-8" standalone="yes"?>
<Relationships xmlns="http://schemas.openxmlformats.org/package/2006/relationships">
<Relationship Id="rId1" Target="http://www.monsanto.com/WINDOWS/Temporary%20Internet%20Files/OLKD002/board_report_internal_1001.xls" TargetMode="External" Type="http://schemas.openxmlformats.org/officeDocument/2006/relationships/externalLinkPath"/>
</Relationships>

</file>

<file path=xl/externalLinks/_rels/externalLink25.xml.rels><?xml version="1.0" encoding="UTF-8" standalone="yes"?>
<Relationships xmlns="http://schemas.openxmlformats.org/package/2006/relationships">
<Relationship Id="rId1" Target="Chemical/COMMOD/PRODUCTS/FEEDS/NEWPRICE.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Natural%20Resources/Chevron/November%202001/Column%20Chart.xls" TargetMode="External" Type="http://schemas.microsoft.com/office/2006/relationships/xlExternalLinkPath/xlStartup"/>
</Relationships>

</file>

<file path=xl/externalLinks/_rels/externalLink27.xml.rels><?xml version="1.0" encoding="UTF-8" standalone="yes"?>
<Relationships xmlns="http://schemas.openxmlformats.org/package/2006/relationships">
<Relationship Id="rId1" Target="http://www.monsanto.com/CLIENTS/Monsanto/Budget&amp;Forecast/2001%20RLI%20Sheet.xls" TargetMode="External" Type="http://schemas.openxmlformats.org/officeDocument/2006/relationships/externalLinkPath"/>
</Relationships>

</file>

<file path=xl/externalLinks/_rels/externalLink28.xml.rels><?xml version="1.0" encoding="UTF-8" standalone="yes"?>
<Relationships xmlns="http://schemas.openxmlformats.org/package/2006/relationships">
<Relationship Id="rId1" Target="file://///finch/mge/WINDOWS/TEMP/ito_npv2.xls" TargetMode="External" Type="http://schemas.openxmlformats.org/officeDocument/2006/relationships/externalLinkPath"/>
</Relationships>

</file>

<file path=xl/externalLinks/_rels/externalLink29.xml.rels><?xml version="1.0" encoding="UTF-8" standalone="yes"?>
<Relationships xmlns="http://schemas.openxmlformats.org/package/2006/relationships">
<Relationship Id="rId1" Target="file:///X:/MMR/MD5/ETHECON.XLS" TargetMode="External" Type="http://schemas.openxmlformats.org/officeDocument/2006/relationships/externalLinkPath"/>
</Relationships>

</file>

<file path=xl/externalLinks/_rels/externalLink30.xml.rels><?xml version="1.0" encoding="UTF-8" standalone="yes"?>
<Relationships xmlns="http://schemas.openxmlformats.org/package/2006/relationships">
<Relationship Id="rId1" Target="file://///Ny-research-1/Research/Gulley/Documents/Excel/ck/CNWnewnew2.XLS" TargetMode="External" Type="http://schemas.openxmlformats.org/officeDocument/2006/relationships/externalLinkPath"/>
</Relationships>

</file>

<file path=xl/externalLinks/_rels/externalLink31.xml.rels><?xml version="1.0" encoding="UTF-8" standalone="yes"?>
<Relationships xmlns="http://schemas.openxmlformats.org/package/2006/relationships">
<Relationship Id="rId1" Target="glw/GLWNEW3.XLS" TargetMode="External" Type="http://schemas.microsoft.com/office/2006/relationships/xlExternalLinkPath/xlStartup"/>
</Relationships>

</file>

<file path=xl/externalLinks/_rels/externalLink32.xml.rels><?xml version="1.0" encoding="UTF-8" standalone="yes"?>
<Relationships xmlns="http://schemas.openxmlformats.org/package/2006/relationships">
<Relationship Id="rId1" Target="CONSUMER/Mid-Cap%20Food/Agriculture_Vincent/Monsanto/MON_postF1Q13.xls" TargetMode="External" Type="http://schemas.microsoft.com/office/2006/relationships/xlExternalLinkPath/xlAlternateStartup"/>
</Relationships>

</file>

<file path=xl/externalLinks/_rels/externalLink33.xml.rels><?xml version="1.0" encoding="UTF-8" standalone="yes"?>
<Relationships xmlns="http://schemas.openxmlformats.org/package/2006/relationships">
<Relationship Id="rId1" Target="CHEMICAL/Models/wipALB.xls" TargetMode="External" Type="http://schemas.microsoft.com/office/2006/relationships/xlExternalLinkPath/xlAlternateStartup"/>
</Relationships>

</file>

<file path=xl/externalLinks/_rels/externalLink34.xml.rels><?xml version="1.0" encoding="UTF-8" standalone="yes"?>
<Relationships xmlns="http://schemas.openxmlformats.org/package/2006/relationships">
<Relationship Id="rId1" Target="http://www.monsanto.com/Documents%20and%20Settings/mkharb/Local%20Settings/Temporary%20Internet%20Files/OLK7/Report/17Credit.xls" TargetMode="External" Type="http://schemas.openxmlformats.org/officeDocument/2006/relationships/externalLinkPath"/>
</Relationships>

</file>

<file path=xl/externalLinks/_rels/externalLink35.xml.rels><?xml version="1.0" encoding="UTF-8" standalone="yes"?>
<Relationships xmlns="http://schemas.openxmlformats.org/package/2006/relationships">
<Relationship Id="rId1" Target="http://www.monsanto.com/$TEAM/Controller/ESTIMATE/2002/04-02/Forecast%20Review%20Final/North%20America%20Forecast/United%20States%20Forecast(Apr).xls" TargetMode="External" Type="http://schemas.openxmlformats.org/officeDocument/2006/relationships/externalLinkPath"/>
</Relationships>

</file>

<file path=xl/externalLinks/_rels/externalLink36.xml.rels><?xml version="1.0" encoding="UTF-8" standalone="yes"?>
<Relationships xmlns="http://schemas.openxmlformats.org/package/2006/relationships">
<Relationship Id="rId1" Target="Documents%20and%20Settings/shysunm/Local%20Settings/Temporary%20Internet%20Files/OLK1AD/Valuation-Comps-060308.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http://www.monsanto.com/Data/XL/2003%20Debt%20Offering/Seeds%20&amp;%20Traits.xls" TargetMode="External" Type="http://schemas.openxmlformats.org/officeDocument/2006/relationships/externalLinkPath"/>
</Relationships>

</file>

<file path=xl/externalLinks/_rels/externalLink38.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_rels/externalLink39.xml.rels><?xml version="1.0" encoding="UTF-8" standalone="yes"?>
<Relationships xmlns="http://schemas.openxmlformats.org/package/2006/relationships">
<Relationship Id="rId1" Target="file:///O:/data/Excel/US$%20presentation/1998%20MASTER.xls" TargetMode="External" Type="http://schemas.openxmlformats.org/officeDocument/2006/relationships/externalLinkPath"/>
</Relationships>

</file>

<file path=xl/externalLinks/_rels/externalLink40.xml.rels><?xml version="1.0" encoding="UTF-8" standalone="yes"?>
<Relationships xmlns="http://schemas.openxmlformats.org/package/2006/relationships">
<Relationship Id="rId1" Target="file:///N:/Groups/Consumer/Companies/Restaurants/RYAN/RYAN%20LBO%20(6%2022%202001)v7.xls" TargetMode="External" Type="http://schemas.openxmlformats.org/officeDocument/2006/relationships/externalLinkPath"/>
</Relationships>

</file>

<file path=xl/externalLinks/_rels/externalLink41.xml.rels><?xml version="1.0" encoding="UTF-8" standalone="yes"?>
<Relationships xmlns="http://schemas.openxmlformats.org/package/2006/relationships">
<Relationship Id="rId1" Target="Transfer/Work/Apparel_Footwear/NKE/NKEQTRIN.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retail/MISSETT/EXCEL/MOD_BRU/BKS/oldmodelstuff.xls" TargetMode="External" Type="http://schemas.microsoft.com/office/2006/relationships/xlExternalLinkPath/xlStartup"/>
</Relationships>

</file>

<file path=xl/externalLinks/_rels/externalLink43.xml.rels><?xml version="1.0" encoding="UTF-8" standalone="yes"?>
<Relationships xmlns="http://schemas.openxmlformats.org/package/2006/relationships">
<Relationship Id="rId1" Target="Documents%20and%20Settings/meneclar/Local%20Settings/Temporary%20Internet%20Files/OLK21/wipPOL.xls" TargetMode="External" Type="http://schemas.microsoft.com/office/2006/relationships/xlExternalLinkPath/xlStartup"/>
</Relationships>

</file>

<file path=xl/externalLinks/_rels/externalLink44.xml.rels><?xml version="1.0" encoding="UTF-8" standalone="yes"?>
<Relationships xmlns="http://schemas.openxmlformats.org/package/2006/relationships">
<Relationship Id="rId1" Target="file:///A:/MAT.XLS" TargetMode="External" Type="http://schemas.openxmlformats.org/officeDocument/2006/relationships/externalLinkPath"/>
</Relationships>

</file>

<file path=xl/externalLinks/_rels/externalLink45.xml.rels><?xml version="1.0" encoding="UTF-8" standalone="yes"?>
<Relationships xmlns="http://schemas.openxmlformats.org/package/2006/relationships">
<Relationship Id="rId1" Target="KLIMCZAK/georgia/Sep98/models/TURBOMERG63.XLS" TargetMode="External" Type="http://schemas.microsoft.com/office/2006/relationships/xlExternalLinkPath/xlStartup"/>
</Relationships>

</file>

<file path=xl/externalLinks/_rels/externalLink46.xml.rels><?xml version="1.0" encoding="UTF-8" standalone="yes"?>
<Relationships xmlns="http://schemas.openxmlformats.org/package/2006/relationships">
<Relationship Id="rId1" Target="transpor/wern/wernqq.xls" TargetMode="External" Type="http://schemas.microsoft.com/office/2006/relationships/xlExternalLinkPath/xlStartup"/>
</Relationships>

</file>

<file path=xl/externalLinks/_rels/externalLink47.xml.rels><?xml version="1.0" encoding="UTF-8" standalone="yes"?>
<Relationships xmlns="http://schemas.openxmlformats.org/package/2006/relationships">
<Relationship Id="rId1" Target="XLDATA/AstraZeneca/ms/ASTRAZE2.XLS" TargetMode="External" Type="http://schemas.microsoft.com/office/2006/relationships/xlExternalLinkPath/xlStartup"/>
</Relationships>

</file>

<file path=xl/externalLinks/_rels/externalLink48.xml.rels><?xml version="1.0" encoding="UTF-8" standalone="yes"?>
<Relationships xmlns="http://schemas.openxmlformats.org/package/2006/relationships">
<Relationship Id="rId1" Target="XLDATA/AstraZeneca/PHARM/XLDATA/SMITHKLI/SBNEW.xls" TargetMode="External" Type="http://schemas.microsoft.com/office/2006/relationships/xlExternalLinkPath/xlStartup"/>
</Relationships>

</file>

<file path=xl/externalLinks/_rels/externalLink49.xml.rels><?xml version="1.0" encoding="UTF-8" standalone="yes"?>
<Relationships xmlns="http://schemas.openxmlformats.org/package/2006/relationships">
<Relationship Id="rId1" Target="Documents%20and%20Settings/connera/My%20Documents/Chipotle/Oakley_Full%20Model_1.xls" TargetMode="External" Type="http://schemas.microsoft.com/office/2006/relationships/xlExternalLinkPath/xlStartup"/>
</Relationships>

</file>

<file path=xl/externalLinks/_rels/externalLink50.xml.rels><?xml version="1.0" encoding="UTF-8" standalone="yes"?>
<Relationships xmlns="http://schemas.openxmlformats.org/package/2006/relationships">
<Relationship Id="rId1" Target="file:///G:/HYP/RETRIEVE/BROKERS/98yr/sub22-01/Yr98/BNPHYR98.xls" TargetMode="External" Type="http://schemas.openxmlformats.org/officeDocument/2006/relationships/externalLinkPath"/>
</Relationships>

</file>

<file path=xl/externalLinks/_rels/externalLink51.xml.rels><?xml version="1.0" encoding="UTF-8" standalone="yes"?>
<Relationships xmlns="http://schemas.openxmlformats.org/package/2006/relationships">
<Relationship Id="rId1" Target="MACHINE/Steve/ETN/ETN.xls" TargetMode="External" Type="http://schemas.microsoft.com/office/2006/relationships/xlExternalLinkPath/xlStartup"/>
</Relationships>

</file>

<file path=xl/externalLinks/_rels/externalLink52.xml.rels><?xml version="1.0" encoding="UTF-8" standalone="yes"?>
<Relationships xmlns="http://schemas.openxmlformats.org/package/2006/relationships">
<Relationship Id="rId1" Target="CONSUMER/Mid-Cap%20Food/Agriculture_Vincent/Monsanto/Misc.%20Files/BOL.xls" TargetMode="External" Type="http://schemas.microsoft.com/office/2006/relationships/xlExternalLinkPath/xlStartup"/>
</Relationships>

</file>

<file path=xl/externalLinks/_rels/externalLink53.xml.rels><?xml version="1.0" encoding="UTF-8" standalone="yes"?>
<Relationships xmlns="http://schemas.openxmlformats.org/package/2006/relationships">
<Relationship Id="rId1" Target="http://www.monsanto.com/Documents%20and%20Settings/mkharb/Local%20Settings/Temporary%20Internet%20Files/OLK7/DD08-15-02.xls" TargetMode="External" Type="http://schemas.openxmlformats.org/officeDocument/2006/relationships/externalLinkPath"/>
</Relationships>

</file>

<file path=xl/externalLinks/_rels/externalLink54.xml.rels><?xml version="1.0" encoding="UTF-8" standalone="yes"?>
<Relationships xmlns="http://schemas.openxmlformats.org/package/2006/relationships">
<Relationship Id="rId1" Target="chemical/EXCEL/MGMISC/MMM/MMMother.xls" TargetMode="External" Type="http://schemas.microsoft.com/office/2006/relationships/xlExternalLinkPath/xlStartup"/>
</Relationships>

</file>

<file path=xl/externalLinks/_rels/externalLink55.xml.rels><?xml version="1.0" encoding="UTF-8" standalone="yes"?>
<Relationships xmlns="http://schemas.openxmlformats.org/package/2006/relationships">
<Relationship Id="rId1" Target="LIBRARY/LONG/3M/MERGER02.XLS" TargetMode="External" Type="http://schemas.microsoft.com/office/2006/relationships/xlExternalLinkPath/xlStartup"/>
</Relationships>

</file>

<file path=xl/externalLinks/_rels/externalLink56.xml.rels><?xml version="1.0" encoding="UTF-8" standalone="yes"?>
<Relationships xmlns="http://schemas.openxmlformats.org/package/2006/relationships">
<Relationship Id="rId1" Target="Documents%20and%20Settings/pscavo/Local%20Settings/Temporary%20Internet%20Files/OLK33/OIT%20Screening.xls" TargetMode="External" Type="http://schemas.microsoft.com/office/2006/relationships/xlExternalLinkPath/xlStartup"/>
</Relationships>

</file>

<file path=xl/externalLinks/_rels/externalLink57.xml.rels><?xml version="1.0" encoding="UTF-8" standalone="yes"?>
<Relationships xmlns="http://schemas.openxmlformats.org/package/2006/relationships">
<Relationship Id="rId1" Target="COSTGRP/1999/VOL&amp;REV/Sep/Revvar.xls" TargetMode="External" Type="http://schemas.microsoft.com/office/2006/relationships/xlExternalLinkPath/xlStartup"/>
</Relationships>

</file>

<file path=xl/externalLinks/_rels/externalLink58.xml.rels><?xml version="1.0" encoding="UTF-8" standalone="yes"?>
<Relationships xmlns="http://schemas.openxmlformats.org/package/2006/relationships">
<Relationship Id="rId1" Target="Barclays%20TIPS%20Classes/More%20Functions.xls" TargetMode="External" Type="http://schemas.microsoft.com/office/2006/relationships/xlExternalLinkPath/xlStartup"/>
</Relationships>

</file>

<file path=xl/externalLinks/_rels/externalLink59.xml.rels><?xml version="1.0" encoding="UTF-8" standalone="yes"?>
<Relationships xmlns="http://schemas.openxmlformats.org/package/2006/relationships">
<Relationship Id="rId1" Target="http://www.monsanto.com/WINDOWS/Temporary%20Internet%20Files/OLKA1A5/Seeds%20&amp;%20Traits.xls" TargetMode="External" Type="http://schemas.openxmlformats.org/officeDocument/2006/relationships/externalLinkPath"/>
</Relationships>

</file>

<file path=xl/externalLinks/_rels/externalLink60.xml.rels><?xml version="1.0" encoding="UTF-8" standalone="yes"?>
<Relationships xmlns="http://schemas.openxmlformats.org/package/2006/relationships">
<Relationship Id="rId1" Target="http://www.monsanto.com/Documents%20and%20Settings/mkharb/Local%20Settings/Temporary%20Internet%20Files/OLK7/Jan%2003%20Results/internal_worksheet.xls" TargetMode="External" Type="http://schemas.openxmlformats.org/officeDocument/2006/relationships/externalLinkPath"/>
</Relationships>

</file>

<file path=xl/externalLinks/_rels/externalLink61.xml.rels><?xml version="1.0" encoding="UTF-8" standalone="yes"?>
<Relationships xmlns="http://schemas.openxmlformats.org/package/2006/relationships">
<Relationship Id="rId1" Target="PHARM/XLDATA/NOVARTIS/Financials/Current%20model/NOVARTIS%208-apr-03.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s>
    <sheetDataSet>
      <sheetData sheetId="0" refreshError="1">
        <row r="21">
          <cell r="C21">
            <v>1</v>
          </cell>
          <cell r="D21">
            <v>2</v>
          </cell>
          <cell r="E21">
            <v>3</v>
          </cell>
          <cell r="F21">
            <v>4</v>
          </cell>
          <cell r="G21">
            <v>5</v>
          </cell>
          <cell r="H21">
            <v>6</v>
          </cell>
          <cell r="I21">
            <v>7</v>
          </cell>
          <cell r="J21">
            <v>8</v>
          </cell>
          <cell r="K21">
            <v>9</v>
          </cell>
          <cell r="L21">
            <v>10</v>
          </cell>
          <cell r="M21" t="str">
            <v>A</v>
          </cell>
          <cell r="N21" t="str">
            <v>B</v>
          </cell>
          <cell r="O21" t="str">
            <v>C</v>
          </cell>
          <cell r="P21" t="str">
            <v>D</v>
          </cell>
          <cell r="Q21" t="str">
            <v>E</v>
          </cell>
          <cell r="R21" t="str">
            <v>Pharmacia</v>
          </cell>
        </row>
        <row r="22">
          <cell r="B22" t="str">
            <v>USA</v>
          </cell>
          <cell r="C22">
            <v>45968</v>
          </cell>
          <cell r="D22">
            <v>45968</v>
          </cell>
          <cell r="E22">
            <v>45968</v>
          </cell>
          <cell r="F22">
            <v>45968</v>
          </cell>
          <cell r="G22">
            <v>45968</v>
          </cell>
          <cell r="H22">
            <v>47347.040000000001</v>
          </cell>
          <cell r="I22">
            <v>47347.040000000001</v>
          </cell>
          <cell r="J22">
            <v>47347.040000000001</v>
          </cell>
          <cell r="K22">
            <v>47347.040000000001</v>
          </cell>
          <cell r="L22">
            <v>47347.040000000001</v>
          </cell>
          <cell r="M22">
            <v>45968</v>
          </cell>
          <cell r="N22">
            <v>45968</v>
          </cell>
          <cell r="O22">
            <v>45968</v>
          </cell>
          <cell r="P22">
            <v>45968</v>
          </cell>
          <cell r="Q22">
            <v>45968</v>
          </cell>
          <cell r="R22">
            <v>45968</v>
          </cell>
        </row>
        <row r="23">
          <cell r="B23" t="str">
            <v>Canada</v>
          </cell>
          <cell r="C23">
            <v>7466</v>
          </cell>
          <cell r="D23">
            <v>7466</v>
          </cell>
          <cell r="E23">
            <v>7466</v>
          </cell>
          <cell r="F23">
            <v>7466</v>
          </cell>
          <cell r="G23">
            <v>7466</v>
          </cell>
          <cell r="H23">
            <v>7689.98</v>
          </cell>
          <cell r="I23">
            <v>7689.98</v>
          </cell>
          <cell r="J23">
            <v>7689.98</v>
          </cell>
          <cell r="K23">
            <v>7689.98</v>
          </cell>
          <cell r="L23">
            <v>7689.98</v>
          </cell>
          <cell r="M23">
            <v>7466</v>
          </cell>
          <cell r="N23">
            <v>7466</v>
          </cell>
          <cell r="O23">
            <v>7466</v>
          </cell>
          <cell r="P23">
            <v>7466</v>
          </cell>
          <cell r="Q23">
            <v>7466</v>
          </cell>
          <cell r="R23">
            <v>7466</v>
          </cell>
        </row>
        <row r="24">
          <cell r="B24" t="str">
            <v>LAN</v>
          </cell>
          <cell r="C24">
            <v>5435</v>
          </cell>
          <cell r="D24">
            <v>5435</v>
          </cell>
          <cell r="E24">
            <v>5435</v>
          </cell>
          <cell r="F24">
            <v>5435</v>
          </cell>
          <cell r="G24">
            <v>5435</v>
          </cell>
          <cell r="H24">
            <v>5598.05</v>
          </cell>
          <cell r="I24">
            <v>5598.05</v>
          </cell>
          <cell r="J24">
            <v>5598.05</v>
          </cell>
          <cell r="K24">
            <v>5598.05</v>
          </cell>
          <cell r="L24">
            <v>5598.05</v>
          </cell>
          <cell r="M24">
            <v>5435</v>
          </cell>
          <cell r="N24">
            <v>5435</v>
          </cell>
          <cell r="O24">
            <v>5435</v>
          </cell>
          <cell r="P24">
            <v>5435</v>
          </cell>
          <cell r="Q24">
            <v>5435</v>
          </cell>
          <cell r="R24">
            <v>5907</v>
          </cell>
        </row>
        <row r="25">
          <cell r="B25" t="str">
            <v>LAS</v>
          </cell>
          <cell r="C25">
            <v>27285</v>
          </cell>
          <cell r="D25">
            <v>27285</v>
          </cell>
          <cell r="E25">
            <v>27285</v>
          </cell>
          <cell r="F25">
            <v>27285</v>
          </cell>
          <cell r="G25">
            <v>27285</v>
          </cell>
          <cell r="H25">
            <v>28103.55</v>
          </cell>
          <cell r="I25">
            <v>28103.55</v>
          </cell>
          <cell r="J25">
            <v>28103.55</v>
          </cell>
          <cell r="K25">
            <v>28103.55</v>
          </cell>
          <cell r="L25">
            <v>28103.55</v>
          </cell>
          <cell r="M25">
            <v>27285</v>
          </cell>
          <cell r="N25">
            <v>27285</v>
          </cell>
          <cell r="O25">
            <v>27285</v>
          </cell>
          <cell r="P25">
            <v>27285</v>
          </cell>
          <cell r="Q25">
            <v>27285</v>
          </cell>
          <cell r="R25">
            <v>28074</v>
          </cell>
        </row>
        <row r="26">
          <cell r="B26" t="str">
            <v>Brazil</v>
          </cell>
          <cell r="C26">
            <v>19283</v>
          </cell>
          <cell r="D26">
            <v>19283</v>
          </cell>
          <cell r="E26">
            <v>19283</v>
          </cell>
          <cell r="F26">
            <v>19283</v>
          </cell>
          <cell r="G26">
            <v>19283</v>
          </cell>
          <cell r="H26">
            <v>19861.490000000002</v>
          </cell>
          <cell r="I26">
            <v>19861.490000000002</v>
          </cell>
          <cell r="J26">
            <v>19861.490000000002</v>
          </cell>
          <cell r="K26">
            <v>19861.490000000002</v>
          </cell>
          <cell r="L26">
            <v>19861.490000000002</v>
          </cell>
          <cell r="M26">
            <v>19283</v>
          </cell>
          <cell r="N26">
            <v>19283</v>
          </cell>
          <cell r="O26">
            <v>19283</v>
          </cell>
          <cell r="P26">
            <v>19283</v>
          </cell>
          <cell r="Q26">
            <v>19283</v>
          </cell>
          <cell r="R26">
            <v>20617</v>
          </cell>
        </row>
        <row r="27">
          <cell r="B27" t="str">
            <v>SEA</v>
          </cell>
          <cell r="C27">
            <v>8200</v>
          </cell>
          <cell r="D27">
            <v>8200</v>
          </cell>
          <cell r="E27">
            <v>8200</v>
          </cell>
          <cell r="F27">
            <v>8200</v>
          </cell>
          <cell r="G27">
            <v>8200</v>
          </cell>
          <cell r="H27">
            <v>8446</v>
          </cell>
          <cell r="I27">
            <v>8446</v>
          </cell>
          <cell r="J27">
            <v>8446</v>
          </cell>
          <cell r="K27">
            <v>8446</v>
          </cell>
          <cell r="L27">
            <v>8446</v>
          </cell>
          <cell r="M27">
            <v>8200</v>
          </cell>
          <cell r="N27">
            <v>8200</v>
          </cell>
          <cell r="O27">
            <v>8200</v>
          </cell>
          <cell r="P27">
            <v>8200</v>
          </cell>
          <cell r="Q27">
            <v>8200</v>
          </cell>
          <cell r="R27">
            <v>9000</v>
          </cell>
        </row>
        <row r="28">
          <cell r="B28" t="str">
            <v>ANZ</v>
          </cell>
          <cell r="C28">
            <v>14444</v>
          </cell>
          <cell r="D28">
            <v>14444</v>
          </cell>
          <cell r="E28">
            <v>14444</v>
          </cell>
          <cell r="F28">
            <v>14444</v>
          </cell>
          <cell r="G28">
            <v>14444</v>
          </cell>
          <cell r="H28">
            <v>14877.32</v>
          </cell>
          <cell r="I28">
            <v>14877.32</v>
          </cell>
          <cell r="J28">
            <v>14877.32</v>
          </cell>
          <cell r="K28">
            <v>14877.32</v>
          </cell>
          <cell r="L28">
            <v>14877.32</v>
          </cell>
          <cell r="M28">
            <v>14444</v>
          </cell>
          <cell r="N28">
            <v>14444</v>
          </cell>
          <cell r="O28">
            <v>14444</v>
          </cell>
          <cell r="P28">
            <v>14444</v>
          </cell>
          <cell r="Q28">
            <v>14444</v>
          </cell>
          <cell r="R28">
            <v>13700</v>
          </cell>
        </row>
        <row r="29">
          <cell r="B29" t="str">
            <v>China</v>
          </cell>
          <cell r="C29">
            <v>3674</v>
          </cell>
          <cell r="D29">
            <v>3674</v>
          </cell>
          <cell r="E29">
            <v>3674</v>
          </cell>
          <cell r="F29">
            <v>3674</v>
          </cell>
          <cell r="G29">
            <v>3674</v>
          </cell>
          <cell r="H29">
            <v>3784.22</v>
          </cell>
          <cell r="I29">
            <v>3784.22</v>
          </cell>
          <cell r="J29">
            <v>3784.22</v>
          </cell>
          <cell r="K29">
            <v>3784.22</v>
          </cell>
          <cell r="L29">
            <v>3784.22</v>
          </cell>
          <cell r="M29">
            <v>3674</v>
          </cell>
          <cell r="N29">
            <v>3674</v>
          </cell>
          <cell r="O29">
            <v>3674</v>
          </cell>
          <cell r="P29">
            <v>3674</v>
          </cell>
          <cell r="Q29">
            <v>3674</v>
          </cell>
          <cell r="R29">
            <v>3674</v>
          </cell>
        </row>
        <row r="30">
          <cell r="B30" t="str">
            <v>India</v>
          </cell>
          <cell r="C30">
            <v>800</v>
          </cell>
          <cell r="D30">
            <v>800</v>
          </cell>
          <cell r="E30">
            <v>800</v>
          </cell>
          <cell r="F30">
            <v>800</v>
          </cell>
          <cell r="G30">
            <v>800</v>
          </cell>
          <cell r="H30">
            <v>824</v>
          </cell>
          <cell r="I30">
            <v>824</v>
          </cell>
          <cell r="J30">
            <v>824</v>
          </cell>
          <cell r="K30">
            <v>824</v>
          </cell>
          <cell r="L30">
            <v>824</v>
          </cell>
          <cell r="M30">
            <v>800</v>
          </cell>
          <cell r="N30">
            <v>800</v>
          </cell>
          <cell r="O30">
            <v>800</v>
          </cell>
          <cell r="P30">
            <v>800</v>
          </cell>
          <cell r="Q30">
            <v>800</v>
          </cell>
          <cell r="R30">
            <v>900</v>
          </cell>
        </row>
        <row r="31">
          <cell r="B31" t="str">
            <v>Japan</v>
          </cell>
          <cell r="C31">
            <v>1444</v>
          </cell>
          <cell r="D31">
            <v>1444</v>
          </cell>
          <cell r="E31">
            <v>1444</v>
          </cell>
          <cell r="F31">
            <v>1444</v>
          </cell>
          <cell r="G31">
            <v>1444</v>
          </cell>
          <cell r="H31">
            <v>1487.32</v>
          </cell>
          <cell r="I31">
            <v>1487.32</v>
          </cell>
          <cell r="J31">
            <v>1487.32</v>
          </cell>
          <cell r="K31">
            <v>1487.32</v>
          </cell>
          <cell r="L31">
            <v>1487.32</v>
          </cell>
          <cell r="M31">
            <v>1444</v>
          </cell>
          <cell r="N31">
            <v>1444</v>
          </cell>
          <cell r="O31">
            <v>1444</v>
          </cell>
          <cell r="P31">
            <v>1444</v>
          </cell>
          <cell r="Q31">
            <v>1444</v>
          </cell>
          <cell r="R31">
            <v>1310</v>
          </cell>
        </row>
        <row r="32">
          <cell r="B32" t="str">
            <v>Korea</v>
          </cell>
          <cell r="C32">
            <v>580</v>
          </cell>
          <cell r="D32">
            <v>580</v>
          </cell>
          <cell r="E32">
            <v>580</v>
          </cell>
          <cell r="F32">
            <v>580</v>
          </cell>
          <cell r="G32">
            <v>580</v>
          </cell>
          <cell r="H32">
            <v>597.4</v>
          </cell>
          <cell r="I32">
            <v>597.4</v>
          </cell>
          <cell r="J32">
            <v>597.4</v>
          </cell>
          <cell r="K32">
            <v>597.4</v>
          </cell>
          <cell r="L32">
            <v>597.4</v>
          </cell>
          <cell r="M32">
            <v>580</v>
          </cell>
          <cell r="N32">
            <v>580</v>
          </cell>
          <cell r="O32">
            <v>580</v>
          </cell>
          <cell r="P32">
            <v>580</v>
          </cell>
          <cell r="Q32">
            <v>580</v>
          </cell>
          <cell r="R32">
            <v>580</v>
          </cell>
        </row>
        <row r="33">
          <cell r="B33" t="str">
            <v>EA</v>
          </cell>
          <cell r="C33">
            <v>21677</v>
          </cell>
          <cell r="D33">
            <v>21677</v>
          </cell>
          <cell r="E33">
            <v>21677</v>
          </cell>
          <cell r="F33">
            <v>21677</v>
          </cell>
          <cell r="G33">
            <v>21677</v>
          </cell>
          <cell r="H33">
            <v>22327.31</v>
          </cell>
          <cell r="I33">
            <v>22327.31</v>
          </cell>
          <cell r="J33">
            <v>22327.31</v>
          </cell>
          <cell r="K33">
            <v>22327.31</v>
          </cell>
          <cell r="L33">
            <v>22327.31</v>
          </cell>
          <cell r="M33">
            <v>21677</v>
          </cell>
          <cell r="N33">
            <v>21677</v>
          </cell>
          <cell r="O33">
            <v>21677</v>
          </cell>
          <cell r="P33">
            <v>21677</v>
          </cell>
          <cell r="Q33">
            <v>21677</v>
          </cell>
          <cell r="R33">
            <v>21577</v>
          </cell>
        </row>
        <row r="34">
          <cell r="B34" t="str">
            <v>Global</v>
          </cell>
          <cell r="C34">
            <v>22100</v>
          </cell>
          <cell r="D34">
            <v>22100</v>
          </cell>
          <cell r="E34">
            <v>22100</v>
          </cell>
          <cell r="F34">
            <v>22100</v>
          </cell>
          <cell r="G34">
            <v>22100</v>
          </cell>
          <cell r="H34">
            <v>22763</v>
          </cell>
          <cell r="I34">
            <v>22763</v>
          </cell>
          <cell r="J34">
            <v>22763</v>
          </cell>
          <cell r="K34">
            <v>22763</v>
          </cell>
          <cell r="L34">
            <v>22763</v>
          </cell>
          <cell r="M34">
            <v>22100</v>
          </cell>
          <cell r="N34">
            <v>22100</v>
          </cell>
          <cell r="O34">
            <v>22100</v>
          </cell>
          <cell r="P34">
            <v>22100</v>
          </cell>
          <cell r="Q34">
            <v>22100</v>
          </cell>
          <cell r="R34">
            <v>25806</v>
          </cell>
        </row>
        <row r="36">
          <cell r="B36" t="str">
            <v>Total</v>
          </cell>
          <cell r="C36">
            <v>178356</v>
          </cell>
          <cell r="D36">
            <v>178356</v>
          </cell>
          <cell r="E36">
            <v>178356</v>
          </cell>
          <cell r="F36">
            <v>178356</v>
          </cell>
          <cell r="G36">
            <v>178356</v>
          </cell>
          <cell r="H36">
            <v>183706.68000000002</v>
          </cell>
          <cell r="I36">
            <v>183706.68000000002</v>
          </cell>
          <cell r="J36">
            <v>183706.68000000002</v>
          </cell>
          <cell r="K36">
            <v>183706.68000000002</v>
          </cell>
          <cell r="L36">
            <v>183706.68000000002</v>
          </cell>
          <cell r="M36">
            <v>178356</v>
          </cell>
          <cell r="N36">
            <v>178356</v>
          </cell>
          <cell r="O36">
            <v>178356</v>
          </cell>
          <cell r="P36">
            <v>178356</v>
          </cell>
          <cell r="Q36">
            <v>178356</v>
          </cell>
          <cell r="R36">
            <v>184579</v>
          </cell>
        </row>
        <row r="97">
          <cell r="C97">
            <v>1</v>
          </cell>
          <cell r="D97">
            <v>2</v>
          </cell>
          <cell r="E97">
            <v>3</v>
          </cell>
          <cell r="F97">
            <v>4</v>
          </cell>
          <cell r="G97">
            <v>5</v>
          </cell>
          <cell r="H97">
            <v>6</v>
          </cell>
          <cell r="I97">
            <v>7</v>
          </cell>
          <cell r="J97">
            <v>8</v>
          </cell>
          <cell r="K97">
            <v>9</v>
          </cell>
          <cell r="L97">
            <v>10</v>
          </cell>
          <cell r="M97" t="str">
            <v>A</v>
          </cell>
          <cell r="N97" t="str">
            <v>B</v>
          </cell>
          <cell r="O97" t="str">
            <v>C</v>
          </cell>
          <cell r="P97" t="str">
            <v>D</v>
          </cell>
          <cell r="Q97" t="str">
            <v>E</v>
          </cell>
          <cell r="R97" t="str">
            <v>Pharmacia</v>
          </cell>
        </row>
        <row r="98">
          <cell r="B98" t="str">
            <v>USA</v>
          </cell>
          <cell r="C98">
            <v>17592</v>
          </cell>
          <cell r="D98">
            <v>19000</v>
          </cell>
          <cell r="E98">
            <v>20000</v>
          </cell>
          <cell r="F98">
            <v>19000</v>
          </cell>
          <cell r="G98">
            <v>20000</v>
          </cell>
          <cell r="H98">
            <v>17592</v>
          </cell>
          <cell r="I98">
            <v>19000</v>
          </cell>
          <cell r="J98">
            <v>20000</v>
          </cell>
          <cell r="K98">
            <v>19000</v>
          </cell>
          <cell r="L98">
            <v>20000</v>
          </cell>
          <cell r="M98">
            <v>19000</v>
          </cell>
          <cell r="N98">
            <v>19000</v>
          </cell>
          <cell r="O98">
            <v>14000</v>
          </cell>
          <cell r="P98">
            <v>23000</v>
          </cell>
          <cell r="Q98">
            <v>20000</v>
          </cell>
          <cell r="R98">
            <v>22518</v>
          </cell>
        </row>
        <row r="99">
          <cell r="B99" t="str">
            <v>Canada</v>
          </cell>
          <cell r="C99">
            <v>2007</v>
          </cell>
          <cell r="D99">
            <v>3500</v>
          </cell>
          <cell r="E99">
            <v>3500</v>
          </cell>
          <cell r="F99">
            <v>3500</v>
          </cell>
          <cell r="G99">
            <v>3500</v>
          </cell>
          <cell r="H99">
            <v>2007</v>
          </cell>
          <cell r="I99">
            <v>3500</v>
          </cell>
          <cell r="J99">
            <v>3500</v>
          </cell>
          <cell r="K99">
            <v>3500</v>
          </cell>
          <cell r="L99">
            <v>3500</v>
          </cell>
          <cell r="M99">
            <v>3500</v>
          </cell>
          <cell r="N99">
            <v>3500</v>
          </cell>
          <cell r="O99">
            <v>3500</v>
          </cell>
          <cell r="P99">
            <v>3500</v>
          </cell>
          <cell r="Q99">
            <v>3500</v>
          </cell>
          <cell r="R99">
            <v>2255.9999999999991</v>
          </cell>
        </row>
        <row r="100">
          <cell r="B100" t="str">
            <v>LAN</v>
          </cell>
          <cell r="C100">
            <v>1703</v>
          </cell>
          <cell r="D100">
            <v>1800</v>
          </cell>
          <cell r="E100">
            <v>1800</v>
          </cell>
          <cell r="F100">
            <v>1800</v>
          </cell>
          <cell r="G100">
            <v>1800</v>
          </cell>
          <cell r="H100">
            <v>1703</v>
          </cell>
          <cell r="I100">
            <v>1800</v>
          </cell>
          <cell r="J100">
            <v>1800</v>
          </cell>
          <cell r="K100">
            <v>1800</v>
          </cell>
          <cell r="L100">
            <v>1800</v>
          </cell>
          <cell r="M100">
            <v>1800</v>
          </cell>
          <cell r="N100">
            <v>1800</v>
          </cell>
          <cell r="O100">
            <v>1800</v>
          </cell>
          <cell r="P100">
            <v>1800</v>
          </cell>
          <cell r="Q100">
            <v>1800</v>
          </cell>
          <cell r="R100">
            <v>1516</v>
          </cell>
        </row>
        <row r="101">
          <cell r="B101" t="str">
            <v>LAS</v>
          </cell>
          <cell r="C101">
            <v>8501</v>
          </cell>
          <cell r="D101">
            <v>8000</v>
          </cell>
          <cell r="E101">
            <v>8000</v>
          </cell>
          <cell r="F101">
            <v>4000</v>
          </cell>
          <cell r="G101">
            <v>8000</v>
          </cell>
          <cell r="H101">
            <v>8501</v>
          </cell>
          <cell r="I101">
            <v>8000</v>
          </cell>
          <cell r="J101">
            <v>8000</v>
          </cell>
          <cell r="K101">
            <v>4000</v>
          </cell>
          <cell r="L101">
            <v>8000</v>
          </cell>
          <cell r="M101">
            <v>4000</v>
          </cell>
          <cell r="N101">
            <v>4000</v>
          </cell>
          <cell r="O101">
            <v>2500</v>
          </cell>
          <cell r="P101">
            <v>8000</v>
          </cell>
          <cell r="Q101">
            <v>8000</v>
          </cell>
          <cell r="R101">
            <v>10599</v>
          </cell>
        </row>
        <row r="102">
          <cell r="B102" t="str">
            <v>Brazil</v>
          </cell>
          <cell r="C102">
            <v>5981</v>
          </cell>
          <cell r="D102">
            <v>13600</v>
          </cell>
          <cell r="E102">
            <v>13600</v>
          </cell>
          <cell r="F102">
            <v>8000</v>
          </cell>
          <cell r="G102">
            <v>13600</v>
          </cell>
          <cell r="H102">
            <v>5981</v>
          </cell>
          <cell r="I102">
            <v>13600</v>
          </cell>
          <cell r="J102">
            <v>13600</v>
          </cell>
          <cell r="K102">
            <v>8000</v>
          </cell>
          <cell r="L102">
            <v>13600</v>
          </cell>
          <cell r="M102">
            <v>8000</v>
          </cell>
          <cell r="N102">
            <v>8000</v>
          </cell>
          <cell r="O102">
            <v>4000</v>
          </cell>
          <cell r="P102">
            <v>13600</v>
          </cell>
          <cell r="Q102">
            <v>13600</v>
          </cell>
          <cell r="R102">
            <v>12077</v>
          </cell>
        </row>
        <row r="103">
          <cell r="B103" t="str">
            <v>SEA</v>
          </cell>
          <cell r="C103">
            <v>3300</v>
          </cell>
          <cell r="D103">
            <v>1800</v>
          </cell>
          <cell r="E103">
            <v>2300</v>
          </cell>
          <cell r="F103">
            <v>1800</v>
          </cell>
          <cell r="G103">
            <v>2300</v>
          </cell>
          <cell r="H103">
            <v>3300</v>
          </cell>
          <cell r="I103">
            <v>1800</v>
          </cell>
          <cell r="J103">
            <v>2300</v>
          </cell>
          <cell r="K103">
            <v>1800</v>
          </cell>
          <cell r="L103">
            <v>2300</v>
          </cell>
          <cell r="M103">
            <v>1800</v>
          </cell>
          <cell r="N103">
            <v>1800</v>
          </cell>
          <cell r="O103">
            <v>1800</v>
          </cell>
          <cell r="P103">
            <v>2300</v>
          </cell>
          <cell r="Q103">
            <v>2300</v>
          </cell>
          <cell r="R103">
            <v>2938</v>
          </cell>
        </row>
        <row r="104">
          <cell r="B104" t="str">
            <v>ANZ</v>
          </cell>
          <cell r="C104">
            <v>3883</v>
          </cell>
          <cell r="D104">
            <v>4000</v>
          </cell>
          <cell r="E104">
            <v>6000</v>
          </cell>
          <cell r="F104">
            <v>4000</v>
          </cell>
          <cell r="G104">
            <v>6000</v>
          </cell>
          <cell r="H104">
            <v>3883</v>
          </cell>
          <cell r="I104">
            <v>4000</v>
          </cell>
          <cell r="J104">
            <v>6000</v>
          </cell>
          <cell r="K104">
            <v>4000</v>
          </cell>
          <cell r="L104">
            <v>6000</v>
          </cell>
          <cell r="M104">
            <v>4000</v>
          </cell>
          <cell r="N104">
            <v>4000</v>
          </cell>
          <cell r="O104">
            <v>2500</v>
          </cell>
          <cell r="P104">
            <v>6000</v>
          </cell>
          <cell r="Q104">
            <v>6000</v>
          </cell>
          <cell r="R104">
            <v>2964</v>
          </cell>
        </row>
        <row r="105">
          <cell r="B105" t="str">
            <v>China</v>
          </cell>
          <cell r="C105">
            <v>1102</v>
          </cell>
          <cell r="D105">
            <v>1081</v>
          </cell>
          <cell r="E105">
            <v>1081</v>
          </cell>
          <cell r="F105">
            <v>1081</v>
          </cell>
          <cell r="G105">
            <v>1081</v>
          </cell>
          <cell r="H105">
            <v>1102</v>
          </cell>
          <cell r="I105">
            <v>1081</v>
          </cell>
          <cell r="J105">
            <v>1081</v>
          </cell>
          <cell r="K105">
            <v>1081</v>
          </cell>
          <cell r="L105">
            <v>1081</v>
          </cell>
          <cell r="M105">
            <v>1081</v>
          </cell>
          <cell r="N105">
            <v>1081</v>
          </cell>
          <cell r="O105">
            <v>1081</v>
          </cell>
          <cell r="P105">
            <v>1081</v>
          </cell>
          <cell r="Q105">
            <v>1081</v>
          </cell>
          <cell r="R105">
            <v>990.50000000000023</v>
          </cell>
        </row>
        <row r="106">
          <cell r="B106" t="str">
            <v>India</v>
          </cell>
          <cell r="C106">
            <v>242.2</v>
          </cell>
          <cell r="D106">
            <v>200</v>
          </cell>
          <cell r="E106">
            <v>200</v>
          </cell>
          <cell r="F106">
            <v>200</v>
          </cell>
          <cell r="G106">
            <v>200</v>
          </cell>
          <cell r="H106">
            <v>242.2</v>
          </cell>
          <cell r="I106">
            <v>200</v>
          </cell>
          <cell r="J106">
            <v>200</v>
          </cell>
          <cell r="K106">
            <v>200</v>
          </cell>
          <cell r="L106">
            <v>200</v>
          </cell>
          <cell r="M106">
            <v>200</v>
          </cell>
          <cell r="N106">
            <v>200</v>
          </cell>
          <cell r="O106">
            <v>200</v>
          </cell>
          <cell r="P106">
            <v>200</v>
          </cell>
          <cell r="Q106">
            <v>200</v>
          </cell>
          <cell r="R106">
            <v>223.99999999999994</v>
          </cell>
        </row>
        <row r="107">
          <cell r="B107" t="str">
            <v>Japan</v>
          </cell>
          <cell r="C107">
            <v>433</v>
          </cell>
          <cell r="D107">
            <v>575</v>
          </cell>
          <cell r="E107">
            <v>575</v>
          </cell>
          <cell r="F107">
            <v>575</v>
          </cell>
          <cell r="G107">
            <v>575</v>
          </cell>
          <cell r="H107">
            <v>433</v>
          </cell>
          <cell r="I107">
            <v>575</v>
          </cell>
          <cell r="J107">
            <v>575</v>
          </cell>
          <cell r="K107">
            <v>575</v>
          </cell>
          <cell r="L107">
            <v>575</v>
          </cell>
          <cell r="M107">
            <v>575</v>
          </cell>
          <cell r="N107">
            <v>575</v>
          </cell>
          <cell r="O107">
            <v>575</v>
          </cell>
          <cell r="P107">
            <v>575</v>
          </cell>
          <cell r="Q107">
            <v>575</v>
          </cell>
          <cell r="R107">
            <v>446.00000000000023</v>
          </cell>
        </row>
        <row r="108">
          <cell r="B108" t="str">
            <v>Korea</v>
          </cell>
          <cell r="C108">
            <v>162</v>
          </cell>
          <cell r="D108">
            <v>234</v>
          </cell>
          <cell r="E108">
            <v>234</v>
          </cell>
          <cell r="F108">
            <v>234</v>
          </cell>
          <cell r="G108">
            <v>234</v>
          </cell>
          <cell r="H108">
            <v>162</v>
          </cell>
          <cell r="I108">
            <v>234</v>
          </cell>
          <cell r="J108">
            <v>234</v>
          </cell>
          <cell r="K108">
            <v>234</v>
          </cell>
          <cell r="L108">
            <v>234</v>
          </cell>
          <cell r="M108">
            <v>234</v>
          </cell>
          <cell r="N108">
            <v>234</v>
          </cell>
          <cell r="O108">
            <v>234</v>
          </cell>
          <cell r="P108">
            <v>234</v>
          </cell>
          <cell r="Q108">
            <v>234</v>
          </cell>
          <cell r="R108">
            <v>172</v>
          </cell>
        </row>
        <row r="109">
          <cell r="B109" t="str">
            <v>EA</v>
          </cell>
          <cell r="C109">
            <v>6159</v>
          </cell>
          <cell r="D109">
            <v>9000</v>
          </cell>
          <cell r="E109">
            <v>9500</v>
          </cell>
          <cell r="F109">
            <v>9000</v>
          </cell>
          <cell r="G109">
            <v>9500</v>
          </cell>
          <cell r="H109">
            <v>6159</v>
          </cell>
          <cell r="I109">
            <v>9000</v>
          </cell>
          <cell r="J109">
            <v>9500</v>
          </cell>
          <cell r="K109">
            <v>9000</v>
          </cell>
          <cell r="L109">
            <v>9500</v>
          </cell>
          <cell r="M109">
            <v>9000</v>
          </cell>
          <cell r="N109">
            <v>9000</v>
          </cell>
          <cell r="O109">
            <v>6000</v>
          </cell>
          <cell r="P109">
            <v>9500</v>
          </cell>
          <cell r="Q109">
            <v>9500</v>
          </cell>
          <cell r="R109">
            <v>9107</v>
          </cell>
        </row>
        <row r="110">
          <cell r="B110" t="str">
            <v>Global</v>
          </cell>
          <cell r="C110">
            <v>3615</v>
          </cell>
          <cell r="D110">
            <v>6500</v>
          </cell>
          <cell r="E110">
            <v>7500</v>
          </cell>
          <cell r="F110">
            <v>6500</v>
          </cell>
          <cell r="G110">
            <v>7500</v>
          </cell>
          <cell r="H110">
            <v>3615</v>
          </cell>
          <cell r="I110">
            <v>6500</v>
          </cell>
          <cell r="J110">
            <v>7500</v>
          </cell>
          <cell r="K110">
            <v>6500</v>
          </cell>
          <cell r="L110">
            <v>7500</v>
          </cell>
          <cell r="M110">
            <v>6500</v>
          </cell>
          <cell r="N110">
            <v>6500</v>
          </cell>
          <cell r="O110">
            <v>6000</v>
          </cell>
          <cell r="P110">
            <v>7500</v>
          </cell>
          <cell r="Q110">
            <v>7500</v>
          </cell>
          <cell r="R110">
            <v>8124.0126573888556</v>
          </cell>
        </row>
        <row r="112">
          <cell r="B112" t="str">
            <v>Total</v>
          </cell>
          <cell r="C112">
            <v>54680.2</v>
          </cell>
          <cell r="D112">
            <v>69290</v>
          </cell>
          <cell r="E112">
            <v>74290</v>
          </cell>
          <cell r="F112">
            <v>59690</v>
          </cell>
          <cell r="G112">
            <v>74290</v>
          </cell>
          <cell r="H112">
            <v>54680.2</v>
          </cell>
          <cell r="I112">
            <v>69290</v>
          </cell>
          <cell r="J112">
            <v>74290</v>
          </cell>
          <cell r="K112">
            <v>59690</v>
          </cell>
          <cell r="L112">
            <v>74290</v>
          </cell>
          <cell r="M112">
            <v>59690</v>
          </cell>
          <cell r="N112">
            <v>59690</v>
          </cell>
          <cell r="O112">
            <v>44190</v>
          </cell>
          <cell r="P112">
            <v>77290</v>
          </cell>
          <cell r="Q112">
            <v>74290</v>
          </cell>
          <cell r="R112">
            <v>73931.512657388856</v>
          </cell>
        </row>
        <row r="116">
          <cell r="C116">
            <v>1</v>
          </cell>
          <cell r="D116">
            <v>2</v>
          </cell>
          <cell r="E116">
            <v>3</v>
          </cell>
          <cell r="F116">
            <v>4</v>
          </cell>
          <cell r="G116">
            <v>5</v>
          </cell>
          <cell r="H116">
            <v>6</v>
          </cell>
          <cell r="I116">
            <v>7</v>
          </cell>
          <cell r="J116">
            <v>8</v>
          </cell>
          <cell r="K116">
            <v>9</v>
          </cell>
          <cell r="L116">
            <v>10</v>
          </cell>
          <cell r="M116" t="str">
            <v>A</v>
          </cell>
          <cell r="N116" t="str">
            <v>B</v>
          </cell>
          <cell r="O116" t="str">
            <v>C</v>
          </cell>
          <cell r="P116" t="str">
            <v>D</v>
          </cell>
          <cell r="Q116" t="str">
            <v>E</v>
          </cell>
          <cell r="R116" t="str">
            <v>Pharmacia</v>
          </cell>
        </row>
        <row r="117">
          <cell r="B117" t="str">
            <v>USA</v>
          </cell>
          <cell r="C117">
            <v>23.150672795653989</v>
          </cell>
          <cell r="D117">
            <v>23.150672795653989</v>
          </cell>
          <cell r="E117">
            <v>23.150672795653989</v>
          </cell>
          <cell r="F117">
            <v>23.150672795653989</v>
          </cell>
          <cell r="G117">
            <v>23.150672795653989</v>
          </cell>
          <cell r="H117">
            <v>23.150672795653989</v>
          </cell>
          <cell r="I117">
            <v>23.150672795653989</v>
          </cell>
          <cell r="J117">
            <v>23.150672795653989</v>
          </cell>
          <cell r="K117">
            <v>23.150672795653989</v>
          </cell>
          <cell r="L117">
            <v>23.150672795653989</v>
          </cell>
          <cell r="M117">
            <v>23.150672795653989</v>
          </cell>
          <cell r="N117">
            <v>23.150672795653989</v>
          </cell>
          <cell r="O117">
            <v>23.150672795653989</v>
          </cell>
          <cell r="P117">
            <v>23.150672795653989</v>
          </cell>
          <cell r="Q117">
            <v>23.150672795653989</v>
          </cell>
          <cell r="R117">
            <v>23.743333333333332</v>
          </cell>
        </row>
        <row r="118">
          <cell r="B118" t="str">
            <v>Canada</v>
          </cell>
          <cell r="C118">
            <v>16.469048310339481</v>
          </cell>
          <cell r="D118">
            <v>16.469048310339481</v>
          </cell>
          <cell r="E118">
            <v>16.469048310339481</v>
          </cell>
          <cell r="F118">
            <v>16.469048310339481</v>
          </cell>
          <cell r="G118">
            <v>16.469048310339481</v>
          </cell>
          <cell r="H118">
            <v>16.469048310339481</v>
          </cell>
          <cell r="I118">
            <v>16.469048310339481</v>
          </cell>
          <cell r="J118">
            <v>16.469048310339481</v>
          </cell>
          <cell r="K118">
            <v>16.469048310339481</v>
          </cell>
          <cell r="L118">
            <v>16.469048310339481</v>
          </cell>
          <cell r="M118">
            <v>16.469048310339481</v>
          </cell>
          <cell r="N118">
            <v>16.469048310339481</v>
          </cell>
          <cell r="O118">
            <v>16.469048310339481</v>
          </cell>
          <cell r="P118">
            <v>16.469048310339481</v>
          </cell>
          <cell r="Q118">
            <v>16.469048310339481</v>
          </cell>
          <cell r="R118">
            <v>16.685820895522387</v>
          </cell>
        </row>
        <row r="119">
          <cell r="B119" t="str">
            <v>LAN</v>
          </cell>
          <cell r="C119">
            <v>15.254662756598238</v>
          </cell>
          <cell r="D119">
            <v>15.254662756598238</v>
          </cell>
          <cell r="E119">
            <v>15.254662756598238</v>
          </cell>
          <cell r="F119">
            <v>15.254662756598238</v>
          </cell>
          <cell r="G119">
            <v>15.254662756598238</v>
          </cell>
          <cell r="H119">
            <v>15.254662756598238</v>
          </cell>
          <cell r="I119">
            <v>15.254662756598238</v>
          </cell>
          <cell r="J119">
            <v>15.254662756598238</v>
          </cell>
          <cell r="K119">
            <v>15.254662756598238</v>
          </cell>
          <cell r="L119">
            <v>15.254662756598238</v>
          </cell>
          <cell r="M119">
            <v>15.254662756598238</v>
          </cell>
          <cell r="N119">
            <v>15.254662756598238</v>
          </cell>
          <cell r="O119">
            <v>15.254662756598238</v>
          </cell>
          <cell r="P119">
            <v>15.254662756598238</v>
          </cell>
          <cell r="Q119">
            <v>15.254662756598238</v>
          </cell>
          <cell r="R119">
            <v>16.084444444444443</v>
          </cell>
        </row>
        <row r="120">
          <cell r="B120" t="str">
            <v>LAS</v>
          </cell>
          <cell r="C120">
            <v>10.781323966043574</v>
          </cell>
          <cell r="D120">
            <v>10.781323966043574</v>
          </cell>
          <cell r="E120">
            <v>10.781323966043574</v>
          </cell>
          <cell r="F120">
            <v>10.781323966043574</v>
          </cell>
          <cell r="G120">
            <v>10.781323966043574</v>
          </cell>
          <cell r="H120">
            <v>10.781323966043574</v>
          </cell>
          <cell r="I120">
            <v>10.781323966043574</v>
          </cell>
          <cell r="J120">
            <v>10.781323966043574</v>
          </cell>
          <cell r="K120">
            <v>10.781323966043574</v>
          </cell>
          <cell r="L120">
            <v>10.781323966043574</v>
          </cell>
          <cell r="M120">
            <v>10.781323966043574</v>
          </cell>
          <cell r="N120">
            <v>10.781323966043574</v>
          </cell>
          <cell r="O120">
            <v>10.781323966043574</v>
          </cell>
          <cell r="P120">
            <v>10.781323966043574</v>
          </cell>
          <cell r="Q120">
            <v>10.781323966043574</v>
          </cell>
          <cell r="R120">
            <v>11.719402985074627</v>
          </cell>
        </row>
        <row r="121">
          <cell r="B121" t="str">
            <v>Brazil</v>
          </cell>
          <cell r="C121">
            <v>9.3000000000000007</v>
          </cell>
          <cell r="D121">
            <v>9.3000000000000007</v>
          </cell>
          <cell r="E121">
            <v>9.3000000000000007</v>
          </cell>
          <cell r="F121">
            <v>9.3000000000000007</v>
          </cell>
          <cell r="G121">
            <v>9.3000000000000007</v>
          </cell>
          <cell r="H121">
            <v>9.3000000000000007</v>
          </cell>
          <cell r="I121">
            <v>9.3000000000000007</v>
          </cell>
          <cell r="J121">
            <v>9.3000000000000007</v>
          </cell>
          <cell r="K121">
            <v>9.3000000000000007</v>
          </cell>
          <cell r="L121">
            <v>9.3000000000000007</v>
          </cell>
          <cell r="M121">
            <v>9.3000000000000007</v>
          </cell>
          <cell r="N121">
            <v>9.3000000000000007</v>
          </cell>
          <cell r="O121">
            <v>9.3000000000000007</v>
          </cell>
          <cell r="P121">
            <v>9.3000000000000007</v>
          </cell>
          <cell r="Q121">
            <v>9.3000000000000007</v>
          </cell>
          <cell r="R121">
            <v>9.9289473684210527</v>
          </cell>
        </row>
        <row r="122">
          <cell r="B122" t="str">
            <v>SEA</v>
          </cell>
          <cell r="C122">
            <v>9.2431215591279461</v>
          </cell>
          <cell r="D122">
            <v>9.2431215591279461</v>
          </cell>
          <cell r="E122">
            <v>9.2431215591279461</v>
          </cell>
          <cell r="F122">
            <v>9.2431215591279461</v>
          </cell>
          <cell r="G122">
            <v>9.2431215591279461</v>
          </cell>
          <cell r="H122">
            <v>9.2431215591279461</v>
          </cell>
          <cell r="I122">
            <v>9.2431215591279461</v>
          </cell>
          <cell r="J122">
            <v>9.2431215591279461</v>
          </cell>
          <cell r="K122">
            <v>9.2431215591279461</v>
          </cell>
          <cell r="L122">
            <v>9.2431215591279461</v>
          </cell>
          <cell r="M122">
            <v>9.2431215591279461</v>
          </cell>
          <cell r="N122">
            <v>9.2431215591279461</v>
          </cell>
          <cell r="O122">
            <v>9.2431215591279461</v>
          </cell>
          <cell r="P122">
            <v>9.2431215591279461</v>
          </cell>
          <cell r="Q122">
            <v>9.2431215591279461</v>
          </cell>
          <cell r="R122">
            <v>8.7203684749232337</v>
          </cell>
        </row>
        <row r="123">
          <cell r="B123" t="str">
            <v>ANZ</v>
          </cell>
          <cell r="C123">
            <v>6.926372034051802</v>
          </cell>
          <cell r="D123">
            <v>6.926372034051802</v>
          </cell>
          <cell r="E123">
            <v>6.926372034051802</v>
          </cell>
          <cell r="F123">
            <v>6.926372034051802</v>
          </cell>
          <cell r="G123">
            <v>6.926372034051802</v>
          </cell>
          <cell r="H123">
            <v>6.926372034051802</v>
          </cell>
          <cell r="I123">
            <v>6.926372034051802</v>
          </cell>
          <cell r="J123">
            <v>6.926372034051802</v>
          </cell>
          <cell r="K123">
            <v>6.926372034051802</v>
          </cell>
          <cell r="L123">
            <v>6.926372034051802</v>
          </cell>
          <cell r="M123">
            <v>6.926372034051802</v>
          </cell>
          <cell r="N123">
            <v>6.926372034051802</v>
          </cell>
          <cell r="O123">
            <v>6.926372034051802</v>
          </cell>
          <cell r="P123">
            <v>6.926372034051802</v>
          </cell>
          <cell r="Q123">
            <v>6.926372034051802</v>
          </cell>
          <cell r="R123">
            <v>7.2883720930232556</v>
          </cell>
        </row>
        <row r="124">
          <cell r="B124" t="str">
            <v>China</v>
          </cell>
          <cell r="C124">
            <v>8.9194778861994664</v>
          </cell>
          <cell r="D124">
            <v>8.9194778861994664</v>
          </cell>
          <cell r="E124">
            <v>8.9194778861994664</v>
          </cell>
          <cell r="F124">
            <v>8.9194778861994664</v>
          </cell>
          <cell r="G124">
            <v>8.9194778861994664</v>
          </cell>
          <cell r="H124">
            <v>8.9194778861994664</v>
          </cell>
          <cell r="I124">
            <v>8.9194778861994664</v>
          </cell>
          <cell r="J124">
            <v>8.9194778861994664</v>
          </cell>
          <cell r="K124">
            <v>8.9194778861994664</v>
          </cell>
          <cell r="L124">
            <v>8.9194778861994664</v>
          </cell>
          <cell r="M124">
            <v>8.9194778861994664</v>
          </cell>
          <cell r="N124">
            <v>8.9194778861994664</v>
          </cell>
          <cell r="O124">
            <v>8.9194778861994664</v>
          </cell>
          <cell r="P124">
            <v>8.9194778861994664</v>
          </cell>
          <cell r="Q124">
            <v>8.9194778861994664</v>
          </cell>
          <cell r="R124">
            <v>9.9600000000000026</v>
          </cell>
        </row>
        <row r="125">
          <cell r="B125" t="str">
            <v>India</v>
          </cell>
          <cell r="C125">
            <v>15.8</v>
          </cell>
          <cell r="D125">
            <v>15.8</v>
          </cell>
          <cell r="E125">
            <v>15.8</v>
          </cell>
          <cell r="F125">
            <v>15.8</v>
          </cell>
          <cell r="G125">
            <v>15.8</v>
          </cell>
          <cell r="H125">
            <v>15.8</v>
          </cell>
          <cell r="I125">
            <v>15.8</v>
          </cell>
          <cell r="J125">
            <v>15.8</v>
          </cell>
          <cell r="K125">
            <v>15.8</v>
          </cell>
          <cell r="L125">
            <v>15.8</v>
          </cell>
          <cell r="M125">
            <v>15.8</v>
          </cell>
          <cell r="N125">
            <v>15.8</v>
          </cell>
          <cell r="O125">
            <v>15.8</v>
          </cell>
          <cell r="P125">
            <v>15.8</v>
          </cell>
          <cell r="Q125">
            <v>15.8</v>
          </cell>
          <cell r="R125">
            <v>15.8</v>
          </cell>
        </row>
        <row r="126">
          <cell r="B126" t="str">
            <v>Japan</v>
          </cell>
          <cell r="C126">
            <v>39</v>
          </cell>
          <cell r="D126">
            <v>39</v>
          </cell>
          <cell r="E126">
            <v>39</v>
          </cell>
          <cell r="F126">
            <v>39</v>
          </cell>
          <cell r="G126">
            <v>39</v>
          </cell>
          <cell r="H126">
            <v>39</v>
          </cell>
          <cell r="I126">
            <v>39</v>
          </cell>
          <cell r="J126">
            <v>39</v>
          </cell>
          <cell r="K126">
            <v>39</v>
          </cell>
          <cell r="L126">
            <v>39</v>
          </cell>
          <cell r="M126">
            <v>39</v>
          </cell>
          <cell r="N126">
            <v>39</v>
          </cell>
          <cell r="O126">
            <v>39</v>
          </cell>
          <cell r="P126">
            <v>39</v>
          </cell>
          <cell r="Q126">
            <v>39</v>
          </cell>
          <cell r="R126">
            <v>42.045729729729729</v>
          </cell>
        </row>
        <row r="127">
          <cell r="B127" t="str">
            <v>Korea</v>
          </cell>
          <cell r="C127">
            <v>9.343323583180986</v>
          </cell>
          <cell r="D127">
            <v>9.343323583180986</v>
          </cell>
          <cell r="E127">
            <v>9.343323583180986</v>
          </cell>
          <cell r="F127">
            <v>9.343323583180986</v>
          </cell>
          <cell r="G127">
            <v>9.343323583180986</v>
          </cell>
          <cell r="H127">
            <v>9.343323583180986</v>
          </cell>
          <cell r="I127">
            <v>9.343323583180986</v>
          </cell>
          <cell r="J127">
            <v>9.343323583180986</v>
          </cell>
          <cell r="K127">
            <v>9.343323583180986</v>
          </cell>
          <cell r="L127">
            <v>9.343323583180986</v>
          </cell>
          <cell r="M127">
            <v>9.343323583180986</v>
          </cell>
          <cell r="N127">
            <v>9.343323583180986</v>
          </cell>
          <cell r="O127">
            <v>9.343323583180986</v>
          </cell>
          <cell r="P127">
            <v>9.343323583180986</v>
          </cell>
          <cell r="Q127">
            <v>9.343323583180986</v>
          </cell>
          <cell r="R127">
            <v>10.953321364452425</v>
          </cell>
        </row>
        <row r="128">
          <cell r="B128" t="str">
            <v>EA</v>
          </cell>
          <cell r="C128">
            <v>11.552922609868927</v>
          </cell>
          <cell r="D128">
            <v>11.552922609868927</v>
          </cell>
          <cell r="E128">
            <v>11.552922609868927</v>
          </cell>
          <cell r="F128">
            <v>11.552922609868927</v>
          </cell>
          <cell r="G128">
            <v>11.552922609868927</v>
          </cell>
          <cell r="H128">
            <v>11.552922609868927</v>
          </cell>
          <cell r="I128">
            <v>11.552922609868927</v>
          </cell>
          <cell r="J128">
            <v>11.552922609868927</v>
          </cell>
          <cell r="K128">
            <v>11.552922609868927</v>
          </cell>
          <cell r="L128">
            <v>11.552922609868927</v>
          </cell>
          <cell r="M128">
            <v>11.552922609868927</v>
          </cell>
          <cell r="N128">
            <v>11.552922609868927</v>
          </cell>
          <cell r="O128">
            <v>11.552922609868927</v>
          </cell>
          <cell r="P128">
            <v>11.552922609868927</v>
          </cell>
          <cell r="Q128">
            <v>11.552922609868927</v>
          </cell>
          <cell r="R128">
            <v>11.383056768558951</v>
          </cell>
        </row>
        <row r="129">
          <cell r="B129" t="str">
            <v>Global</v>
          </cell>
          <cell r="C129">
            <v>4.5017018389625969</v>
          </cell>
          <cell r="D129">
            <v>4.5017018389625969</v>
          </cell>
          <cell r="E129">
            <v>4.5017018389625969</v>
          </cell>
          <cell r="F129">
            <v>4.5017018389625969</v>
          </cell>
          <cell r="G129">
            <v>4.5017018389625969</v>
          </cell>
          <cell r="H129">
            <v>4.5017018389625969</v>
          </cell>
          <cell r="I129">
            <v>4.5017018389625969</v>
          </cell>
          <cell r="J129">
            <v>4.5017018389625969</v>
          </cell>
          <cell r="K129">
            <v>4.5017018389625969</v>
          </cell>
          <cell r="L129">
            <v>4.5017018389625969</v>
          </cell>
          <cell r="M129">
            <v>4.5017018389625969</v>
          </cell>
          <cell r="N129">
            <v>4.5017018389625969</v>
          </cell>
          <cell r="O129">
            <v>4.5017018389625969</v>
          </cell>
          <cell r="P129">
            <v>4.5017018389625969</v>
          </cell>
          <cell r="Q129">
            <v>4.5017018389625969</v>
          </cell>
          <cell r="R129">
            <v>5.1133388580246919</v>
          </cell>
        </row>
        <row r="131">
          <cell r="B131" t="str">
            <v>Total</v>
          </cell>
        </row>
        <row r="135">
          <cell r="C135">
            <v>1</v>
          </cell>
          <cell r="D135">
            <v>2</v>
          </cell>
          <cell r="E135">
            <v>3</v>
          </cell>
          <cell r="F135">
            <v>4</v>
          </cell>
          <cell r="G135">
            <v>5</v>
          </cell>
          <cell r="H135">
            <v>6</v>
          </cell>
          <cell r="I135">
            <v>7</v>
          </cell>
          <cell r="J135">
            <v>8</v>
          </cell>
          <cell r="K135">
            <v>9</v>
          </cell>
          <cell r="L135">
            <v>10</v>
          </cell>
          <cell r="M135" t="str">
            <v>A</v>
          </cell>
          <cell r="N135" t="str">
            <v>B</v>
          </cell>
          <cell r="O135" t="str">
            <v>C</v>
          </cell>
          <cell r="P135" t="str">
            <v>D</v>
          </cell>
          <cell r="Q135" t="str">
            <v>E</v>
          </cell>
          <cell r="R135" t="str">
            <v>Pharmacia</v>
          </cell>
        </row>
        <row r="136">
          <cell r="B136" t="str">
            <v>USA</v>
          </cell>
          <cell r="C136">
            <v>6.0341077388577933</v>
          </cell>
          <cell r="D136">
            <v>6.0341077388577933</v>
          </cell>
          <cell r="E136">
            <v>6.0341077388577933</v>
          </cell>
          <cell r="F136">
            <v>6.0341077388577933</v>
          </cell>
          <cell r="G136">
            <v>6.0341077388577933</v>
          </cell>
          <cell r="H136">
            <v>6.0341077388577933</v>
          </cell>
          <cell r="I136">
            <v>6.0341077388577933</v>
          </cell>
          <cell r="J136">
            <v>6.0341077388577933</v>
          </cell>
          <cell r="K136">
            <v>6.0341077388577933</v>
          </cell>
          <cell r="L136">
            <v>6.0341077388577933</v>
          </cell>
          <cell r="M136">
            <v>6.0341077388577933</v>
          </cell>
          <cell r="N136">
            <v>6.0341077388577933</v>
          </cell>
          <cell r="O136">
            <v>6.0341077388577933</v>
          </cell>
          <cell r="P136">
            <v>6.0341077388577933</v>
          </cell>
          <cell r="Q136">
            <v>6.0341077388577933</v>
          </cell>
          <cell r="R136">
            <v>6.0711827956989248</v>
          </cell>
        </row>
        <row r="137">
          <cell r="B137" t="str">
            <v>Canada</v>
          </cell>
          <cell r="C137">
            <v>7.0747129429279632</v>
          </cell>
          <cell r="D137">
            <v>7.0747129429279632</v>
          </cell>
          <cell r="E137">
            <v>7.0747129429279632</v>
          </cell>
          <cell r="F137">
            <v>7.0747129429279632</v>
          </cell>
          <cell r="G137">
            <v>7.0747129429279632</v>
          </cell>
          <cell r="H137">
            <v>7.0747129429279632</v>
          </cell>
          <cell r="I137">
            <v>7.0747129429279632</v>
          </cell>
          <cell r="J137">
            <v>7.0747129429279632</v>
          </cell>
          <cell r="K137">
            <v>7.0747129429279632</v>
          </cell>
          <cell r="L137">
            <v>7.0747129429279632</v>
          </cell>
          <cell r="M137">
            <v>7.0747129429279632</v>
          </cell>
          <cell r="N137">
            <v>7.0747129429279632</v>
          </cell>
          <cell r="O137">
            <v>7.0747129429279632</v>
          </cell>
          <cell r="P137">
            <v>7.0747129429279632</v>
          </cell>
          <cell r="Q137">
            <v>7.0747129429279632</v>
          </cell>
          <cell r="R137">
            <v>7.102686567164179</v>
          </cell>
        </row>
        <row r="138">
          <cell r="B138" t="str">
            <v>LAN</v>
          </cell>
          <cell r="C138">
            <v>7.5484618679534163</v>
          </cell>
          <cell r="D138">
            <v>7.5484618679534163</v>
          </cell>
          <cell r="E138">
            <v>7.5484618679534163</v>
          </cell>
          <cell r="F138">
            <v>7.5484618679534163</v>
          </cell>
          <cell r="G138">
            <v>7.5484618679534163</v>
          </cell>
          <cell r="H138">
            <v>7.5484618679534163</v>
          </cell>
          <cell r="I138">
            <v>7.5484618679534163</v>
          </cell>
          <cell r="J138">
            <v>7.5484618679534163</v>
          </cell>
          <cell r="K138">
            <v>7.5484618679534163</v>
          </cell>
          <cell r="L138">
            <v>7.5484618679534163</v>
          </cell>
          <cell r="M138">
            <v>7.5484618679534163</v>
          </cell>
          <cell r="N138">
            <v>7.5484618679534163</v>
          </cell>
          <cell r="O138">
            <v>7.5484618679534163</v>
          </cell>
          <cell r="P138">
            <v>7.5484618679534163</v>
          </cell>
          <cell r="Q138">
            <v>7.5484618679534163</v>
          </cell>
          <cell r="R138">
            <v>7.514444444444444</v>
          </cell>
        </row>
        <row r="139">
          <cell r="B139" t="str">
            <v>LAS</v>
          </cell>
          <cell r="C139">
            <v>6.3484117147283712</v>
          </cell>
          <cell r="D139">
            <v>6.3484117147283712</v>
          </cell>
          <cell r="E139">
            <v>6.3484117147283712</v>
          </cell>
          <cell r="F139">
            <v>6.3484117147283712</v>
          </cell>
          <cell r="G139">
            <v>6.3484117147283712</v>
          </cell>
          <cell r="H139">
            <v>6.3484117147283712</v>
          </cell>
          <cell r="I139">
            <v>6.3484117147283712</v>
          </cell>
          <cell r="J139">
            <v>6.3484117147283712</v>
          </cell>
          <cell r="K139">
            <v>6.3484117147283712</v>
          </cell>
          <cell r="L139">
            <v>6.3484117147283712</v>
          </cell>
          <cell r="M139">
            <v>6.3484117147283712</v>
          </cell>
          <cell r="N139">
            <v>6.3484117147283712</v>
          </cell>
          <cell r="O139">
            <v>6.3484117147283712</v>
          </cell>
          <cell r="P139">
            <v>6.3484117147283712</v>
          </cell>
          <cell r="Q139">
            <v>6.3484117147283712</v>
          </cell>
          <cell r="R139">
            <v>6.3563432835820892</v>
          </cell>
        </row>
        <row r="140">
          <cell r="B140" t="str">
            <v>Brazil</v>
          </cell>
          <cell r="C140">
            <v>5.9862673774650323</v>
          </cell>
          <cell r="D140">
            <v>5.9862673774650323</v>
          </cell>
          <cell r="E140">
            <v>5.9862673774650323</v>
          </cell>
          <cell r="F140">
            <v>5.9862673774650323</v>
          </cell>
          <cell r="G140">
            <v>5.9862673774650323</v>
          </cell>
          <cell r="H140">
            <v>5.9862673774650323</v>
          </cell>
          <cell r="I140">
            <v>5.9862673774650323</v>
          </cell>
          <cell r="J140">
            <v>5.9862673774650323</v>
          </cell>
          <cell r="K140">
            <v>5.9862673774650323</v>
          </cell>
          <cell r="L140">
            <v>5.9862673774650323</v>
          </cell>
          <cell r="M140">
            <v>5.9862673774650323</v>
          </cell>
          <cell r="N140">
            <v>5.9862673774650323</v>
          </cell>
          <cell r="O140">
            <v>5.9862673774650323</v>
          </cell>
          <cell r="P140">
            <v>5.9862673774650323</v>
          </cell>
          <cell r="Q140">
            <v>5.9862673774650323</v>
          </cell>
          <cell r="R140">
            <v>5.9135087719298243</v>
          </cell>
        </row>
        <row r="141">
          <cell r="B141" t="str">
            <v>SEA</v>
          </cell>
          <cell r="C141">
            <v>6.6497806015632479</v>
          </cell>
          <cell r="D141">
            <v>6.6497806015632479</v>
          </cell>
          <cell r="E141">
            <v>6.6497806015632479</v>
          </cell>
          <cell r="F141">
            <v>6.6497806015632479</v>
          </cell>
          <cell r="G141">
            <v>6.6497806015632479</v>
          </cell>
          <cell r="H141">
            <v>6.6497806015632479</v>
          </cell>
          <cell r="I141">
            <v>6.6497806015632479</v>
          </cell>
          <cell r="J141">
            <v>6.6497806015632479</v>
          </cell>
          <cell r="K141">
            <v>6.6497806015632479</v>
          </cell>
          <cell r="L141">
            <v>6.6497806015632479</v>
          </cell>
          <cell r="M141">
            <v>6.6497806015632479</v>
          </cell>
          <cell r="N141">
            <v>6.6497806015632479</v>
          </cell>
          <cell r="O141">
            <v>6.6497806015632479</v>
          </cell>
          <cell r="P141">
            <v>6.6497806015632479</v>
          </cell>
          <cell r="Q141">
            <v>6.6497806015632479</v>
          </cell>
          <cell r="R141">
            <v>6.4007574206755375</v>
          </cell>
        </row>
        <row r="142">
          <cell r="B142" t="str">
            <v>ANZ</v>
          </cell>
          <cell r="C142">
            <v>5.0548597838602447</v>
          </cell>
          <cell r="D142">
            <v>5.0548597838602447</v>
          </cell>
          <cell r="E142">
            <v>5.0548597838602447</v>
          </cell>
          <cell r="F142">
            <v>5.0548597838602447</v>
          </cell>
          <cell r="G142">
            <v>5.0548597838602447</v>
          </cell>
          <cell r="H142">
            <v>5.0548597838602447</v>
          </cell>
          <cell r="I142">
            <v>5.0548597838602447</v>
          </cell>
          <cell r="J142">
            <v>5.0548597838602447</v>
          </cell>
          <cell r="K142">
            <v>5.0548597838602447</v>
          </cell>
          <cell r="L142">
            <v>5.0548597838602447</v>
          </cell>
          <cell r="M142">
            <v>5.0548597838602447</v>
          </cell>
          <cell r="N142">
            <v>5.0548597838602447</v>
          </cell>
          <cell r="O142">
            <v>5.0548597838602447</v>
          </cell>
          <cell r="P142">
            <v>5.0548597838602447</v>
          </cell>
          <cell r="Q142">
            <v>5.0548597838602447</v>
          </cell>
          <cell r="R142">
            <v>5.0441860465116282</v>
          </cell>
        </row>
        <row r="143">
          <cell r="B143" t="str">
            <v>China</v>
          </cell>
          <cell r="C143">
            <v>6.124546165884194</v>
          </cell>
          <cell r="D143">
            <v>6.124546165884194</v>
          </cell>
          <cell r="E143">
            <v>6.124546165884194</v>
          </cell>
          <cell r="F143">
            <v>6.124546165884194</v>
          </cell>
          <cell r="G143">
            <v>6.124546165884194</v>
          </cell>
          <cell r="H143">
            <v>6.124546165884194</v>
          </cell>
          <cell r="I143">
            <v>6.124546165884194</v>
          </cell>
          <cell r="J143">
            <v>6.124546165884194</v>
          </cell>
          <cell r="K143">
            <v>6.124546165884194</v>
          </cell>
          <cell r="L143">
            <v>6.124546165884194</v>
          </cell>
          <cell r="M143">
            <v>6.124546165884194</v>
          </cell>
          <cell r="N143">
            <v>6.124546165884194</v>
          </cell>
          <cell r="O143">
            <v>6.124546165884194</v>
          </cell>
          <cell r="P143">
            <v>6.124546165884194</v>
          </cell>
          <cell r="Q143">
            <v>6.124546165884194</v>
          </cell>
          <cell r="R143">
            <v>6.12</v>
          </cell>
        </row>
        <row r="144">
          <cell r="B144" t="str">
            <v>India</v>
          </cell>
          <cell r="C144">
            <v>11.65032196969697</v>
          </cell>
          <cell r="D144">
            <v>11.65032196969697</v>
          </cell>
          <cell r="E144">
            <v>11.65032196969697</v>
          </cell>
          <cell r="F144">
            <v>11.65032196969697</v>
          </cell>
          <cell r="G144">
            <v>11.65032196969697</v>
          </cell>
          <cell r="H144">
            <v>11.65032196969697</v>
          </cell>
          <cell r="I144">
            <v>11.65032196969697</v>
          </cell>
          <cell r="J144">
            <v>11.65032196969697</v>
          </cell>
          <cell r="K144">
            <v>11.65032196969697</v>
          </cell>
          <cell r="L144">
            <v>11.65032196969697</v>
          </cell>
          <cell r="M144">
            <v>11.65032196969697</v>
          </cell>
          <cell r="N144">
            <v>11.65032196969697</v>
          </cell>
          <cell r="O144">
            <v>11.65032196969697</v>
          </cell>
          <cell r="P144">
            <v>11.65032196969697</v>
          </cell>
          <cell r="Q144">
            <v>11.65032196969697</v>
          </cell>
          <cell r="R144">
            <v>11.2</v>
          </cell>
        </row>
        <row r="145">
          <cell r="B145" t="str">
            <v>Japan</v>
          </cell>
          <cell r="C145">
            <v>9.3937653037912181</v>
          </cell>
          <cell r="D145">
            <v>9.3937653037912181</v>
          </cell>
          <cell r="E145">
            <v>9.3937653037912181</v>
          </cell>
          <cell r="F145">
            <v>9.3937653037912181</v>
          </cell>
          <cell r="G145">
            <v>9.3937653037912181</v>
          </cell>
          <cell r="H145">
            <v>9.3937653037912181</v>
          </cell>
          <cell r="I145">
            <v>9.3937653037912181</v>
          </cell>
          <cell r="J145">
            <v>9.3937653037912181</v>
          </cell>
          <cell r="K145">
            <v>9.3937653037912181</v>
          </cell>
          <cell r="L145">
            <v>9.3937653037912181</v>
          </cell>
          <cell r="M145">
            <v>9.3937653037912181</v>
          </cell>
          <cell r="N145">
            <v>9.3937653037912181</v>
          </cell>
          <cell r="O145">
            <v>9.3937653037912181</v>
          </cell>
          <cell r="P145">
            <v>9.3937653037912181</v>
          </cell>
          <cell r="Q145">
            <v>9.3937653037912181</v>
          </cell>
          <cell r="R145">
            <v>9.3936586963567787</v>
          </cell>
        </row>
        <row r="146">
          <cell r="B146" t="str">
            <v>Korea</v>
          </cell>
          <cell r="C146">
            <v>7.106420361247948</v>
          </cell>
          <cell r="D146">
            <v>7.106420361247948</v>
          </cell>
          <cell r="E146">
            <v>7.106420361247948</v>
          </cell>
          <cell r="F146">
            <v>7.106420361247948</v>
          </cell>
          <cell r="G146">
            <v>7.106420361247948</v>
          </cell>
          <cell r="H146">
            <v>7.106420361247948</v>
          </cell>
          <cell r="I146">
            <v>7.106420361247948</v>
          </cell>
          <cell r="J146">
            <v>7.106420361247948</v>
          </cell>
          <cell r="K146">
            <v>7.106420361247948</v>
          </cell>
          <cell r="L146">
            <v>7.106420361247948</v>
          </cell>
          <cell r="M146">
            <v>7.106420361247948</v>
          </cell>
          <cell r="N146">
            <v>7.106420361247948</v>
          </cell>
          <cell r="O146">
            <v>7.106420361247948</v>
          </cell>
          <cell r="P146">
            <v>7.106420361247948</v>
          </cell>
          <cell r="Q146">
            <v>7.106420361247948</v>
          </cell>
          <cell r="R146">
            <v>8.1201077199281855</v>
          </cell>
        </row>
        <row r="147">
          <cell r="B147" t="str">
            <v>EA</v>
          </cell>
          <cell r="C147">
            <v>5.9906771262291851</v>
          </cell>
          <cell r="D147">
            <v>5.9906771262291851</v>
          </cell>
          <cell r="E147">
            <v>5.9906771262291851</v>
          </cell>
          <cell r="F147">
            <v>5.9906771262291851</v>
          </cell>
          <cell r="G147">
            <v>5.9906771262291851</v>
          </cell>
          <cell r="H147">
            <v>5.9906771262291851</v>
          </cell>
          <cell r="I147">
            <v>5.9906771262291851</v>
          </cell>
          <cell r="J147">
            <v>5.9906771262291851</v>
          </cell>
          <cell r="K147">
            <v>5.9906771262291851</v>
          </cell>
          <cell r="L147">
            <v>5.9906771262291851</v>
          </cell>
          <cell r="M147">
            <v>5.9906771262291851</v>
          </cell>
          <cell r="N147">
            <v>5.9906771262291851</v>
          </cell>
          <cell r="O147">
            <v>5.9906771262291851</v>
          </cell>
          <cell r="P147">
            <v>5.9906771262291851</v>
          </cell>
          <cell r="Q147">
            <v>5.9906771262291851</v>
          </cell>
          <cell r="R147">
            <v>5.9688646288209606</v>
          </cell>
        </row>
        <row r="148">
          <cell r="B148" t="str">
            <v>Global</v>
          </cell>
          <cell r="C148">
            <v>3.4492666666666669</v>
          </cell>
          <cell r="D148">
            <v>3.4492666666666669</v>
          </cell>
          <cell r="E148">
            <v>3.4492666666666669</v>
          </cell>
          <cell r="F148">
            <v>3.4492666666666669</v>
          </cell>
          <cell r="G148">
            <v>3.4492666666666669</v>
          </cell>
          <cell r="H148">
            <v>3.4492666666666669</v>
          </cell>
          <cell r="I148">
            <v>3.4492666666666669</v>
          </cell>
          <cell r="J148">
            <v>3.4492666666666669</v>
          </cell>
          <cell r="K148">
            <v>3.4492666666666669</v>
          </cell>
          <cell r="L148">
            <v>3.4492666666666669</v>
          </cell>
          <cell r="M148">
            <v>3.4492666666666669</v>
          </cell>
          <cell r="N148">
            <v>3.4492666666666669</v>
          </cell>
          <cell r="O148">
            <v>3.4672946767633293</v>
          </cell>
          <cell r="P148">
            <v>3.4672946767633293</v>
          </cell>
          <cell r="Q148">
            <v>3.4672946767633293</v>
          </cell>
          <cell r="R148">
            <v>3.4492633333333336</v>
          </cell>
        </row>
        <row r="154">
          <cell r="C154">
            <v>1</v>
          </cell>
          <cell r="D154">
            <v>2</v>
          </cell>
          <cell r="E154">
            <v>3</v>
          </cell>
          <cell r="F154">
            <v>4</v>
          </cell>
          <cell r="G154">
            <v>5</v>
          </cell>
          <cell r="H154">
            <v>6</v>
          </cell>
          <cell r="I154">
            <v>7</v>
          </cell>
          <cell r="J154">
            <v>8</v>
          </cell>
          <cell r="K154">
            <v>9</v>
          </cell>
          <cell r="L154">
            <v>10</v>
          </cell>
          <cell r="M154" t="str">
            <v>A</v>
          </cell>
          <cell r="N154" t="str">
            <v>B</v>
          </cell>
          <cell r="O154" t="str">
            <v>C</v>
          </cell>
          <cell r="P154" t="str">
            <v>D</v>
          </cell>
          <cell r="Q154" t="str">
            <v>E</v>
          </cell>
          <cell r="R154" t="str">
            <v>Pharmacia</v>
          </cell>
        </row>
        <row r="155">
          <cell r="B155" t="str">
            <v>USA</v>
          </cell>
          <cell r="C155">
            <v>60.768999999999998</v>
          </cell>
          <cell r="D155">
            <v>60.768999999999998</v>
          </cell>
          <cell r="E155">
            <v>60.768999999999998</v>
          </cell>
          <cell r="F155">
            <v>60.768999999999998</v>
          </cell>
          <cell r="G155">
            <v>60.768999999999998</v>
          </cell>
          <cell r="H155">
            <v>60.768999999999998</v>
          </cell>
          <cell r="I155">
            <v>60.768999999999998</v>
          </cell>
          <cell r="J155">
            <v>60.768999999999998</v>
          </cell>
          <cell r="K155">
            <v>60.768999999999998</v>
          </cell>
          <cell r="L155">
            <v>60.768999999999998</v>
          </cell>
          <cell r="M155">
            <v>60.768999999999998</v>
          </cell>
          <cell r="N155">
            <v>60.768999999999998</v>
          </cell>
          <cell r="O155">
            <v>60.768999999999998</v>
          </cell>
          <cell r="P155">
            <v>60.768999999999998</v>
          </cell>
          <cell r="Q155">
            <v>60.768999999999998</v>
          </cell>
          <cell r="R155">
            <v>61.5</v>
          </cell>
        </row>
        <row r="156">
          <cell r="B156" t="str">
            <v>Canada</v>
          </cell>
          <cell r="C156">
            <v>14.366</v>
          </cell>
          <cell r="D156">
            <v>14.366</v>
          </cell>
          <cell r="E156">
            <v>14.366</v>
          </cell>
          <cell r="F156">
            <v>14.366</v>
          </cell>
          <cell r="G156">
            <v>14.366</v>
          </cell>
          <cell r="H156">
            <v>14.366</v>
          </cell>
          <cell r="I156">
            <v>14.366</v>
          </cell>
          <cell r="J156">
            <v>14.366</v>
          </cell>
          <cell r="K156">
            <v>14.366</v>
          </cell>
          <cell r="L156">
            <v>14.366</v>
          </cell>
          <cell r="M156">
            <v>14.366</v>
          </cell>
          <cell r="N156">
            <v>14.366</v>
          </cell>
          <cell r="O156">
            <v>14.366</v>
          </cell>
          <cell r="P156">
            <v>14.366</v>
          </cell>
          <cell r="Q156">
            <v>14.366</v>
          </cell>
          <cell r="R156">
            <v>15.2</v>
          </cell>
        </row>
        <row r="157">
          <cell r="B157" t="str">
            <v>LAN</v>
          </cell>
          <cell r="C157">
            <v>6.52</v>
          </cell>
          <cell r="D157">
            <v>6.52</v>
          </cell>
          <cell r="E157">
            <v>6.52</v>
          </cell>
          <cell r="F157">
            <v>6.52</v>
          </cell>
          <cell r="G157">
            <v>6.52</v>
          </cell>
          <cell r="H157">
            <v>6.52</v>
          </cell>
          <cell r="I157">
            <v>6.52</v>
          </cell>
          <cell r="J157">
            <v>6.52</v>
          </cell>
          <cell r="K157">
            <v>6.52</v>
          </cell>
          <cell r="L157">
            <v>6.52</v>
          </cell>
          <cell r="M157">
            <v>6.52</v>
          </cell>
          <cell r="N157">
            <v>6.52</v>
          </cell>
          <cell r="O157">
            <v>6.52</v>
          </cell>
          <cell r="P157">
            <v>6.52</v>
          </cell>
          <cell r="Q157">
            <v>6.52</v>
          </cell>
          <cell r="R157">
            <v>6.5</v>
          </cell>
        </row>
        <row r="158">
          <cell r="B158" t="str">
            <v>LAS</v>
          </cell>
          <cell r="C158">
            <v>16.992000000000001</v>
          </cell>
          <cell r="D158">
            <v>16.992000000000001</v>
          </cell>
          <cell r="E158">
            <v>16.992000000000001</v>
          </cell>
          <cell r="F158">
            <v>16.992000000000001</v>
          </cell>
          <cell r="G158">
            <v>16.992000000000001</v>
          </cell>
          <cell r="H158">
            <v>16.992000000000001</v>
          </cell>
          <cell r="I158">
            <v>16.992000000000001</v>
          </cell>
          <cell r="J158">
            <v>16.992000000000001</v>
          </cell>
          <cell r="K158">
            <v>16.992000000000001</v>
          </cell>
          <cell r="L158">
            <v>16.992000000000001</v>
          </cell>
          <cell r="M158">
            <v>16.992000000000001</v>
          </cell>
          <cell r="N158">
            <v>16.992000000000001</v>
          </cell>
          <cell r="O158">
            <v>16.992000000000001</v>
          </cell>
          <cell r="P158">
            <v>16.992000000000001</v>
          </cell>
          <cell r="Q158">
            <v>16.992000000000001</v>
          </cell>
          <cell r="R158">
            <v>21</v>
          </cell>
        </row>
        <row r="159">
          <cell r="B159" t="str">
            <v>Brazil</v>
          </cell>
          <cell r="C159">
            <v>27.79</v>
          </cell>
          <cell r="D159">
            <v>27.79</v>
          </cell>
          <cell r="E159">
            <v>27.79</v>
          </cell>
          <cell r="F159">
            <v>27.79</v>
          </cell>
          <cell r="G159">
            <v>27.79</v>
          </cell>
          <cell r="H159">
            <v>27.79</v>
          </cell>
          <cell r="I159">
            <v>27.79</v>
          </cell>
          <cell r="J159">
            <v>27.79</v>
          </cell>
          <cell r="K159">
            <v>27.79</v>
          </cell>
          <cell r="L159">
            <v>27.79</v>
          </cell>
          <cell r="M159">
            <v>27.79</v>
          </cell>
          <cell r="N159">
            <v>27.79</v>
          </cell>
          <cell r="O159">
            <v>27.79</v>
          </cell>
          <cell r="P159">
            <v>27.79</v>
          </cell>
          <cell r="Q159">
            <v>27.79</v>
          </cell>
          <cell r="R159">
            <v>27.8</v>
          </cell>
        </row>
        <row r="160">
          <cell r="B160" t="str">
            <v>SEA</v>
          </cell>
          <cell r="C160">
            <v>10.401999999999999</v>
          </cell>
          <cell r="D160">
            <v>10.401999999999999</v>
          </cell>
          <cell r="E160">
            <v>10.401999999999999</v>
          </cell>
          <cell r="F160">
            <v>10.401999999999999</v>
          </cell>
          <cell r="G160">
            <v>10.401999999999999</v>
          </cell>
          <cell r="H160">
            <v>10.401999999999999</v>
          </cell>
          <cell r="I160">
            <v>10.401999999999999</v>
          </cell>
          <cell r="J160">
            <v>10.401999999999999</v>
          </cell>
          <cell r="K160">
            <v>10.401999999999999</v>
          </cell>
          <cell r="L160">
            <v>10.401999999999999</v>
          </cell>
          <cell r="M160">
            <v>10.401999999999999</v>
          </cell>
          <cell r="N160">
            <v>10.401999999999999</v>
          </cell>
          <cell r="O160">
            <v>10.401999999999999</v>
          </cell>
          <cell r="P160">
            <v>10.401999999999999</v>
          </cell>
          <cell r="Q160">
            <v>10.401999999999999</v>
          </cell>
          <cell r="R160">
            <v>12</v>
          </cell>
        </row>
        <row r="161">
          <cell r="B161" t="str">
            <v>ANZ</v>
          </cell>
          <cell r="C161">
            <v>12.978</v>
          </cell>
          <cell r="D161">
            <v>12.978</v>
          </cell>
          <cell r="E161">
            <v>12.978</v>
          </cell>
          <cell r="F161">
            <v>12.978</v>
          </cell>
          <cell r="G161">
            <v>12.978</v>
          </cell>
          <cell r="H161">
            <v>12.978</v>
          </cell>
          <cell r="I161">
            <v>12.978</v>
          </cell>
          <cell r="J161">
            <v>12.978</v>
          </cell>
          <cell r="K161">
            <v>12.978</v>
          </cell>
          <cell r="L161">
            <v>12.978</v>
          </cell>
          <cell r="M161">
            <v>12.978</v>
          </cell>
          <cell r="N161">
            <v>12.978</v>
          </cell>
          <cell r="O161">
            <v>12.978</v>
          </cell>
          <cell r="P161">
            <v>12.978</v>
          </cell>
          <cell r="Q161">
            <v>12.978</v>
          </cell>
          <cell r="R161">
            <v>12.5</v>
          </cell>
        </row>
        <row r="162">
          <cell r="B162" t="str">
            <v>China</v>
          </cell>
          <cell r="C162">
            <v>2.63</v>
          </cell>
          <cell r="D162">
            <v>2.63</v>
          </cell>
          <cell r="E162">
            <v>2.63</v>
          </cell>
          <cell r="F162">
            <v>2.63</v>
          </cell>
          <cell r="G162">
            <v>2.63</v>
          </cell>
          <cell r="H162">
            <v>2.63</v>
          </cell>
          <cell r="I162">
            <v>2.63</v>
          </cell>
          <cell r="J162">
            <v>2.63</v>
          </cell>
          <cell r="K162">
            <v>2.63</v>
          </cell>
          <cell r="L162">
            <v>2.63</v>
          </cell>
          <cell r="M162">
            <v>2.63</v>
          </cell>
          <cell r="N162">
            <v>2.63</v>
          </cell>
          <cell r="O162">
            <v>2.63</v>
          </cell>
          <cell r="P162">
            <v>2.63</v>
          </cell>
          <cell r="Q162">
            <v>2.63</v>
          </cell>
          <cell r="R162">
            <v>2.6</v>
          </cell>
        </row>
        <row r="163">
          <cell r="B163" t="str">
            <v>India</v>
          </cell>
          <cell r="C163">
            <v>1.198</v>
          </cell>
          <cell r="D163">
            <v>1.198</v>
          </cell>
          <cell r="E163">
            <v>1.198</v>
          </cell>
          <cell r="F163">
            <v>1.198</v>
          </cell>
          <cell r="G163">
            <v>1.198</v>
          </cell>
          <cell r="H163">
            <v>1.198</v>
          </cell>
          <cell r="I163">
            <v>1.198</v>
          </cell>
          <cell r="J163">
            <v>1.198</v>
          </cell>
          <cell r="K163">
            <v>1.198</v>
          </cell>
          <cell r="L163">
            <v>1.198</v>
          </cell>
          <cell r="M163">
            <v>1.198</v>
          </cell>
          <cell r="N163">
            <v>1.198</v>
          </cell>
          <cell r="O163">
            <v>1.198</v>
          </cell>
          <cell r="P163">
            <v>1.198</v>
          </cell>
          <cell r="Q163">
            <v>1.198</v>
          </cell>
          <cell r="R163">
            <v>1.2</v>
          </cell>
        </row>
        <row r="164">
          <cell r="B164" t="str">
            <v>Japan</v>
          </cell>
          <cell r="C164">
            <v>3.0920000000000001</v>
          </cell>
          <cell r="D164">
            <v>3.0920000000000001</v>
          </cell>
          <cell r="E164">
            <v>3.0920000000000001</v>
          </cell>
          <cell r="F164">
            <v>3.0920000000000001</v>
          </cell>
          <cell r="G164">
            <v>3.0920000000000001</v>
          </cell>
          <cell r="H164">
            <v>3.0920000000000001</v>
          </cell>
          <cell r="I164">
            <v>3.0920000000000001</v>
          </cell>
          <cell r="J164">
            <v>3.0920000000000001</v>
          </cell>
          <cell r="K164">
            <v>3.0920000000000001</v>
          </cell>
          <cell r="L164">
            <v>3.0920000000000001</v>
          </cell>
          <cell r="M164">
            <v>3.0920000000000001</v>
          </cell>
          <cell r="N164">
            <v>3.0920000000000001</v>
          </cell>
          <cell r="O164">
            <v>3.0920000000000001</v>
          </cell>
          <cell r="P164">
            <v>3.0920000000000001</v>
          </cell>
          <cell r="Q164">
            <v>3.0920000000000001</v>
          </cell>
          <cell r="R164">
            <v>3.1</v>
          </cell>
        </row>
        <row r="165">
          <cell r="B165" t="str">
            <v>Korea</v>
          </cell>
          <cell r="C165">
            <v>0.34</v>
          </cell>
          <cell r="D165">
            <v>0.34</v>
          </cell>
          <cell r="E165">
            <v>0.34</v>
          </cell>
          <cell r="F165">
            <v>0.34</v>
          </cell>
          <cell r="G165">
            <v>0.34</v>
          </cell>
          <cell r="H165">
            <v>0.34</v>
          </cell>
          <cell r="I165">
            <v>0.34</v>
          </cell>
          <cell r="J165">
            <v>0.34</v>
          </cell>
          <cell r="K165">
            <v>0.34</v>
          </cell>
          <cell r="L165">
            <v>0.34</v>
          </cell>
          <cell r="M165">
            <v>0.34</v>
          </cell>
          <cell r="N165">
            <v>0.34</v>
          </cell>
          <cell r="O165">
            <v>0.34</v>
          </cell>
          <cell r="P165">
            <v>0.34</v>
          </cell>
          <cell r="Q165">
            <v>0.34</v>
          </cell>
          <cell r="R165">
            <v>1.4</v>
          </cell>
        </row>
        <row r="166">
          <cell r="B166" t="str">
            <v>EA</v>
          </cell>
          <cell r="C166">
            <v>16.975999999999999</v>
          </cell>
          <cell r="D166">
            <v>16.975999999999999</v>
          </cell>
          <cell r="E166">
            <v>16.975999999999999</v>
          </cell>
          <cell r="F166">
            <v>16.975999999999999</v>
          </cell>
          <cell r="G166">
            <v>16.975999999999999</v>
          </cell>
          <cell r="H166">
            <v>16.975999999999999</v>
          </cell>
          <cell r="I166">
            <v>16.975999999999999</v>
          </cell>
          <cell r="J166">
            <v>16.975999999999999</v>
          </cell>
          <cell r="K166">
            <v>16.975999999999999</v>
          </cell>
          <cell r="L166">
            <v>16.975999999999999</v>
          </cell>
          <cell r="M166">
            <v>16.975999999999999</v>
          </cell>
          <cell r="N166">
            <v>16.975999999999999</v>
          </cell>
          <cell r="O166">
            <v>16.975999999999999</v>
          </cell>
          <cell r="P166">
            <v>16.975999999999999</v>
          </cell>
          <cell r="Q166">
            <v>16.975999999999999</v>
          </cell>
          <cell r="R166">
            <v>17</v>
          </cell>
        </row>
        <row r="167">
          <cell r="B167" t="str">
            <v>Global</v>
          </cell>
          <cell r="C167">
            <v>-9.9368000000000034</v>
          </cell>
          <cell r="D167">
            <v>-9.9368000000000034</v>
          </cell>
          <cell r="E167">
            <v>-9.9368000000000034</v>
          </cell>
          <cell r="F167">
            <v>-9.9368000000000034</v>
          </cell>
          <cell r="G167">
            <v>-9.9368000000000034</v>
          </cell>
          <cell r="H167">
            <v>-9.9368000000000034</v>
          </cell>
          <cell r="I167">
            <v>-9.9368000000000034</v>
          </cell>
          <cell r="J167">
            <v>-9.9368000000000034</v>
          </cell>
          <cell r="K167">
            <v>-9.9368000000000034</v>
          </cell>
          <cell r="L167">
            <v>-9.9368000000000034</v>
          </cell>
          <cell r="M167">
            <v>-9.9368000000000034</v>
          </cell>
          <cell r="N167">
            <v>-9.9368000000000034</v>
          </cell>
          <cell r="O167">
            <v>-9.9368000000000034</v>
          </cell>
          <cell r="P167">
            <v>-9.9368000000000034</v>
          </cell>
          <cell r="Q167">
            <v>-9.9368000000000034</v>
          </cell>
          <cell r="R167">
            <v>-16.936800000000002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
      <sheetName val="BS"/>
      <sheetName val="Variance"/>
      <sheetName val="Segment ROCE"/>
      <sheetName val="Capex"/>
      <sheetName val="E&amp;P"/>
      <sheetName val="Relative"/>
      <sheetName val="ROGIC"/>
      <sheetName val="NEPS"/>
      <sheetName val="Hamaca"/>
      <sheetName val="Bohai"/>
      <sheetName val="Bayu Undan"/>
      <sheetName val="R&amp;M"/>
      <sheetName val="GPM"/>
      <sheetName val="ARCO - Alaska"/>
      <sheetName val="RefineryMaint"/>
      <sheetName val="TOSCO"/>
      <sheetName val="Reserves"/>
      <sheetName val="WACC"/>
      <sheetName val="Valuation"/>
      <sheetName val="NAV"/>
      <sheetName val="Chemical JV"/>
      <sheetName val="Chems"/>
      <sheetName val="EKOFISK"/>
      <sheetName val="PUDS"/>
      <sheetName val="GE Data"/>
      <sheetName val="MainCode"/>
      <sheetName val="NY UPLOAD"/>
      <sheetName val="NY UPLOAD shadow"/>
      <sheetName val="Disclaimer"/>
      <sheetName val="Quarterly"/>
      <sheetName val="IndexInformation"/>
      <sheetName val="NORM"/>
      <sheetName val="NY UPLOAD.bak"/>
      <sheetName val="NY UPLOAD Shadow.bak"/>
      <sheetName val="Normalized"/>
      <sheetName val="DDM"/>
      <sheetName val="B Sheet"/>
      <sheetName val="Ratios"/>
      <sheetName val="SOLP"/>
      <sheetName val="Liquids"/>
      <sheetName val="charts"/>
      <sheetName val="Apples-Ratios"/>
      <sheetName val="IS"/>
      <sheetName val="Quarterly Data"/>
      <sheetName val="Debt"/>
      <sheetName val="Sheet1"/>
      <sheetName val="A-Link Source"/>
      <sheetName val="IBES"/>
      <sheetName val="Model"/>
      <sheetName val="Value-A"/>
      <sheetName val="DL"/>
      <sheetName val="US"/>
      <sheetName val="Scenarios"/>
      <sheetName val="ACM"/>
      <sheetName val="MW Ratios"/>
      <sheetName val="Field"/>
      <sheetName val="REVS"/>
      <sheetName val="earnmodel"/>
      <sheetName val="O_fpage"/>
      <sheetName val="maturityprofile"/>
      <sheetName val="variables"/>
      <sheetName val="IP"/>
      <sheetName val="Vluation"/>
      <sheetName val="ChemiPal JV"/>
      <sheetName val="Old BKS"/>
      <sheetName val="CY Link"/>
      <sheetName val="Plants"/>
      <sheetName val="VeraSun"/>
      <sheetName val="Forecast Change"/>
      <sheetName val="INPUTS"/>
      <sheetName val="AN"/>
      <sheetName val="COP"/>
      <sheetName val="HSCDS-Retail"/>
      <sheetName val="DVC"/>
      <sheetName val="XOM"/>
      <sheetName val="Balance Sheet"/>
      <sheetName val="Income Statement"/>
      <sheetName val="Fin. Summary"/>
      <sheetName val="Links"/>
      <sheetName val="New Source"/>
      <sheetName val="INFAnnual"/>
      <sheetName val="BalanceSheet"/>
      <sheetName val="SectorPSales"/>
      <sheetName val="BMW"/>
      <sheetName val="Add"/>
      <sheetName val="Revenue Model"/>
      <sheetName val="LME 2010"/>
      <sheetName val="Annual"/>
      <sheetName val="RD"/>
      <sheetName val="Input Income Statement"/>
      <sheetName val="Qtrly P&amp;L and BalSheet"/>
      <sheetName val="MERGER"/>
      <sheetName val="Assumptions"/>
      <sheetName val="GT"/>
      <sheetName val="3Q05 Variance"/>
      <sheetName val="Reserve"/>
      <sheetName val="Scenario"/>
      <sheetName val="Ratings"/>
      <sheetName val="synthgraph"/>
      <sheetName val="ｾｸﾞﾒﾝﾄ"/>
      <sheetName val="単独"/>
      <sheetName val="Ex3"/>
      <sheetName val="Master"/>
      <sheetName val="model &amp; valuation"/>
      <sheetName val="MW ROE Analyzer"/>
      <sheetName val="New RGM"/>
      <sheetName val="Budget summary 2011"/>
      <sheetName val="B"/>
      <sheetName val="Print"/>
      <sheetName val="Revenue at Risk"/>
      <sheetName val="c1"/>
      <sheetName val="Distribution"/>
      <sheetName val="Q-Link Source"/>
      <sheetName val="Revenue&amp;EBIT"/>
      <sheetName val="__FDSCACHE__"/>
      <sheetName val="Cover"/>
      <sheetName val="Summary"/>
      <sheetName val="NAV Valuation"/>
      <sheetName val="Sensitivity"/>
      <sheetName val="Workings"/>
      <sheetName val="Inventory_and_Backlog"/>
      <sheetName val="PoC Curves"/>
      <sheetName val="Source"/>
      <sheetName val="DCF Valuation"/>
      <sheetName val="CashFlow Curves"/>
      <sheetName val="MW"/>
      <sheetName val="MacroData"/>
      <sheetName val="MS Disclaimers"/>
      <sheetName val="MS Disclosures"/>
      <sheetName val="SummaryMW"/>
      <sheetName val="MWA RR"/>
      <sheetName val="HIDE&gt;&gt;&gt;"/>
      <sheetName val="Consensus"/>
      <sheetName val="Quarterly Results"/>
      <sheetName val="&gt;&gt;"/>
      <sheetName val="LinkSheet"/>
      <sheetName val="Audit"/>
      <sheetName val="MW-Cache"/>
      <sheetName val="CenarioCal"/>
      <sheetName val="CenarioUpdate"/>
      <sheetName val="Graphs"/>
      <sheetName val="mwareDates"/>
      <sheetName val="mwareSettings"/>
      <sheetName val="SCF &amp; BS"/>
      <sheetName val="Segment_RO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refreshError="1"/>
      <sheetData sheetId="14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PeerGroupBenchmark_ALT"/>
      <sheetName val="Financial Summary 1"/>
      <sheetName val="Financial Summary 2"/>
      <sheetName val="PT ranges"/>
      <sheetName val="Range or Recs"/>
      <sheetName val="EPS ranges"/>
      <sheetName val="Consensus Snapshot table"/>
      <sheetName val="chart-all3"/>
      <sheetName val="chart-sales"/>
      <sheetName val="chart-EBIT"/>
      <sheetName val="chart-EPS"/>
      <sheetName val="Relative Valuation table"/>
      <sheetName val="ROE"/>
      <sheetName val="NOPAT"/>
      <sheetName val="RNOA waterfall"/>
      <sheetName val="debt2equity"/>
      <sheetName val="ProfMap"/>
      <sheetName val="debt2ebitda"/>
      <sheetName val="dividends"/>
      <sheetName val="FCF"/>
      <sheetName val="FCFBreakout"/>
      <sheetName val="Sheet1"/>
      <sheetName val="Benchmarks_All_green1"/>
      <sheetName val="Benchmarks_All_green2"/>
      <sheetName val="Stack1"/>
      <sheetName val="Stack2"/>
      <sheetName val="Stack3"/>
      <sheetName val="Stack4"/>
      <sheetName val="C1000"/>
      <sheetName val="Historical Highlights"/>
      <sheetName val="profit margins"/>
      <sheetName val="sales"/>
      <sheetName val="ebit"/>
      <sheetName val="EPS"/>
    </sheetNames>
    <sheetDataSet>
      <sheetData sheetId="0" refreshError="1"/>
      <sheetData sheetId="1" refreshError="1">
        <row r="2">
          <cell r="AB2" t="str">
            <v>median consensus estimates</v>
          </cell>
        </row>
        <row r="5">
          <cell r="C5" t="str">
            <v>Price Performance and Volatility</v>
          </cell>
        </row>
        <row r="8">
          <cell r="C8" t="str">
            <v>12-month price performance</v>
          </cell>
          <cell r="I8" t="str">
            <v>3-month price performance</v>
          </cell>
          <cell r="O8" t="str">
            <v>1-month price performance</v>
          </cell>
          <cell r="U8" t="str">
            <v>12-month historical volatility</v>
          </cell>
        </row>
        <row r="9">
          <cell r="G9">
            <v>0.34799999999999998</v>
          </cell>
          <cell r="L9">
            <v>-8.0000000000000002E-3</v>
          </cell>
          <cell r="P9">
            <v>-2.1000000000000001E-2</v>
          </cell>
          <cell r="V9">
            <v>0.45700000000000002</v>
          </cell>
        </row>
        <row r="10">
          <cell r="D10">
            <v>-0.19700000000000001</v>
          </cell>
          <cell r="J10">
            <v>-9.1999999999999998E-2</v>
          </cell>
          <cell r="P10">
            <v>-8.7999999999999995E-2</v>
          </cell>
          <cell r="V10">
            <v>0.50700000000000001</v>
          </cell>
        </row>
        <row r="13">
          <cell r="C13" t="str">
            <v>Growth</v>
          </cell>
        </row>
        <row r="16">
          <cell r="C16" t="str">
            <v>Sales (1 year fwd)</v>
          </cell>
          <cell r="I16" t="str">
            <v>EBIT (1 year fwd)</v>
          </cell>
          <cell r="O16" t="str">
            <v>EPS (1 year fwd)</v>
          </cell>
          <cell r="U16" t="str">
            <v>EPS (2 years fwd)</v>
          </cell>
        </row>
        <row r="17">
          <cell r="F17">
            <v>0.51</v>
          </cell>
          <cell r="L17">
            <v>0.37</v>
          </cell>
          <cell r="R17">
            <v>0.33</v>
          </cell>
          <cell r="X17">
            <v>0.32</v>
          </cell>
        </row>
        <row r="18">
          <cell r="D18">
            <v>0.27</v>
          </cell>
          <cell r="J18">
            <v>0.2</v>
          </cell>
          <cell r="P18">
            <v>0.2</v>
          </cell>
          <cell r="V18">
            <v>0.17</v>
          </cell>
        </row>
        <row r="21">
          <cell r="C21" t="str">
            <v>Valuation</v>
          </cell>
        </row>
        <row r="24">
          <cell r="C24" t="str">
            <v>P/E (1 year forward)</v>
          </cell>
          <cell r="I24" t="str">
            <v>P/E (2 years forward)</v>
          </cell>
          <cell r="O24" t="str">
            <v>P/Book</v>
          </cell>
          <cell r="U24" t="str">
            <v>EV/Ebitda</v>
          </cell>
        </row>
        <row r="25">
          <cell r="G25" t="str">
            <v>20.7x</v>
          </cell>
          <cell r="M25" t="str">
            <v>15.6x</v>
          </cell>
          <cell r="R25" t="str">
            <v>3.6x</v>
          </cell>
          <cell r="X25" t="str">
            <v>16.2x</v>
          </cell>
        </row>
        <row r="26">
          <cell r="D26" t="str">
            <v>14.1x</v>
          </cell>
          <cell r="J26" t="str">
            <v>11.2x</v>
          </cell>
          <cell r="P26" t="str">
            <v>2.9x</v>
          </cell>
          <cell r="V26" t="str">
            <v>10.7x</v>
          </cell>
        </row>
        <row r="29">
          <cell r="C29" t="str">
            <v>Profitability</v>
          </cell>
        </row>
        <row r="32">
          <cell r="C32" t="str">
            <v>ROE</v>
          </cell>
          <cell r="I32" t="str">
            <v>EBITDA margin</v>
          </cell>
          <cell r="O32" t="str">
            <v>EBIT margin</v>
          </cell>
          <cell r="U32" t="str">
            <v>Net income margin</v>
          </cell>
        </row>
        <row r="33">
          <cell r="E33">
            <v>0.17399999999999999</v>
          </cell>
          <cell r="L33">
            <v>0.24</v>
          </cell>
          <cell r="S33">
            <v>0.27400000000000002</v>
          </cell>
          <cell r="Y33">
            <v>0.24299999999999999</v>
          </cell>
        </row>
        <row r="34">
          <cell r="D34">
            <v>0.214</v>
          </cell>
          <cell r="J34">
            <v>0.14599999999999999</v>
          </cell>
          <cell r="P34">
            <v>0.154</v>
          </cell>
          <cell r="V34">
            <v>0.11700000000000001</v>
          </cell>
        </row>
        <row r="37">
          <cell r="C37" t="str">
            <v>Leverage and Cash Flows</v>
          </cell>
        </row>
        <row r="40">
          <cell r="C40" t="str">
            <v>Gross Debt / Equity</v>
          </cell>
          <cell r="I40" t="str">
            <v>Net Debt / Equity</v>
          </cell>
          <cell r="O40" t="str">
            <v>FCF/Market Cap</v>
          </cell>
          <cell r="U40" t="str">
            <v>Div payout ratio</v>
          </cell>
        </row>
        <row r="41">
          <cell r="F41">
            <v>0.59</v>
          </cell>
          <cell r="L41">
            <v>-0.02</v>
          </cell>
          <cell r="P41">
            <v>5.5E-2</v>
          </cell>
          <cell r="Y41">
            <v>0.21099999999999999</v>
          </cell>
        </row>
        <row r="42">
          <cell r="D42">
            <v>0.185</v>
          </cell>
          <cell r="J42">
            <v>-0.161</v>
          </cell>
          <cell r="P42">
            <v>7.0000000000000007E-2</v>
          </cell>
          <cell r="V42">
            <v>6.6000000000000003E-2</v>
          </cell>
        </row>
        <row r="48">
          <cell r="C48" t="str">
            <v>Leverage and Cash Flows</v>
          </cell>
        </row>
        <row r="52">
          <cell r="C52" t="str">
            <v>Gross Debt / Equity</v>
          </cell>
          <cell r="I52" t="str">
            <v>Net Debt / Equity</v>
          </cell>
          <cell r="O52" t="str">
            <v>FCF/Market Cap</v>
          </cell>
          <cell r="U52" t="str">
            <v>Div payout ratio</v>
          </cell>
        </row>
        <row r="53">
          <cell r="F53">
            <v>0.59</v>
          </cell>
          <cell r="L53">
            <v>-0.02</v>
          </cell>
          <cell r="P53">
            <v>5.5E-2</v>
          </cell>
          <cell r="Y53">
            <v>0.21099999999999999</v>
          </cell>
        </row>
        <row r="54">
          <cell r="D54">
            <v>0.185</v>
          </cell>
          <cell r="J54">
            <v>-0.161</v>
          </cell>
          <cell r="P54">
            <v>7.0000000000000007E-2</v>
          </cell>
          <cell r="V54">
            <v>6.6000000000000003E-2</v>
          </cell>
        </row>
      </sheetData>
      <sheetData sheetId="2" refreshError="1">
        <row r="1">
          <cell r="A1" t="str">
            <v>Profit &amp; Loss Statement</v>
          </cell>
        </row>
        <row r="2">
          <cell r="A2" t="str">
            <v>Rs. Mn, June End</v>
          </cell>
          <cell r="B2" t="str">
            <v>F2006</v>
          </cell>
          <cell r="C2" t="str">
            <v>F2007</v>
          </cell>
          <cell r="D2" t="str">
            <v>F2008e</v>
          </cell>
          <cell r="E2" t="str">
            <v>F2009e</v>
          </cell>
          <cell r="F2" t="str">
            <v>F2010e</v>
          </cell>
        </row>
        <row r="4">
          <cell r="A4" t="str">
            <v>Net Sales</v>
          </cell>
          <cell r="B4">
            <v>5349</v>
          </cell>
          <cell r="C4">
            <v>7114</v>
          </cell>
          <cell r="D4">
            <v>10733</v>
          </cell>
          <cell r="E4">
            <v>14787</v>
          </cell>
          <cell r="F4">
            <v>19704</v>
          </cell>
        </row>
        <row r="5">
          <cell r="A5" t="str">
            <v>COGS</v>
          </cell>
          <cell r="B5">
            <v>3052</v>
          </cell>
          <cell r="C5">
            <v>4182</v>
          </cell>
          <cell r="D5">
            <v>6908</v>
          </cell>
          <cell r="E5">
            <v>9326</v>
          </cell>
          <cell r="F5">
            <v>12260</v>
          </cell>
        </row>
        <row r="6">
          <cell r="A6" t="str">
            <v>Gross Profit</v>
          </cell>
          <cell r="B6">
            <v>2297</v>
          </cell>
          <cell r="C6">
            <v>2932</v>
          </cell>
          <cell r="D6">
            <v>3825</v>
          </cell>
          <cell r="E6">
            <v>5461</v>
          </cell>
          <cell r="F6">
            <v>7444</v>
          </cell>
        </row>
        <row r="7">
          <cell r="A7" t="str">
            <v>Other Operating Exp.</v>
          </cell>
          <cell r="B7">
            <v>-17</v>
          </cell>
          <cell r="C7">
            <v>-37</v>
          </cell>
          <cell r="D7">
            <v>-37</v>
          </cell>
          <cell r="E7">
            <v>-37</v>
          </cell>
          <cell r="F7">
            <v>-37</v>
          </cell>
        </row>
        <row r="8">
          <cell r="A8" t="str">
            <v>EBITDA</v>
          </cell>
          <cell r="B8">
            <v>2314</v>
          </cell>
          <cell r="C8">
            <v>2969</v>
          </cell>
          <cell r="D8">
            <v>3862</v>
          </cell>
          <cell r="E8">
            <v>5498</v>
          </cell>
          <cell r="F8">
            <v>7481</v>
          </cell>
        </row>
        <row r="9">
          <cell r="A9" t="str">
            <v>Deprn. &amp; Amort.</v>
          </cell>
          <cell r="B9">
            <v>747</v>
          </cell>
          <cell r="C9">
            <v>1019</v>
          </cell>
          <cell r="D9">
            <v>1336</v>
          </cell>
          <cell r="E9">
            <v>1689</v>
          </cell>
          <cell r="F9">
            <v>2081</v>
          </cell>
        </row>
        <row r="10">
          <cell r="A10" t="str">
            <v>EBIT</v>
          </cell>
          <cell r="B10">
            <v>1567</v>
          </cell>
          <cell r="C10">
            <v>1950</v>
          </cell>
          <cell r="D10">
            <v>2526</v>
          </cell>
          <cell r="E10">
            <v>3809</v>
          </cell>
          <cell r="F10">
            <v>5401</v>
          </cell>
        </row>
        <row r="11">
          <cell r="A11" t="str">
            <v>Net Interest/other Exp.</v>
          </cell>
          <cell r="B11">
            <v>147</v>
          </cell>
          <cell r="C11">
            <v>7</v>
          </cell>
          <cell r="D11">
            <v>-378</v>
          </cell>
          <cell r="E11">
            <v>-252</v>
          </cell>
          <cell r="F11">
            <v>-183</v>
          </cell>
        </row>
        <row r="12">
          <cell r="A12" t="str">
            <v>PBT</v>
          </cell>
          <cell r="B12">
            <v>1420</v>
          </cell>
          <cell r="C12">
            <v>1943</v>
          </cell>
          <cell r="D12">
            <v>2904</v>
          </cell>
          <cell r="E12">
            <v>4061</v>
          </cell>
          <cell r="F12">
            <v>5584</v>
          </cell>
        </row>
        <row r="13">
          <cell r="A13" t="str">
            <v>Tax</v>
          </cell>
          <cell r="B13">
            <v>147</v>
          </cell>
          <cell r="C13">
            <v>217</v>
          </cell>
          <cell r="D13">
            <v>398</v>
          </cell>
          <cell r="E13">
            <v>785</v>
          </cell>
          <cell r="F13">
            <v>1236</v>
          </cell>
        </row>
        <row r="14">
          <cell r="A14" t="str">
            <v>Minority Interest</v>
          </cell>
          <cell r="B14">
            <v>0</v>
          </cell>
          <cell r="C14">
            <v>0</v>
          </cell>
          <cell r="D14">
            <v>0</v>
          </cell>
          <cell r="E14">
            <v>0</v>
          </cell>
          <cell r="F14">
            <v>0</v>
          </cell>
        </row>
        <row r="15">
          <cell r="A15" t="str">
            <v>Net Profit</v>
          </cell>
          <cell r="B15">
            <v>1273</v>
          </cell>
          <cell r="C15">
            <v>1726</v>
          </cell>
          <cell r="D15">
            <v>2506</v>
          </cell>
          <cell r="E15">
            <v>3276</v>
          </cell>
          <cell r="F15">
            <v>4348</v>
          </cell>
        </row>
        <row r="16">
          <cell r="A16" t="str">
            <v>EPS (INR)</v>
          </cell>
          <cell r="B16">
            <v>9.4</v>
          </cell>
          <cell r="C16">
            <v>10.7</v>
          </cell>
          <cell r="D16">
            <v>14.5</v>
          </cell>
          <cell r="E16">
            <v>19.2</v>
          </cell>
          <cell r="F16">
            <v>25.1</v>
          </cell>
        </row>
        <row r="18">
          <cell r="A18" t="str">
            <v>Balance Sheet</v>
          </cell>
        </row>
        <row r="19">
          <cell r="B19" t="str">
            <v>F2006</v>
          </cell>
          <cell r="C19" t="str">
            <v>F2007</v>
          </cell>
          <cell r="D19" t="str">
            <v>F2008e</v>
          </cell>
          <cell r="E19" t="str">
            <v>F2009e</v>
          </cell>
          <cell r="F19" t="str">
            <v>F2010e</v>
          </cell>
        </row>
        <row r="21">
          <cell r="A21" t="str">
            <v>Cash &amp; Equivalents</v>
          </cell>
          <cell r="B21">
            <v>308</v>
          </cell>
          <cell r="C21">
            <v>4444</v>
          </cell>
          <cell r="D21">
            <v>6704</v>
          </cell>
          <cell r="E21">
            <v>9237</v>
          </cell>
          <cell r="F21">
            <v>12308</v>
          </cell>
        </row>
        <row r="22">
          <cell r="A22" t="str">
            <v>Marketable Securities</v>
          </cell>
          <cell r="B22">
            <v>579</v>
          </cell>
          <cell r="C22">
            <v>1946</v>
          </cell>
          <cell r="D22">
            <v>2936</v>
          </cell>
          <cell r="E22">
            <v>4045</v>
          </cell>
          <cell r="F22">
            <v>5389</v>
          </cell>
        </row>
        <row r="23">
          <cell r="A23" t="str">
            <v>Accounts Receivable</v>
          </cell>
          <cell r="B23">
            <v>3262</v>
          </cell>
          <cell r="C23">
            <v>3770</v>
          </cell>
          <cell r="D23">
            <v>5687</v>
          </cell>
          <cell r="E23">
            <v>7836</v>
          </cell>
          <cell r="F23">
            <v>10442</v>
          </cell>
        </row>
        <row r="24">
          <cell r="A24" t="str">
            <v>Inventories</v>
          </cell>
          <cell r="B24">
            <v>234</v>
          </cell>
          <cell r="C24">
            <v>206</v>
          </cell>
          <cell r="D24">
            <v>341</v>
          </cell>
          <cell r="E24">
            <v>460</v>
          </cell>
          <cell r="F24">
            <v>605</v>
          </cell>
        </row>
        <row r="25">
          <cell r="A25" t="str">
            <v>Net PP&amp;E</v>
          </cell>
          <cell r="B25">
            <v>4524</v>
          </cell>
          <cell r="C25">
            <v>6127</v>
          </cell>
          <cell r="D25">
            <v>7888</v>
          </cell>
          <cell r="E25">
            <v>9836</v>
          </cell>
          <cell r="F25">
            <v>11997</v>
          </cell>
        </row>
        <row r="26">
          <cell r="A26" t="str">
            <v>Goodwill</v>
          </cell>
          <cell r="B26">
            <v>67</v>
          </cell>
          <cell r="C26">
            <v>60</v>
          </cell>
          <cell r="D26">
            <v>60</v>
          </cell>
          <cell r="E26">
            <v>60</v>
          </cell>
          <cell r="F26">
            <v>60</v>
          </cell>
        </row>
        <row r="27">
          <cell r="A27" t="str">
            <v>Amortizable Intangibles</v>
          </cell>
          <cell r="B27">
            <v>0</v>
          </cell>
          <cell r="C27">
            <v>1</v>
          </cell>
          <cell r="D27">
            <v>0</v>
          </cell>
          <cell r="E27">
            <v>0</v>
          </cell>
          <cell r="F27">
            <v>0</v>
          </cell>
        </row>
        <row r="28">
          <cell r="A28" t="str">
            <v>Other Assets</v>
          </cell>
          <cell r="B28">
            <v>1868</v>
          </cell>
          <cell r="C28">
            <v>1861</v>
          </cell>
          <cell r="D28">
            <v>2334</v>
          </cell>
          <cell r="E28">
            <v>2775</v>
          </cell>
          <cell r="F28">
            <v>3236</v>
          </cell>
        </row>
        <row r="29">
          <cell r="A29" t="str">
            <v>Total Assets</v>
          </cell>
          <cell r="B29">
            <v>10843</v>
          </cell>
          <cell r="C29">
            <v>18414</v>
          </cell>
          <cell r="D29">
            <v>25950</v>
          </cell>
          <cell r="E29">
            <v>34249</v>
          </cell>
          <cell r="F29">
            <v>44037</v>
          </cell>
        </row>
        <row r="31">
          <cell r="A31" t="str">
            <v>Accounts Payable</v>
          </cell>
          <cell r="B31">
            <v>197</v>
          </cell>
          <cell r="C31">
            <v>206</v>
          </cell>
          <cell r="D31">
            <v>341</v>
          </cell>
          <cell r="E31">
            <v>460</v>
          </cell>
          <cell r="F31">
            <v>605</v>
          </cell>
        </row>
        <row r="32">
          <cell r="A32" t="str">
            <v>Income Taxes Payable</v>
          </cell>
          <cell r="B32">
            <v>112</v>
          </cell>
          <cell r="C32">
            <v>136</v>
          </cell>
          <cell r="D32">
            <v>250</v>
          </cell>
          <cell r="E32">
            <v>494</v>
          </cell>
          <cell r="F32">
            <v>778</v>
          </cell>
        </row>
        <row r="33">
          <cell r="A33" t="str">
            <v>Deferred Revenue</v>
          </cell>
          <cell r="B33">
            <v>0</v>
          </cell>
          <cell r="C33">
            <v>0</v>
          </cell>
          <cell r="D33">
            <v>0</v>
          </cell>
          <cell r="E33">
            <v>0</v>
          </cell>
          <cell r="F33">
            <v>0</v>
          </cell>
        </row>
        <row r="34">
          <cell r="A34" t="str">
            <v>Deferred Taxes</v>
          </cell>
          <cell r="B34">
            <v>253</v>
          </cell>
          <cell r="C34">
            <v>346</v>
          </cell>
          <cell r="D34">
            <v>635</v>
          </cell>
          <cell r="E34">
            <v>1253</v>
          </cell>
          <cell r="F34">
            <v>1973</v>
          </cell>
        </row>
        <row r="35">
          <cell r="A35" t="str">
            <v>Total Debt</v>
          </cell>
          <cell r="B35">
            <v>98</v>
          </cell>
          <cell r="C35">
            <v>6177</v>
          </cell>
          <cell r="D35">
            <v>7635</v>
          </cell>
          <cell r="E35">
            <v>13325</v>
          </cell>
          <cell r="F35">
            <v>17405</v>
          </cell>
        </row>
        <row r="36">
          <cell r="A36" t="str">
            <v>Minority Interest</v>
          </cell>
          <cell r="B36">
            <v>0</v>
          </cell>
          <cell r="C36">
            <v>0</v>
          </cell>
          <cell r="D36">
            <v>0</v>
          </cell>
          <cell r="E36">
            <v>0</v>
          </cell>
          <cell r="F36">
            <v>0</v>
          </cell>
        </row>
        <row r="37">
          <cell r="A37" t="str">
            <v>Other Liabilities</v>
          </cell>
          <cell r="B37">
            <v>769</v>
          </cell>
          <cell r="C37">
            <v>1083</v>
          </cell>
          <cell r="D37">
            <v>1083</v>
          </cell>
          <cell r="E37">
            <v>1083</v>
          </cell>
          <cell r="F37">
            <v>1083</v>
          </cell>
        </row>
        <row r="38">
          <cell r="A38" t="str">
            <v>Total Liabilities</v>
          </cell>
          <cell r="B38">
            <v>1429</v>
          </cell>
          <cell r="C38">
            <v>7948</v>
          </cell>
          <cell r="D38">
            <v>9944</v>
          </cell>
          <cell r="E38">
            <v>16617</v>
          </cell>
          <cell r="F38">
            <v>21844</v>
          </cell>
        </row>
        <row r="40">
          <cell r="A40" t="str">
            <v>Shareholders' Equity</v>
          </cell>
          <cell r="B40">
            <v>9414</v>
          </cell>
          <cell r="C40">
            <v>10466</v>
          </cell>
          <cell r="D40">
            <v>16006</v>
          </cell>
          <cell r="E40">
            <v>17632</v>
          </cell>
          <cell r="F40">
            <v>22193</v>
          </cell>
        </row>
        <row r="41">
          <cell r="A41" t="str">
            <v>Liabs+Shr'hlders Eq</v>
          </cell>
          <cell r="B41">
            <v>10843</v>
          </cell>
          <cell r="C41">
            <v>18414</v>
          </cell>
          <cell r="D41">
            <v>25950</v>
          </cell>
          <cell r="E41">
            <v>34249</v>
          </cell>
          <cell r="F41">
            <v>44037</v>
          </cell>
        </row>
        <row r="43">
          <cell r="G43" t="str">
            <v>MarketView Forecasts</v>
          </cell>
        </row>
        <row r="44">
          <cell r="G44" t="str">
            <v>Forecasts in this report come from the Morgan Stanley MarketView Model, which generates integrated financial statements based on available consensus estimates (shaded in blue above).  The model and accompanying analytics help illustrate the current market</v>
          </cell>
        </row>
      </sheetData>
      <sheetData sheetId="3" refreshError="1">
        <row r="1">
          <cell r="A1" t="str">
            <v>Cash Flow Statement</v>
          </cell>
        </row>
        <row r="2">
          <cell r="B2" t="str">
            <v>F2006</v>
          </cell>
          <cell r="C2" t="str">
            <v>F2007</v>
          </cell>
          <cell r="D2" t="str">
            <v>F2008e</v>
          </cell>
          <cell r="E2" t="str">
            <v>F2009e</v>
          </cell>
          <cell r="F2" t="str">
            <v>F2010e</v>
          </cell>
        </row>
        <row r="3">
          <cell r="A3" t="str">
            <v>Cash Flow From Operating </v>
          </cell>
        </row>
        <row r="4">
          <cell r="A4" t="str">
            <v>Net Income</v>
          </cell>
          <cell r="B4">
            <v>1273</v>
          </cell>
          <cell r="C4">
            <v>1726</v>
          </cell>
          <cell r="D4">
            <v>2506</v>
          </cell>
          <cell r="E4">
            <v>3276</v>
          </cell>
          <cell r="F4">
            <v>4348</v>
          </cell>
        </row>
        <row r="5">
          <cell r="A5" t="str">
            <v>Deprn. &amp; Amort.</v>
          </cell>
          <cell r="B5">
            <v>747</v>
          </cell>
          <cell r="C5">
            <v>1019</v>
          </cell>
          <cell r="D5">
            <v>1336</v>
          </cell>
          <cell r="E5">
            <v>1689</v>
          </cell>
          <cell r="F5">
            <v>2081</v>
          </cell>
        </row>
        <row r="6">
          <cell r="A6" t="str">
            <v>Chg in WC</v>
          </cell>
          <cell r="B6">
            <v>-275</v>
          </cell>
          <cell r="C6">
            <v>-354</v>
          </cell>
          <cell r="D6">
            <v>-1515</v>
          </cell>
          <cell r="E6">
            <v>-1286</v>
          </cell>
          <cell r="F6">
            <v>-1603</v>
          </cell>
        </row>
        <row r="7">
          <cell r="A7" t="str">
            <v>Other operating CF</v>
          </cell>
          <cell r="B7">
            <v>-341</v>
          </cell>
          <cell r="C7">
            <v>-10</v>
          </cell>
          <cell r="D7">
            <v>-473</v>
          </cell>
          <cell r="E7">
            <v>-441</v>
          </cell>
          <cell r="F7">
            <v>-461</v>
          </cell>
        </row>
        <row r="8">
          <cell r="A8" t="str">
            <v>CF from Operations</v>
          </cell>
          <cell r="B8">
            <v>1404</v>
          </cell>
          <cell r="C8">
            <v>2381</v>
          </cell>
          <cell r="D8">
            <v>1854</v>
          </cell>
          <cell r="E8">
            <v>3238</v>
          </cell>
          <cell r="F8">
            <v>4364</v>
          </cell>
        </row>
        <row r="10">
          <cell r="A10" t="str">
            <v>Cash Flow from Investing </v>
          </cell>
        </row>
        <row r="11">
          <cell r="A11" t="str">
            <v>Capital Expenditures</v>
          </cell>
          <cell r="B11">
            <v>-1640</v>
          </cell>
          <cell r="C11">
            <v>-2655</v>
          </cell>
          <cell r="D11">
            <v>-3096</v>
          </cell>
          <cell r="E11">
            <v>-3638</v>
          </cell>
          <cell r="F11">
            <v>-4241</v>
          </cell>
        </row>
        <row r="12">
          <cell r="A12" t="str">
            <v>Change in ST Investments</v>
          </cell>
          <cell r="B12">
            <v>557</v>
          </cell>
          <cell r="C12">
            <v>5502</v>
          </cell>
          <cell r="D12">
            <v>-990</v>
          </cell>
          <cell r="E12">
            <v>-1109</v>
          </cell>
          <cell r="F12">
            <v>-1345</v>
          </cell>
        </row>
        <row r="13">
          <cell r="A13" t="str">
            <v>Other Investing Cash Flow</v>
          </cell>
          <cell r="B13">
            <v>-1671</v>
          </cell>
          <cell r="C13">
            <v>-5331</v>
          </cell>
          <cell r="D13">
            <v>0</v>
          </cell>
          <cell r="E13">
            <v>0</v>
          </cell>
          <cell r="F13">
            <v>0</v>
          </cell>
        </row>
        <row r="14">
          <cell r="A14" t="str">
            <v>CF from Investing</v>
          </cell>
          <cell r="B14">
            <v>-2754</v>
          </cell>
          <cell r="C14">
            <v>-2484</v>
          </cell>
          <cell r="D14">
            <v>-4086</v>
          </cell>
          <cell r="E14">
            <v>-4747</v>
          </cell>
          <cell r="F14">
            <v>-5586</v>
          </cell>
        </row>
        <row r="16">
          <cell r="A16" t="str">
            <v>Cash Flow from Financing </v>
          </cell>
        </row>
        <row r="17">
          <cell r="A17" t="str">
            <v>Change in debt</v>
          </cell>
          <cell r="B17">
            <v>-1764</v>
          </cell>
          <cell r="C17">
            <v>6079</v>
          </cell>
          <cell r="D17">
            <v>1458</v>
          </cell>
          <cell r="E17">
            <v>5691</v>
          </cell>
          <cell r="F17">
            <v>4080</v>
          </cell>
        </row>
        <row r="18">
          <cell r="A18" t="str">
            <v>Increase in Equity</v>
          </cell>
          <cell r="B18">
            <v>3763</v>
          </cell>
          <cell r="C18">
            <v>-112</v>
          </cell>
          <cell r="D18">
            <v>3616</v>
          </cell>
          <cell r="E18">
            <v>-862</v>
          </cell>
          <cell r="F18">
            <v>1194</v>
          </cell>
        </row>
        <row r="19">
          <cell r="A19" t="str">
            <v>Dividends</v>
          </cell>
          <cell r="B19">
            <v>-12</v>
          </cell>
          <cell r="C19">
            <v>-13</v>
          </cell>
          <cell r="D19">
            <v>-582</v>
          </cell>
          <cell r="E19">
            <v>-787</v>
          </cell>
          <cell r="F19">
            <v>-981</v>
          </cell>
        </row>
        <row r="20">
          <cell r="A20" t="str">
            <v>Other Financing CF</v>
          </cell>
          <cell r="B20">
            <v>-79</v>
          </cell>
          <cell r="C20">
            <v>-349</v>
          </cell>
          <cell r="D20">
            <v>0</v>
          </cell>
          <cell r="E20">
            <v>0</v>
          </cell>
          <cell r="F20">
            <v>0</v>
          </cell>
        </row>
        <row r="21">
          <cell r="A21" t="str">
            <v>CF from Financing</v>
          </cell>
          <cell r="B21">
            <v>1907</v>
          </cell>
          <cell r="C21">
            <v>5605</v>
          </cell>
          <cell r="D21">
            <v>4492</v>
          </cell>
          <cell r="E21">
            <v>4042</v>
          </cell>
          <cell r="F21">
            <v>4293</v>
          </cell>
        </row>
        <row r="23">
          <cell r="A23" t="str">
            <v>Exchange rate effect</v>
          </cell>
          <cell r="B23">
            <v>-529</v>
          </cell>
          <cell r="C23">
            <v>-1366</v>
          </cell>
          <cell r="D23">
            <v>0</v>
          </cell>
          <cell r="E23">
            <v>0</v>
          </cell>
          <cell r="F23">
            <v>0</v>
          </cell>
        </row>
        <row r="24">
          <cell r="A24" t="str">
            <v>Change in Cash</v>
          </cell>
          <cell r="B24">
            <v>28</v>
          </cell>
          <cell r="C24">
            <v>4136</v>
          </cell>
          <cell r="D24">
            <v>2260</v>
          </cell>
          <cell r="E24">
            <v>2533</v>
          </cell>
          <cell r="F24">
            <v>3071</v>
          </cell>
        </row>
        <row r="26">
          <cell r="A26" t="str">
            <v>Ratio Analysis</v>
          </cell>
        </row>
        <row r="27">
          <cell r="B27" t="str">
            <v>F2006</v>
          </cell>
          <cell r="C27" t="str">
            <v>F2007</v>
          </cell>
          <cell r="D27" t="str">
            <v>F2008e</v>
          </cell>
          <cell r="E27" t="str">
            <v>F2009e</v>
          </cell>
          <cell r="F27" t="str">
            <v>F2010e</v>
          </cell>
        </row>
        <row r="28">
          <cell r="A28" t="str">
            <v>Growth</v>
          </cell>
        </row>
        <row r="29">
          <cell r="A29" t="str">
            <v>Sales (%)</v>
          </cell>
          <cell r="B29">
            <v>29</v>
          </cell>
          <cell r="C29">
            <v>33</v>
          </cell>
          <cell r="D29">
            <v>50.9</v>
          </cell>
          <cell r="E29">
            <v>37.799999999999997</v>
          </cell>
          <cell r="F29">
            <v>33.200000000000003</v>
          </cell>
        </row>
        <row r="30">
          <cell r="A30" t="str">
            <v>EBITDA (%)</v>
          </cell>
          <cell r="B30">
            <v>46</v>
          </cell>
          <cell r="C30">
            <v>28.3</v>
          </cell>
          <cell r="D30">
            <v>30.1</v>
          </cell>
          <cell r="E30">
            <v>42.4</v>
          </cell>
          <cell r="F30">
            <v>36.1</v>
          </cell>
        </row>
        <row r="31">
          <cell r="A31" t="str">
            <v>EBIT (%)</v>
          </cell>
          <cell r="B31">
            <v>43</v>
          </cell>
          <cell r="C31">
            <v>24.5</v>
          </cell>
          <cell r="D31">
            <v>29.5</v>
          </cell>
          <cell r="E31">
            <v>50.8</v>
          </cell>
          <cell r="F31">
            <v>41.8</v>
          </cell>
        </row>
        <row r="32">
          <cell r="A32" t="str">
            <v>Net Income (%)</v>
          </cell>
          <cell r="B32">
            <v>41.1</v>
          </cell>
          <cell r="C32">
            <v>35.6</v>
          </cell>
          <cell r="D32">
            <v>45.1</v>
          </cell>
          <cell r="E32">
            <v>30.7</v>
          </cell>
          <cell r="F32">
            <v>32.700000000000003</v>
          </cell>
        </row>
        <row r="33">
          <cell r="A33" t="str">
            <v>EPS (%)</v>
          </cell>
          <cell r="B33">
            <v>32.700000000000003</v>
          </cell>
          <cell r="C33">
            <v>14.4</v>
          </cell>
          <cell r="D33">
            <v>35</v>
          </cell>
          <cell r="E33">
            <v>32.6</v>
          </cell>
          <cell r="F33">
            <v>30.4</v>
          </cell>
        </row>
        <row r="35">
          <cell r="A35" t="str">
            <v>Margins</v>
          </cell>
        </row>
        <row r="36">
          <cell r="A36" t="str">
            <v>Gross Margin (%)</v>
          </cell>
          <cell r="B36">
            <v>42.9</v>
          </cell>
          <cell r="C36">
            <v>41.2</v>
          </cell>
          <cell r="D36">
            <v>35.6</v>
          </cell>
          <cell r="E36">
            <v>36.9</v>
          </cell>
          <cell r="F36">
            <v>37.799999999999997</v>
          </cell>
        </row>
        <row r="37">
          <cell r="A37" t="str">
            <v>EBITDA (%)</v>
          </cell>
          <cell r="B37">
            <v>43.3</v>
          </cell>
          <cell r="C37">
            <v>41.7</v>
          </cell>
          <cell r="D37">
            <v>36</v>
          </cell>
          <cell r="E37">
            <v>37.200000000000003</v>
          </cell>
          <cell r="F37">
            <v>38</v>
          </cell>
        </row>
        <row r="38">
          <cell r="A38" t="str">
            <v>EBIT (%)</v>
          </cell>
          <cell r="B38">
            <v>29.3</v>
          </cell>
          <cell r="C38">
            <v>27.4</v>
          </cell>
          <cell r="D38">
            <v>23.5</v>
          </cell>
          <cell r="E38">
            <v>25.8</v>
          </cell>
          <cell r="F38">
            <v>27.4</v>
          </cell>
        </row>
        <row r="39">
          <cell r="A39" t="str">
            <v>Net Income (%)</v>
          </cell>
          <cell r="B39">
            <v>23.8</v>
          </cell>
          <cell r="C39">
            <v>24.3</v>
          </cell>
          <cell r="D39">
            <v>23.3</v>
          </cell>
          <cell r="E39">
            <v>22.2</v>
          </cell>
          <cell r="F39">
            <v>22.1</v>
          </cell>
        </row>
        <row r="41">
          <cell r="A41" t="str">
            <v xml:space="preserve">Returns </v>
          </cell>
        </row>
        <row r="42">
          <cell r="A42" t="str">
            <v>ROE (%)</v>
          </cell>
          <cell r="B42">
            <v>27.9</v>
          </cell>
          <cell r="C42">
            <v>18.3</v>
          </cell>
          <cell r="D42">
            <v>23.9</v>
          </cell>
          <cell r="E42">
            <v>20.5</v>
          </cell>
          <cell r="F42">
            <v>24.7</v>
          </cell>
        </row>
        <row r="43">
          <cell r="A43" t="str">
            <v>Rtn on Net Op. Assets (%)</v>
          </cell>
          <cell r="B43">
            <v>23.1</v>
          </cell>
          <cell r="C43">
            <v>20.100000000000001</v>
          </cell>
          <cell r="D43">
            <v>21.3</v>
          </cell>
          <cell r="E43">
            <v>21.9</v>
          </cell>
          <cell r="F43">
            <v>23.8</v>
          </cell>
        </row>
        <row r="45">
          <cell r="A45" t="str">
            <v>Leverage</v>
          </cell>
        </row>
        <row r="46">
          <cell r="A46" t="str">
            <v>Net Debt/Equity (%)</v>
          </cell>
          <cell r="B46">
            <v>-8.4</v>
          </cell>
          <cell r="C46">
            <v>-2</v>
          </cell>
          <cell r="D46">
            <v>-12.5</v>
          </cell>
          <cell r="E46">
            <v>0.3</v>
          </cell>
          <cell r="F46">
            <v>-1.3</v>
          </cell>
        </row>
        <row r="47">
          <cell r="A47" t="str">
            <v>Gross Debt/Equity (%)</v>
          </cell>
          <cell r="B47">
            <v>1</v>
          </cell>
          <cell r="C47">
            <v>59</v>
          </cell>
          <cell r="D47">
            <v>47.7</v>
          </cell>
          <cell r="E47">
            <v>75.599999999999994</v>
          </cell>
          <cell r="F47">
            <v>78.400000000000006</v>
          </cell>
        </row>
        <row r="48">
          <cell r="A48" t="str">
            <v>Source: Company data, FactSet, Morgan Stanley Research</v>
          </cell>
        </row>
      </sheetData>
      <sheetData sheetId="4"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E2">
            <v>0</v>
          </cell>
        </row>
        <row r="5">
          <cell r="A5" t="str">
            <v>FY10e</v>
          </cell>
          <cell r="B5">
            <v>383</v>
          </cell>
          <cell r="C5">
            <v>292</v>
          </cell>
          <cell r="D5">
            <v>437</v>
          </cell>
          <cell r="E5">
            <v>292</v>
          </cell>
          <cell r="F5">
            <v>145</v>
          </cell>
          <cell r="G5">
            <v>383</v>
          </cell>
          <cell r="J5">
            <v>54</v>
          </cell>
          <cell r="K5">
            <v>91</v>
          </cell>
        </row>
        <row r="12">
          <cell r="L12">
            <v>3.4285714285714284</v>
          </cell>
        </row>
        <row r="21">
          <cell r="J21">
            <v>1.75</v>
          </cell>
          <cell r="K21">
            <v>3.5</v>
          </cell>
        </row>
        <row r="22">
          <cell r="J22">
            <v>1.31</v>
          </cell>
          <cell r="K22">
            <v>2.62</v>
          </cell>
        </row>
      </sheetData>
      <sheetData sheetId="5" refreshError="1">
        <row r="4">
          <cell r="C4" t="str">
            <v>Buys</v>
          </cell>
          <cell r="D4">
            <v>4</v>
          </cell>
        </row>
        <row r="5">
          <cell r="C5" t="str">
            <v>Holds</v>
          </cell>
          <cell r="D5">
            <v>0</v>
          </cell>
        </row>
        <row r="6">
          <cell r="C6" t="str">
            <v>Sells</v>
          </cell>
          <cell r="D6">
            <v>0</v>
          </cell>
        </row>
      </sheetData>
      <sheetData sheetId="6"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10.74</v>
          </cell>
          <cell r="E2">
            <v>10.74</v>
          </cell>
        </row>
        <row r="3">
          <cell r="A3" t="str">
            <v>FY08e</v>
          </cell>
          <cell r="B3">
            <v>14.5</v>
          </cell>
          <cell r="C3">
            <v>12.4</v>
          </cell>
          <cell r="D3">
            <v>15.72</v>
          </cell>
          <cell r="E3">
            <v>12.4</v>
          </cell>
          <cell r="F3">
            <v>3.3200000000000003</v>
          </cell>
          <cell r="J3">
            <v>1.2200000000000006</v>
          </cell>
          <cell r="K3">
            <v>2.0999999999999996</v>
          </cell>
        </row>
        <row r="4">
          <cell r="A4" t="str">
            <v>FY09e</v>
          </cell>
          <cell r="B4">
            <v>19.239999999999998</v>
          </cell>
          <cell r="C4">
            <v>15.5</v>
          </cell>
          <cell r="D4">
            <v>21.07</v>
          </cell>
          <cell r="E4">
            <v>15.5</v>
          </cell>
          <cell r="F4">
            <v>5.57</v>
          </cell>
          <cell r="J4">
            <v>1.8300000000000018</v>
          </cell>
          <cell r="K4">
            <v>3.7399999999999984</v>
          </cell>
        </row>
        <row r="5">
          <cell r="A5" t="str">
            <v>FY10e</v>
          </cell>
          <cell r="B5">
            <v>25.45</v>
          </cell>
          <cell r="C5">
            <v>19.7</v>
          </cell>
          <cell r="D5">
            <v>31.2</v>
          </cell>
          <cell r="E5">
            <v>19.7</v>
          </cell>
          <cell r="F5">
            <v>11.5</v>
          </cell>
          <cell r="G5">
            <v>25.45</v>
          </cell>
          <cell r="J5">
            <v>5.75</v>
          </cell>
          <cell r="K5">
            <v>5.75</v>
          </cell>
        </row>
        <row r="12">
          <cell r="L12">
            <v>3.4285714285714284</v>
          </cell>
        </row>
      </sheetData>
      <sheetData sheetId="7" refreshError="1">
        <row r="1">
          <cell r="C1">
            <v>22</v>
          </cell>
          <cell r="G1" t="e">
            <v>#REF!</v>
          </cell>
          <cell r="L1" t="str">
            <v>{CMicroBar}</v>
          </cell>
        </row>
        <row r="4">
          <cell r="C4" t="str">
            <v>Current
Price</v>
          </cell>
          <cell r="D4" t="str">
            <v>Price
Target</v>
          </cell>
          <cell r="F4" t="str">
            <v xml:space="preserve"> Upside to
 Price Target</v>
          </cell>
          <cell r="I4" t="str">
            <v xml:space="preserve">
Ratings</v>
          </cell>
        </row>
        <row r="6">
          <cell r="G6" t="str">
            <v></v>
          </cell>
          <cell r="I6" t="str">
            <v>Buy</v>
          </cell>
          <cell r="J6" t="str">
            <v>Hold</v>
          </cell>
          <cell r="K6" t="str">
            <v>Sell</v>
          </cell>
        </row>
        <row r="7">
          <cell r="B7" t="str">
            <v xml:space="preserve">Vakrangee Softwares </v>
          </cell>
          <cell r="C7">
            <v>255.55</v>
          </cell>
          <cell r="D7">
            <v>435</v>
          </cell>
          <cell r="F7">
            <v>0.70221091762864407</v>
          </cell>
          <cell r="G7" t="str">
            <v></v>
          </cell>
          <cell r="I7">
            <v>2</v>
          </cell>
          <cell r="J7" t="str">
            <v/>
          </cell>
          <cell r="K7" t="str">
            <v/>
          </cell>
          <cell r="L7" t="str">
            <v></v>
          </cell>
          <cell r="M7">
            <v>2</v>
          </cell>
        </row>
        <row r="8">
          <cell r="B8" t="str">
            <v xml:space="preserve">Tanla Solutions </v>
          </cell>
          <cell r="C8">
            <v>278.25</v>
          </cell>
          <cell r="D8">
            <v>426</v>
          </cell>
          <cell r="F8">
            <v>0.53099730458221028</v>
          </cell>
          <cell r="G8" t="str">
            <v></v>
          </cell>
          <cell r="I8">
            <v>3</v>
          </cell>
          <cell r="J8" t="str">
            <v/>
          </cell>
          <cell r="K8" t="str">
            <v/>
          </cell>
          <cell r="L8" t="str">
            <v></v>
          </cell>
          <cell r="M8">
            <v>3</v>
          </cell>
        </row>
        <row r="9">
          <cell r="B9" t="str">
            <v xml:space="preserve">3I Infotech </v>
          </cell>
          <cell r="C9">
            <v>119.5</v>
          </cell>
          <cell r="D9">
            <v>170</v>
          </cell>
          <cell r="F9">
            <v>0.42259414225941422</v>
          </cell>
          <cell r="G9" t="str">
            <v></v>
          </cell>
          <cell r="I9">
            <v>6</v>
          </cell>
          <cell r="J9" t="str">
            <v/>
          </cell>
          <cell r="K9" t="str">
            <v/>
          </cell>
          <cell r="L9" t="str">
            <v></v>
          </cell>
          <cell r="M9">
            <v>6</v>
          </cell>
        </row>
        <row r="10">
          <cell r="B10" t="str">
            <v xml:space="preserve">Rolta India </v>
          </cell>
          <cell r="C10">
            <v>309.25</v>
          </cell>
          <cell r="D10">
            <v>402.5</v>
          </cell>
          <cell r="F10">
            <v>0.32728771640560594</v>
          </cell>
          <cell r="G10" t="str">
            <v></v>
          </cell>
          <cell r="I10">
            <v>4</v>
          </cell>
          <cell r="J10" t="str">
            <v/>
          </cell>
          <cell r="K10" t="str">
            <v/>
          </cell>
          <cell r="L10" t="str">
            <v></v>
          </cell>
          <cell r="M10">
            <v>4</v>
          </cell>
        </row>
        <row r="11">
          <cell r="B11" t="str">
            <v xml:space="preserve">Mphasis </v>
          </cell>
          <cell r="C11">
            <v>237.8</v>
          </cell>
          <cell r="D11">
            <v>265</v>
          </cell>
          <cell r="F11">
            <v>0.1143818334735071</v>
          </cell>
          <cell r="G11" t="str">
            <v></v>
          </cell>
          <cell r="I11">
            <v>8</v>
          </cell>
          <cell r="J11">
            <v>5</v>
          </cell>
          <cell r="K11">
            <v>1</v>
          </cell>
          <cell r="L11" t="str">
            <v></v>
          </cell>
          <cell r="M11">
            <v>14</v>
          </cell>
        </row>
        <row r="12">
          <cell r="B12" t="str">
            <v xml:space="preserve">Tech Mahindra </v>
          </cell>
          <cell r="C12">
            <v>865</v>
          </cell>
          <cell r="D12">
            <v>932</v>
          </cell>
          <cell r="F12">
            <v>7.7456647398843934E-2</v>
          </cell>
          <cell r="G12" t="str">
            <v></v>
          </cell>
          <cell r="I12">
            <v>1</v>
          </cell>
          <cell r="J12">
            <v>6</v>
          </cell>
          <cell r="K12">
            <v>2</v>
          </cell>
          <cell r="L12" t="str">
            <v></v>
          </cell>
          <cell r="M12">
            <v>9</v>
          </cell>
        </row>
        <row r="13">
          <cell r="B13" t="str">
            <v xml:space="preserve">Tata Consultancy Services </v>
          </cell>
          <cell r="C13">
            <v>1029.25</v>
          </cell>
          <cell r="D13">
            <v>1083</v>
          </cell>
          <cell r="F13">
            <v>5.2222492105902359E-2</v>
          </cell>
          <cell r="G13" t="str">
            <v></v>
          </cell>
          <cell r="I13">
            <v>16</v>
          </cell>
          <cell r="J13">
            <v>10</v>
          </cell>
          <cell r="K13" t="str">
            <v/>
          </cell>
          <cell r="L13" t="str">
            <v></v>
          </cell>
          <cell r="M13">
            <v>26</v>
          </cell>
        </row>
        <row r="14">
          <cell r="B14" t="str">
            <v xml:space="preserve">Mastek </v>
          </cell>
          <cell r="C14">
            <v>400.05</v>
          </cell>
          <cell r="D14">
            <v>412</v>
          </cell>
          <cell r="F14">
            <v>2.9871266091738503E-2</v>
          </cell>
          <cell r="G14" t="str">
            <v></v>
          </cell>
          <cell r="I14">
            <v>1</v>
          </cell>
          <cell r="J14" t="str">
            <v/>
          </cell>
          <cell r="K14">
            <v>1</v>
          </cell>
          <cell r="L14" t="str">
            <v></v>
          </cell>
          <cell r="M14">
            <v>2</v>
          </cell>
        </row>
        <row r="15">
          <cell r="B15" t="str">
            <v xml:space="preserve">Mindtree </v>
          </cell>
          <cell r="C15">
            <v>467.65</v>
          </cell>
          <cell r="D15">
            <v>472.5</v>
          </cell>
          <cell r="F15">
            <v>1.0371003955949889E-2</v>
          </cell>
          <cell r="G15" t="str">
            <v></v>
          </cell>
          <cell r="I15">
            <v>1</v>
          </cell>
          <cell r="J15">
            <v>4</v>
          </cell>
          <cell r="K15">
            <v>2</v>
          </cell>
          <cell r="L15" t="str">
            <v></v>
          </cell>
          <cell r="M15">
            <v>7</v>
          </cell>
        </row>
        <row r="16">
          <cell r="B16" t="str">
            <v xml:space="preserve">Wipro </v>
          </cell>
          <cell r="C16">
            <v>508</v>
          </cell>
          <cell r="D16">
            <v>500</v>
          </cell>
          <cell r="F16">
            <v>-1.5748031496062992E-2</v>
          </cell>
          <cell r="G16" t="str">
            <v></v>
          </cell>
          <cell r="I16">
            <v>12</v>
          </cell>
          <cell r="J16">
            <v>11</v>
          </cell>
          <cell r="K16">
            <v>2</v>
          </cell>
          <cell r="L16" t="str">
            <v></v>
          </cell>
          <cell r="M16">
            <v>25</v>
          </cell>
        </row>
        <row r="17">
          <cell r="B17" t="str">
            <v xml:space="preserve">Satyam Computer Services </v>
          </cell>
          <cell r="C17">
            <v>523.75</v>
          </cell>
          <cell r="D17">
            <v>512.5</v>
          </cell>
          <cell r="F17">
            <v>-2.1479713603818614E-2</v>
          </cell>
          <cell r="G17" t="str">
            <v></v>
          </cell>
          <cell r="I17">
            <v>18</v>
          </cell>
          <cell r="J17">
            <v>7</v>
          </cell>
          <cell r="K17" t="str">
            <v/>
          </cell>
          <cell r="L17" t="str">
            <v></v>
          </cell>
          <cell r="M17">
            <v>25</v>
          </cell>
        </row>
        <row r="18">
          <cell r="B18" t="str">
            <v xml:space="preserve">Infosys Technologies </v>
          </cell>
          <cell r="C18">
            <v>1957.55</v>
          </cell>
          <cell r="D18">
            <v>1900</v>
          </cell>
          <cell r="F18">
            <v>-2.9398993640009172E-2</v>
          </cell>
          <cell r="G18" t="str">
            <v></v>
          </cell>
          <cell r="I18">
            <v>21</v>
          </cell>
          <cell r="J18">
            <v>13</v>
          </cell>
          <cell r="K18" t="str">
            <v/>
          </cell>
          <cell r="L18" t="str">
            <v></v>
          </cell>
          <cell r="M18">
            <v>34</v>
          </cell>
        </row>
        <row r="19">
          <cell r="B19" t="str">
            <v xml:space="preserve">HCL Technologies </v>
          </cell>
          <cell r="C19">
            <v>312.89999999999998</v>
          </cell>
          <cell r="D19">
            <v>302</v>
          </cell>
          <cell r="F19">
            <v>-3.4835410674336952E-2</v>
          </cell>
          <cell r="G19" t="str">
            <v></v>
          </cell>
          <cell r="I19">
            <v>8</v>
          </cell>
          <cell r="J19">
            <v>7</v>
          </cell>
          <cell r="K19" t="str">
            <v/>
          </cell>
          <cell r="L19" t="str">
            <v></v>
          </cell>
          <cell r="M19">
            <v>15</v>
          </cell>
        </row>
        <row r="20">
          <cell r="B20" t="str">
            <v xml:space="preserve">Polaris Software Laboratory </v>
          </cell>
          <cell r="C20">
            <v>105.7</v>
          </cell>
          <cell r="D20">
            <v>90</v>
          </cell>
          <cell r="F20">
            <v>-0.14853358561967836</v>
          </cell>
          <cell r="G20" t="str">
            <v></v>
          </cell>
          <cell r="I20">
            <v>1</v>
          </cell>
          <cell r="J20" t="str">
            <v/>
          </cell>
          <cell r="K20">
            <v>2</v>
          </cell>
          <cell r="L20" t="str">
            <v></v>
          </cell>
          <cell r="M20">
            <v>3</v>
          </cell>
        </row>
        <row r="21">
          <cell r="B21" t="str">
            <v xml:space="preserve">Nucleus Software Exports </v>
          </cell>
          <cell r="C21">
            <v>264.05</v>
          </cell>
          <cell r="D21" t="str">
            <v>NA</v>
          </cell>
          <cell r="F21" t="str">
            <v>NA</v>
          </cell>
          <cell r="G21" t="str">
            <v></v>
          </cell>
          <cell r="I21">
            <v>2</v>
          </cell>
          <cell r="J21" t="str">
            <v/>
          </cell>
          <cell r="K21" t="str">
            <v/>
          </cell>
          <cell r="L21" t="str">
            <v></v>
          </cell>
          <cell r="M21">
            <v>2</v>
          </cell>
        </row>
      </sheetData>
      <sheetData sheetId="8"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Sales</v>
          </cell>
          <cell r="E12" t="str">
            <v>EBIT</v>
          </cell>
          <cell r="F12" t="str">
            <v>EPS</v>
          </cell>
          <cell r="AH12" t="str">
            <v>No.</v>
          </cell>
          <cell r="AI12" t="str">
            <v>HighlightYes</v>
          </cell>
          <cell r="AJ12" t="str">
            <v>HighlightNo</v>
          </cell>
          <cell r="AL12" t="str">
            <v>ArrowLine</v>
          </cell>
        </row>
        <row r="13">
          <cell r="C13">
            <v>2003</v>
          </cell>
          <cell r="I13" t="b">
            <v>0</v>
          </cell>
          <cell r="AH13">
            <v>1</v>
          </cell>
          <cell r="AI13">
            <v>0</v>
          </cell>
          <cell r="AJ13">
            <v>0</v>
          </cell>
          <cell r="AL13">
            <v>0</v>
          </cell>
        </row>
        <row r="14">
          <cell r="C14">
            <v>2004</v>
          </cell>
          <cell r="D14">
            <v>0.31187326270466853</v>
          </cell>
          <cell r="E14">
            <v>6.5133423113751698E-2</v>
          </cell>
          <cell r="F14">
            <v>0.18579881656804731</v>
          </cell>
          <cell r="I14" t="b">
            <v>0</v>
          </cell>
          <cell r="AH14">
            <v>2</v>
          </cell>
          <cell r="AI14">
            <v>0</v>
          </cell>
          <cell r="AJ14">
            <v>0.31187326270466853</v>
          </cell>
          <cell r="AL14">
            <v>0.31187326270466853</v>
          </cell>
        </row>
        <row r="15">
          <cell r="C15">
            <v>2005</v>
          </cell>
          <cell r="D15">
            <v>0.18264296061064944</v>
          </cell>
          <cell r="E15">
            <v>0.30512660813107284</v>
          </cell>
          <cell r="F15">
            <v>0.41317365269461082</v>
          </cell>
          <cell r="I15" t="b">
            <v>0</v>
          </cell>
          <cell r="AH15">
            <v>3</v>
          </cell>
          <cell r="AI15">
            <v>0</v>
          </cell>
          <cell r="AJ15">
            <v>0.18264296061064944</v>
          </cell>
          <cell r="AL15">
            <v>0.18264296061064944</v>
          </cell>
        </row>
        <row r="16">
          <cell r="C16">
            <v>2006</v>
          </cell>
          <cell r="D16">
            <v>0.29018463316470955</v>
          </cell>
          <cell r="E16">
            <v>0.42963236025428464</v>
          </cell>
          <cell r="F16">
            <v>0.33262711864406791</v>
          </cell>
          <cell r="I16" t="b">
            <v>0</v>
          </cell>
          <cell r="AH16">
            <v>4</v>
          </cell>
          <cell r="AI16">
            <v>0</v>
          </cell>
          <cell r="AJ16">
            <v>0.29018463316470955</v>
          </cell>
          <cell r="AL16">
            <v>0.29018463316470955</v>
          </cell>
        </row>
        <row r="17">
          <cell r="C17">
            <v>2007</v>
          </cell>
          <cell r="D17">
            <v>0.32998586132285745</v>
          </cell>
          <cell r="E17">
            <v>0.24485651208492287</v>
          </cell>
          <cell r="F17">
            <v>0.1436142024377316</v>
          </cell>
          <cell r="I17" t="b">
            <v>0</v>
          </cell>
          <cell r="AH17">
            <v>5</v>
          </cell>
          <cell r="AI17">
            <v>0</v>
          </cell>
          <cell r="AJ17">
            <v>0.32998586132285745</v>
          </cell>
          <cell r="AL17">
            <v>0.32998586132285745</v>
          </cell>
        </row>
        <row r="18">
          <cell r="C18" t="str">
            <v>2008e</v>
          </cell>
          <cell r="D18">
            <v>0.50878144469082964</v>
          </cell>
          <cell r="E18">
            <v>0.36689989556107516</v>
          </cell>
          <cell r="F18">
            <v>0.34994434133837671</v>
          </cell>
          <cell r="I18" t="b">
            <v>1</v>
          </cell>
          <cell r="AH18">
            <v>6</v>
          </cell>
          <cell r="AI18">
            <v>0.50878144469082964</v>
          </cell>
          <cell r="AJ18">
            <v>0</v>
          </cell>
          <cell r="AL18">
            <v>0.50878144469082964</v>
          </cell>
        </row>
        <row r="19">
          <cell r="C19" t="str">
            <v>2009e</v>
          </cell>
          <cell r="D19">
            <v>0.37778295404253348</v>
          </cell>
          <cell r="E19">
            <v>0.50803051476846695</v>
          </cell>
          <cell r="F19">
            <v>0.32665162839496165</v>
          </cell>
          <cell r="I19" t="b">
            <v>1</v>
          </cell>
          <cell r="AH19">
            <v>7</v>
          </cell>
          <cell r="AI19">
            <v>0.37778295404253348</v>
          </cell>
          <cell r="AJ19">
            <v>0</v>
          </cell>
          <cell r="AL19">
            <v>0.37778295404253348</v>
          </cell>
        </row>
        <row r="20">
          <cell r="C20" t="str">
            <v>2010e</v>
          </cell>
          <cell r="D20">
            <v>0.332485764907962</v>
          </cell>
          <cell r="E20">
            <v>0.41772570597516068</v>
          </cell>
          <cell r="F20">
            <v>0.32278500748378502</v>
          </cell>
          <cell r="I20" t="b">
            <v>1</v>
          </cell>
          <cell r="AH20">
            <v>8</v>
          </cell>
          <cell r="AI20">
            <v>0.332485764907962</v>
          </cell>
          <cell r="AJ20">
            <v>0</v>
          </cell>
          <cell r="AL20">
            <v>0.332485764907962</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9"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weighted average for the sector</v>
          </cell>
          <cell r="E12" t="str">
            <v>Rolta vs.</v>
          </cell>
          <cell r="AH12" t="str">
            <v>No.</v>
          </cell>
          <cell r="AI12" t="str">
            <v>HighlightYes</v>
          </cell>
          <cell r="AJ12" t="str">
            <v>HighlightNo</v>
          </cell>
          <cell r="AL12" t="str">
            <v>ArrowLine</v>
          </cell>
        </row>
        <row r="13">
          <cell r="C13">
            <v>2003</v>
          </cell>
          <cell r="D13">
            <v>0.35617798469332757</v>
          </cell>
          <cell r="I13" t="b">
            <v>0</v>
          </cell>
          <cell r="AH13">
            <v>1</v>
          </cell>
          <cell r="AI13">
            <v>0</v>
          </cell>
          <cell r="AJ13">
            <v>0.35617798469332757</v>
          </cell>
          <cell r="AL13">
            <v>0.35617798469332757</v>
          </cell>
        </row>
        <row r="14">
          <cell r="C14">
            <v>2004</v>
          </cell>
          <cell r="D14">
            <v>0.38073102782003621</v>
          </cell>
          <cell r="E14">
            <v>0.31187326270466853</v>
          </cell>
          <cell r="I14" t="b">
            <v>0</v>
          </cell>
          <cell r="AH14">
            <v>2</v>
          </cell>
          <cell r="AI14">
            <v>0</v>
          </cell>
          <cell r="AJ14">
            <v>0.38073102782003621</v>
          </cell>
          <cell r="AL14">
            <v>0.38073102782003621</v>
          </cell>
        </row>
        <row r="15">
          <cell r="C15">
            <v>2005</v>
          </cell>
          <cell r="D15">
            <v>0.40930798429987508</v>
          </cell>
          <cell r="E15">
            <v>0.18264296061064944</v>
          </cell>
          <cell r="I15" t="b">
            <v>0</v>
          </cell>
          <cell r="AH15">
            <v>3</v>
          </cell>
          <cell r="AI15">
            <v>0</v>
          </cell>
          <cell r="AJ15">
            <v>0.40930798429987508</v>
          </cell>
          <cell r="AL15">
            <v>0.40930798429987508</v>
          </cell>
        </row>
        <row r="16">
          <cell r="C16">
            <v>2006</v>
          </cell>
          <cell r="D16">
            <v>0.42653065029543547</v>
          </cell>
          <cell r="E16">
            <v>0.29018463316470955</v>
          </cell>
          <cell r="I16" t="b">
            <v>0</v>
          </cell>
          <cell r="AH16">
            <v>4</v>
          </cell>
          <cell r="AI16">
            <v>0</v>
          </cell>
          <cell r="AJ16">
            <v>0.42653065029543547</v>
          </cell>
          <cell r="AL16">
            <v>0.42653065029543547</v>
          </cell>
        </row>
        <row r="17">
          <cell r="C17">
            <v>2007</v>
          </cell>
          <cell r="D17">
            <v>0.29606810487992569</v>
          </cell>
          <cell r="E17">
            <v>0.32998586132285745</v>
          </cell>
          <cell r="I17" t="b">
            <v>0</v>
          </cell>
          <cell r="AH17">
            <v>5</v>
          </cell>
          <cell r="AI17">
            <v>0</v>
          </cell>
          <cell r="AJ17">
            <v>0.29606810487992569</v>
          </cell>
          <cell r="AL17">
            <v>0.29606810487992569</v>
          </cell>
        </row>
        <row r="18">
          <cell r="C18" t="str">
            <v>2008e</v>
          </cell>
          <cell r="D18">
            <v>0.26799597071356773</v>
          </cell>
          <cell r="E18">
            <v>0.50878144469082964</v>
          </cell>
          <cell r="I18" t="b">
            <v>1</v>
          </cell>
          <cell r="AH18">
            <v>6</v>
          </cell>
          <cell r="AI18">
            <v>0.26799597071356773</v>
          </cell>
          <cell r="AJ18">
            <v>0</v>
          </cell>
          <cell r="AL18">
            <v>0.26799597071356773</v>
          </cell>
        </row>
        <row r="19">
          <cell r="C19" t="str">
            <v>2009e</v>
          </cell>
          <cell r="D19">
            <v>0.24883238217539563</v>
          </cell>
          <cell r="E19">
            <v>0.37778295404253348</v>
          </cell>
          <cell r="I19" t="b">
            <v>1</v>
          </cell>
          <cell r="AH19">
            <v>7</v>
          </cell>
          <cell r="AI19">
            <v>0.24883238217539563</v>
          </cell>
          <cell r="AJ19">
            <v>0</v>
          </cell>
          <cell r="AL19">
            <v>0.24883238217539563</v>
          </cell>
        </row>
        <row r="20">
          <cell r="C20" t="str">
            <v>2010e</v>
          </cell>
          <cell r="D20">
            <v>0.21853682210406927</v>
          </cell>
          <cell r="E20">
            <v>0.332485764907962</v>
          </cell>
          <cell r="I20" t="b">
            <v>1</v>
          </cell>
          <cell r="AH20">
            <v>8</v>
          </cell>
          <cell r="AI20">
            <v>0.21853682210406927</v>
          </cell>
          <cell r="AJ20">
            <v>0</v>
          </cell>
          <cell r="AL20">
            <v>0.21853682210406927</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10"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weighted average for the sector</v>
          </cell>
          <cell r="E12" t="str">
            <v>Rolta vs.</v>
          </cell>
          <cell r="AH12" t="str">
            <v>No.</v>
          </cell>
          <cell r="AI12" t="str">
            <v>HighlightYes</v>
          </cell>
          <cell r="AJ12" t="str">
            <v>HighlightNo</v>
          </cell>
          <cell r="AL12" t="str">
            <v>ArrowLine</v>
          </cell>
        </row>
        <row r="13">
          <cell r="C13">
            <v>2003</v>
          </cell>
          <cell r="D13">
            <v>-9.0642938402324541E-2</v>
          </cell>
          <cell r="I13" t="b">
            <v>0</v>
          </cell>
          <cell r="AH13">
            <v>1</v>
          </cell>
          <cell r="AI13">
            <v>0</v>
          </cell>
          <cell r="AJ13">
            <v>-9.0642938402324541E-2</v>
          </cell>
          <cell r="AL13">
            <v>-9.0642938402324541E-2</v>
          </cell>
        </row>
        <row r="14">
          <cell r="C14">
            <v>2004</v>
          </cell>
          <cell r="D14">
            <v>0.29174253362478225</v>
          </cell>
          <cell r="E14">
            <v>6.5133423113751698E-2</v>
          </cell>
          <cell r="I14" t="b">
            <v>0</v>
          </cell>
          <cell r="AH14">
            <v>2</v>
          </cell>
          <cell r="AI14">
            <v>0</v>
          </cell>
          <cell r="AJ14">
            <v>0.29174253362478225</v>
          </cell>
          <cell r="AL14">
            <v>0.29174253362478225</v>
          </cell>
        </row>
        <row r="15">
          <cell r="C15">
            <v>2005</v>
          </cell>
          <cell r="D15">
            <v>0.42362563981950424</v>
          </cell>
          <cell r="E15">
            <v>0.30512660813107284</v>
          </cell>
          <cell r="I15" t="b">
            <v>0</v>
          </cell>
          <cell r="AH15">
            <v>3</v>
          </cell>
          <cell r="AI15">
            <v>0</v>
          </cell>
          <cell r="AJ15">
            <v>0.42362563981950424</v>
          </cell>
          <cell r="AL15">
            <v>0.42362563981950424</v>
          </cell>
        </row>
        <row r="16">
          <cell r="C16">
            <v>2006</v>
          </cell>
          <cell r="D16">
            <v>0.33482867122814242</v>
          </cell>
          <cell r="E16">
            <v>0.42963236025428464</v>
          </cell>
          <cell r="I16" t="b">
            <v>0</v>
          </cell>
          <cell r="AH16">
            <v>4</v>
          </cell>
          <cell r="AI16">
            <v>0</v>
          </cell>
          <cell r="AJ16">
            <v>0.33482867122814242</v>
          </cell>
          <cell r="AL16">
            <v>0.33482867122814242</v>
          </cell>
        </row>
        <row r="17">
          <cell r="C17">
            <v>2007</v>
          </cell>
          <cell r="D17">
            <v>0.55478629611326302</v>
          </cell>
          <cell r="E17">
            <v>0.24485651208492287</v>
          </cell>
          <cell r="I17" t="b">
            <v>0</v>
          </cell>
          <cell r="AH17">
            <v>5</v>
          </cell>
          <cell r="AI17">
            <v>0</v>
          </cell>
          <cell r="AJ17">
            <v>0.55478629611326302</v>
          </cell>
          <cell r="AL17">
            <v>0.55478629611326302</v>
          </cell>
        </row>
        <row r="18">
          <cell r="C18" t="str">
            <v>2008e</v>
          </cell>
          <cell r="D18">
            <v>0.19947771377918722</v>
          </cell>
          <cell r="E18">
            <v>0.36689989556107516</v>
          </cell>
          <cell r="I18" t="b">
            <v>1</v>
          </cell>
          <cell r="AH18">
            <v>6</v>
          </cell>
          <cell r="AI18">
            <v>0.19947771377918722</v>
          </cell>
          <cell r="AJ18">
            <v>0</v>
          </cell>
          <cell r="AL18">
            <v>0.19947771377918722</v>
          </cell>
        </row>
        <row r="19">
          <cell r="C19" t="str">
            <v>2009e</v>
          </cell>
          <cell r="D19">
            <v>0.21275120601233649</v>
          </cell>
          <cell r="E19">
            <v>0.50803051476846695</v>
          </cell>
          <cell r="I19" t="b">
            <v>1</v>
          </cell>
          <cell r="AH19">
            <v>7</v>
          </cell>
          <cell r="AI19">
            <v>0.21275120601233649</v>
          </cell>
          <cell r="AJ19">
            <v>0</v>
          </cell>
          <cell r="AL19">
            <v>0.21275120601233649</v>
          </cell>
        </row>
        <row r="20">
          <cell r="C20" t="str">
            <v>2010e</v>
          </cell>
          <cell r="D20">
            <v>0.18687457475322686</v>
          </cell>
          <cell r="E20">
            <v>0.41772570597516068</v>
          </cell>
          <cell r="I20" t="b">
            <v>1</v>
          </cell>
          <cell r="AH20">
            <v>8</v>
          </cell>
          <cell r="AI20">
            <v>0.18687457475322686</v>
          </cell>
          <cell r="AJ20">
            <v>0</v>
          </cell>
          <cell r="AL20">
            <v>0.18687457475322686</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11" refreshError="1">
        <row r="1">
          <cell r="U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H11" t="str">
            <v>Highlight?</v>
          </cell>
        </row>
        <row r="12">
          <cell r="D12" t="str">
            <v>weighted average for the sector</v>
          </cell>
          <cell r="E12" t="str">
            <v>Rolta vs.</v>
          </cell>
          <cell r="AH12" t="str">
            <v>No.</v>
          </cell>
          <cell r="AI12" t="str">
            <v>HighlightYes</v>
          </cell>
          <cell r="AJ12" t="str">
            <v>HighlightNo</v>
          </cell>
          <cell r="AL12" t="str">
            <v>ArrowLine</v>
          </cell>
        </row>
        <row r="13">
          <cell r="C13">
            <v>2003</v>
          </cell>
          <cell r="D13">
            <v>0.62355116052839754</v>
          </cell>
          <cell r="I13" t="b">
            <v>0</v>
          </cell>
          <cell r="AH13">
            <v>1</v>
          </cell>
          <cell r="AI13">
            <v>0</v>
          </cell>
          <cell r="AJ13">
            <v>0.62355116052839754</v>
          </cell>
          <cell r="AL13">
            <v>0.62355116052839754</v>
          </cell>
        </row>
        <row r="14">
          <cell r="C14">
            <v>2004</v>
          </cell>
          <cell r="D14">
            <v>0.55382469488034292</v>
          </cell>
          <cell r="E14">
            <v>0.18579881656804731</v>
          </cell>
          <cell r="I14" t="b">
            <v>0</v>
          </cell>
          <cell r="AH14">
            <v>2</v>
          </cell>
          <cell r="AI14">
            <v>0</v>
          </cell>
          <cell r="AJ14">
            <v>0.55382469488034292</v>
          </cell>
          <cell r="AL14">
            <v>0.55382469488034292</v>
          </cell>
        </row>
        <row r="15">
          <cell r="C15">
            <v>2005</v>
          </cell>
          <cell r="D15">
            <v>0.53192985991464103</v>
          </cell>
          <cell r="E15">
            <v>0.41317365269461082</v>
          </cell>
          <cell r="I15" t="b">
            <v>0</v>
          </cell>
          <cell r="AH15">
            <v>3</v>
          </cell>
          <cell r="AI15">
            <v>0</v>
          </cell>
          <cell r="AJ15">
            <v>0.53192985991464103</v>
          </cell>
          <cell r="AL15">
            <v>0.53192985991464103</v>
          </cell>
        </row>
        <row r="16">
          <cell r="C16">
            <v>2006</v>
          </cell>
          <cell r="D16">
            <v>0.40741507093361534</v>
          </cell>
          <cell r="E16">
            <v>0.33262711864406791</v>
          </cell>
          <cell r="I16" t="b">
            <v>0</v>
          </cell>
          <cell r="AH16">
            <v>4</v>
          </cell>
          <cell r="AI16">
            <v>0</v>
          </cell>
          <cell r="AJ16">
            <v>0.40741507093361534</v>
          </cell>
          <cell r="AL16">
            <v>0.40741507093361534</v>
          </cell>
        </row>
        <row r="17">
          <cell r="C17">
            <v>2007</v>
          </cell>
          <cell r="D17">
            <v>0.33262566574148378</v>
          </cell>
          <cell r="E17">
            <v>0.1436142024377316</v>
          </cell>
          <cell r="I17" t="b">
            <v>0</v>
          </cell>
          <cell r="AH17">
            <v>5</v>
          </cell>
          <cell r="AI17">
            <v>0</v>
          </cell>
          <cell r="AJ17">
            <v>0.33262566574148378</v>
          </cell>
          <cell r="AL17">
            <v>0.33262566574148378</v>
          </cell>
        </row>
        <row r="18">
          <cell r="C18" t="str">
            <v>2008e</v>
          </cell>
          <cell r="D18">
            <v>0.20019780693315919</v>
          </cell>
          <cell r="E18">
            <v>0.34994434133837671</v>
          </cell>
          <cell r="I18" t="b">
            <v>1</v>
          </cell>
          <cell r="AH18">
            <v>6</v>
          </cell>
          <cell r="AI18">
            <v>0.20019780693315919</v>
          </cell>
          <cell r="AJ18">
            <v>0</v>
          </cell>
          <cell r="AL18">
            <v>0.20019780693315919</v>
          </cell>
        </row>
        <row r="19">
          <cell r="C19" t="str">
            <v>2009e</v>
          </cell>
          <cell r="D19">
            <v>0.19569611391329428</v>
          </cell>
          <cell r="E19">
            <v>0.32665162839496165</v>
          </cell>
          <cell r="I19" t="b">
            <v>1</v>
          </cell>
          <cell r="AH19">
            <v>7</v>
          </cell>
          <cell r="AI19">
            <v>0.19569611391329428</v>
          </cell>
          <cell r="AJ19">
            <v>0</v>
          </cell>
          <cell r="AL19">
            <v>0.19569611391329428</v>
          </cell>
        </row>
        <row r="20">
          <cell r="C20" t="str">
            <v>2010e</v>
          </cell>
          <cell r="D20">
            <v>0.15482422000446469</v>
          </cell>
          <cell r="E20">
            <v>0.32278500748378502</v>
          </cell>
          <cell r="I20" t="b">
            <v>1</v>
          </cell>
          <cell r="AH20">
            <v>8</v>
          </cell>
          <cell r="AI20">
            <v>0.15482422000446469</v>
          </cell>
          <cell r="AJ20">
            <v>0</v>
          </cell>
          <cell r="AL20">
            <v>0.15482422000446469</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12" refreshError="1">
        <row r="1">
          <cell r="C1">
            <v>8</v>
          </cell>
          <cell r="D1">
            <v>10</v>
          </cell>
          <cell r="F1">
            <v>10</v>
          </cell>
          <cell r="H1">
            <v>10</v>
          </cell>
          <cell r="I1">
            <v>13</v>
          </cell>
          <cell r="J1">
            <v>10</v>
          </cell>
          <cell r="L1">
            <v>10</v>
          </cell>
          <cell r="Q1" t="str">
            <v>{CMicroBar}</v>
          </cell>
        </row>
        <row r="4">
          <cell r="C4" t="str">
            <v xml:space="preserve"> P/E (FY1)</v>
          </cell>
          <cell r="E4" t="str">
            <v xml:space="preserve"> P/Book</v>
          </cell>
          <cell r="G4" t="str">
            <v xml:space="preserve"> EV/Ebitda</v>
          </cell>
          <cell r="I4" t="str">
            <v xml:space="preserve"> EPS growth
 (2-yr fwd)</v>
          </cell>
          <cell r="K4" t="str">
            <v xml:space="preserve"> Upside to
 Price Target</v>
          </cell>
          <cell r="N4" t="str">
            <v xml:space="preserve">
Ratings</v>
          </cell>
        </row>
        <row r="6">
          <cell r="D6" t="str">
            <v></v>
          </cell>
          <cell r="F6" t="str">
            <v></v>
          </cell>
          <cell r="H6" t="str">
            <v></v>
          </cell>
          <cell r="J6" t="str">
            <v></v>
          </cell>
          <cell r="L6" t="str">
            <v>串懶</v>
          </cell>
          <cell r="N6" t="str">
            <v>Buy</v>
          </cell>
          <cell r="O6" t="str">
            <v>Hold</v>
          </cell>
          <cell r="P6" t="str">
            <v>Sell</v>
          </cell>
        </row>
        <row r="8">
          <cell r="B8" t="str">
            <v xml:space="preserve">Infosys Technologies </v>
          </cell>
          <cell r="C8">
            <v>23.165303750274681</v>
          </cell>
          <cell r="D8" t="str">
            <v></v>
          </cell>
          <cell r="E8">
            <v>5.92997</v>
          </cell>
          <cell r="F8" t="str">
            <v></v>
          </cell>
          <cell r="G8">
            <v>16.697620329855269</v>
          </cell>
          <cell r="H8" t="str">
            <v></v>
          </cell>
          <cell r="I8">
            <v>0.44916684604475132</v>
          </cell>
          <cell r="J8" t="str">
            <v></v>
          </cell>
          <cell r="K8">
            <v>-2.9398993640009172E-2</v>
          </cell>
          <cell r="L8" t="str">
            <v></v>
          </cell>
          <cell r="N8">
            <v>21</v>
          </cell>
          <cell r="O8">
            <v>13</v>
          </cell>
          <cell r="P8" t="str">
            <v/>
          </cell>
          <cell r="Q8" t="str">
            <v></v>
          </cell>
        </row>
        <row r="9">
          <cell r="B9" t="str">
            <v xml:space="preserve">Rolta India </v>
          </cell>
          <cell r="C9">
            <v>20.694458166823328</v>
          </cell>
          <cell r="D9" t="str">
            <v></v>
          </cell>
          <cell r="E9">
            <v>3.5718800000000002</v>
          </cell>
          <cell r="F9" t="str">
            <v></v>
          </cell>
          <cell r="G9">
            <v>16.154547701816412</v>
          </cell>
          <cell r="H9" t="str">
            <v></v>
          </cell>
          <cell r="I9">
            <v>0.79090585867912133</v>
          </cell>
          <cell r="J9" t="str">
            <v></v>
          </cell>
          <cell r="K9">
            <v>0.32728771640560594</v>
          </cell>
          <cell r="L9" t="str">
            <v></v>
          </cell>
          <cell r="N9">
            <v>4</v>
          </cell>
          <cell r="O9" t="str">
            <v/>
          </cell>
          <cell r="P9" t="str">
            <v/>
          </cell>
          <cell r="Q9" t="str">
            <v></v>
          </cell>
        </row>
        <row r="10">
          <cell r="B10" t="str">
            <v xml:space="preserve">Vakrangee Softwares </v>
          </cell>
          <cell r="C10">
            <v>20.301251956181531</v>
          </cell>
          <cell r="D10" t="str">
            <v></v>
          </cell>
          <cell r="E10">
            <v>1.46147</v>
          </cell>
          <cell r="F10" t="str">
            <v></v>
          </cell>
          <cell r="G10">
            <v>9.5269519425732483</v>
          </cell>
          <cell r="H10" t="str">
            <v></v>
          </cell>
          <cell r="I10">
            <v>1.333836098541981</v>
          </cell>
          <cell r="J10" t="str">
            <v></v>
          </cell>
          <cell r="K10">
            <v>0.70221091762864407</v>
          </cell>
          <cell r="L10" t="str">
            <v></v>
          </cell>
          <cell r="N10">
            <v>2</v>
          </cell>
          <cell r="O10" t="str">
            <v/>
          </cell>
          <cell r="P10" t="str">
            <v/>
          </cell>
          <cell r="Q10" t="str">
            <v></v>
          </cell>
        </row>
        <row r="11">
          <cell r="B11" t="str">
            <v xml:space="preserve">Satyam Computer Services </v>
          </cell>
          <cell r="C11">
            <v>19.718643799889353</v>
          </cell>
          <cell r="D11" t="str">
            <v></v>
          </cell>
          <cell r="E11">
            <v>5.4957700000000003</v>
          </cell>
          <cell r="F11" t="str">
            <v></v>
          </cell>
          <cell r="G11">
            <v>17.078127744277268</v>
          </cell>
          <cell r="H11" t="str">
            <v></v>
          </cell>
          <cell r="I11">
            <v>0.53100814894033643</v>
          </cell>
          <cell r="J11" t="str">
            <v></v>
          </cell>
          <cell r="K11">
            <v>-2.1479713603818614E-2</v>
          </cell>
          <cell r="L11" t="str">
            <v></v>
          </cell>
          <cell r="N11">
            <v>18</v>
          </cell>
          <cell r="O11">
            <v>7</v>
          </cell>
          <cell r="P11" t="str">
            <v/>
          </cell>
          <cell r="Q11" t="str">
            <v></v>
          </cell>
        </row>
        <row r="12">
          <cell r="B12" t="str">
            <v xml:space="preserve">Tata Consultancy Services </v>
          </cell>
          <cell r="C12">
            <v>18.737467646561658</v>
          </cell>
          <cell r="D12" t="str">
            <v></v>
          </cell>
          <cell r="E12">
            <v>13.614140000000001</v>
          </cell>
          <cell r="F12" t="str">
            <v></v>
          </cell>
          <cell r="G12">
            <v>17.602119655051197</v>
          </cell>
          <cell r="H12" t="str">
            <v></v>
          </cell>
          <cell r="I12">
            <v>0.38530689443930721</v>
          </cell>
          <cell r="J12" t="str">
            <v></v>
          </cell>
          <cell r="K12">
            <v>5.2222492105902359E-2</v>
          </cell>
          <cell r="L12" t="str">
            <v></v>
          </cell>
          <cell r="N12">
            <v>16</v>
          </cell>
          <cell r="O12">
            <v>10</v>
          </cell>
          <cell r="P12" t="str">
            <v/>
          </cell>
          <cell r="Q12" t="str">
            <v></v>
          </cell>
        </row>
        <row r="13">
          <cell r="B13" t="str">
            <v xml:space="preserve">Mphasis </v>
          </cell>
          <cell r="C13">
            <v>18.603477724334482</v>
          </cell>
          <cell r="D13" t="str">
            <v></v>
          </cell>
          <cell r="E13">
            <v>4.5919100000000004</v>
          </cell>
          <cell r="F13" t="str">
            <v></v>
          </cell>
          <cell r="G13" t="str">
            <v>NA</v>
          </cell>
          <cell r="H13" t="str">
            <v></v>
          </cell>
          <cell r="I13">
            <v>0.84296926496494584</v>
          </cell>
          <cell r="J13" t="str">
            <v></v>
          </cell>
          <cell r="K13">
            <v>0.1143818334735071</v>
          </cell>
          <cell r="L13" t="str">
            <v></v>
          </cell>
          <cell r="N13">
            <v>8</v>
          </cell>
          <cell r="O13">
            <v>5</v>
          </cell>
          <cell r="P13">
            <v>1</v>
          </cell>
          <cell r="Q13" t="str">
            <v></v>
          </cell>
        </row>
        <row r="14">
          <cell r="B14" t="str">
            <v xml:space="preserve">Wipro </v>
          </cell>
          <cell r="C14">
            <v>18.503024055060422</v>
          </cell>
          <cell r="D14" t="str">
            <v></v>
          </cell>
          <cell r="E14">
            <v>8.4862000000000002</v>
          </cell>
          <cell r="F14" t="str">
            <v></v>
          </cell>
          <cell r="G14">
            <v>19.653327362535961</v>
          </cell>
          <cell r="H14" t="str">
            <v></v>
          </cell>
          <cell r="I14">
            <v>0.419577732468563</v>
          </cell>
          <cell r="J14" t="str">
            <v></v>
          </cell>
          <cell r="K14">
            <v>-1.5748031496062992E-2</v>
          </cell>
          <cell r="L14" t="str">
            <v></v>
          </cell>
          <cell r="N14">
            <v>12</v>
          </cell>
          <cell r="O14">
            <v>11</v>
          </cell>
          <cell r="P14">
            <v>2</v>
          </cell>
          <cell r="Q14" t="str">
            <v></v>
          </cell>
        </row>
        <row r="15">
          <cell r="B15" t="str">
            <v xml:space="preserve">Mindtree </v>
          </cell>
          <cell r="C15">
            <v>17.848498130011894</v>
          </cell>
          <cell r="D15" t="str">
            <v></v>
          </cell>
          <cell r="E15">
            <v>7.19984</v>
          </cell>
          <cell r="F15" t="str">
            <v></v>
          </cell>
          <cell r="G15">
            <v>14.698193597463257</v>
          </cell>
          <cell r="H15" t="str">
            <v></v>
          </cell>
          <cell r="I15">
            <v>9.8563448275862164E-2</v>
          </cell>
          <cell r="J15" t="str">
            <v></v>
          </cell>
          <cell r="K15">
            <v>1.0371003955949889E-2</v>
          </cell>
          <cell r="L15" t="str">
            <v></v>
          </cell>
          <cell r="N15">
            <v>1</v>
          </cell>
          <cell r="O15">
            <v>4</v>
          </cell>
          <cell r="P15">
            <v>2</v>
          </cell>
          <cell r="Q15" t="str">
            <v></v>
          </cell>
        </row>
        <row r="16">
          <cell r="B16" t="str">
            <v xml:space="preserve">Tanla Solutions </v>
          </cell>
          <cell r="C16">
            <v>16.367534456355283</v>
          </cell>
          <cell r="D16" t="str">
            <v></v>
          </cell>
          <cell r="E16">
            <v>3.17971</v>
          </cell>
          <cell r="F16" t="str">
            <v></v>
          </cell>
          <cell r="G16">
            <v>21.602059422204459</v>
          </cell>
          <cell r="H16" t="str">
            <v></v>
          </cell>
          <cell r="I16">
            <v>1.4369973190348526</v>
          </cell>
          <cell r="J16" t="str">
            <v></v>
          </cell>
          <cell r="K16">
            <v>0.53099730458221028</v>
          </cell>
          <cell r="L16" t="str">
            <v></v>
          </cell>
          <cell r="N16">
            <v>3</v>
          </cell>
          <cell r="O16" t="str">
            <v/>
          </cell>
          <cell r="P16" t="str">
            <v/>
          </cell>
          <cell r="Q16" t="str">
            <v></v>
          </cell>
        </row>
        <row r="17">
          <cell r="B17" t="str">
            <v xml:space="preserve">HCL Technologies </v>
          </cell>
          <cell r="C17">
            <v>15.459382224372732</v>
          </cell>
          <cell r="D17" t="str">
            <v></v>
          </cell>
          <cell r="E17">
            <v>4.0106999999999999</v>
          </cell>
          <cell r="F17" t="str">
            <v></v>
          </cell>
          <cell r="G17">
            <v>19.440219078390026</v>
          </cell>
          <cell r="H17" t="str">
            <v></v>
          </cell>
          <cell r="I17">
            <v>5.6880861844350816E-2</v>
          </cell>
          <cell r="J17" t="str">
            <v></v>
          </cell>
          <cell r="K17">
            <v>-3.4835410674336952E-2</v>
          </cell>
          <cell r="L17" t="str">
            <v></v>
          </cell>
          <cell r="N17">
            <v>8</v>
          </cell>
          <cell r="O17">
            <v>7</v>
          </cell>
          <cell r="P17" t="str">
            <v/>
          </cell>
          <cell r="Q17" t="str">
            <v></v>
          </cell>
        </row>
        <row r="18">
          <cell r="B18" t="str">
            <v xml:space="preserve">Nucleus Software Exports </v>
          </cell>
          <cell r="C18">
            <v>13.882666666666667</v>
          </cell>
          <cell r="D18" t="str">
            <v></v>
          </cell>
          <cell r="E18">
            <v>9.3110999999999997</v>
          </cell>
          <cell r="F18" t="str">
            <v></v>
          </cell>
          <cell r="G18">
            <v>12.824442830371405</v>
          </cell>
          <cell r="H18" t="str">
            <v></v>
          </cell>
          <cell r="I18">
            <v>4.7441656623205875E-2</v>
          </cell>
          <cell r="J18" t="str">
            <v></v>
          </cell>
          <cell r="K18" t="str">
            <v>NA</v>
          </cell>
          <cell r="L18" t="str">
            <v></v>
          </cell>
          <cell r="N18">
            <v>2</v>
          </cell>
          <cell r="O18" t="str">
            <v/>
          </cell>
          <cell r="P18" t="str">
            <v/>
          </cell>
          <cell r="Q18" t="str">
            <v></v>
          </cell>
        </row>
        <row r="19">
          <cell r="B19" t="str">
            <v xml:space="preserve">Tech Mahindra </v>
          </cell>
          <cell r="C19">
            <v>13.812760765034616</v>
          </cell>
          <cell r="D19" t="str">
            <v></v>
          </cell>
          <cell r="E19">
            <v>18.844529999999999</v>
          </cell>
          <cell r="F19" t="str">
            <v></v>
          </cell>
          <cell r="G19">
            <v>13.450951219941436</v>
          </cell>
          <cell r="H19" t="str">
            <v></v>
          </cell>
          <cell r="I19">
            <v>0.58809925979642186</v>
          </cell>
          <cell r="J19" t="str">
            <v></v>
          </cell>
          <cell r="K19">
            <v>7.7456647398843934E-2</v>
          </cell>
          <cell r="L19" t="str">
            <v></v>
          </cell>
          <cell r="N19">
            <v>1</v>
          </cell>
          <cell r="O19">
            <v>6</v>
          </cell>
          <cell r="P19">
            <v>2</v>
          </cell>
          <cell r="Q19" t="str">
            <v></v>
          </cell>
        </row>
        <row r="20">
          <cell r="B20" t="str">
            <v xml:space="preserve">Polaris Software Laboratory </v>
          </cell>
          <cell r="C20">
            <v>12.618838282867314</v>
          </cell>
          <cell r="D20" t="str">
            <v></v>
          </cell>
          <cell r="E20">
            <v>2.9498799999999998</v>
          </cell>
          <cell r="F20" t="str">
            <v></v>
          </cell>
          <cell r="G20">
            <v>5.5999741994251204</v>
          </cell>
          <cell r="H20" t="str">
            <v></v>
          </cell>
          <cell r="I20">
            <v>-0.12422553463471286</v>
          </cell>
          <cell r="J20" t="str">
            <v></v>
          </cell>
          <cell r="K20">
            <v>-0.14853358561967836</v>
          </cell>
          <cell r="L20" t="str">
            <v></v>
          </cell>
          <cell r="N20">
            <v>1</v>
          </cell>
          <cell r="O20" t="str">
            <v/>
          </cell>
          <cell r="P20">
            <v>2</v>
          </cell>
          <cell r="Q20" t="str">
            <v></v>
          </cell>
        </row>
        <row r="21">
          <cell r="B21" t="str">
            <v xml:space="preserve">3I Infotech </v>
          </cell>
          <cell r="C21">
            <v>12.503755125606487</v>
          </cell>
          <cell r="D21" t="str">
            <v></v>
          </cell>
          <cell r="E21">
            <v>3.4301499999999998</v>
          </cell>
          <cell r="F21" t="str">
            <v></v>
          </cell>
          <cell r="G21">
            <v>14.896769610153628</v>
          </cell>
          <cell r="H21" t="str">
            <v></v>
          </cell>
          <cell r="I21">
            <v>0.76978386717628511</v>
          </cell>
          <cell r="J21" t="str">
            <v></v>
          </cell>
          <cell r="K21">
            <v>0.42259414225941422</v>
          </cell>
          <cell r="L21" t="str">
            <v></v>
          </cell>
          <cell r="N21">
            <v>6</v>
          </cell>
          <cell r="O21" t="str">
            <v/>
          </cell>
          <cell r="P21" t="str">
            <v/>
          </cell>
          <cell r="Q21" t="str">
            <v></v>
          </cell>
        </row>
        <row r="22">
          <cell r="B22" t="str">
            <v xml:space="preserve">Mastek </v>
          </cell>
          <cell r="C22">
            <v>9.5661768158129501</v>
          </cell>
          <cell r="D22" t="str">
            <v></v>
          </cell>
          <cell r="E22">
            <v>2.3425400000000001</v>
          </cell>
          <cell r="F22" t="str">
            <v></v>
          </cell>
          <cell r="G22">
            <v>7.0488494478281964</v>
          </cell>
          <cell r="H22" t="str">
            <v></v>
          </cell>
          <cell r="I22">
            <v>0.31713018710809826</v>
          </cell>
          <cell r="J22" t="str">
            <v></v>
          </cell>
          <cell r="K22">
            <v>2.9871266091738503E-2</v>
          </cell>
          <cell r="L22" t="str">
            <v></v>
          </cell>
          <cell r="N22">
            <v>1</v>
          </cell>
          <cell r="O22" t="str">
            <v/>
          </cell>
          <cell r="P22">
            <v>1</v>
          </cell>
          <cell r="Q22" t="str">
            <v></v>
          </cell>
        </row>
      </sheetData>
      <sheetData sheetId="13" refreshError="1"/>
      <sheetData sheetId="14" refreshError="1"/>
      <sheetData sheetId="15" refreshError="1">
        <row r="4">
          <cell r="B4" t="str">
            <v>RNOA</v>
          </cell>
          <cell r="C4">
            <v>0.21299999999999999</v>
          </cell>
        </row>
        <row r="5">
          <cell r="C5">
            <v>0.21299999999999999</v>
          </cell>
          <cell r="D5">
            <v>2.7E-2</v>
          </cell>
          <cell r="E5">
            <v>0.01</v>
          </cell>
          <cell r="F5" t="str">
            <v>LEVERAGE EFFECT</v>
          </cell>
        </row>
        <row r="6">
          <cell r="B6" t="str">
            <v>ROE</v>
          </cell>
          <cell r="C6">
            <v>0.24</v>
          </cell>
        </row>
      </sheetData>
      <sheetData sheetId="16" refreshError="1">
        <row r="1">
          <cell r="T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G11" t="str">
            <v>Highlight?</v>
          </cell>
        </row>
        <row r="12">
          <cell r="D12" t="str">
            <v>gross debt / equity</v>
          </cell>
          <cell r="E12" t="str">
            <v>net debt / equity</v>
          </cell>
          <cell r="X12">
            <v>0.52788485359323334</v>
          </cell>
          <cell r="Y12">
            <v>0.57821807064186992</v>
          </cell>
          <cell r="AG12" t="str">
            <v>No.</v>
          </cell>
          <cell r="AH12" t="str">
            <v>HighlightYes</v>
          </cell>
          <cell r="AI12" t="str">
            <v>HighlightNo</v>
          </cell>
          <cell r="AK12" t="str">
            <v>ArrowLine</v>
          </cell>
        </row>
        <row r="13">
          <cell r="C13">
            <v>2003</v>
          </cell>
          <cell r="D13">
            <v>0.57821807064186992</v>
          </cell>
          <cell r="E13">
            <v>0.52788485359323334</v>
          </cell>
          <cell r="H13" t="b">
            <v>0</v>
          </cell>
          <cell r="X13">
            <v>0.40420988683612807</v>
          </cell>
          <cell r="Y13">
            <v>0.51569232143677413</v>
          </cell>
          <cell r="AG13">
            <v>1</v>
          </cell>
          <cell r="AH13">
            <v>0</v>
          </cell>
          <cell r="AI13">
            <v>0.57821807064186992</v>
          </cell>
          <cell r="AK13">
            <v>0.57821807064186992</v>
          </cell>
        </row>
        <row r="14">
          <cell r="C14">
            <v>2004</v>
          </cell>
          <cell r="D14">
            <v>0.51569232143677413</v>
          </cell>
          <cell r="E14">
            <v>0.40420988683612807</v>
          </cell>
          <cell r="H14" t="b">
            <v>0</v>
          </cell>
          <cell r="X14">
            <v>0.33549403722879967</v>
          </cell>
          <cell r="Y14">
            <v>0.40789307780405337</v>
          </cell>
          <cell r="AG14">
            <v>2</v>
          </cell>
          <cell r="AH14">
            <v>0</v>
          </cell>
          <cell r="AI14">
            <v>0.51569232143677413</v>
          </cell>
          <cell r="AK14">
            <v>0.51569232143677413</v>
          </cell>
        </row>
        <row r="15">
          <cell r="C15">
            <v>2005</v>
          </cell>
          <cell r="D15">
            <v>0.40789307780405337</v>
          </cell>
          <cell r="E15">
            <v>0.33549403722879967</v>
          </cell>
          <cell r="H15" t="b">
            <v>0</v>
          </cell>
          <cell r="X15">
            <v>-8.3832223160540578E-2</v>
          </cell>
          <cell r="Y15">
            <v>1.042127958677893E-2</v>
          </cell>
          <cell r="AG15">
            <v>3</v>
          </cell>
          <cell r="AH15">
            <v>0</v>
          </cell>
          <cell r="AI15">
            <v>0.40789307780405337</v>
          </cell>
          <cell r="AK15">
            <v>0.40789307780405337</v>
          </cell>
        </row>
        <row r="16">
          <cell r="C16">
            <v>2006</v>
          </cell>
          <cell r="D16">
            <v>1.042127958677893E-2</v>
          </cell>
          <cell r="E16">
            <v>-8.3832223160540578E-2</v>
          </cell>
          <cell r="H16" t="b">
            <v>0</v>
          </cell>
          <cell r="X16">
            <v>-2.0328290396999054E-2</v>
          </cell>
          <cell r="Y16">
            <v>0.59017672819298561</v>
          </cell>
          <cell r="AG16">
            <v>4</v>
          </cell>
          <cell r="AH16">
            <v>0</v>
          </cell>
          <cell r="AI16">
            <v>1.042127958677893E-2</v>
          </cell>
          <cell r="AK16">
            <v>1.042127958677893E-2</v>
          </cell>
        </row>
        <row r="17">
          <cell r="C17">
            <v>2007</v>
          </cell>
          <cell r="D17">
            <v>0.59017672819298561</v>
          </cell>
          <cell r="E17">
            <v>-2.0328290396999054E-2</v>
          </cell>
          <cell r="H17" t="b">
            <v>0</v>
          </cell>
          <cell r="X17">
            <v>-0.12525331610907822</v>
          </cell>
          <cell r="Y17">
            <v>0.47700453347612976</v>
          </cell>
          <cell r="AG17">
            <v>5</v>
          </cell>
          <cell r="AH17">
            <v>0</v>
          </cell>
          <cell r="AI17">
            <v>0.59017672819298561</v>
          </cell>
          <cell r="AK17">
            <v>0.59017672819298561</v>
          </cell>
        </row>
        <row r="18">
          <cell r="C18" t="str">
            <v>2008e</v>
          </cell>
          <cell r="D18">
            <v>0.47700453347612976</v>
          </cell>
          <cell r="E18">
            <v>-0.12525331610907822</v>
          </cell>
          <cell r="H18" t="b">
            <v>1</v>
          </cell>
          <cell r="X18">
            <v>2.5009982726265177E-3</v>
          </cell>
          <cell r="Y18">
            <v>0.755736167272412</v>
          </cell>
          <cell r="AG18">
            <v>6</v>
          </cell>
          <cell r="AH18">
            <v>0.47700453347612976</v>
          </cell>
          <cell r="AI18">
            <v>0</v>
          </cell>
          <cell r="AK18">
            <v>0.47700453347612976</v>
          </cell>
        </row>
        <row r="19">
          <cell r="C19" t="str">
            <v>2009e</v>
          </cell>
          <cell r="D19">
            <v>0.755736167272412</v>
          </cell>
          <cell r="E19">
            <v>2.5009982726265177E-3</v>
          </cell>
          <cell r="H19" t="b">
            <v>1</v>
          </cell>
          <cell r="X19">
            <v>-1.3166574701570979E-2</v>
          </cell>
          <cell r="Y19">
            <v>0.78425744278840448</v>
          </cell>
          <cell r="AG19">
            <v>7</v>
          </cell>
          <cell r="AH19">
            <v>0.755736167272412</v>
          </cell>
          <cell r="AI19">
            <v>0</v>
          </cell>
          <cell r="AK19">
            <v>0.755736167272412</v>
          </cell>
        </row>
        <row r="20">
          <cell r="C20" t="str">
            <v>2010e</v>
          </cell>
          <cell r="D20">
            <v>0.78425744278840448</v>
          </cell>
          <cell r="E20">
            <v>-1.3166574701570979E-2</v>
          </cell>
          <cell r="H20" t="b">
            <v>1</v>
          </cell>
          <cell r="AG20">
            <v>8</v>
          </cell>
          <cell r="AH20">
            <v>0.78425744278840448</v>
          </cell>
          <cell r="AI20">
            <v>0</v>
          </cell>
          <cell r="AK20">
            <v>0.78425744278840448</v>
          </cell>
        </row>
        <row r="21">
          <cell r="H21" t="b">
            <v>0</v>
          </cell>
          <cell r="AG21">
            <v>9</v>
          </cell>
          <cell r="AH21">
            <v>0</v>
          </cell>
          <cell r="AI21">
            <v>0</v>
          </cell>
          <cell r="AK21">
            <v>0</v>
          </cell>
        </row>
        <row r="22">
          <cell r="H22" t="b">
            <v>0</v>
          </cell>
          <cell r="AG22">
            <v>10</v>
          </cell>
          <cell r="AH22">
            <v>0</v>
          </cell>
          <cell r="AI22">
            <v>0</v>
          </cell>
          <cell r="AK22">
            <v>0</v>
          </cell>
        </row>
        <row r="23">
          <cell r="H23" t="b">
            <v>0</v>
          </cell>
          <cell r="AG23">
            <v>11</v>
          </cell>
          <cell r="AH23">
            <v>0</v>
          </cell>
          <cell r="AI23">
            <v>0</v>
          </cell>
          <cell r="AK23">
            <v>0</v>
          </cell>
        </row>
        <row r="24">
          <cell r="H24" t="b">
            <v>0</v>
          </cell>
          <cell r="AG24">
            <v>12</v>
          </cell>
          <cell r="AH24">
            <v>0</v>
          </cell>
          <cell r="AI24">
            <v>0</v>
          </cell>
          <cell r="AK24">
            <v>0</v>
          </cell>
        </row>
        <row r="25">
          <cell r="H25" t="b">
            <v>0</v>
          </cell>
          <cell r="AG25">
            <v>13</v>
          </cell>
          <cell r="AH25">
            <v>0</v>
          </cell>
          <cell r="AI25">
            <v>0</v>
          </cell>
          <cell r="AK25">
            <v>0</v>
          </cell>
        </row>
        <row r="26">
          <cell r="H26" t="b">
            <v>0</v>
          </cell>
          <cell r="AG26">
            <v>14</v>
          </cell>
          <cell r="AH26">
            <v>0</v>
          </cell>
          <cell r="AI26">
            <v>0</v>
          </cell>
          <cell r="AK26">
            <v>0</v>
          </cell>
        </row>
        <row r="27">
          <cell r="H27" t="b">
            <v>0</v>
          </cell>
          <cell r="AG27">
            <v>15</v>
          </cell>
          <cell r="AH27">
            <v>0</v>
          </cell>
          <cell r="AI27">
            <v>0</v>
          </cell>
          <cell r="AK27">
            <v>0</v>
          </cell>
        </row>
        <row r="28">
          <cell r="H28" t="b">
            <v>0</v>
          </cell>
          <cell r="AG28">
            <v>16</v>
          </cell>
          <cell r="AH28">
            <v>0</v>
          </cell>
          <cell r="AI28">
            <v>0</v>
          </cell>
          <cell r="AK28">
            <v>0</v>
          </cell>
        </row>
        <row r="29">
          <cell r="H29" t="b">
            <v>0</v>
          </cell>
          <cell r="AG29">
            <v>17</v>
          </cell>
          <cell r="AH29">
            <v>0</v>
          </cell>
          <cell r="AI29">
            <v>0</v>
          </cell>
          <cell r="AK29">
            <v>0</v>
          </cell>
        </row>
        <row r="30">
          <cell r="H30" t="b">
            <v>0</v>
          </cell>
          <cell r="AG30">
            <v>18</v>
          </cell>
          <cell r="AH30">
            <v>0</v>
          </cell>
          <cell r="AI30">
            <v>0</v>
          </cell>
          <cell r="AK30">
            <v>0</v>
          </cell>
        </row>
        <row r="31">
          <cell r="H31" t="b">
            <v>0</v>
          </cell>
          <cell r="AG31">
            <v>19</v>
          </cell>
          <cell r="AH31">
            <v>0</v>
          </cell>
          <cell r="AI31">
            <v>0</v>
          </cell>
          <cell r="AK31">
            <v>0</v>
          </cell>
        </row>
        <row r="32">
          <cell r="H32" t="b">
            <v>0</v>
          </cell>
          <cell r="AG32">
            <v>20</v>
          </cell>
          <cell r="AH32">
            <v>0</v>
          </cell>
          <cell r="AI32">
            <v>0</v>
          </cell>
          <cell r="AK32">
            <v>0</v>
          </cell>
        </row>
        <row r="38">
          <cell r="H38" t="str">
            <v>Do not change the width of the exhibit or font sizes (they are optimized for export to Word).</v>
          </cell>
        </row>
        <row r="40">
          <cell r="H40" t="str">
            <v>Do not delete any rows or columns (some gray cells are used for calculations).</v>
          </cell>
        </row>
      </sheetData>
      <sheetData sheetId="17" refreshError="1">
        <row r="1">
          <cell r="R1" t="str">
            <v>SmartCharts</v>
          </cell>
          <cell r="BB1" t="str">
            <v>.</v>
          </cell>
        </row>
        <row r="2">
          <cell r="BB2" t="str">
            <v>.</v>
          </cell>
        </row>
        <row r="3">
          <cell r="BB3" t="str">
            <v>.</v>
          </cell>
        </row>
        <row r="4">
          <cell r="BB4" t="str">
            <v>.</v>
          </cell>
        </row>
        <row r="5">
          <cell r="C5" t="str">
            <v>Input axis titles here:</v>
          </cell>
        </row>
        <row r="6">
          <cell r="C6" t="str">
            <v>NOPAT margin</v>
          </cell>
        </row>
        <row r="7">
          <cell r="R7" t="str">
            <v>Adjust alignment of quadrant shading by using sliding bars</v>
          </cell>
        </row>
        <row r="8">
          <cell r="C8" t="str">
            <v>Operating asset turnover</v>
          </cell>
        </row>
        <row r="9">
          <cell r="U9">
            <v>105</v>
          </cell>
          <cell r="V9" t="str">
            <v>x cutoff</v>
          </cell>
          <cell r="W9">
            <v>105</v>
          </cell>
        </row>
        <row r="10">
          <cell r="C10" t="str">
            <v>Input your data here:</v>
          </cell>
          <cell r="U10">
            <v>100</v>
          </cell>
          <cell r="V10" t="str">
            <v>y cutoff</v>
          </cell>
          <cell r="W10">
            <v>0.5</v>
          </cell>
          <cell r="BB10" t="str">
            <v>.</v>
          </cell>
        </row>
        <row r="11">
          <cell r="D11" t="str">
            <v>Operating Asset Turnover</v>
          </cell>
          <cell r="E11" t="str">
            <v>NOPAT</v>
          </cell>
          <cell r="W11" t="str">
            <v>botright</v>
          </cell>
          <cell r="X11" t="str">
            <v>botleft</v>
          </cell>
          <cell r="Y11" t="str">
            <v>topright</v>
          </cell>
          <cell r="Z11" t="str">
            <v>topleft</v>
          </cell>
          <cell r="BB11" t="str">
            <v>.</v>
          </cell>
        </row>
        <row r="12">
          <cell r="C12">
            <v>2003</v>
          </cell>
          <cell r="D12">
            <v>0.51162404750171075</v>
          </cell>
          <cell r="E12">
            <v>0.25791490510714449</v>
          </cell>
          <cell r="V12">
            <v>1</v>
          </cell>
          <cell r="W12">
            <v>0</v>
          </cell>
          <cell r="X12">
            <v>0.5</v>
          </cell>
          <cell r="Y12">
            <v>0</v>
          </cell>
          <cell r="Z12">
            <v>0.5</v>
          </cell>
          <cell r="BB12" t="str">
            <v>.</v>
          </cell>
        </row>
        <row r="13">
          <cell r="C13">
            <v>2004</v>
          </cell>
          <cell r="D13">
            <v>0.5533493579376304</v>
          </cell>
          <cell r="E13">
            <v>0.20453169152367823</v>
          </cell>
          <cell r="V13">
            <v>2</v>
          </cell>
          <cell r="W13">
            <v>0</v>
          </cell>
          <cell r="X13">
            <v>0.5</v>
          </cell>
          <cell r="Y13">
            <v>0</v>
          </cell>
          <cell r="Z13">
            <v>0.5</v>
          </cell>
          <cell r="BB13" t="str">
            <v>.</v>
          </cell>
        </row>
        <row r="14">
          <cell r="C14">
            <v>2005</v>
          </cell>
          <cell r="D14">
            <v>0.64966991967460141</v>
          </cell>
          <cell r="E14">
            <v>0.24112877643777889</v>
          </cell>
          <cell r="V14">
            <v>3</v>
          </cell>
          <cell r="W14">
            <v>0</v>
          </cell>
          <cell r="X14">
            <v>0.5</v>
          </cell>
          <cell r="Y14">
            <v>0</v>
          </cell>
          <cell r="Z14">
            <v>0.5</v>
          </cell>
          <cell r="BB14" t="str">
            <v>.</v>
          </cell>
        </row>
        <row r="15">
          <cell r="C15">
            <v>2006</v>
          </cell>
          <cell r="D15">
            <v>0.87831204025758958</v>
          </cell>
          <cell r="E15">
            <v>0.26263821571328488</v>
          </cell>
          <cell r="V15">
            <v>4</v>
          </cell>
          <cell r="W15">
            <v>0</v>
          </cell>
          <cell r="X15">
            <v>0.5</v>
          </cell>
          <cell r="Y15">
            <v>0</v>
          </cell>
          <cell r="Z15">
            <v>0.5</v>
          </cell>
          <cell r="BB15" t="str">
            <v>.</v>
          </cell>
        </row>
        <row r="16">
          <cell r="C16">
            <v>2007</v>
          </cell>
          <cell r="D16">
            <v>0.82481767126442296</v>
          </cell>
          <cell r="E16">
            <v>0.24359957599855883</v>
          </cell>
          <cell r="V16">
            <v>5</v>
          </cell>
          <cell r="W16">
            <v>0</v>
          </cell>
          <cell r="X16">
            <v>0.5</v>
          </cell>
          <cell r="Y16">
            <v>0</v>
          </cell>
          <cell r="Z16">
            <v>0.5</v>
          </cell>
          <cell r="BB16" t="str">
            <v>.</v>
          </cell>
        </row>
        <row r="17">
          <cell r="C17" t="str">
            <v>2008e</v>
          </cell>
          <cell r="D17">
            <v>1.0467651502345015</v>
          </cell>
          <cell r="E17">
            <v>0.20312056758908159</v>
          </cell>
          <cell r="V17">
            <v>6</v>
          </cell>
          <cell r="W17">
            <v>0</v>
          </cell>
          <cell r="X17">
            <v>0.5</v>
          </cell>
          <cell r="Y17">
            <v>0</v>
          </cell>
          <cell r="Z17">
            <v>0.5</v>
          </cell>
          <cell r="BB17" t="str">
            <v>.</v>
          </cell>
        </row>
        <row r="18">
          <cell r="C18" t="str">
            <v>2009e</v>
          </cell>
          <cell r="D18">
            <v>1.0561617334186428</v>
          </cell>
          <cell r="E18">
            <v>0.20777997790026137</v>
          </cell>
          <cell r="V18">
            <v>7</v>
          </cell>
          <cell r="W18">
            <v>0</v>
          </cell>
          <cell r="X18">
            <v>0.5</v>
          </cell>
          <cell r="Y18">
            <v>0</v>
          </cell>
          <cell r="Z18">
            <v>0.5</v>
          </cell>
          <cell r="BB18" t="str">
            <v>.</v>
          </cell>
        </row>
        <row r="19">
          <cell r="C19" t="str">
            <v>2010e</v>
          </cell>
          <cell r="D19">
            <v>1.1146995097666987</v>
          </cell>
          <cell r="E19">
            <v>0.21341018553141616</v>
          </cell>
          <cell r="V19">
            <v>8</v>
          </cell>
          <cell r="W19">
            <v>0</v>
          </cell>
          <cell r="X19">
            <v>0.5</v>
          </cell>
          <cell r="Y19">
            <v>0</v>
          </cell>
          <cell r="Z19">
            <v>0.5</v>
          </cell>
          <cell r="BB19" t="str">
            <v>.</v>
          </cell>
        </row>
        <row r="20">
          <cell r="V20">
            <v>9</v>
          </cell>
          <cell r="W20">
            <v>0</v>
          </cell>
          <cell r="X20">
            <v>0.5</v>
          </cell>
          <cell r="Y20">
            <v>0</v>
          </cell>
          <cell r="Z20">
            <v>0.5</v>
          </cell>
          <cell r="BB20" t="str">
            <v>.</v>
          </cell>
        </row>
        <row r="21">
          <cell r="V21">
            <v>10</v>
          </cell>
          <cell r="W21">
            <v>0</v>
          </cell>
          <cell r="X21">
            <v>0.5</v>
          </cell>
          <cell r="Y21">
            <v>0</v>
          </cell>
          <cell r="Z21">
            <v>0.5</v>
          </cell>
          <cell r="BB21" t="str">
            <v>.</v>
          </cell>
        </row>
        <row r="22">
          <cell r="V22">
            <v>11</v>
          </cell>
          <cell r="W22">
            <v>0</v>
          </cell>
          <cell r="X22">
            <v>0.5</v>
          </cell>
          <cell r="Y22">
            <v>0</v>
          </cell>
          <cell r="Z22">
            <v>0.5</v>
          </cell>
          <cell r="BB22" t="str">
            <v>.</v>
          </cell>
        </row>
        <row r="23">
          <cell r="V23">
            <v>12</v>
          </cell>
          <cell r="W23">
            <v>0</v>
          </cell>
          <cell r="X23">
            <v>0.5</v>
          </cell>
          <cell r="Y23">
            <v>0</v>
          </cell>
          <cell r="Z23">
            <v>0.5</v>
          </cell>
          <cell r="BB23" t="str">
            <v>.</v>
          </cell>
        </row>
        <row r="24">
          <cell r="V24">
            <v>13</v>
          </cell>
          <cell r="W24">
            <v>0</v>
          </cell>
          <cell r="X24">
            <v>0.5</v>
          </cell>
          <cell r="Y24">
            <v>0</v>
          </cell>
          <cell r="Z24">
            <v>0.5</v>
          </cell>
          <cell r="BB24" t="str">
            <v>.</v>
          </cell>
        </row>
        <row r="25">
          <cell r="V25">
            <v>14</v>
          </cell>
          <cell r="W25">
            <v>0</v>
          </cell>
          <cell r="X25">
            <v>0.5</v>
          </cell>
          <cell r="Y25">
            <v>0</v>
          </cell>
          <cell r="Z25">
            <v>0.5</v>
          </cell>
          <cell r="BB25" t="str">
            <v>.</v>
          </cell>
        </row>
        <row r="26">
          <cell r="V26">
            <v>15</v>
          </cell>
          <cell r="W26">
            <v>0</v>
          </cell>
          <cell r="X26">
            <v>0.5</v>
          </cell>
          <cell r="Y26">
            <v>0</v>
          </cell>
          <cell r="Z26">
            <v>0.5</v>
          </cell>
          <cell r="BB26" t="str">
            <v>.</v>
          </cell>
        </row>
        <row r="27">
          <cell r="V27">
            <v>16</v>
          </cell>
          <cell r="W27">
            <v>0</v>
          </cell>
          <cell r="X27">
            <v>0.5</v>
          </cell>
          <cell r="Y27">
            <v>0</v>
          </cell>
          <cell r="Z27">
            <v>0.5</v>
          </cell>
          <cell r="BB27" t="str">
            <v>.</v>
          </cell>
        </row>
        <row r="28">
          <cell r="V28">
            <v>17</v>
          </cell>
          <cell r="W28">
            <v>0</v>
          </cell>
          <cell r="X28">
            <v>0.5</v>
          </cell>
          <cell r="Y28">
            <v>0</v>
          </cell>
          <cell r="Z28">
            <v>0.5</v>
          </cell>
          <cell r="BB28" t="str">
            <v>.</v>
          </cell>
        </row>
        <row r="29">
          <cell r="V29">
            <v>18</v>
          </cell>
          <cell r="W29">
            <v>0</v>
          </cell>
          <cell r="X29">
            <v>0.5</v>
          </cell>
          <cell r="Y29">
            <v>0</v>
          </cell>
          <cell r="Z29">
            <v>0.5</v>
          </cell>
          <cell r="BB29" t="str">
            <v>.</v>
          </cell>
        </row>
        <row r="30">
          <cell r="V30">
            <v>19</v>
          </cell>
          <cell r="W30">
            <v>0</v>
          </cell>
          <cell r="X30">
            <v>0.5</v>
          </cell>
          <cell r="Y30">
            <v>0</v>
          </cell>
          <cell r="Z30">
            <v>0.5</v>
          </cell>
          <cell r="BB30" t="str">
            <v>.</v>
          </cell>
        </row>
        <row r="31">
          <cell r="V31">
            <v>20</v>
          </cell>
          <cell r="W31">
            <v>0</v>
          </cell>
          <cell r="X31">
            <v>0.5</v>
          </cell>
          <cell r="Y31">
            <v>0</v>
          </cell>
          <cell r="Z31">
            <v>0.5</v>
          </cell>
          <cell r="BB31" t="str">
            <v>.</v>
          </cell>
        </row>
        <row r="32">
          <cell r="V32">
            <v>21</v>
          </cell>
          <cell r="W32">
            <v>0</v>
          </cell>
          <cell r="X32">
            <v>0.5</v>
          </cell>
          <cell r="Y32">
            <v>0</v>
          </cell>
          <cell r="Z32">
            <v>0.5</v>
          </cell>
          <cell r="BB32" t="str">
            <v>.</v>
          </cell>
        </row>
        <row r="33">
          <cell r="V33">
            <v>22</v>
          </cell>
          <cell r="W33">
            <v>0</v>
          </cell>
          <cell r="X33">
            <v>0.5</v>
          </cell>
          <cell r="Y33">
            <v>0</v>
          </cell>
          <cell r="Z33">
            <v>0.5</v>
          </cell>
          <cell r="BB33" t="str">
            <v>.</v>
          </cell>
        </row>
        <row r="34">
          <cell r="V34">
            <v>23</v>
          </cell>
          <cell r="W34">
            <v>0</v>
          </cell>
          <cell r="X34">
            <v>0.5</v>
          </cell>
          <cell r="Y34">
            <v>0</v>
          </cell>
          <cell r="Z34">
            <v>0.5</v>
          </cell>
          <cell r="BB34" t="str">
            <v>.</v>
          </cell>
        </row>
        <row r="35">
          <cell r="V35">
            <v>24</v>
          </cell>
          <cell r="W35">
            <v>0</v>
          </cell>
          <cell r="X35">
            <v>0.5</v>
          </cell>
          <cell r="Y35">
            <v>0</v>
          </cell>
          <cell r="Z35">
            <v>0.5</v>
          </cell>
          <cell r="BB35" t="str">
            <v>.</v>
          </cell>
        </row>
        <row r="36">
          <cell r="V36">
            <v>25</v>
          </cell>
          <cell r="W36">
            <v>0</v>
          </cell>
          <cell r="X36">
            <v>0.5</v>
          </cell>
          <cell r="Y36">
            <v>0</v>
          </cell>
          <cell r="Z36">
            <v>0.5</v>
          </cell>
          <cell r="BB36" t="str">
            <v>.</v>
          </cell>
        </row>
        <row r="37">
          <cell r="V37">
            <v>26</v>
          </cell>
          <cell r="W37">
            <v>0</v>
          </cell>
          <cell r="X37">
            <v>0.5</v>
          </cell>
          <cell r="Y37">
            <v>0</v>
          </cell>
          <cell r="Z37">
            <v>0.5</v>
          </cell>
          <cell r="BB37" t="str">
            <v>.</v>
          </cell>
        </row>
        <row r="38">
          <cell r="V38">
            <v>27</v>
          </cell>
          <cell r="W38">
            <v>0</v>
          </cell>
          <cell r="X38">
            <v>0.5</v>
          </cell>
          <cell r="Y38">
            <v>0</v>
          </cell>
          <cell r="Z38">
            <v>0.5</v>
          </cell>
          <cell r="BB38" t="str">
            <v>.</v>
          </cell>
        </row>
        <row r="39">
          <cell r="V39">
            <v>28</v>
          </cell>
          <cell r="W39">
            <v>0</v>
          </cell>
          <cell r="X39">
            <v>0.5</v>
          </cell>
          <cell r="Y39">
            <v>0</v>
          </cell>
          <cell r="Z39">
            <v>0.5</v>
          </cell>
          <cell r="BB39" t="str">
            <v>.</v>
          </cell>
        </row>
        <row r="40">
          <cell r="V40">
            <v>29</v>
          </cell>
          <cell r="W40">
            <v>0</v>
          </cell>
          <cell r="X40">
            <v>0.5</v>
          </cell>
          <cell r="Y40">
            <v>0</v>
          </cell>
          <cell r="Z40">
            <v>0.5</v>
          </cell>
          <cell r="BB40" t="str">
            <v>.</v>
          </cell>
        </row>
        <row r="41">
          <cell r="V41">
            <v>30</v>
          </cell>
          <cell r="W41">
            <v>0</v>
          </cell>
          <cell r="X41">
            <v>0.5</v>
          </cell>
          <cell r="Y41">
            <v>0</v>
          </cell>
          <cell r="Z41">
            <v>0.5</v>
          </cell>
          <cell r="BB41" t="str">
            <v>.</v>
          </cell>
        </row>
        <row r="42">
          <cell r="V42">
            <v>31</v>
          </cell>
          <cell r="W42">
            <v>0</v>
          </cell>
          <cell r="X42">
            <v>0.5</v>
          </cell>
          <cell r="Y42">
            <v>0</v>
          </cell>
          <cell r="Z42">
            <v>0.5</v>
          </cell>
          <cell r="BB42" t="str">
            <v>.</v>
          </cell>
        </row>
        <row r="43">
          <cell r="V43">
            <v>32</v>
          </cell>
          <cell r="W43">
            <v>0</v>
          </cell>
          <cell r="X43">
            <v>0.5</v>
          </cell>
          <cell r="Y43">
            <v>0</v>
          </cell>
          <cell r="Z43">
            <v>0.5</v>
          </cell>
          <cell r="BB43" t="str">
            <v>.</v>
          </cell>
        </row>
        <row r="44">
          <cell r="V44">
            <v>33</v>
          </cell>
          <cell r="W44">
            <v>0</v>
          </cell>
          <cell r="X44">
            <v>0.5</v>
          </cell>
          <cell r="Y44">
            <v>0</v>
          </cell>
          <cell r="Z44">
            <v>0.5</v>
          </cell>
          <cell r="BB44" t="str">
            <v>.</v>
          </cell>
        </row>
        <row r="45">
          <cell r="V45">
            <v>34</v>
          </cell>
          <cell r="W45">
            <v>0</v>
          </cell>
          <cell r="X45">
            <v>0.5</v>
          </cell>
          <cell r="Y45">
            <v>0</v>
          </cell>
          <cell r="Z45">
            <v>0.5</v>
          </cell>
          <cell r="BB45" t="str">
            <v>.</v>
          </cell>
        </row>
        <row r="46">
          <cell r="V46">
            <v>35</v>
          </cell>
          <cell r="W46">
            <v>0</v>
          </cell>
          <cell r="X46">
            <v>0.5</v>
          </cell>
          <cell r="Y46">
            <v>0</v>
          </cell>
          <cell r="Z46">
            <v>0.5</v>
          </cell>
          <cell r="BB46" t="str">
            <v>.</v>
          </cell>
        </row>
        <row r="47">
          <cell r="V47">
            <v>36</v>
          </cell>
          <cell r="W47">
            <v>0</v>
          </cell>
          <cell r="X47">
            <v>0.5</v>
          </cell>
          <cell r="Y47">
            <v>0</v>
          </cell>
          <cell r="Z47">
            <v>0.5</v>
          </cell>
          <cell r="BB47" t="str">
            <v>.</v>
          </cell>
        </row>
        <row r="48">
          <cell r="V48">
            <v>37</v>
          </cell>
          <cell r="W48">
            <v>0</v>
          </cell>
          <cell r="X48">
            <v>0.5</v>
          </cell>
          <cell r="Y48">
            <v>0</v>
          </cell>
          <cell r="Z48">
            <v>0.5</v>
          </cell>
          <cell r="BB48" t="str">
            <v>.</v>
          </cell>
        </row>
        <row r="49">
          <cell r="V49">
            <v>38</v>
          </cell>
          <cell r="W49">
            <v>0</v>
          </cell>
          <cell r="X49">
            <v>0.5</v>
          </cell>
          <cell r="Y49">
            <v>0</v>
          </cell>
          <cell r="Z49">
            <v>0.5</v>
          </cell>
          <cell r="BB49" t="str">
            <v>.</v>
          </cell>
        </row>
        <row r="50">
          <cell r="V50">
            <v>39</v>
          </cell>
          <cell r="W50">
            <v>0</v>
          </cell>
          <cell r="X50">
            <v>0.5</v>
          </cell>
          <cell r="Y50">
            <v>0</v>
          </cell>
          <cell r="Z50">
            <v>0.5</v>
          </cell>
          <cell r="BB50" t="str">
            <v>.</v>
          </cell>
        </row>
        <row r="51">
          <cell r="V51">
            <v>40</v>
          </cell>
          <cell r="W51">
            <v>0</v>
          </cell>
          <cell r="X51">
            <v>0.5</v>
          </cell>
          <cell r="Y51">
            <v>0</v>
          </cell>
          <cell r="Z51">
            <v>0.5</v>
          </cell>
          <cell r="BB51" t="str">
            <v>.</v>
          </cell>
        </row>
        <row r="52">
          <cell r="V52">
            <v>41</v>
          </cell>
          <cell r="W52">
            <v>0</v>
          </cell>
          <cell r="X52">
            <v>0.5</v>
          </cell>
          <cell r="Y52">
            <v>0</v>
          </cell>
          <cell r="Z52">
            <v>0.5</v>
          </cell>
          <cell r="BB52" t="str">
            <v>.</v>
          </cell>
        </row>
        <row r="53">
          <cell r="V53">
            <v>42</v>
          </cell>
          <cell r="W53">
            <v>0</v>
          </cell>
          <cell r="X53">
            <v>0.5</v>
          </cell>
          <cell r="Y53">
            <v>0</v>
          </cell>
          <cell r="Z53">
            <v>0.5</v>
          </cell>
          <cell r="BB53" t="str">
            <v>.</v>
          </cell>
        </row>
        <row r="54">
          <cell r="V54">
            <v>43</v>
          </cell>
          <cell r="W54">
            <v>0</v>
          </cell>
          <cell r="X54">
            <v>0.5</v>
          </cell>
          <cell r="Y54">
            <v>0</v>
          </cell>
          <cell r="Z54">
            <v>0.5</v>
          </cell>
          <cell r="BB54" t="str">
            <v>.</v>
          </cell>
        </row>
        <row r="55">
          <cell r="V55">
            <v>44</v>
          </cell>
          <cell r="W55">
            <v>0</v>
          </cell>
          <cell r="X55">
            <v>0.5</v>
          </cell>
          <cell r="Y55">
            <v>0</v>
          </cell>
          <cell r="Z55">
            <v>0.5</v>
          </cell>
          <cell r="BB55" t="str">
            <v>.</v>
          </cell>
        </row>
        <row r="56">
          <cell r="V56">
            <v>45</v>
          </cell>
          <cell r="W56">
            <v>0</v>
          </cell>
          <cell r="X56">
            <v>0.5</v>
          </cell>
          <cell r="Y56">
            <v>0</v>
          </cell>
          <cell r="Z56">
            <v>0.5</v>
          </cell>
          <cell r="BB56" t="str">
            <v>.</v>
          </cell>
        </row>
        <row r="57">
          <cell r="V57">
            <v>46</v>
          </cell>
          <cell r="W57">
            <v>0</v>
          </cell>
          <cell r="X57">
            <v>0.5</v>
          </cell>
          <cell r="Y57">
            <v>0</v>
          </cell>
          <cell r="Z57">
            <v>0.5</v>
          </cell>
          <cell r="BB57" t="str">
            <v>.</v>
          </cell>
        </row>
        <row r="58">
          <cell r="V58">
            <v>47</v>
          </cell>
          <cell r="W58">
            <v>0</v>
          </cell>
          <cell r="X58">
            <v>0.5</v>
          </cell>
          <cell r="Y58">
            <v>0</v>
          </cell>
          <cell r="Z58">
            <v>0.5</v>
          </cell>
          <cell r="BB58" t="str">
            <v>.</v>
          </cell>
        </row>
        <row r="59">
          <cell r="V59">
            <v>48</v>
          </cell>
          <cell r="W59">
            <v>0</v>
          </cell>
          <cell r="X59">
            <v>0.5</v>
          </cell>
          <cell r="Y59">
            <v>0</v>
          </cell>
          <cell r="Z59">
            <v>0.5</v>
          </cell>
          <cell r="BB59" t="str">
            <v>.</v>
          </cell>
        </row>
        <row r="60">
          <cell r="V60">
            <v>49</v>
          </cell>
          <cell r="W60">
            <v>0</v>
          </cell>
          <cell r="X60">
            <v>0.5</v>
          </cell>
          <cell r="Y60">
            <v>0</v>
          </cell>
          <cell r="Z60">
            <v>0.5</v>
          </cell>
          <cell r="BB60" t="str">
            <v>.</v>
          </cell>
        </row>
        <row r="61">
          <cell r="V61">
            <v>50</v>
          </cell>
          <cell r="W61">
            <v>0</v>
          </cell>
          <cell r="X61">
            <v>0.5</v>
          </cell>
          <cell r="Y61">
            <v>0</v>
          </cell>
          <cell r="Z61">
            <v>0.5</v>
          </cell>
          <cell r="BB61" t="str">
            <v>.</v>
          </cell>
        </row>
        <row r="62">
          <cell r="V62">
            <v>51</v>
          </cell>
          <cell r="W62">
            <v>0</v>
          </cell>
          <cell r="X62">
            <v>0.5</v>
          </cell>
          <cell r="Y62">
            <v>0</v>
          </cell>
          <cell r="Z62">
            <v>0.5</v>
          </cell>
          <cell r="BB62" t="str">
            <v>.</v>
          </cell>
        </row>
        <row r="63">
          <cell r="V63">
            <v>52</v>
          </cell>
          <cell r="W63">
            <v>0</v>
          </cell>
          <cell r="X63">
            <v>0.5</v>
          </cell>
          <cell r="Y63">
            <v>0</v>
          </cell>
          <cell r="Z63">
            <v>0.5</v>
          </cell>
          <cell r="BB63" t="str">
            <v>.</v>
          </cell>
        </row>
        <row r="64">
          <cell r="V64">
            <v>53</v>
          </cell>
          <cell r="W64">
            <v>0</v>
          </cell>
          <cell r="X64">
            <v>0.5</v>
          </cell>
          <cell r="Y64">
            <v>0</v>
          </cell>
          <cell r="Z64">
            <v>0.5</v>
          </cell>
          <cell r="BB64" t="str">
            <v>.</v>
          </cell>
        </row>
        <row r="65">
          <cell r="V65">
            <v>54</v>
          </cell>
          <cell r="W65">
            <v>0</v>
          </cell>
          <cell r="X65">
            <v>0.5</v>
          </cell>
          <cell r="Y65">
            <v>0</v>
          </cell>
          <cell r="Z65">
            <v>0.5</v>
          </cell>
          <cell r="BB65" t="str">
            <v>.</v>
          </cell>
        </row>
        <row r="66">
          <cell r="V66">
            <v>55</v>
          </cell>
          <cell r="W66">
            <v>0</v>
          </cell>
          <cell r="X66">
            <v>0.5</v>
          </cell>
          <cell r="Y66">
            <v>0</v>
          </cell>
          <cell r="Z66">
            <v>0.5</v>
          </cell>
          <cell r="BB66" t="str">
            <v>.</v>
          </cell>
        </row>
        <row r="67">
          <cell r="V67">
            <v>56</v>
          </cell>
          <cell r="W67">
            <v>0</v>
          </cell>
          <cell r="X67">
            <v>0.5</v>
          </cell>
          <cell r="Y67">
            <v>0</v>
          </cell>
          <cell r="Z67">
            <v>0.5</v>
          </cell>
          <cell r="BB67" t="str">
            <v>.</v>
          </cell>
        </row>
        <row r="68">
          <cell r="V68">
            <v>57</v>
          </cell>
          <cell r="W68">
            <v>0</v>
          </cell>
          <cell r="X68">
            <v>0.5</v>
          </cell>
          <cell r="Y68">
            <v>0</v>
          </cell>
          <cell r="Z68">
            <v>0.5</v>
          </cell>
          <cell r="BB68" t="str">
            <v>.</v>
          </cell>
        </row>
        <row r="69">
          <cell r="V69">
            <v>58</v>
          </cell>
          <cell r="W69">
            <v>0</v>
          </cell>
          <cell r="X69">
            <v>0.5</v>
          </cell>
          <cell r="Y69">
            <v>0</v>
          </cell>
          <cell r="Z69">
            <v>0.5</v>
          </cell>
          <cell r="BB69" t="str">
            <v>.</v>
          </cell>
        </row>
        <row r="70">
          <cell r="V70">
            <v>59</v>
          </cell>
          <cell r="W70">
            <v>0</v>
          </cell>
          <cell r="X70">
            <v>0.5</v>
          </cell>
          <cell r="Y70">
            <v>0</v>
          </cell>
          <cell r="Z70">
            <v>0.5</v>
          </cell>
          <cell r="BB70" t="str">
            <v>.</v>
          </cell>
        </row>
        <row r="71">
          <cell r="V71">
            <v>60</v>
          </cell>
          <cell r="W71">
            <v>0</v>
          </cell>
          <cell r="X71">
            <v>0.5</v>
          </cell>
          <cell r="Y71">
            <v>0</v>
          </cell>
          <cell r="Z71">
            <v>0.5</v>
          </cell>
          <cell r="BB71" t="str">
            <v>.</v>
          </cell>
        </row>
        <row r="72">
          <cell r="V72">
            <v>61</v>
          </cell>
          <cell r="W72">
            <v>0</v>
          </cell>
          <cell r="X72">
            <v>0.5</v>
          </cell>
          <cell r="Y72">
            <v>0</v>
          </cell>
          <cell r="Z72">
            <v>0.5</v>
          </cell>
          <cell r="BB72" t="str">
            <v>.</v>
          </cell>
        </row>
        <row r="73">
          <cell r="V73">
            <v>62</v>
          </cell>
          <cell r="W73">
            <v>0</v>
          </cell>
          <cell r="X73">
            <v>0.5</v>
          </cell>
          <cell r="Y73">
            <v>0</v>
          </cell>
          <cell r="Z73">
            <v>0.5</v>
          </cell>
          <cell r="BB73" t="str">
            <v>.</v>
          </cell>
        </row>
        <row r="74">
          <cell r="V74">
            <v>63</v>
          </cell>
          <cell r="W74">
            <v>0</v>
          </cell>
          <cell r="X74">
            <v>0.5</v>
          </cell>
          <cell r="Y74">
            <v>0</v>
          </cell>
          <cell r="Z74">
            <v>0.5</v>
          </cell>
          <cell r="BB74" t="str">
            <v>.</v>
          </cell>
        </row>
        <row r="75">
          <cell r="V75">
            <v>64</v>
          </cell>
          <cell r="W75">
            <v>0</v>
          </cell>
          <cell r="X75">
            <v>0.5</v>
          </cell>
          <cell r="Y75">
            <v>0</v>
          </cell>
          <cell r="Z75">
            <v>0.5</v>
          </cell>
          <cell r="BB75" t="str">
            <v>.</v>
          </cell>
        </row>
        <row r="76">
          <cell r="V76">
            <v>65</v>
          </cell>
          <cell r="W76">
            <v>0</v>
          </cell>
          <cell r="X76">
            <v>0.5</v>
          </cell>
          <cell r="Y76">
            <v>0</v>
          </cell>
          <cell r="Z76">
            <v>0.5</v>
          </cell>
          <cell r="BB76" t="str">
            <v>.</v>
          </cell>
        </row>
        <row r="77">
          <cell r="V77">
            <v>66</v>
          </cell>
          <cell r="W77">
            <v>0</v>
          </cell>
          <cell r="X77">
            <v>0.5</v>
          </cell>
          <cell r="Y77">
            <v>0</v>
          </cell>
          <cell r="Z77">
            <v>0.5</v>
          </cell>
          <cell r="BB77" t="str">
            <v>.</v>
          </cell>
        </row>
        <row r="78">
          <cell r="V78">
            <v>67</v>
          </cell>
          <cell r="W78">
            <v>0</v>
          </cell>
          <cell r="X78">
            <v>0.5</v>
          </cell>
          <cell r="Y78">
            <v>0</v>
          </cell>
          <cell r="Z78">
            <v>0.5</v>
          </cell>
          <cell r="BB78" t="str">
            <v>.</v>
          </cell>
        </row>
        <row r="79">
          <cell r="V79">
            <v>68</v>
          </cell>
          <cell r="W79">
            <v>0</v>
          </cell>
          <cell r="X79">
            <v>0.5</v>
          </cell>
          <cell r="Y79">
            <v>0</v>
          </cell>
          <cell r="Z79">
            <v>0.5</v>
          </cell>
          <cell r="BB79" t="str">
            <v>.</v>
          </cell>
        </row>
        <row r="80">
          <cell r="V80">
            <v>69</v>
          </cell>
          <cell r="W80">
            <v>0</v>
          </cell>
          <cell r="X80">
            <v>0.5</v>
          </cell>
          <cell r="Y80">
            <v>0</v>
          </cell>
          <cell r="Z80">
            <v>0.5</v>
          </cell>
          <cell r="BB80" t="str">
            <v>.</v>
          </cell>
        </row>
        <row r="81">
          <cell r="V81">
            <v>70</v>
          </cell>
          <cell r="W81">
            <v>0</v>
          </cell>
          <cell r="X81">
            <v>0.5</v>
          </cell>
          <cell r="Y81">
            <v>0</v>
          </cell>
          <cell r="Z81">
            <v>0.5</v>
          </cell>
          <cell r="BB81" t="str">
            <v>.</v>
          </cell>
        </row>
        <row r="82">
          <cell r="V82">
            <v>71</v>
          </cell>
          <cell r="W82">
            <v>0</v>
          </cell>
          <cell r="X82">
            <v>0.5</v>
          </cell>
          <cell r="Y82">
            <v>0</v>
          </cell>
          <cell r="Z82">
            <v>0.5</v>
          </cell>
          <cell r="BB82" t="str">
            <v>.</v>
          </cell>
        </row>
        <row r="83">
          <cell r="V83">
            <v>72</v>
          </cell>
          <cell r="W83">
            <v>0</v>
          </cell>
          <cell r="X83">
            <v>0.5</v>
          </cell>
          <cell r="Y83">
            <v>0</v>
          </cell>
          <cell r="Z83">
            <v>0.5</v>
          </cell>
          <cell r="BB83" t="str">
            <v>.</v>
          </cell>
        </row>
        <row r="84">
          <cell r="V84">
            <v>73</v>
          </cell>
          <cell r="W84">
            <v>0</v>
          </cell>
          <cell r="X84">
            <v>0.5</v>
          </cell>
          <cell r="Y84">
            <v>0</v>
          </cell>
          <cell r="Z84">
            <v>0.5</v>
          </cell>
          <cell r="BB84" t="str">
            <v>.</v>
          </cell>
        </row>
        <row r="85">
          <cell r="V85">
            <v>74</v>
          </cell>
          <cell r="W85">
            <v>0</v>
          </cell>
          <cell r="X85">
            <v>0.5</v>
          </cell>
          <cell r="Y85">
            <v>0</v>
          </cell>
          <cell r="Z85">
            <v>0.5</v>
          </cell>
          <cell r="BB85" t="str">
            <v>.</v>
          </cell>
        </row>
        <row r="86">
          <cell r="V86">
            <v>75</v>
          </cell>
          <cell r="W86">
            <v>0</v>
          </cell>
          <cell r="X86">
            <v>0.5</v>
          </cell>
          <cell r="Y86">
            <v>0</v>
          </cell>
          <cell r="Z86">
            <v>0.5</v>
          </cell>
          <cell r="BB86" t="str">
            <v>.</v>
          </cell>
        </row>
        <row r="87">
          <cell r="V87">
            <v>76</v>
          </cell>
          <cell r="W87">
            <v>0</v>
          </cell>
          <cell r="X87">
            <v>0.5</v>
          </cell>
          <cell r="Y87">
            <v>0</v>
          </cell>
          <cell r="Z87">
            <v>0.5</v>
          </cell>
          <cell r="BB87" t="str">
            <v>.</v>
          </cell>
        </row>
        <row r="88">
          <cell r="V88">
            <v>77</v>
          </cell>
          <cell r="W88">
            <v>0</v>
          </cell>
          <cell r="X88">
            <v>0.5</v>
          </cell>
          <cell r="Y88">
            <v>0</v>
          </cell>
          <cell r="Z88">
            <v>0.5</v>
          </cell>
          <cell r="BB88" t="str">
            <v>.</v>
          </cell>
        </row>
        <row r="89">
          <cell r="V89">
            <v>78</v>
          </cell>
          <cell r="W89">
            <v>0</v>
          </cell>
          <cell r="X89">
            <v>0.5</v>
          </cell>
          <cell r="Y89">
            <v>0</v>
          </cell>
          <cell r="Z89">
            <v>0.5</v>
          </cell>
          <cell r="BB89" t="str">
            <v>.</v>
          </cell>
        </row>
        <row r="90">
          <cell r="V90">
            <v>79</v>
          </cell>
          <cell r="W90">
            <v>0</v>
          </cell>
          <cell r="X90">
            <v>0.5</v>
          </cell>
          <cell r="Y90">
            <v>0</v>
          </cell>
          <cell r="Z90">
            <v>0.5</v>
          </cell>
          <cell r="BB90" t="str">
            <v>.</v>
          </cell>
        </row>
        <row r="91">
          <cell r="V91">
            <v>80</v>
          </cell>
          <cell r="W91">
            <v>0</v>
          </cell>
          <cell r="X91">
            <v>0.5</v>
          </cell>
          <cell r="Y91">
            <v>0</v>
          </cell>
          <cell r="Z91">
            <v>0.5</v>
          </cell>
          <cell r="BB91" t="str">
            <v>.</v>
          </cell>
        </row>
        <row r="92">
          <cell r="V92">
            <v>81</v>
          </cell>
          <cell r="W92">
            <v>0</v>
          </cell>
          <cell r="X92">
            <v>0.5</v>
          </cell>
          <cell r="Y92">
            <v>0</v>
          </cell>
          <cell r="Z92">
            <v>0.5</v>
          </cell>
          <cell r="BB92" t="str">
            <v>.</v>
          </cell>
        </row>
        <row r="93">
          <cell r="V93">
            <v>82</v>
          </cell>
          <cell r="W93">
            <v>0</v>
          </cell>
          <cell r="X93">
            <v>0.5</v>
          </cell>
          <cell r="Y93">
            <v>0</v>
          </cell>
          <cell r="Z93">
            <v>0.5</v>
          </cell>
          <cell r="BB93" t="str">
            <v>.</v>
          </cell>
        </row>
        <row r="94">
          <cell r="V94">
            <v>83</v>
          </cell>
          <cell r="W94">
            <v>0</v>
          </cell>
          <cell r="X94">
            <v>0.5</v>
          </cell>
          <cell r="Y94">
            <v>0</v>
          </cell>
          <cell r="Z94">
            <v>0.5</v>
          </cell>
          <cell r="BB94" t="str">
            <v>.</v>
          </cell>
        </row>
        <row r="95">
          <cell r="V95">
            <v>84</v>
          </cell>
          <cell r="W95">
            <v>0</v>
          </cell>
          <cell r="X95">
            <v>0.5</v>
          </cell>
          <cell r="Y95">
            <v>0</v>
          </cell>
          <cell r="Z95">
            <v>0.5</v>
          </cell>
          <cell r="BB95" t="str">
            <v>.</v>
          </cell>
        </row>
        <row r="96">
          <cell r="V96">
            <v>85</v>
          </cell>
          <cell r="W96">
            <v>0</v>
          </cell>
          <cell r="X96">
            <v>0.5</v>
          </cell>
          <cell r="Y96">
            <v>0</v>
          </cell>
          <cell r="Z96">
            <v>0.5</v>
          </cell>
          <cell r="BB96" t="str">
            <v>.</v>
          </cell>
        </row>
        <row r="97">
          <cell r="V97">
            <v>86</v>
          </cell>
          <cell r="W97">
            <v>0</v>
          </cell>
          <cell r="X97">
            <v>0.5</v>
          </cell>
          <cell r="Y97">
            <v>0</v>
          </cell>
          <cell r="Z97">
            <v>0.5</v>
          </cell>
          <cell r="BB97" t="str">
            <v>.</v>
          </cell>
        </row>
        <row r="98">
          <cell r="V98">
            <v>87</v>
          </cell>
          <cell r="W98">
            <v>0</v>
          </cell>
          <cell r="X98">
            <v>0.5</v>
          </cell>
          <cell r="Y98">
            <v>0</v>
          </cell>
          <cell r="Z98">
            <v>0.5</v>
          </cell>
          <cell r="BB98" t="str">
            <v>.</v>
          </cell>
        </row>
        <row r="99">
          <cell r="V99">
            <v>88</v>
          </cell>
          <cell r="W99">
            <v>0</v>
          </cell>
          <cell r="X99">
            <v>0.5</v>
          </cell>
          <cell r="Y99">
            <v>0</v>
          </cell>
          <cell r="Z99">
            <v>0.5</v>
          </cell>
          <cell r="BB99" t="str">
            <v>.</v>
          </cell>
        </row>
        <row r="100">
          <cell r="V100">
            <v>89</v>
          </cell>
          <cell r="W100">
            <v>0</v>
          </cell>
          <cell r="X100">
            <v>0.5</v>
          </cell>
          <cell r="Y100">
            <v>0</v>
          </cell>
          <cell r="Z100">
            <v>0.5</v>
          </cell>
          <cell r="BB100" t="str">
            <v>.</v>
          </cell>
        </row>
        <row r="101">
          <cell r="V101">
            <v>90</v>
          </cell>
          <cell r="W101">
            <v>0</v>
          </cell>
          <cell r="X101">
            <v>0.5</v>
          </cell>
          <cell r="Y101">
            <v>0</v>
          </cell>
          <cell r="Z101">
            <v>0.5</v>
          </cell>
          <cell r="BB101" t="str">
            <v>.</v>
          </cell>
        </row>
        <row r="102">
          <cell r="V102">
            <v>91</v>
          </cell>
          <cell r="W102">
            <v>0</v>
          </cell>
          <cell r="X102">
            <v>0.5</v>
          </cell>
          <cell r="Y102">
            <v>0</v>
          </cell>
          <cell r="Z102">
            <v>0.5</v>
          </cell>
          <cell r="BB102" t="str">
            <v>.</v>
          </cell>
        </row>
        <row r="103">
          <cell r="V103">
            <v>92</v>
          </cell>
          <cell r="W103">
            <v>0</v>
          </cell>
          <cell r="X103">
            <v>0.5</v>
          </cell>
          <cell r="Y103">
            <v>0</v>
          </cell>
          <cell r="Z103">
            <v>0.5</v>
          </cell>
          <cell r="BB103" t="str">
            <v>.</v>
          </cell>
        </row>
        <row r="104">
          <cell r="V104">
            <v>93</v>
          </cell>
          <cell r="W104">
            <v>0</v>
          </cell>
          <cell r="X104">
            <v>0.5</v>
          </cell>
          <cell r="Y104">
            <v>0</v>
          </cell>
          <cell r="Z104">
            <v>0.5</v>
          </cell>
          <cell r="BB104" t="str">
            <v>.</v>
          </cell>
        </row>
        <row r="105">
          <cell r="V105">
            <v>94</v>
          </cell>
          <cell r="W105">
            <v>0</v>
          </cell>
          <cell r="X105">
            <v>0.5</v>
          </cell>
          <cell r="Y105">
            <v>0</v>
          </cell>
          <cell r="Z105">
            <v>0.5</v>
          </cell>
          <cell r="BB105" t="str">
            <v>.</v>
          </cell>
        </row>
        <row r="106">
          <cell r="V106">
            <v>95</v>
          </cell>
          <cell r="W106">
            <v>0</v>
          </cell>
          <cell r="X106">
            <v>0.5</v>
          </cell>
          <cell r="Y106">
            <v>0</v>
          </cell>
          <cell r="Z106">
            <v>0.5</v>
          </cell>
          <cell r="BB106" t="str">
            <v>.</v>
          </cell>
        </row>
        <row r="107">
          <cell r="V107">
            <v>96</v>
          </cell>
          <cell r="W107">
            <v>0</v>
          </cell>
          <cell r="X107">
            <v>0.5</v>
          </cell>
          <cell r="Y107">
            <v>0</v>
          </cell>
          <cell r="Z107">
            <v>0.5</v>
          </cell>
          <cell r="BB107" t="str">
            <v>.</v>
          </cell>
        </row>
        <row r="108">
          <cell r="V108">
            <v>97</v>
          </cell>
          <cell r="W108">
            <v>0</v>
          </cell>
          <cell r="X108">
            <v>0.5</v>
          </cell>
          <cell r="Y108">
            <v>0</v>
          </cell>
          <cell r="Z108">
            <v>0.5</v>
          </cell>
          <cell r="BB108" t="str">
            <v>.</v>
          </cell>
        </row>
        <row r="109">
          <cell r="V109">
            <v>98</v>
          </cell>
          <cell r="W109">
            <v>0</v>
          </cell>
          <cell r="X109">
            <v>0.5</v>
          </cell>
          <cell r="Y109">
            <v>0</v>
          </cell>
          <cell r="Z109">
            <v>0.5</v>
          </cell>
          <cell r="BB109" t="str">
            <v>.</v>
          </cell>
        </row>
        <row r="110">
          <cell r="V110">
            <v>99</v>
          </cell>
          <cell r="W110">
            <v>0</v>
          </cell>
          <cell r="X110">
            <v>0.5</v>
          </cell>
          <cell r="Y110">
            <v>0</v>
          </cell>
          <cell r="Z110">
            <v>0.5</v>
          </cell>
          <cell r="BB110" t="str">
            <v>.</v>
          </cell>
        </row>
        <row r="111">
          <cell r="V111">
            <v>100</v>
          </cell>
          <cell r="W111">
            <v>0</v>
          </cell>
          <cell r="X111">
            <v>0.5</v>
          </cell>
          <cell r="Y111">
            <v>0</v>
          </cell>
          <cell r="Z111">
            <v>0.5</v>
          </cell>
          <cell r="BB111" t="str">
            <v>.</v>
          </cell>
        </row>
        <row r="112">
          <cell r="V112">
            <v>101</v>
          </cell>
          <cell r="W112">
            <v>0</v>
          </cell>
          <cell r="X112">
            <v>0.5</v>
          </cell>
          <cell r="Y112">
            <v>0</v>
          </cell>
          <cell r="Z112">
            <v>0.5</v>
          </cell>
          <cell r="BB112" t="str">
            <v>.</v>
          </cell>
        </row>
        <row r="113">
          <cell r="V113">
            <v>102</v>
          </cell>
          <cell r="W113">
            <v>0</v>
          </cell>
          <cell r="X113">
            <v>0.5</v>
          </cell>
          <cell r="Y113">
            <v>0</v>
          </cell>
          <cell r="Z113">
            <v>0.5</v>
          </cell>
          <cell r="BB113" t="str">
            <v>.</v>
          </cell>
        </row>
        <row r="114">
          <cell r="V114">
            <v>103</v>
          </cell>
          <cell r="W114">
            <v>0</v>
          </cell>
          <cell r="X114">
            <v>0.5</v>
          </cell>
          <cell r="Y114">
            <v>0</v>
          </cell>
          <cell r="Z114">
            <v>0.5</v>
          </cell>
          <cell r="BB114" t="str">
            <v>.</v>
          </cell>
        </row>
        <row r="115">
          <cell r="V115">
            <v>104</v>
          </cell>
          <cell r="W115">
            <v>0</v>
          </cell>
          <cell r="X115">
            <v>0.5</v>
          </cell>
          <cell r="Y115">
            <v>0</v>
          </cell>
          <cell r="Z115">
            <v>0.5</v>
          </cell>
          <cell r="BB115" t="str">
            <v>.</v>
          </cell>
        </row>
        <row r="116">
          <cell r="V116">
            <v>105</v>
          </cell>
          <cell r="W116">
            <v>0</v>
          </cell>
          <cell r="X116">
            <v>0.5</v>
          </cell>
          <cell r="Y116">
            <v>0</v>
          </cell>
          <cell r="Z116">
            <v>0.5</v>
          </cell>
          <cell r="BB116" t="str">
            <v>.</v>
          </cell>
        </row>
        <row r="117">
          <cell r="V117">
            <v>106</v>
          </cell>
          <cell r="W117">
            <v>0.5</v>
          </cell>
          <cell r="X117">
            <v>0</v>
          </cell>
          <cell r="Y117">
            <v>0.5</v>
          </cell>
          <cell r="Z117">
            <v>0</v>
          </cell>
          <cell r="BB117" t="str">
            <v>.</v>
          </cell>
        </row>
        <row r="118">
          <cell r="V118">
            <v>107</v>
          </cell>
          <cell r="W118">
            <v>0.5</v>
          </cell>
          <cell r="X118">
            <v>0</v>
          </cell>
          <cell r="Y118">
            <v>0.5</v>
          </cell>
          <cell r="Z118">
            <v>0</v>
          </cell>
          <cell r="BB118" t="str">
            <v>.</v>
          </cell>
        </row>
        <row r="119">
          <cell r="V119">
            <v>108</v>
          </cell>
          <cell r="W119">
            <v>0.5</v>
          </cell>
          <cell r="X119">
            <v>0</v>
          </cell>
          <cell r="Y119">
            <v>0.5</v>
          </cell>
          <cell r="Z119">
            <v>0</v>
          </cell>
          <cell r="BB119" t="str">
            <v>.</v>
          </cell>
        </row>
        <row r="120">
          <cell r="V120">
            <v>109</v>
          </cell>
          <cell r="W120">
            <v>0.5</v>
          </cell>
          <cell r="X120">
            <v>0</v>
          </cell>
          <cell r="Y120">
            <v>0.5</v>
          </cell>
          <cell r="Z120">
            <v>0</v>
          </cell>
          <cell r="BB120" t="str">
            <v>.</v>
          </cell>
        </row>
        <row r="121">
          <cell r="V121">
            <v>110</v>
          </cell>
          <cell r="W121">
            <v>0.5</v>
          </cell>
          <cell r="X121">
            <v>0</v>
          </cell>
          <cell r="Y121">
            <v>0.5</v>
          </cell>
          <cell r="Z121">
            <v>0</v>
          </cell>
          <cell r="BB121" t="str">
            <v>.</v>
          </cell>
        </row>
        <row r="122">
          <cell r="V122">
            <v>111</v>
          </cell>
          <cell r="W122">
            <v>0.5</v>
          </cell>
          <cell r="X122">
            <v>0</v>
          </cell>
          <cell r="Y122">
            <v>0.5</v>
          </cell>
          <cell r="Z122">
            <v>0</v>
          </cell>
          <cell r="BB122" t="str">
            <v>.</v>
          </cell>
        </row>
        <row r="123">
          <cell r="V123">
            <v>112</v>
          </cell>
          <cell r="W123">
            <v>0.5</v>
          </cell>
          <cell r="X123">
            <v>0</v>
          </cell>
          <cell r="Y123">
            <v>0.5</v>
          </cell>
          <cell r="Z123">
            <v>0</v>
          </cell>
          <cell r="BB123" t="str">
            <v>.</v>
          </cell>
        </row>
        <row r="124">
          <cell r="V124">
            <v>113</v>
          </cell>
          <cell r="W124">
            <v>0.5</v>
          </cell>
          <cell r="X124">
            <v>0</v>
          </cell>
          <cell r="Y124">
            <v>0.5</v>
          </cell>
          <cell r="Z124">
            <v>0</v>
          </cell>
          <cell r="BB124" t="str">
            <v>.</v>
          </cell>
        </row>
        <row r="125">
          <cell r="V125">
            <v>114</v>
          </cell>
          <cell r="W125">
            <v>0.5</v>
          </cell>
          <cell r="X125">
            <v>0</v>
          </cell>
          <cell r="Y125">
            <v>0.5</v>
          </cell>
          <cell r="Z125">
            <v>0</v>
          </cell>
          <cell r="BB125" t="str">
            <v>.</v>
          </cell>
        </row>
        <row r="126">
          <cell r="V126">
            <v>115</v>
          </cell>
          <cell r="W126">
            <v>0.5</v>
          </cell>
          <cell r="X126">
            <v>0</v>
          </cell>
          <cell r="Y126">
            <v>0.5</v>
          </cell>
          <cell r="Z126">
            <v>0</v>
          </cell>
          <cell r="BB126" t="str">
            <v>.</v>
          </cell>
        </row>
        <row r="127">
          <cell r="V127">
            <v>116</v>
          </cell>
          <cell r="W127">
            <v>0.5</v>
          </cell>
          <cell r="X127">
            <v>0</v>
          </cell>
          <cell r="Y127">
            <v>0.5</v>
          </cell>
          <cell r="Z127">
            <v>0</v>
          </cell>
          <cell r="BB127" t="str">
            <v>.</v>
          </cell>
        </row>
        <row r="128">
          <cell r="V128">
            <v>117</v>
          </cell>
          <cell r="W128">
            <v>0.5</v>
          </cell>
          <cell r="X128">
            <v>0</v>
          </cell>
          <cell r="Y128">
            <v>0.5</v>
          </cell>
          <cell r="Z128">
            <v>0</v>
          </cell>
          <cell r="BB128" t="str">
            <v>.</v>
          </cell>
        </row>
        <row r="129">
          <cell r="V129">
            <v>118</v>
          </cell>
          <cell r="W129">
            <v>0.5</v>
          </cell>
          <cell r="X129">
            <v>0</v>
          </cell>
          <cell r="Y129">
            <v>0.5</v>
          </cell>
          <cell r="Z129">
            <v>0</v>
          </cell>
          <cell r="BB129" t="str">
            <v>.</v>
          </cell>
        </row>
        <row r="130">
          <cell r="V130">
            <v>119</v>
          </cell>
          <cell r="W130">
            <v>0.5</v>
          </cell>
          <cell r="X130">
            <v>0</v>
          </cell>
          <cell r="Y130">
            <v>0.5</v>
          </cell>
          <cell r="Z130">
            <v>0</v>
          </cell>
          <cell r="BB130" t="str">
            <v>.</v>
          </cell>
        </row>
        <row r="131">
          <cell r="V131">
            <v>120</v>
          </cell>
          <cell r="W131">
            <v>0.5</v>
          </cell>
          <cell r="X131">
            <v>0</v>
          </cell>
          <cell r="Y131">
            <v>0.5</v>
          </cell>
          <cell r="Z131">
            <v>0</v>
          </cell>
          <cell r="BB131" t="str">
            <v>.</v>
          </cell>
        </row>
        <row r="132">
          <cell r="V132">
            <v>121</v>
          </cell>
          <cell r="W132">
            <v>0.5</v>
          </cell>
          <cell r="X132">
            <v>0</v>
          </cell>
          <cell r="Y132">
            <v>0.5</v>
          </cell>
          <cell r="Z132">
            <v>0</v>
          </cell>
          <cell r="BB132" t="str">
            <v>.</v>
          </cell>
        </row>
        <row r="133">
          <cell r="V133">
            <v>122</v>
          </cell>
          <cell r="W133">
            <v>0.5</v>
          </cell>
          <cell r="X133">
            <v>0</v>
          </cell>
          <cell r="Y133">
            <v>0.5</v>
          </cell>
          <cell r="Z133">
            <v>0</v>
          </cell>
          <cell r="BB133" t="str">
            <v>.</v>
          </cell>
        </row>
        <row r="134">
          <cell r="V134">
            <v>123</v>
          </cell>
          <cell r="W134">
            <v>0.5</v>
          </cell>
          <cell r="X134">
            <v>0</v>
          </cell>
          <cell r="Y134">
            <v>0.5</v>
          </cell>
          <cell r="Z134">
            <v>0</v>
          </cell>
          <cell r="BB134" t="str">
            <v>.</v>
          </cell>
        </row>
        <row r="135">
          <cell r="V135">
            <v>124</v>
          </cell>
          <cell r="W135">
            <v>0.5</v>
          </cell>
          <cell r="X135">
            <v>0</v>
          </cell>
          <cell r="Y135">
            <v>0.5</v>
          </cell>
          <cell r="Z135">
            <v>0</v>
          </cell>
          <cell r="BB135" t="str">
            <v>.</v>
          </cell>
        </row>
        <row r="136">
          <cell r="V136">
            <v>125</v>
          </cell>
          <cell r="W136">
            <v>0.5</v>
          </cell>
          <cell r="X136">
            <v>0</v>
          </cell>
          <cell r="Y136">
            <v>0.5</v>
          </cell>
          <cell r="Z136">
            <v>0</v>
          </cell>
          <cell r="BB136" t="str">
            <v>.</v>
          </cell>
        </row>
        <row r="137">
          <cell r="V137">
            <v>126</v>
          </cell>
          <cell r="W137">
            <v>0.5</v>
          </cell>
          <cell r="X137">
            <v>0</v>
          </cell>
          <cell r="Y137">
            <v>0.5</v>
          </cell>
          <cell r="Z137">
            <v>0</v>
          </cell>
          <cell r="BB137" t="str">
            <v>.</v>
          </cell>
        </row>
        <row r="138">
          <cell r="V138">
            <v>127</v>
          </cell>
          <cell r="W138">
            <v>0.5</v>
          </cell>
          <cell r="X138">
            <v>0</v>
          </cell>
          <cell r="Y138">
            <v>0.5</v>
          </cell>
          <cell r="Z138">
            <v>0</v>
          </cell>
          <cell r="BB138" t="str">
            <v>.</v>
          </cell>
        </row>
        <row r="139">
          <cell r="V139">
            <v>128</v>
          </cell>
          <cell r="W139">
            <v>0.5</v>
          </cell>
          <cell r="X139">
            <v>0</v>
          </cell>
          <cell r="Y139">
            <v>0.5</v>
          </cell>
          <cell r="Z139">
            <v>0</v>
          </cell>
          <cell r="BB139" t="str">
            <v>.</v>
          </cell>
        </row>
        <row r="140">
          <cell r="V140">
            <v>129</v>
          </cell>
          <cell r="W140">
            <v>0.5</v>
          </cell>
          <cell r="X140">
            <v>0</v>
          </cell>
          <cell r="Y140">
            <v>0.5</v>
          </cell>
          <cell r="Z140">
            <v>0</v>
          </cell>
          <cell r="BB140" t="str">
            <v>.</v>
          </cell>
        </row>
        <row r="141">
          <cell r="V141">
            <v>130</v>
          </cell>
          <cell r="W141">
            <v>0.5</v>
          </cell>
          <cell r="X141">
            <v>0</v>
          </cell>
          <cell r="Y141">
            <v>0.5</v>
          </cell>
          <cell r="Z141">
            <v>0</v>
          </cell>
          <cell r="BB141" t="str">
            <v>.</v>
          </cell>
        </row>
        <row r="142">
          <cell r="V142">
            <v>131</v>
          </cell>
          <cell r="W142">
            <v>0.5</v>
          </cell>
          <cell r="X142">
            <v>0</v>
          </cell>
          <cell r="Y142">
            <v>0.5</v>
          </cell>
          <cell r="Z142">
            <v>0</v>
          </cell>
          <cell r="BB142" t="str">
            <v>.</v>
          </cell>
        </row>
        <row r="143">
          <cell r="V143">
            <v>132</v>
          </cell>
          <cell r="W143">
            <v>0.5</v>
          </cell>
          <cell r="X143">
            <v>0</v>
          </cell>
          <cell r="Y143">
            <v>0.5</v>
          </cell>
          <cell r="Z143">
            <v>0</v>
          </cell>
          <cell r="BB143" t="str">
            <v>.</v>
          </cell>
        </row>
        <row r="144">
          <cell r="V144">
            <v>133</v>
          </cell>
          <cell r="W144">
            <v>0.5</v>
          </cell>
          <cell r="X144">
            <v>0</v>
          </cell>
          <cell r="Y144">
            <v>0.5</v>
          </cell>
          <cell r="Z144">
            <v>0</v>
          </cell>
          <cell r="BB144" t="str">
            <v>.</v>
          </cell>
        </row>
        <row r="145">
          <cell r="V145">
            <v>134</v>
          </cell>
          <cell r="W145">
            <v>0.5</v>
          </cell>
          <cell r="X145">
            <v>0</v>
          </cell>
          <cell r="Y145">
            <v>0.5</v>
          </cell>
          <cell r="Z145">
            <v>0</v>
          </cell>
          <cell r="BB145" t="str">
            <v>.</v>
          </cell>
        </row>
        <row r="146">
          <cell r="V146">
            <v>135</v>
          </cell>
          <cell r="W146">
            <v>0.5</v>
          </cell>
          <cell r="X146">
            <v>0</v>
          </cell>
          <cell r="Y146">
            <v>0.5</v>
          </cell>
          <cell r="Z146">
            <v>0</v>
          </cell>
          <cell r="BB146" t="str">
            <v>.</v>
          </cell>
        </row>
        <row r="147">
          <cell r="V147">
            <v>136</v>
          </cell>
          <cell r="W147">
            <v>0.5</v>
          </cell>
          <cell r="X147">
            <v>0</v>
          </cell>
          <cell r="Y147">
            <v>0.5</v>
          </cell>
          <cell r="Z147">
            <v>0</v>
          </cell>
          <cell r="BB147" t="str">
            <v>.</v>
          </cell>
        </row>
        <row r="148">
          <cell r="V148">
            <v>137</v>
          </cell>
          <cell r="W148">
            <v>0.5</v>
          </cell>
          <cell r="X148">
            <v>0</v>
          </cell>
          <cell r="Y148">
            <v>0.5</v>
          </cell>
          <cell r="Z148">
            <v>0</v>
          </cell>
          <cell r="BB148" t="str">
            <v>.</v>
          </cell>
        </row>
        <row r="149">
          <cell r="V149">
            <v>138</v>
          </cell>
          <cell r="W149">
            <v>0.5</v>
          </cell>
          <cell r="X149">
            <v>0</v>
          </cell>
          <cell r="Y149">
            <v>0.5</v>
          </cell>
          <cell r="Z149">
            <v>0</v>
          </cell>
          <cell r="BB149" t="str">
            <v>.</v>
          </cell>
        </row>
        <row r="150">
          <cell r="V150">
            <v>139</v>
          </cell>
          <cell r="W150">
            <v>0.5</v>
          </cell>
          <cell r="X150">
            <v>0</v>
          </cell>
          <cell r="Y150">
            <v>0.5</v>
          </cell>
          <cell r="Z150">
            <v>0</v>
          </cell>
          <cell r="BB150" t="str">
            <v>.</v>
          </cell>
        </row>
        <row r="151">
          <cell r="V151">
            <v>140</v>
          </cell>
          <cell r="W151">
            <v>0.5</v>
          </cell>
          <cell r="X151">
            <v>0</v>
          </cell>
          <cell r="Y151">
            <v>0.5</v>
          </cell>
          <cell r="Z151">
            <v>0</v>
          </cell>
          <cell r="BB151" t="str">
            <v>.</v>
          </cell>
        </row>
        <row r="152">
          <cell r="V152">
            <v>141</v>
          </cell>
          <cell r="W152">
            <v>0.5</v>
          </cell>
          <cell r="X152">
            <v>0</v>
          </cell>
          <cell r="Y152">
            <v>0.5</v>
          </cell>
          <cell r="Z152">
            <v>0</v>
          </cell>
          <cell r="BB152" t="str">
            <v>.</v>
          </cell>
        </row>
        <row r="153">
          <cell r="V153">
            <v>142</v>
          </cell>
          <cell r="W153">
            <v>0.5</v>
          </cell>
          <cell r="X153">
            <v>0</v>
          </cell>
          <cell r="Y153">
            <v>0.5</v>
          </cell>
          <cell r="Z153">
            <v>0</v>
          </cell>
          <cell r="BB153" t="str">
            <v>.</v>
          </cell>
        </row>
        <row r="154">
          <cell r="V154">
            <v>143</v>
          </cell>
          <cell r="W154">
            <v>0.5</v>
          </cell>
          <cell r="X154">
            <v>0</v>
          </cell>
          <cell r="Y154">
            <v>0.5</v>
          </cell>
          <cell r="Z154">
            <v>0</v>
          </cell>
          <cell r="BB154" t="str">
            <v>.</v>
          </cell>
        </row>
        <row r="155">
          <cell r="V155">
            <v>144</v>
          </cell>
          <cell r="W155">
            <v>0.5</v>
          </cell>
          <cell r="X155">
            <v>0</v>
          </cell>
          <cell r="Y155">
            <v>0.5</v>
          </cell>
          <cell r="Z155">
            <v>0</v>
          </cell>
          <cell r="BB155" t="str">
            <v>.</v>
          </cell>
        </row>
        <row r="156">
          <cell r="V156">
            <v>145</v>
          </cell>
          <cell r="W156">
            <v>0.5</v>
          </cell>
          <cell r="X156">
            <v>0</v>
          </cell>
          <cell r="Y156">
            <v>0.5</v>
          </cell>
          <cell r="Z156">
            <v>0</v>
          </cell>
          <cell r="BB156" t="str">
            <v>.</v>
          </cell>
        </row>
        <row r="157">
          <cell r="V157">
            <v>146</v>
          </cell>
          <cell r="W157">
            <v>0.5</v>
          </cell>
          <cell r="X157">
            <v>0</v>
          </cell>
          <cell r="Y157">
            <v>0.5</v>
          </cell>
          <cell r="Z157">
            <v>0</v>
          </cell>
          <cell r="BB157" t="str">
            <v>.</v>
          </cell>
        </row>
        <row r="158">
          <cell r="V158">
            <v>147</v>
          </cell>
          <cell r="W158">
            <v>0.5</v>
          </cell>
          <cell r="X158">
            <v>0</v>
          </cell>
          <cell r="Y158">
            <v>0.5</v>
          </cell>
          <cell r="Z158">
            <v>0</v>
          </cell>
          <cell r="BB158" t="str">
            <v>.</v>
          </cell>
        </row>
        <row r="159">
          <cell r="V159">
            <v>148</v>
          </cell>
          <cell r="W159">
            <v>0.5</v>
          </cell>
          <cell r="X159">
            <v>0</v>
          </cell>
          <cell r="Y159">
            <v>0.5</v>
          </cell>
          <cell r="Z159">
            <v>0</v>
          </cell>
          <cell r="BB159" t="str">
            <v>.</v>
          </cell>
        </row>
        <row r="160">
          <cell r="V160">
            <v>149</v>
          </cell>
          <cell r="W160">
            <v>0.5</v>
          </cell>
          <cell r="X160">
            <v>0</v>
          </cell>
          <cell r="Y160">
            <v>0.5</v>
          </cell>
          <cell r="Z160">
            <v>0</v>
          </cell>
          <cell r="BB160" t="str">
            <v>.</v>
          </cell>
        </row>
        <row r="161">
          <cell r="V161">
            <v>150</v>
          </cell>
          <cell r="W161">
            <v>0.5</v>
          </cell>
          <cell r="X161">
            <v>0</v>
          </cell>
          <cell r="Y161">
            <v>0.5</v>
          </cell>
          <cell r="Z161">
            <v>0</v>
          </cell>
          <cell r="BB161" t="str">
            <v>.</v>
          </cell>
        </row>
        <row r="162">
          <cell r="V162">
            <v>151</v>
          </cell>
          <cell r="W162">
            <v>0.5</v>
          </cell>
          <cell r="X162">
            <v>0</v>
          </cell>
          <cell r="Y162">
            <v>0.5</v>
          </cell>
          <cell r="Z162">
            <v>0</v>
          </cell>
          <cell r="BB162" t="str">
            <v>.</v>
          </cell>
        </row>
        <row r="163">
          <cell r="V163">
            <v>152</v>
          </cell>
          <cell r="W163">
            <v>0.5</v>
          </cell>
          <cell r="X163">
            <v>0</v>
          </cell>
          <cell r="Y163">
            <v>0.5</v>
          </cell>
          <cell r="Z163">
            <v>0</v>
          </cell>
          <cell r="BB163" t="str">
            <v>.</v>
          </cell>
        </row>
        <row r="164">
          <cell r="V164">
            <v>153</v>
          </cell>
          <cell r="W164">
            <v>0.5</v>
          </cell>
          <cell r="X164">
            <v>0</v>
          </cell>
          <cell r="Y164">
            <v>0.5</v>
          </cell>
          <cell r="Z164">
            <v>0</v>
          </cell>
          <cell r="BB164" t="str">
            <v>.</v>
          </cell>
        </row>
        <row r="165">
          <cell r="V165">
            <v>154</v>
          </cell>
          <cell r="W165">
            <v>0.5</v>
          </cell>
          <cell r="X165">
            <v>0</v>
          </cell>
          <cell r="Y165">
            <v>0.5</v>
          </cell>
          <cell r="Z165">
            <v>0</v>
          </cell>
          <cell r="BB165" t="str">
            <v>.</v>
          </cell>
        </row>
        <row r="166">
          <cell r="V166">
            <v>155</v>
          </cell>
          <cell r="W166">
            <v>0.5</v>
          </cell>
          <cell r="X166">
            <v>0</v>
          </cell>
          <cell r="Y166">
            <v>0.5</v>
          </cell>
          <cell r="Z166">
            <v>0</v>
          </cell>
          <cell r="BB166" t="str">
            <v>.</v>
          </cell>
        </row>
        <row r="167">
          <cell r="V167">
            <v>156</v>
          </cell>
          <cell r="W167">
            <v>0.5</v>
          </cell>
          <cell r="X167">
            <v>0</v>
          </cell>
          <cell r="Y167">
            <v>0.5</v>
          </cell>
          <cell r="Z167">
            <v>0</v>
          </cell>
          <cell r="BB167" t="str">
            <v>.</v>
          </cell>
        </row>
        <row r="168">
          <cell r="V168">
            <v>157</v>
          </cell>
          <cell r="W168">
            <v>0.5</v>
          </cell>
          <cell r="X168">
            <v>0</v>
          </cell>
          <cell r="Y168">
            <v>0.5</v>
          </cell>
          <cell r="Z168">
            <v>0</v>
          </cell>
          <cell r="BB168" t="str">
            <v>.</v>
          </cell>
        </row>
        <row r="169">
          <cell r="V169">
            <v>158</v>
          </cell>
          <cell r="W169">
            <v>0.5</v>
          </cell>
          <cell r="X169">
            <v>0</v>
          </cell>
          <cell r="Y169">
            <v>0.5</v>
          </cell>
          <cell r="Z169">
            <v>0</v>
          </cell>
          <cell r="BB169" t="str">
            <v>.</v>
          </cell>
        </row>
        <row r="170">
          <cell r="V170">
            <v>159</v>
          </cell>
          <cell r="W170">
            <v>0.5</v>
          </cell>
          <cell r="X170">
            <v>0</v>
          </cell>
          <cell r="Y170">
            <v>0.5</v>
          </cell>
          <cell r="Z170">
            <v>0</v>
          </cell>
          <cell r="BB170" t="str">
            <v>.</v>
          </cell>
        </row>
        <row r="171">
          <cell r="V171">
            <v>160</v>
          </cell>
          <cell r="W171">
            <v>0.5</v>
          </cell>
          <cell r="X171">
            <v>0</v>
          </cell>
          <cell r="Y171">
            <v>0.5</v>
          </cell>
          <cell r="Z171">
            <v>0</v>
          </cell>
          <cell r="BB171" t="str">
            <v>.</v>
          </cell>
        </row>
        <row r="172">
          <cell r="V172">
            <v>161</v>
          </cell>
          <cell r="W172">
            <v>0.5</v>
          </cell>
          <cell r="X172">
            <v>0</v>
          </cell>
          <cell r="Y172">
            <v>0.5</v>
          </cell>
          <cell r="Z172">
            <v>0</v>
          </cell>
          <cell r="BB172" t="str">
            <v>.</v>
          </cell>
        </row>
        <row r="173">
          <cell r="V173">
            <v>162</v>
          </cell>
          <cell r="W173">
            <v>0.5</v>
          </cell>
          <cell r="X173">
            <v>0</v>
          </cell>
          <cell r="Y173">
            <v>0.5</v>
          </cell>
          <cell r="Z173">
            <v>0</v>
          </cell>
          <cell r="BB173" t="str">
            <v>.</v>
          </cell>
        </row>
        <row r="174">
          <cell r="V174">
            <v>163</v>
          </cell>
          <cell r="W174">
            <v>0.5</v>
          </cell>
          <cell r="X174">
            <v>0</v>
          </cell>
          <cell r="Y174">
            <v>0.5</v>
          </cell>
          <cell r="Z174">
            <v>0</v>
          </cell>
          <cell r="BB174" t="str">
            <v>.</v>
          </cell>
        </row>
        <row r="175">
          <cell r="V175">
            <v>164</v>
          </cell>
          <cell r="W175">
            <v>0.5</v>
          </cell>
          <cell r="X175">
            <v>0</v>
          </cell>
          <cell r="Y175">
            <v>0.5</v>
          </cell>
          <cell r="Z175">
            <v>0</v>
          </cell>
          <cell r="BB175" t="str">
            <v>.</v>
          </cell>
        </row>
        <row r="176">
          <cell r="V176">
            <v>165</v>
          </cell>
          <cell r="W176">
            <v>0.5</v>
          </cell>
          <cell r="X176">
            <v>0</v>
          </cell>
          <cell r="Y176">
            <v>0.5</v>
          </cell>
          <cell r="Z176">
            <v>0</v>
          </cell>
          <cell r="BB176" t="str">
            <v>.</v>
          </cell>
        </row>
        <row r="177">
          <cell r="V177">
            <v>166</v>
          </cell>
          <cell r="W177">
            <v>0.5</v>
          </cell>
          <cell r="X177">
            <v>0</v>
          </cell>
          <cell r="Y177">
            <v>0.5</v>
          </cell>
          <cell r="Z177">
            <v>0</v>
          </cell>
          <cell r="BB177" t="str">
            <v>.</v>
          </cell>
        </row>
        <row r="178">
          <cell r="V178">
            <v>167</v>
          </cell>
          <cell r="W178">
            <v>0.5</v>
          </cell>
          <cell r="X178">
            <v>0</v>
          </cell>
          <cell r="Y178">
            <v>0.5</v>
          </cell>
          <cell r="Z178">
            <v>0</v>
          </cell>
          <cell r="BB178" t="str">
            <v>.</v>
          </cell>
        </row>
        <row r="179">
          <cell r="V179">
            <v>168</v>
          </cell>
          <cell r="W179">
            <v>0.5</v>
          </cell>
          <cell r="X179">
            <v>0</v>
          </cell>
          <cell r="Y179">
            <v>0.5</v>
          </cell>
          <cell r="Z179">
            <v>0</v>
          </cell>
          <cell r="BB179" t="str">
            <v>.</v>
          </cell>
        </row>
        <row r="180">
          <cell r="V180">
            <v>169</v>
          </cell>
          <cell r="W180">
            <v>0.5</v>
          </cell>
          <cell r="X180">
            <v>0</v>
          </cell>
          <cell r="Y180">
            <v>0.5</v>
          </cell>
          <cell r="Z180">
            <v>0</v>
          </cell>
          <cell r="BB180" t="str">
            <v>.</v>
          </cell>
        </row>
        <row r="181">
          <cell r="V181">
            <v>170</v>
          </cell>
          <cell r="W181">
            <v>0.5</v>
          </cell>
          <cell r="X181">
            <v>0</v>
          </cell>
          <cell r="Y181">
            <v>0.5</v>
          </cell>
          <cell r="Z181">
            <v>0</v>
          </cell>
          <cell r="BB181" t="str">
            <v>.</v>
          </cell>
        </row>
        <row r="182">
          <cell r="V182">
            <v>171</v>
          </cell>
          <cell r="W182">
            <v>0.5</v>
          </cell>
          <cell r="X182">
            <v>0</v>
          </cell>
          <cell r="Y182">
            <v>0.5</v>
          </cell>
          <cell r="Z182">
            <v>0</v>
          </cell>
          <cell r="BB182" t="str">
            <v>.</v>
          </cell>
        </row>
        <row r="183">
          <cell r="V183">
            <v>172</v>
          </cell>
          <cell r="W183">
            <v>0.5</v>
          </cell>
          <cell r="X183">
            <v>0</v>
          </cell>
          <cell r="Y183">
            <v>0.5</v>
          </cell>
          <cell r="Z183">
            <v>0</v>
          </cell>
          <cell r="BB183" t="str">
            <v>.</v>
          </cell>
        </row>
        <row r="184">
          <cell r="V184">
            <v>173</v>
          </cell>
          <cell r="W184">
            <v>0.5</v>
          </cell>
          <cell r="X184">
            <v>0</v>
          </cell>
          <cell r="Y184">
            <v>0.5</v>
          </cell>
          <cell r="Z184">
            <v>0</v>
          </cell>
          <cell r="BB184" t="str">
            <v>.</v>
          </cell>
        </row>
        <row r="185">
          <cell r="V185">
            <v>174</v>
          </cell>
          <cell r="W185">
            <v>0.5</v>
          </cell>
          <cell r="X185">
            <v>0</v>
          </cell>
          <cell r="Y185">
            <v>0.5</v>
          </cell>
          <cell r="Z185">
            <v>0</v>
          </cell>
          <cell r="BB185" t="str">
            <v>.</v>
          </cell>
        </row>
        <row r="186">
          <cell r="V186">
            <v>175</v>
          </cell>
          <cell r="W186">
            <v>0.5</v>
          </cell>
          <cell r="X186">
            <v>0</v>
          </cell>
          <cell r="Y186">
            <v>0.5</v>
          </cell>
          <cell r="Z186">
            <v>0</v>
          </cell>
          <cell r="BB186" t="str">
            <v>.</v>
          </cell>
        </row>
        <row r="187">
          <cell r="V187">
            <v>176</v>
          </cell>
          <cell r="W187">
            <v>0.5</v>
          </cell>
          <cell r="X187">
            <v>0</v>
          </cell>
          <cell r="Y187">
            <v>0.5</v>
          </cell>
          <cell r="Z187">
            <v>0</v>
          </cell>
          <cell r="BB187" t="str">
            <v>.</v>
          </cell>
        </row>
        <row r="188">
          <cell r="V188">
            <v>177</v>
          </cell>
          <cell r="W188">
            <v>0.5</v>
          </cell>
          <cell r="X188">
            <v>0</v>
          </cell>
          <cell r="Y188">
            <v>0.5</v>
          </cell>
          <cell r="Z188">
            <v>0</v>
          </cell>
          <cell r="BB188" t="str">
            <v>.</v>
          </cell>
        </row>
        <row r="189">
          <cell r="V189">
            <v>178</v>
          </cell>
          <cell r="W189">
            <v>0.5</v>
          </cell>
          <cell r="X189">
            <v>0</v>
          </cell>
          <cell r="Y189">
            <v>0.5</v>
          </cell>
          <cell r="Z189">
            <v>0</v>
          </cell>
          <cell r="BB189" t="str">
            <v>.</v>
          </cell>
        </row>
        <row r="190">
          <cell r="V190">
            <v>179</v>
          </cell>
          <cell r="W190">
            <v>0.5</v>
          </cell>
          <cell r="X190">
            <v>0</v>
          </cell>
          <cell r="Y190">
            <v>0.5</v>
          </cell>
          <cell r="Z190">
            <v>0</v>
          </cell>
          <cell r="BB190" t="str">
            <v>.</v>
          </cell>
        </row>
        <row r="191">
          <cell r="V191">
            <v>180</v>
          </cell>
          <cell r="W191">
            <v>0.5</v>
          </cell>
          <cell r="X191">
            <v>0</v>
          </cell>
          <cell r="Y191">
            <v>0.5</v>
          </cell>
          <cell r="Z191">
            <v>0</v>
          </cell>
          <cell r="BB191" t="str">
            <v>.</v>
          </cell>
        </row>
        <row r="192">
          <cell r="V192">
            <v>181</v>
          </cell>
          <cell r="W192">
            <v>0.5</v>
          </cell>
          <cell r="X192">
            <v>0</v>
          </cell>
          <cell r="Y192">
            <v>0.5</v>
          </cell>
          <cell r="Z192">
            <v>0</v>
          </cell>
          <cell r="BB192" t="str">
            <v>.</v>
          </cell>
        </row>
        <row r="193">
          <cell r="V193">
            <v>182</v>
          </cell>
          <cell r="W193">
            <v>0.5</v>
          </cell>
          <cell r="X193">
            <v>0</v>
          </cell>
          <cell r="Y193">
            <v>0.5</v>
          </cell>
          <cell r="Z193">
            <v>0</v>
          </cell>
          <cell r="BB193" t="str">
            <v>.</v>
          </cell>
        </row>
        <row r="194">
          <cell r="V194">
            <v>183</v>
          </cell>
          <cell r="W194">
            <v>0.5</v>
          </cell>
          <cell r="X194">
            <v>0</v>
          </cell>
          <cell r="Y194">
            <v>0.5</v>
          </cell>
          <cell r="Z194">
            <v>0</v>
          </cell>
          <cell r="BB194" t="str">
            <v>.</v>
          </cell>
        </row>
        <row r="195">
          <cell r="V195">
            <v>184</v>
          </cell>
          <cell r="W195">
            <v>0.5</v>
          </cell>
          <cell r="X195">
            <v>0</v>
          </cell>
          <cell r="Y195">
            <v>0.5</v>
          </cell>
          <cell r="Z195">
            <v>0</v>
          </cell>
          <cell r="BB195" t="str">
            <v>.</v>
          </cell>
        </row>
        <row r="196">
          <cell r="V196">
            <v>185</v>
          </cell>
          <cell r="W196">
            <v>0.5</v>
          </cell>
          <cell r="X196">
            <v>0</v>
          </cell>
          <cell r="Y196">
            <v>0.5</v>
          </cell>
          <cell r="Z196">
            <v>0</v>
          </cell>
          <cell r="BB196" t="str">
            <v>.</v>
          </cell>
        </row>
        <row r="197">
          <cell r="V197">
            <v>186</v>
          </cell>
          <cell r="W197">
            <v>0.5</v>
          </cell>
          <cell r="X197">
            <v>0</v>
          </cell>
          <cell r="Y197">
            <v>0.5</v>
          </cell>
          <cell r="Z197">
            <v>0</v>
          </cell>
          <cell r="BB197" t="str">
            <v>.</v>
          </cell>
        </row>
        <row r="198">
          <cell r="V198">
            <v>187</v>
          </cell>
          <cell r="W198">
            <v>0.5</v>
          </cell>
          <cell r="X198">
            <v>0</v>
          </cell>
          <cell r="Y198">
            <v>0.5</v>
          </cell>
          <cell r="Z198">
            <v>0</v>
          </cell>
          <cell r="BB198" t="str">
            <v>.</v>
          </cell>
        </row>
        <row r="199">
          <cell r="V199">
            <v>188</v>
          </cell>
          <cell r="W199">
            <v>0.5</v>
          </cell>
          <cell r="X199">
            <v>0</v>
          </cell>
          <cell r="Y199">
            <v>0.5</v>
          </cell>
          <cell r="Z199">
            <v>0</v>
          </cell>
          <cell r="BB199" t="str">
            <v>.</v>
          </cell>
        </row>
        <row r="200">
          <cell r="V200">
            <v>189</v>
          </cell>
          <cell r="W200">
            <v>0.5</v>
          </cell>
          <cell r="X200">
            <v>0</v>
          </cell>
          <cell r="Y200">
            <v>0.5</v>
          </cell>
          <cell r="Z200">
            <v>0</v>
          </cell>
          <cell r="BB200" t="str">
            <v>.</v>
          </cell>
        </row>
        <row r="201">
          <cell r="V201">
            <v>190</v>
          </cell>
          <cell r="W201">
            <v>0.5</v>
          </cell>
          <cell r="X201">
            <v>0</v>
          </cell>
          <cell r="Y201">
            <v>0.5</v>
          </cell>
          <cell r="Z201">
            <v>0</v>
          </cell>
          <cell r="BB201" t="str">
            <v>.</v>
          </cell>
        </row>
        <row r="202">
          <cell r="V202">
            <v>191</v>
          </cell>
          <cell r="W202">
            <v>0.5</v>
          </cell>
          <cell r="X202">
            <v>0</v>
          </cell>
          <cell r="Y202">
            <v>0.5</v>
          </cell>
          <cell r="Z202">
            <v>0</v>
          </cell>
          <cell r="BB202" t="str">
            <v>.</v>
          </cell>
        </row>
        <row r="203">
          <cell r="V203">
            <v>192</v>
          </cell>
          <cell r="W203">
            <v>0.5</v>
          </cell>
          <cell r="X203">
            <v>0</v>
          </cell>
          <cell r="Y203">
            <v>0.5</v>
          </cell>
          <cell r="Z203">
            <v>0</v>
          </cell>
          <cell r="BB203" t="str">
            <v>.</v>
          </cell>
        </row>
        <row r="204">
          <cell r="V204">
            <v>193</v>
          </cell>
          <cell r="W204">
            <v>0.5</v>
          </cell>
          <cell r="X204">
            <v>0</v>
          </cell>
          <cell r="Y204">
            <v>0.5</v>
          </cell>
          <cell r="Z204">
            <v>0</v>
          </cell>
          <cell r="BB204" t="str">
            <v>.</v>
          </cell>
        </row>
        <row r="205">
          <cell r="V205">
            <v>194</v>
          </cell>
          <cell r="W205">
            <v>0.5</v>
          </cell>
          <cell r="X205">
            <v>0</v>
          </cell>
          <cell r="Y205">
            <v>0.5</v>
          </cell>
          <cell r="Z205">
            <v>0</v>
          </cell>
          <cell r="BB205" t="str">
            <v>.</v>
          </cell>
        </row>
        <row r="206">
          <cell r="V206">
            <v>195</v>
          </cell>
          <cell r="W206">
            <v>0.5</v>
          </cell>
          <cell r="X206">
            <v>0</v>
          </cell>
          <cell r="Y206">
            <v>0.5</v>
          </cell>
          <cell r="Z206">
            <v>0</v>
          </cell>
          <cell r="BB206" t="str">
            <v>.</v>
          </cell>
        </row>
        <row r="207">
          <cell r="V207">
            <v>196</v>
          </cell>
          <cell r="W207">
            <v>0.5</v>
          </cell>
          <cell r="X207">
            <v>0</v>
          </cell>
          <cell r="Y207">
            <v>0.5</v>
          </cell>
          <cell r="Z207">
            <v>0</v>
          </cell>
          <cell r="BB207" t="str">
            <v>.</v>
          </cell>
        </row>
        <row r="208">
          <cell r="V208">
            <v>197</v>
          </cell>
          <cell r="W208">
            <v>0.5</v>
          </cell>
          <cell r="X208">
            <v>0</v>
          </cell>
          <cell r="Y208">
            <v>0.5</v>
          </cell>
          <cell r="Z208">
            <v>0</v>
          </cell>
          <cell r="BB208" t="str">
            <v>.</v>
          </cell>
        </row>
        <row r="209">
          <cell r="V209">
            <v>198</v>
          </cell>
          <cell r="W209">
            <v>0.5</v>
          </cell>
          <cell r="X209">
            <v>0</v>
          </cell>
          <cell r="Y209">
            <v>0.5</v>
          </cell>
          <cell r="Z209">
            <v>0</v>
          </cell>
          <cell r="BB209" t="str">
            <v>.</v>
          </cell>
        </row>
        <row r="210">
          <cell r="V210">
            <v>199</v>
          </cell>
          <cell r="W210">
            <v>0.5</v>
          </cell>
          <cell r="X210">
            <v>0</v>
          </cell>
          <cell r="Y210">
            <v>0.5</v>
          </cell>
          <cell r="Z210">
            <v>0</v>
          </cell>
          <cell r="BB210" t="str">
            <v>.</v>
          </cell>
        </row>
        <row r="211">
          <cell r="V211">
            <v>200</v>
          </cell>
          <cell r="W211">
            <v>0.5</v>
          </cell>
          <cell r="X211">
            <v>0</v>
          </cell>
          <cell r="Y211">
            <v>0.5</v>
          </cell>
          <cell r="Z211">
            <v>0</v>
          </cell>
          <cell r="BB211" t="str">
            <v>.</v>
          </cell>
        </row>
        <row r="212">
          <cell r="BB212" t="str">
            <v>.</v>
          </cell>
        </row>
        <row r="213">
          <cell r="BB213" t="str">
            <v>.</v>
          </cell>
        </row>
        <row r="214">
          <cell r="BB214" t="str">
            <v>.</v>
          </cell>
        </row>
        <row r="215">
          <cell r="BB215" t="str">
            <v>.</v>
          </cell>
        </row>
        <row r="216">
          <cell r="BB216" t="str">
            <v>.</v>
          </cell>
        </row>
        <row r="217">
          <cell r="BB217" t="str">
            <v>.</v>
          </cell>
        </row>
        <row r="218">
          <cell r="BB218" t="str">
            <v>.</v>
          </cell>
        </row>
        <row r="219">
          <cell r="BB219" t="str">
            <v>.</v>
          </cell>
        </row>
        <row r="220">
          <cell r="BB220" t="str">
            <v>.</v>
          </cell>
        </row>
        <row r="221">
          <cell r="BB221" t="str">
            <v>.</v>
          </cell>
        </row>
        <row r="222">
          <cell r="BB222" t="str">
            <v>.</v>
          </cell>
        </row>
        <row r="223">
          <cell r="BB223" t="str">
            <v>.</v>
          </cell>
        </row>
        <row r="224">
          <cell r="BB224" t="str">
            <v>.</v>
          </cell>
        </row>
        <row r="225">
          <cell r="BB225" t="str">
            <v>.</v>
          </cell>
        </row>
        <row r="226">
          <cell r="BB226" t="str">
            <v>.</v>
          </cell>
        </row>
        <row r="227">
          <cell r="BB227" t="str">
            <v>.</v>
          </cell>
        </row>
        <row r="228">
          <cell r="BB228" t="str">
            <v>.</v>
          </cell>
        </row>
        <row r="229">
          <cell r="BB229" t="str">
            <v>.</v>
          </cell>
        </row>
        <row r="230">
          <cell r="BB230" t="str">
            <v>.</v>
          </cell>
        </row>
        <row r="231">
          <cell r="BB231" t="str">
            <v>.</v>
          </cell>
        </row>
        <row r="232">
          <cell r="BB232" t="str">
            <v>.</v>
          </cell>
        </row>
        <row r="233">
          <cell r="BB233" t="str">
            <v>.</v>
          </cell>
        </row>
        <row r="234">
          <cell r="BB234" t="str">
            <v>.</v>
          </cell>
        </row>
        <row r="235">
          <cell r="BB235" t="str">
            <v>.</v>
          </cell>
        </row>
        <row r="236">
          <cell r="BB236" t="str">
            <v>.</v>
          </cell>
        </row>
        <row r="237">
          <cell r="BB237" t="str">
            <v>.</v>
          </cell>
        </row>
        <row r="238">
          <cell r="BB238" t="str">
            <v>.</v>
          </cell>
        </row>
        <row r="239">
          <cell r="BB239" t="str">
            <v>.</v>
          </cell>
        </row>
        <row r="240">
          <cell r="BB240" t="str">
            <v>.</v>
          </cell>
        </row>
        <row r="241">
          <cell r="BB241" t="str">
            <v>.</v>
          </cell>
        </row>
        <row r="242">
          <cell r="BB242" t="str">
            <v>.</v>
          </cell>
        </row>
        <row r="243">
          <cell r="BB243" t="str">
            <v>.</v>
          </cell>
        </row>
        <row r="244">
          <cell r="BB244" t="str">
            <v>.</v>
          </cell>
        </row>
        <row r="245">
          <cell r="BB245" t="str">
            <v>.</v>
          </cell>
        </row>
        <row r="246">
          <cell r="BB246" t="str">
            <v>.</v>
          </cell>
        </row>
        <row r="247">
          <cell r="BB247" t="str">
            <v>.</v>
          </cell>
        </row>
        <row r="248">
          <cell r="BB248" t="str">
            <v>.</v>
          </cell>
        </row>
        <row r="249">
          <cell r="BB249" t="str">
            <v>.</v>
          </cell>
        </row>
        <row r="250">
          <cell r="BB250" t="str">
            <v>.</v>
          </cell>
        </row>
        <row r="251">
          <cell r="BB251" t="str">
            <v>.</v>
          </cell>
        </row>
        <row r="252">
          <cell r="BB252" t="str">
            <v>.</v>
          </cell>
        </row>
        <row r="253">
          <cell r="BB253" t="str">
            <v>.</v>
          </cell>
        </row>
        <row r="254">
          <cell r="BB254" t="str">
            <v>.</v>
          </cell>
        </row>
        <row r="255">
          <cell r="BB255" t="str">
            <v>.</v>
          </cell>
        </row>
        <row r="256">
          <cell r="BB256" t="str">
            <v>.</v>
          </cell>
        </row>
        <row r="257">
          <cell r="BB257" t="str">
            <v>.</v>
          </cell>
        </row>
        <row r="258">
          <cell r="BB258" t="str">
            <v>.</v>
          </cell>
        </row>
        <row r="259">
          <cell r="BB259" t="str">
            <v>.</v>
          </cell>
        </row>
        <row r="260">
          <cell r="BB260" t="str">
            <v>.</v>
          </cell>
        </row>
        <row r="261">
          <cell r="BB261" t="str">
            <v>.</v>
          </cell>
        </row>
        <row r="262">
          <cell r="BB262" t="str">
            <v>.</v>
          </cell>
        </row>
        <row r="263">
          <cell r="BB263" t="str">
            <v>.</v>
          </cell>
        </row>
        <row r="264">
          <cell r="BB264" t="str">
            <v>.</v>
          </cell>
        </row>
        <row r="265">
          <cell r="BB265" t="str">
            <v>.</v>
          </cell>
        </row>
        <row r="266">
          <cell r="BB266" t="str">
            <v>.</v>
          </cell>
        </row>
        <row r="267">
          <cell r="BB267" t="str">
            <v>.</v>
          </cell>
        </row>
        <row r="268">
          <cell r="BB268" t="str">
            <v>.</v>
          </cell>
        </row>
        <row r="269">
          <cell r="BB269" t="str">
            <v>.</v>
          </cell>
        </row>
        <row r="270">
          <cell r="BB270" t="str">
            <v>.</v>
          </cell>
        </row>
        <row r="271">
          <cell r="BB271" t="str">
            <v>.</v>
          </cell>
        </row>
        <row r="272">
          <cell r="BB272" t="str">
            <v>.</v>
          </cell>
        </row>
        <row r="273">
          <cell r="BB273" t="str">
            <v>.</v>
          </cell>
        </row>
        <row r="274">
          <cell r="BB274" t="str">
            <v>.</v>
          </cell>
        </row>
        <row r="275">
          <cell r="BB275" t="str">
            <v>.</v>
          </cell>
        </row>
        <row r="276">
          <cell r="BB276" t="str">
            <v>.</v>
          </cell>
        </row>
        <row r="277">
          <cell r="BB277" t="str">
            <v>.</v>
          </cell>
        </row>
        <row r="278">
          <cell r="BB278" t="str">
            <v>.</v>
          </cell>
        </row>
        <row r="279">
          <cell r="BB279" t="str">
            <v>.</v>
          </cell>
        </row>
        <row r="280">
          <cell r="BB280" t="str">
            <v>.</v>
          </cell>
        </row>
        <row r="281">
          <cell r="BB281" t="str">
            <v>.</v>
          </cell>
        </row>
        <row r="282">
          <cell r="BB282" t="str">
            <v>.</v>
          </cell>
        </row>
        <row r="283">
          <cell r="BB283" t="str">
            <v>.</v>
          </cell>
        </row>
        <row r="284">
          <cell r="BB284" t="str">
            <v>.</v>
          </cell>
        </row>
        <row r="285">
          <cell r="BB285" t="str">
            <v>.</v>
          </cell>
        </row>
        <row r="286">
          <cell r="BB286" t="str">
            <v>.</v>
          </cell>
        </row>
        <row r="287">
          <cell r="BB287" t="str">
            <v>.</v>
          </cell>
        </row>
        <row r="288">
          <cell r="BB288" t="str">
            <v>.</v>
          </cell>
        </row>
        <row r="289">
          <cell r="BB289" t="str">
            <v>.</v>
          </cell>
        </row>
        <row r="290">
          <cell r="BB290" t="str">
            <v>.</v>
          </cell>
        </row>
        <row r="291">
          <cell r="BB291" t="str">
            <v>.</v>
          </cell>
        </row>
        <row r="292">
          <cell r="BB292" t="str">
            <v>.</v>
          </cell>
        </row>
        <row r="293">
          <cell r="BB293" t="str">
            <v>.</v>
          </cell>
        </row>
        <row r="294">
          <cell r="BB294" t="str">
            <v>.</v>
          </cell>
        </row>
        <row r="295">
          <cell r="BB295" t="str">
            <v>.</v>
          </cell>
        </row>
        <row r="296">
          <cell r="BB296" t="str">
            <v>.</v>
          </cell>
        </row>
        <row r="297">
          <cell r="BB297" t="str">
            <v>.</v>
          </cell>
        </row>
        <row r="298">
          <cell r="BB298" t="str">
            <v>.</v>
          </cell>
        </row>
        <row r="299">
          <cell r="BB299" t="str">
            <v>.</v>
          </cell>
        </row>
        <row r="300">
          <cell r="BB300" t="str">
            <v>.</v>
          </cell>
        </row>
        <row r="301">
          <cell r="BB301" t="str">
            <v>.</v>
          </cell>
        </row>
        <row r="302">
          <cell r="BB302" t="str">
            <v>.</v>
          </cell>
        </row>
        <row r="303">
          <cell r="BB303" t="str">
            <v>.</v>
          </cell>
        </row>
        <row r="304">
          <cell r="BB304" t="str">
            <v>.</v>
          </cell>
        </row>
        <row r="305">
          <cell r="BB305" t="str">
            <v>.</v>
          </cell>
        </row>
        <row r="306">
          <cell r="BB306" t="str">
            <v>.</v>
          </cell>
        </row>
        <row r="307">
          <cell r="BB307" t="str">
            <v>.</v>
          </cell>
        </row>
        <row r="308">
          <cell r="BB308" t="str">
            <v>.</v>
          </cell>
        </row>
        <row r="309">
          <cell r="BB309" t="str">
            <v>.</v>
          </cell>
        </row>
        <row r="310">
          <cell r="BB310" t="str">
            <v>.</v>
          </cell>
        </row>
        <row r="311">
          <cell r="BB311" t="str">
            <v>.</v>
          </cell>
        </row>
        <row r="312">
          <cell r="BB312" t="str">
            <v>.</v>
          </cell>
        </row>
        <row r="313">
          <cell r="BB313" t="str">
            <v>.</v>
          </cell>
        </row>
        <row r="314">
          <cell r="BB314" t="str">
            <v>.</v>
          </cell>
        </row>
        <row r="315">
          <cell r="BB315" t="str">
            <v>.</v>
          </cell>
        </row>
        <row r="316">
          <cell r="BB316" t="str">
            <v>.</v>
          </cell>
        </row>
        <row r="317">
          <cell r="BB317" t="str">
            <v>.</v>
          </cell>
        </row>
        <row r="318">
          <cell r="BB318" t="str">
            <v>.</v>
          </cell>
        </row>
        <row r="319">
          <cell r="BB319" t="str">
            <v>.</v>
          </cell>
        </row>
        <row r="320">
          <cell r="BB320" t="str">
            <v>.</v>
          </cell>
        </row>
        <row r="321">
          <cell r="BB321" t="str">
            <v>.</v>
          </cell>
        </row>
        <row r="322">
          <cell r="BB322" t="str">
            <v>.</v>
          </cell>
        </row>
        <row r="323">
          <cell r="BB323" t="str">
            <v>.</v>
          </cell>
        </row>
        <row r="324">
          <cell r="BB324" t="str">
            <v>.</v>
          </cell>
        </row>
        <row r="325">
          <cell r="BB325" t="str">
            <v>.</v>
          </cell>
        </row>
        <row r="326">
          <cell r="BB326" t="str">
            <v>.</v>
          </cell>
        </row>
        <row r="327">
          <cell r="BB327" t="str">
            <v>.</v>
          </cell>
        </row>
        <row r="328">
          <cell r="BB328" t="str">
            <v>.</v>
          </cell>
        </row>
        <row r="329">
          <cell r="BB329" t="str">
            <v>.</v>
          </cell>
        </row>
        <row r="330">
          <cell r="BB330" t="str">
            <v>.</v>
          </cell>
        </row>
        <row r="331">
          <cell r="BB331" t="str">
            <v>.</v>
          </cell>
        </row>
        <row r="332">
          <cell r="BB332" t="str">
            <v>.</v>
          </cell>
        </row>
        <row r="333">
          <cell r="BB333" t="str">
            <v>.</v>
          </cell>
        </row>
        <row r="334">
          <cell r="BB334" t="str">
            <v>.</v>
          </cell>
        </row>
        <row r="335">
          <cell r="BB335" t="str">
            <v>.</v>
          </cell>
        </row>
        <row r="336">
          <cell r="BB336" t="str">
            <v>.</v>
          </cell>
        </row>
        <row r="337">
          <cell r="BB337" t="str">
            <v>.</v>
          </cell>
        </row>
        <row r="338">
          <cell r="BB338" t="str">
            <v>.</v>
          </cell>
        </row>
        <row r="339">
          <cell r="BB339" t="str">
            <v>.</v>
          </cell>
        </row>
        <row r="340">
          <cell r="BB340" t="str">
            <v>.</v>
          </cell>
        </row>
        <row r="341">
          <cell r="BB341" t="str">
            <v>.</v>
          </cell>
        </row>
        <row r="342">
          <cell r="BB342" t="str">
            <v>.</v>
          </cell>
        </row>
        <row r="343">
          <cell r="BB343" t="str">
            <v>.</v>
          </cell>
        </row>
        <row r="344">
          <cell r="BB344" t="str">
            <v>.</v>
          </cell>
        </row>
        <row r="345">
          <cell r="BB345" t="str">
            <v>.</v>
          </cell>
        </row>
        <row r="346">
          <cell r="BB346" t="str">
            <v>.</v>
          </cell>
        </row>
        <row r="347">
          <cell r="BB347" t="str">
            <v>.</v>
          </cell>
        </row>
        <row r="348">
          <cell r="BB348" t="str">
            <v>.</v>
          </cell>
        </row>
        <row r="349">
          <cell r="BB349" t="str">
            <v>.</v>
          </cell>
        </row>
        <row r="350">
          <cell r="BB350" t="str">
            <v>.</v>
          </cell>
        </row>
        <row r="351">
          <cell r="BB351" t="str">
            <v>.</v>
          </cell>
        </row>
        <row r="352">
          <cell r="BB352" t="str">
            <v>.</v>
          </cell>
        </row>
        <row r="353">
          <cell r="BB353" t="str">
            <v>.</v>
          </cell>
        </row>
        <row r="354">
          <cell r="BB354" t="str">
            <v>.</v>
          </cell>
        </row>
        <row r="355">
          <cell r="BB355" t="str">
            <v>.</v>
          </cell>
        </row>
        <row r="356">
          <cell r="BB356" t="str">
            <v>.</v>
          </cell>
        </row>
        <row r="357">
          <cell r="BB357" t="str">
            <v>.</v>
          </cell>
        </row>
        <row r="358">
          <cell r="BB358" t="str">
            <v>.</v>
          </cell>
        </row>
        <row r="359">
          <cell r="BB359" t="str">
            <v>.</v>
          </cell>
        </row>
        <row r="360">
          <cell r="BB360" t="str">
            <v>.</v>
          </cell>
        </row>
        <row r="361">
          <cell r="BB361" t="str">
            <v>.</v>
          </cell>
        </row>
        <row r="362">
          <cell r="BB362" t="str">
            <v>.</v>
          </cell>
        </row>
        <row r="363">
          <cell r="BB363" t="str">
            <v>.</v>
          </cell>
        </row>
        <row r="364">
          <cell r="BB364" t="str">
            <v>.</v>
          </cell>
        </row>
        <row r="365">
          <cell r="BB365" t="str">
            <v>.</v>
          </cell>
        </row>
        <row r="366">
          <cell r="BB366" t="str">
            <v>.</v>
          </cell>
        </row>
        <row r="367">
          <cell r="BB367" t="str">
            <v>.</v>
          </cell>
        </row>
        <row r="368">
          <cell r="BB368" t="str">
            <v>.</v>
          </cell>
        </row>
        <row r="369">
          <cell r="BB369" t="str">
            <v>.</v>
          </cell>
        </row>
        <row r="370">
          <cell r="BB370" t="str">
            <v>.</v>
          </cell>
        </row>
        <row r="371">
          <cell r="BB371" t="str">
            <v>.</v>
          </cell>
        </row>
        <row r="372">
          <cell r="BB372" t="str">
            <v>.</v>
          </cell>
        </row>
        <row r="373">
          <cell r="BB373" t="str">
            <v>.</v>
          </cell>
        </row>
        <row r="374">
          <cell r="BB374" t="str">
            <v>.</v>
          </cell>
        </row>
        <row r="375">
          <cell r="BB375" t="str">
            <v>.</v>
          </cell>
        </row>
        <row r="376">
          <cell r="BB376" t="str">
            <v>.</v>
          </cell>
        </row>
        <row r="377">
          <cell r="BB377" t="str">
            <v>.</v>
          </cell>
        </row>
        <row r="378">
          <cell r="BB378" t="str">
            <v>.</v>
          </cell>
        </row>
        <row r="379">
          <cell r="BB379" t="str">
            <v>.</v>
          </cell>
        </row>
        <row r="380">
          <cell r="BB380" t="str">
            <v>.</v>
          </cell>
        </row>
        <row r="381">
          <cell r="BB381" t="str">
            <v>.</v>
          </cell>
        </row>
        <row r="382">
          <cell r="BB382" t="str">
            <v>.</v>
          </cell>
        </row>
        <row r="383">
          <cell r="BB383" t="str">
            <v>.</v>
          </cell>
        </row>
        <row r="384">
          <cell r="BB384" t="str">
            <v>.</v>
          </cell>
        </row>
        <row r="385">
          <cell r="BB385" t="str">
            <v>.</v>
          </cell>
        </row>
        <row r="386">
          <cell r="BB386" t="str">
            <v>.</v>
          </cell>
        </row>
        <row r="387">
          <cell r="BB387" t="str">
            <v>.</v>
          </cell>
        </row>
        <row r="388">
          <cell r="BB388" t="str">
            <v>.</v>
          </cell>
        </row>
        <row r="389">
          <cell r="BB389" t="str">
            <v>.</v>
          </cell>
        </row>
        <row r="390">
          <cell r="BB390" t="str">
            <v>.</v>
          </cell>
        </row>
        <row r="391">
          <cell r="BB391" t="str">
            <v>.</v>
          </cell>
        </row>
        <row r="392">
          <cell r="BB392" t="str">
            <v>.</v>
          </cell>
        </row>
        <row r="393">
          <cell r="BB393" t="str">
            <v>.</v>
          </cell>
        </row>
        <row r="394">
          <cell r="BB394" t="str">
            <v>.</v>
          </cell>
        </row>
        <row r="395">
          <cell r="BB395" t="str">
            <v>.</v>
          </cell>
        </row>
        <row r="396">
          <cell r="BB396" t="str">
            <v>.</v>
          </cell>
        </row>
        <row r="397">
          <cell r="BB397" t="str">
            <v>.</v>
          </cell>
        </row>
        <row r="398">
          <cell r="BB398" t="str">
            <v>.</v>
          </cell>
        </row>
        <row r="399">
          <cell r="BB399" t="str">
            <v>.</v>
          </cell>
        </row>
        <row r="400">
          <cell r="BB400" t="str">
            <v>.</v>
          </cell>
        </row>
        <row r="401">
          <cell r="BB401" t="str">
            <v>.</v>
          </cell>
        </row>
        <row r="402">
          <cell r="BB402" t="str">
            <v>.</v>
          </cell>
        </row>
        <row r="403">
          <cell r="BB403" t="str">
            <v>.</v>
          </cell>
        </row>
        <row r="404">
          <cell r="BB404" t="str">
            <v>.</v>
          </cell>
        </row>
        <row r="405">
          <cell r="BB405" t="str">
            <v>.</v>
          </cell>
        </row>
        <row r="406">
          <cell r="BB406" t="str">
            <v>.</v>
          </cell>
        </row>
        <row r="407">
          <cell r="BB407" t="str">
            <v>.</v>
          </cell>
        </row>
        <row r="408">
          <cell r="BB408" t="str">
            <v>.</v>
          </cell>
        </row>
        <row r="409">
          <cell r="BB409" t="str">
            <v>.</v>
          </cell>
        </row>
        <row r="410">
          <cell r="BB410" t="str">
            <v>.</v>
          </cell>
        </row>
        <row r="411">
          <cell r="BB411" t="str">
            <v>.</v>
          </cell>
        </row>
        <row r="412">
          <cell r="BB412" t="str">
            <v>.</v>
          </cell>
        </row>
        <row r="413">
          <cell r="BB413" t="str">
            <v>.</v>
          </cell>
        </row>
        <row r="414">
          <cell r="BB414" t="str">
            <v>.</v>
          </cell>
        </row>
        <row r="415">
          <cell r="BB415" t="str">
            <v>.</v>
          </cell>
        </row>
        <row r="416">
          <cell r="BB416" t="str">
            <v>.</v>
          </cell>
        </row>
        <row r="417">
          <cell r="BB417" t="str">
            <v>.</v>
          </cell>
        </row>
        <row r="418">
          <cell r="BB418" t="str">
            <v>.</v>
          </cell>
        </row>
        <row r="419">
          <cell r="BB419" t="str">
            <v>.</v>
          </cell>
        </row>
        <row r="420">
          <cell r="BB420" t="str">
            <v>.</v>
          </cell>
        </row>
        <row r="421">
          <cell r="BB421" t="str">
            <v>.</v>
          </cell>
        </row>
        <row r="422">
          <cell r="BB422" t="str">
            <v>.</v>
          </cell>
        </row>
        <row r="423">
          <cell r="BB423" t="str">
            <v>.</v>
          </cell>
        </row>
        <row r="424">
          <cell r="BB424" t="str">
            <v>.</v>
          </cell>
        </row>
        <row r="425">
          <cell r="BB425" t="str">
            <v>.</v>
          </cell>
        </row>
        <row r="426">
          <cell r="BB426" t="str">
            <v>.</v>
          </cell>
        </row>
        <row r="427">
          <cell r="BB427" t="str">
            <v>.</v>
          </cell>
        </row>
        <row r="428">
          <cell r="BB428" t="str">
            <v>.</v>
          </cell>
        </row>
        <row r="429">
          <cell r="BB429" t="str">
            <v>.</v>
          </cell>
        </row>
        <row r="430">
          <cell r="BB430" t="str">
            <v>.</v>
          </cell>
        </row>
        <row r="431">
          <cell r="BB431" t="str">
            <v>.</v>
          </cell>
        </row>
        <row r="432">
          <cell r="BB432" t="str">
            <v>.</v>
          </cell>
        </row>
        <row r="433">
          <cell r="BB433" t="str">
            <v>.</v>
          </cell>
        </row>
        <row r="434">
          <cell r="BB434" t="str">
            <v>.</v>
          </cell>
        </row>
        <row r="435">
          <cell r="BB435" t="str">
            <v>.</v>
          </cell>
        </row>
        <row r="436">
          <cell r="BB436" t="str">
            <v>.</v>
          </cell>
        </row>
        <row r="437">
          <cell r="BB437" t="str">
            <v>.</v>
          </cell>
        </row>
        <row r="438">
          <cell r="BB438" t="str">
            <v>.</v>
          </cell>
        </row>
        <row r="439">
          <cell r="BB439" t="str">
            <v>.</v>
          </cell>
        </row>
        <row r="440">
          <cell r="BB440" t="str">
            <v>.</v>
          </cell>
        </row>
        <row r="441">
          <cell r="BB441" t="str">
            <v>.</v>
          </cell>
        </row>
        <row r="442">
          <cell r="BB442" t="str">
            <v>.</v>
          </cell>
        </row>
        <row r="443">
          <cell r="BB443" t="str">
            <v>.</v>
          </cell>
        </row>
        <row r="444">
          <cell r="BB444" t="str">
            <v>.</v>
          </cell>
        </row>
        <row r="445">
          <cell r="BB445" t="str">
            <v>.</v>
          </cell>
        </row>
        <row r="446">
          <cell r="BB446" t="str">
            <v>.</v>
          </cell>
        </row>
        <row r="447">
          <cell r="BB447" t="str">
            <v>.</v>
          </cell>
        </row>
        <row r="448">
          <cell r="BB448" t="str">
            <v>.</v>
          </cell>
        </row>
        <row r="449">
          <cell r="BB449" t="str">
            <v>.</v>
          </cell>
        </row>
        <row r="450">
          <cell r="BB450" t="str">
            <v>.</v>
          </cell>
        </row>
        <row r="451">
          <cell r="BB451" t="str">
            <v>.</v>
          </cell>
        </row>
        <row r="452">
          <cell r="BB452" t="str">
            <v>.</v>
          </cell>
        </row>
        <row r="453">
          <cell r="BB453" t="str">
            <v>.</v>
          </cell>
        </row>
        <row r="454">
          <cell r="BB454" t="str">
            <v>.</v>
          </cell>
        </row>
        <row r="455">
          <cell r="BB455" t="str">
            <v>.</v>
          </cell>
        </row>
        <row r="456">
          <cell r="BB456" t="str">
            <v>.</v>
          </cell>
        </row>
        <row r="457">
          <cell r="BB457" t="str">
            <v>.</v>
          </cell>
        </row>
        <row r="458">
          <cell r="BB458" t="str">
            <v>.</v>
          </cell>
        </row>
        <row r="459">
          <cell r="BB459" t="str">
            <v>.</v>
          </cell>
        </row>
        <row r="460">
          <cell r="BB460" t="str">
            <v>.</v>
          </cell>
        </row>
        <row r="461">
          <cell r="BB461" t="str">
            <v>.</v>
          </cell>
        </row>
        <row r="462">
          <cell r="BB462" t="str">
            <v>.</v>
          </cell>
        </row>
        <row r="463">
          <cell r="BB463" t="str">
            <v>.</v>
          </cell>
        </row>
        <row r="464">
          <cell r="BB464" t="str">
            <v>.</v>
          </cell>
        </row>
        <row r="465">
          <cell r="BB465" t="str">
            <v>.</v>
          </cell>
        </row>
        <row r="466">
          <cell r="BB466" t="str">
            <v>.</v>
          </cell>
        </row>
        <row r="467">
          <cell r="BB467" t="str">
            <v>.</v>
          </cell>
        </row>
        <row r="468">
          <cell r="BB468" t="str">
            <v>.</v>
          </cell>
        </row>
        <row r="469">
          <cell r="BB469" t="str">
            <v>.</v>
          </cell>
        </row>
        <row r="470">
          <cell r="BB470" t="str">
            <v>.</v>
          </cell>
        </row>
        <row r="471">
          <cell r="BB471" t="str">
            <v>.</v>
          </cell>
        </row>
        <row r="472">
          <cell r="BB472" t="str">
            <v>.</v>
          </cell>
        </row>
        <row r="473">
          <cell r="BB473" t="str">
            <v>.</v>
          </cell>
        </row>
        <row r="474">
          <cell r="BB474" t="str">
            <v>.</v>
          </cell>
        </row>
        <row r="475">
          <cell r="BB475" t="str">
            <v>.</v>
          </cell>
        </row>
        <row r="476">
          <cell r="BB476" t="str">
            <v>.</v>
          </cell>
        </row>
        <row r="477">
          <cell r="BB477" t="str">
            <v>.</v>
          </cell>
        </row>
        <row r="478">
          <cell r="BB478" t="str">
            <v>.</v>
          </cell>
        </row>
        <row r="479">
          <cell r="BB479" t="str">
            <v>.</v>
          </cell>
        </row>
        <row r="480">
          <cell r="BB480" t="str">
            <v>.</v>
          </cell>
        </row>
        <row r="481">
          <cell r="BB481" t="str">
            <v>.</v>
          </cell>
        </row>
        <row r="482">
          <cell r="BB482" t="str">
            <v>.</v>
          </cell>
        </row>
        <row r="483">
          <cell r="BB483" t="str">
            <v>.</v>
          </cell>
        </row>
        <row r="484">
          <cell r="BB484" t="str">
            <v>.</v>
          </cell>
        </row>
        <row r="485">
          <cell r="BB485" t="str">
            <v>.</v>
          </cell>
        </row>
        <row r="486">
          <cell r="BB486" t="str">
            <v>.</v>
          </cell>
        </row>
        <row r="487">
          <cell r="BB487" t="str">
            <v>.</v>
          </cell>
        </row>
        <row r="488">
          <cell r="BB488" t="str">
            <v>.</v>
          </cell>
        </row>
        <row r="489">
          <cell r="BB489" t="str">
            <v>.</v>
          </cell>
        </row>
        <row r="490">
          <cell r="BB490" t="str">
            <v>.</v>
          </cell>
        </row>
        <row r="491">
          <cell r="BB491" t="str">
            <v>.</v>
          </cell>
        </row>
        <row r="492">
          <cell r="BB492" t="str">
            <v>.</v>
          </cell>
        </row>
        <row r="493">
          <cell r="BB493" t="str">
            <v>.</v>
          </cell>
        </row>
        <row r="494">
          <cell r="BB494" t="str">
            <v>.</v>
          </cell>
        </row>
        <row r="495">
          <cell r="BB495" t="str">
            <v>.</v>
          </cell>
        </row>
        <row r="496">
          <cell r="BB496" t="str">
            <v>.</v>
          </cell>
        </row>
        <row r="497">
          <cell r="BB497" t="str">
            <v>.</v>
          </cell>
        </row>
        <row r="498">
          <cell r="BB498" t="str">
            <v>.</v>
          </cell>
        </row>
        <row r="499">
          <cell r="BB499" t="str">
            <v>.</v>
          </cell>
        </row>
        <row r="500">
          <cell r="BB500" t="str">
            <v>.</v>
          </cell>
        </row>
        <row r="501">
          <cell r="BB501" t="str">
            <v>.</v>
          </cell>
        </row>
        <row r="502">
          <cell r="BB502" t="str">
            <v>.</v>
          </cell>
        </row>
        <row r="503">
          <cell r="BB503" t="str">
            <v>.</v>
          </cell>
        </row>
        <row r="504">
          <cell r="BB504" t="str">
            <v>.</v>
          </cell>
        </row>
        <row r="505">
          <cell r="BB505" t="str">
            <v>.</v>
          </cell>
        </row>
        <row r="506">
          <cell r="BB506" t="str">
            <v>.</v>
          </cell>
        </row>
        <row r="507">
          <cell r="BB507" t="str">
            <v>.</v>
          </cell>
        </row>
        <row r="508">
          <cell r="BB508" t="str">
            <v>.</v>
          </cell>
        </row>
        <row r="509">
          <cell r="BB509" t="str">
            <v>.</v>
          </cell>
        </row>
        <row r="510">
          <cell r="BB510" t="str">
            <v>.</v>
          </cell>
        </row>
        <row r="511">
          <cell r="BB511" t="str">
            <v>.</v>
          </cell>
        </row>
        <row r="512">
          <cell r="BB512" t="str">
            <v>.</v>
          </cell>
        </row>
        <row r="513">
          <cell r="BB513" t="str">
            <v>.</v>
          </cell>
        </row>
        <row r="514">
          <cell r="BB514" t="str">
            <v>.</v>
          </cell>
        </row>
        <row r="515">
          <cell r="BB515" t="str">
            <v>.</v>
          </cell>
        </row>
        <row r="516">
          <cell r="BB516" t="str">
            <v>.</v>
          </cell>
        </row>
        <row r="517">
          <cell r="BB517" t="str">
            <v>.</v>
          </cell>
        </row>
        <row r="518">
          <cell r="BB518" t="str">
            <v>.</v>
          </cell>
        </row>
        <row r="519">
          <cell r="BB519" t="str">
            <v>.</v>
          </cell>
        </row>
        <row r="520">
          <cell r="BB520" t="str">
            <v>.</v>
          </cell>
        </row>
        <row r="521">
          <cell r="BB521" t="str">
            <v>.</v>
          </cell>
        </row>
        <row r="522">
          <cell r="BB522" t="str">
            <v>.</v>
          </cell>
        </row>
        <row r="523">
          <cell r="BB523" t="str">
            <v>.</v>
          </cell>
        </row>
        <row r="524">
          <cell r="BB524" t="str">
            <v>.</v>
          </cell>
        </row>
        <row r="525">
          <cell r="BB525" t="str">
            <v>.</v>
          </cell>
        </row>
        <row r="526">
          <cell r="BB526" t="str">
            <v>.</v>
          </cell>
        </row>
        <row r="527">
          <cell r="BB527" t="str">
            <v>.</v>
          </cell>
        </row>
        <row r="528">
          <cell r="BB528" t="str">
            <v>.</v>
          </cell>
        </row>
        <row r="529">
          <cell r="BB529" t="str">
            <v>.</v>
          </cell>
        </row>
        <row r="530">
          <cell r="BB530" t="str">
            <v>.</v>
          </cell>
        </row>
        <row r="531">
          <cell r="BB531" t="str">
            <v>.</v>
          </cell>
        </row>
        <row r="532">
          <cell r="BB532" t="str">
            <v>.</v>
          </cell>
        </row>
        <row r="533">
          <cell r="BB533" t="str">
            <v>.</v>
          </cell>
        </row>
        <row r="534">
          <cell r="BB534" t="str">
            <v>.</v>
          </cell>
        </row>
        <row r="535">
          <cell r="BB535" t="str">
            <v>.</v>
          </cell>
        </row>
        <row r="536">
          <cell r="BB536" t="str">
            <v>.</v>
          </cell>
        </row>
        <row r="537">
          <cell r="BB537" t="str">
            <v>.</v>
          </cell>
        </row>
        <row r="538">
          <cell r="BB538" t="str">
            <v>.</v>
          </cell>
        </row>
        <row r="539">
          <cell r="BB539" t="str">
            <v>.</v>
          </cell>
        </row>
        <row r="540">
          <cell r="BB540" t="str">
            <v>.</v>
          </cell>
        </row>
        <row r="541">
          <cell r="BB541" t="str">
            <v>.</v>
          </cell>
        </row>
        <row r="542">
          <cell r="BB542" t="str">
            <v>.</v>
          </cell>
        </row>
        <row r="543">
          <cell r="BB543" t="str">
            <v>.</v>
          </cell>
        </row>
        <row r="544">
          <cell r="BB544" t="str">
            <v>.</v>
          </cell>
        </row>
        <row r="545">
          <cell r="BB545" t="str">
            <v>.</v>
          </cell>
        </row>
        <row r="546">
          <cell r="BB546" t="str">
            <v>.</v>
          </cell>
        </row>
        <row r="547">
          <cell r="BB547" t="str">
            <v>.</v>
          </cell>
        </row>
        <row r="548">
          <cell r="BB548" t="str">
            <v>.</v>
          </cell>
        </row>
        <row r="549">
          <cell r="BB549" t="str">
            <v>.</v>
          </cell>
        </row>
        <row r="550">
          <cell r="BB550" t="str">
            <v>.</v>
          </cell>
        </row>
        <row r="551">
          <cell r="BB551" t="str">
            <v>.</v>
          </cell>
        </row>
        <row r="552">
          <cell r="BB552" t="str">
            <v>.</v>
          </cell>
        </row>
        <row r="553">
          <cell r="BB553" t="str">
            <v>.</v>
          </cell>
        </row>
        <row r="554">
          <cell r="BB554" t="str">
            <v>.</v>
          </cell>
        </row>
        <row r="555">
          <cell r="BB555" t="str">
            <v>.</v>
          </cell>
        </row>
        <row r="556">
          <cell r="BB556" t="str">
            <v>.</v>
          </cell>
        </row>
        <row r="557">
          <cell r="BB557" t="str">
            <v>.</v>
          </cell>
        </row>
        <row r="558">
          <cell r="BB558" t="str">
            <v>.</v>
          </cell>
        </row>
        <row r="559">
          <cell r="BB559" t="str">
            <v>.</v>
          </cell>
        </row>
        <row r="560">
          <cell r="BB560" t="str">
            <v>.</v>
          </cell>
        </row>
        <row r="561">
          <cell r="BB561" t="str">
            <v>.</v>
          </cell>
        </row>
        <row r="562">
          <cell r="BB562" t="str">
            <v>.</v>
          </cell>
        </row>
        <row r="563">
          <cell r="BB563" t="str">
            <v>.</v>
          </cell>
        </row>
        <row r="564">
          <cell r="BB564" t="str">
            <v>.</v>
          </cell>
        </row>
        <row r="565">
          <cell r="BB565" t="str">
            <v>.</v>
          </cell>
        </row>
        <row r="566">
          <cell r="BB566" t="str">
            <v>.</v>
          </cell>
        </row>
        <row r="567">
          <cell r="BB567" t="str">
            <v>.</v>
          </cell>
        </row>
        <row r="568">
          <cell r="BB568" t="str">
            <v>.</v>
          </cell>
        </row>
        <row r="569">
          <cell r="BB569" t="str">
            <v>.</v>
          </cell>
        </row>
        <row r="570">
          <cell r="BB570" t="str">
            <v>.</v>
          </cell>
        </row>
        <row r="571">
          <cell r="BB571" t="str">
            <v>.</v>
          </cell>
        </row>
        <row r="572">
          <cell r="BB572" t="str">
            <v>.</v>
          </cell>
        </row>
        <row r="573">
          <cell r="BB573" t="str">
            <v>.</v>
          </cell>
        </row>
        <row r="574">
          <cell r="BB574" t="str">
            <v>.</v>
          </cell>
        </row>
        <row r="575">
          <cell r="BB575" t="str">
            <v>.</v>
          </cell>
        </row>
        <row r="576">
          <cell r="BB576" t="str">
            <v>.</v>
          </cell>
        </row>
        <row r="577">
          <cell r="BB577" t="str">
            <v>.</v>
          </cell>
        </row>
        <row r="578">
          <cell r="BB578" t="str">
            <v>.</v>
          </cell>
        </row>
        <row r="579">
          <cell r="BB579" t="str">
            <v>.</v>
          </cell>
        </row>
        <row r="580">
          <cell r="BB580" t="str">
            <v>.</v>
          </cell>
        </row>
        <row r="581">
          <cell r="BB581" t="str">
            <v>.</v>
          </cell>
        </row>
        <row r="582">
          <cell r="BB582" t="str">
            <v>.</v>
          </cell>
        </row>
        <row r="583">
          <cell r="BB583" t="str">
            <v>.</v>
          </cell>
        </row>
        <row r="584">
          <cell r="BB584" t="str">
            <v>.</v>
          </cell>
        </row>
        <row r="585">
          <cell r="BB585" t="str">
            <v>.</v>
          </cell>
        </row>
        <row r="586">
          <cell r="BB586" t="str">
            <v>.</v>
          </cell>
        </row>
        <row r="587">
          <cell r="BB587" t="str">
            <v>.</v>
          </cell>
        </row>
        <row r="588">
          <cell r="BB588" t="str">
            <v>.</v>
          </cell>
        </row>
        <row r="589">
          <cell r="BB589" t="str">
            <v>.</v>
          </cell>
        </row>
        <row r="590">
          <cell r="BB590" t="str">
            <v>.</v>
          </cell>
        </row>
        <row r="591">
          <cell r="BB591" t="str">
            <v>.</v>
          </cell>
        </row>
        <row r="592">
          <cell r="BB592" t="str">
            <v>.</v>
          </cell>
        </row>
        <row r="593">
          <cell r="BB593" t="str">
            <v>.</v>
          </cell>
        </row>
        <row r="594">
          <cell r="BB594" t="str">
            <v>.</v>
          </cell>
        </row>
        <row r="595">
          <cell r="BB595" t="str">
            <v>.</v>
          </cell>
        </row>
        <row r="596">
          <cell r="BB596" t="str">
            <v>.</v>
          </cell>
        </row>
        <row r="597">
          <cell r="BB597" t="str">
            <v>.</v>
          </cell>
        </row>
        <row r="598">
          <cell r="BB598" t="str">
            <v>.</v>
          </cell>
        </row>
        <row r="599">
          <cell r="BB599" t="str">
            <v>.</v>
          </cell>
        </row>
        <row r="600">
          <cell r="BB600" t="str">
            <v>.</v>
          </cell>
        </row>
        <row r="601">
          <cell r="BB601" t="str">
            <v>.</v>
          </cell>
        </row>
        <row r="602">
          <cell r="BB602" t="str">
            <v>.</v>
          </cell>
        </row>
        <row r="603">
          <cell r="BB603" t="str">
            <v>.</v>
          </cell>
        </row>
        <row r="604">
          <cell r="BB604" t="str">
            <v>.</v>
          </cell>
        </row>
        <row r="605">
          <cell r="BB605" t="str">
            <v>.</v>
          </cell>
        </row>
        <row r="606">
          <cell r="BB606" t="str">
            <v>.</v>
          </cell>
        </row>
        <row r="607">
          <cell r="BB607" t="str">
            <v>.</v>
          </cell>
        </row>
        <row r="608">
          <cell r="BB608" t="str">
            <v>.</v>
          </cell>
        </row>
        <row r="609">
          <cell r="BB609" t="str">
            <v>.</v>
          </cell>
        </row>
        <row r="610">
          <cell r="BB610" t="str">
            <v>.</v>
          </cell>
        </row>
        <row r="611">
          <cell r="BB611" t="str">
            <v>.</v>
          </cell>
        </row>
        <row r="612">
          <cell r="BB612" t="str">
            <v>.</v>
          </cell>
        </row>
        <row r="613">
          <cell r="BB613" t="str">
            <v>.</v>
          </cell>
        </row>
        <row r="614">
          <cell r="BB614" t="str">
            <v>.</v>
          </cell>
        </row>
        <row r="615">
          <cell r="BB615" t="str">
            <v>.</v>
          </cell>
        </row>
        <row r="616">
          <cell r="BB616" t="str">
            <v>.</v>
          </cell>
        </row>
        <row r="617">
          <cell r="BB617" t="str">
            <v>.</v>
          </cell>
        </row>
        <row r="618">
          <cell r="BB618" t="str">
            <v>.</v>
          </cell>
        </row>
        <row r="619">
          <cell r="BB619" t="str">
            <v>.</v>
          </cell>
        </row>
        <row r="620">
          <cell r="BB620" t="str">
            <v>.</v>
          </cell>
        </row>
        <row r="621">
          <cell r="BB621" t="str">
            <v>.</v>
          </cell>
        </row>
        <row r="622">
          <cell r="BB622" t="str">
            <v>.</v>
          </cell>
        </row>
        <row r="623">
          <cell r="BB623" t="str">
            <v>.</v>
          </cell>
        </row>
        <row r="624">
          <cell r="BB624" t="str">
            <v>.</v>
          </cell>
        </row>
        <row r="625">
          <cell r="BB625" t="str">
            <v>.</v>
          </cell>
        </row>
        <row r="626">
          <cell r="BB626" t="str">
            <v>.</v>
          </cell>
        </row>
        <row r="627">
          <cell r="BB627" t="str">
            <v>.</v>
          </cell>
        </row>
        <row r="628">
          <cell r="BB628" t="str">
            <v>.</v>
          </cell>
        </row>
        <row r="629">
          <cell r="BB629" t="str">
            <v>.</v>
          </cell>
        </row>
        <row r="630">
          <cell r="BB630" t="str">
            <v>.</v>
          </cell>
        </row>
        <row r="631">
          <cell r="BB631" t="str">
            <v>.</v>
          </cell>
        </row>
        <row r="632">
          <cell r="BB632" t="str">
            <v>.</v>
          </cell>
        </row>
        <row r="633">
          <cell r="BB633" t="str">
            <v>.</v>
          </cell>
        </row>
        <row r="634">
          <cell r="BB634" t="str">
            <v>.</v>
          </cell>
        </row>
        <row r="635">
          <cell r="BB635" t="str">
            <v>.</v>
          </cell>
        </row>
        <row r="636">
          <cell r="BB636" t="str">
            <v>.</v>
          </cell>
        </row>
        <row r="637">
          <cell r="BB637" t="str">
            <v>.</v>
          </cell>
        </row>
        <row r="638">
          <cell r="BB638" t="str">
            <v>.</v>
          </cell>
        </row>
        <row r="639">
          <cell r="BB639" t="str">
            <v>.</v>
          </cell>
        </row>
        <row r="640">
          <cell r="BB640" t="str">
            <v>.</v>
          </cell>
        </row>
        <row r="641">
          <cell r="BB641" t="str">
            <v>.</v>
          </cell>
        </row>
        <row r="642">
          <cell r="BB642" t="str">
            <v>.</v>
          </cell>
        </row>
        <row r="643">
          <cell r="BB643" t="str">
            <v>.</v>
          </cell>
        </row>
        <row r="644">
          <cell r="BB644" t="str">
            <v>.</v>
          </cell>
        </row>
        <row r="645">
          <cell r="BB645" t="str">
            <v>.</v>
          </cell>
        </row>
        <row r="646">
          <cell r="BB646" t="str">
            <v>.</v>
          </cell>
        </row>
        <row r="647">
          <cell r="BB647" t="str">
            <v>.</v>
          </cell>
        </row>
        <row r="648">
          <cell r="BB648" t="str">
            <v>.</v>
          </cell>
        </row>
        <row r="649">
          <cell r="BB649" t="str">
            <v>.</v>
          </cell>
        </row>
        <row r="650">
          <cell r="BB650" t="str">
            <v>.</v>
          </cell>
        </row>
        <row r="651">
          <cell r="BB651" t="str">
            <v>.</v>
          </cell>
        </row>
        <row r="652">
          <cell r="BB652" t="str">
            <v>.</v>
          </cell>
        </row>
        <row r="653">
          <cell r="BB653" t="str">
            <v>.</v>
          </cell>
        </row>
        <row r="654">
          <cell r="BB654" t="str">
            <v>.</v>
          </cell>
        </row>
        <row r="655">
          <cell r="BB655" t="str">
            <v>.</v>
          </cell>
        </row>
        <row r="656">
          <cell r="BB656" t="str">
            <v>.</v>
          </cell>
        </row>
        <row r="657">
          <cell r="BB657" t="str">
            <v>.</v>
          </cell>
        </row>
        <row r="658">
          <cell r="BB658" t="str">
            <v>.</v>
          </cell>
        </row>
        <row r="659">
          <cell r="BB659" t="str">
            <v>.</v>
          </cell>
        </row>
        <row r="660">
          <cell r="BB660" t="str">
            <v>.</v>
          </cell>
        </row>
        <row r="661">
          <cell r="BB661" t="str">
            <v>.</v>
          </cell>
        </row>
        <row r="662">
          <cell r="BB662" t="str">
            <v>.</v>
          </cell>
        </row>
        <row r="663">
          <cell r="BB663" t="str">
            <v>.</v>
          </cell>
        </row>
        <row r="664">
          <cell r="BB664" t="str">
            <v>.</v>
          </cell>
        </row>
        <row r="665">
          <cell r="BB665" t="str">
            <v>.</v>
          </cell>
        </row>
        <row r="666">
          <cell r="BB666" t="str">
            <v>.</v>
          </cell>
        </row>
        <row r="667">
          <cell r="BB667" t="str">
            <v>.</v>
          </cell>
        </row>
        <row r="668">
          <cell r="BB668" t="str">
            <v>.</v>
          </cell>
        </row>
        <row r="669">
          <cell r="BB669" t="str">
            <v>.</v>
          </cell>
        </row>
        <row r="670">
          <cell r="BB670" t="str">
            <v>.</v>
          </cell>
        </row>
        <row r="671">
          <cell r="BB671" t="str">
            <v>.</v>
          </cell>
        </row>
        <row r="672">
          <cell r="BB672" t="str">
            <v>.</v>
          </cell>
        </row>
        <row r="673">
          <cell r="BB673" t="str">
            <v>.</v>
          </cell>
        </row>
        <row r="674">
          <cell r="BB674" t="str">
            <v>.</v>
          </cell>
        </row>
        <row r="675">
          <cell r="BB675" t="str">
            <v>.</v>
          </cell>
        </row>
        <row r="676">
          <cell r="BB676" t="str">
            <v>.</v>
          </cell>
        </row>
        <row r="677">
          <cell r="BB677" t="str">
            <v>.</v>
          </cell>
        </row>
        <row r="678">
          <cell r="BB678" t="str">
            <v>.</v>
          </cell>
        </row>
        <row r="679">
          <cell r="BB679" t="str">
            <v>.</v>
          </cell>
        </row>
        <row r="680">
          <cell r="BB680" t="str">
            <v>.</v>
          </cell>
        </row>
        <row r="681">
          <cell r="BB681" t="str">
            <v>.</v>
          </cell>
        </row>
        <row r="682">
          <cell r="BB682" t="str">
            <v>.</v>
          </cell>
        </row>
        <row r="683">
          <cell r="BB683" t="str">
            <v>.</v>
          </cell>
        </row>
        <row r="684">
          <cell r="BB684" t="str">
            <v>.</v>
          </cell>
        </row>
        <row r="685">
          <cell r="BB685" t="str">
            <v>.</v>
          </cell>
        </row>
        <row r="686">
          <cell r="BB686" t="str">
            <v>.</v>
          </cell>
        </row>
        <row r="687">
          <cell r="BB687" t="str">
            <v>.</v>
          </cell>
        </row>
        <row r="688">
          <cell r="BB688" t="str">
            <v>.</v>
          </cell>
        </row>
        <row r="689">
          <cell r="BB689" t="str">
            <v>.</v>
          </cell>
        </row>
        <row r="690">
          <cell r="BB690" t="str">
            <v>.</v>
          </cell>
        </row>
        <row r="691">
          <cell r="BB691" t="str">
            <v>.</v>
          </cell>
        </row>
        <row r="692">
          <cell r="BB692" t="str">
            <v>.</v>
          </cell>
        </row>
        <row r="693">
          <cell r="BB693" t="str">
            <v>.</v>
          </cell>
        </row>
        <row r="694">
          <cell r="BB694" t="str">
            <v>.</v>
          </cell>
        </row>
        <row r="695">
          <cell r="BB695" t="str">
            <v>.</v>
          </cell>
        </row>
        <row r="696">
          <cell r="BB696" t="str">
            <v>.</v>
          </cell>
        </row>
        <row r="697">
          <cell r="BB697" t="str">
            <v>.</v>
          </cell>
        </row>
        <row r="698">
          <cell r="BB698" t="str">
            <v>.</v>
          </cell>
        </row>
        <row r="699">
          <cell r="BB699" t="str">
            <v>.</v>
          </cell>
        </row>
        <row r="700">
          <cell r="BB700" t="str">
            <v>.</v>
          </cell>
        </row>
        <row r="701">
          <cell r="BB701" t="str">
            <v>.</v>
          </cell>
        </row>
        <row r="702">
          <cell r="BB702" t="str">
            <v>.</v>
          </cell>
        </row>
        <row r="703">
          <cell r="BB703" t="str">
            <v>.</v>
          </cell>
        </row>
        <row r="704">
          <cell r="BB704" t="str">
            <v>.</v>
          </cell>
        </row>
        <row r="705">
          <cell r="BB705" t="str">
            <v>.</v>
          </cell>
        </row>
        <row r="706">
          <cell r="BB706" t="str">
            <v>.</v>
          </cell>
        </row>
        <row r="707">
          <cell r="BB707" t="str">
            <v>.</v>
          </cell>
        </row>
        <row r="708">
          <cell r="BB708" t="str">
            <v>.</v>
          </cell>
        </row>
        <row r="709">
          <cell r="BB709" t="str">
            <v>.</v>
          </cell>
        </row>
        <row r="710">
          <cell r="BB710" t="str">
            <v>.</v>
          </cell>
        </row>
        <row r="711">
          <cell r="BB711" t="str">
            <v>.</v>
          </cell>
        </row>
        <row r="712">
          <cell r="BB712" t="str">
            <v>.</v>
          </cell>
        </row>
        <row r="713">
          <cell r="BB713" t="str">
            <v>.</v>
          </cell>
        </row>
        <row r="714">
          <cell r="BB714" t="str">
            <v>.</v>
          </cell>
        </row>
        <row r="715">
          <cell r="BB715" t="str">
            <v>.</v>
          </cell>
        </row>
        <row r="716">
          <cell r="BB716" t="str">
            <v>.</v>
          </cell>
        </row>
        <row r="717">
          <cell r="BB717" t="str">
            <v>.</v>
          </cell>
        </row>
        <row r="718">
          <cell r="BB718" t="str">
            <v>.</v>
          </cell>
        </row>
        <row r="719">
          <cell r="BB719" t="str">
            <v>.</v>
          </cell>
        </row>
        <row r="720">
          <cell r="BB720" t="str">
            <v>.</v>
          </cell>
        </row>
        <row r="721">
          <cell r="BB721" t="str">
            <v>.</v>
          </cell>
        </row>
        <row r="722">
          <cell r="BB722" t="str">
            <v>.</v>
          </cell>
        </row>
        <row r="723">
          <cell r="BB723" t="str">
            <v>.</v>
          </cell>
        </row>
        <row r="724">
          <cell r="BB724" t="str">
            <v>.</v>
          </cell>
        </row>
        <row r="725">
          <cell r="BB725" t="str">
            <v>.</v>
          </cell>
        </row>
        <row r="726">
          <cell r="BB726" t="str">
            <v>.</v>
          </cell>
        </row>
        <row r="727">
          <cell r="BB727" t="str">
            <v>.</v>
          </cell>
        </row>
        <row r="728">
          <cell r="BB728" t="str">
            <v>.</v>
          </cell>
        </row>
        <row r="729">
          <cell r="BB729" t="str">
            <v>.</v>
          </cell>
        </row>
        <row r="730">
          <cell r="BB730" t="str">
            <v>.</v>
          </cell>
        </row>
        <row r="731">
          <cell r="BB731" t="str">
            <v>.</v>
          </cell>
        </row>
        <row r="732">
          <cell r="BB732" t="str">
            <v>.</v>
          </cell>
        </row>
        <row r="733">
          <cell r="BB733" t="str">
            <v>.</v>
          </cell>
        </row>
        <row r="734">
          <cell r="BB734" t="str">
            <v>.</v>
          </cell>
        </row>
        <row r="735">
          <cell r="BB735" t="str">
            <v>.</v>
          </cell>
        </row>
        <row r="736">
          <cell r="BB736" t="str">
            <v>.</v>
          </cell>
        </row>
        <row r="737">
          <cell r="BB737" t="str">
            <v>.</v>
          </cell>
        </row>
        <row r="738">
          <cell r="BB738" t="str">
            <v>.</v>
          </cell>
        </row>
        <row r="739">
          <cell r="BB739" t="str">
            <v>.</v>
          </cell>
        </row>
        <row r="740">
          <cell r="BB740" t="str">
            <v>.</v>
          </cell>
        </row>
        <row r="741">
          <cell r="BB741" t="str">
            <v>.</v>
          </cell>
        </row>
        <row r="742">
          <cell r="BB742" t="str">
            <v>.</v>
          </cell>
        </row>
        <row r="743">
          <cell r="BB743" t="str">
            <v>.</v>
          </cell>
        </row>
        <row r="744">
          <cell r="BB744" t="str">
            <v>.</v>
          </cell>
        </row>
        <row r="745">
          <cell r="BB745" t="str">
            <v>.</v>
          </cell>
        </row>
        <row r="746">
          <cell r="BB746" t="str">
            <v>.</v>
          </cell>
        </row>
        <row r="747">
          <cell r="BB747" t="str">
            <v>.</v>
          </cell>
        </row>
        <row r="748">
          <cell r="BB748" t="str">
            <v>.</v>
          </cell>
        </row>
        <row r="749">
          <cell r="BB749" t="str">
            <v>.</v>
          </cell>
        </row>
        <row r="750">
          <cell r="BB750" t="str">
            <v>.</v>
          </cell>
        </row>
        <row r="751">
          <cell r="BB751" t="str">
            <v>.</v>
          </cell>
        </row>
        <row r="752">
          <cell r="BB752" t="str">
            <v>.</v>
          </cell>
        </row>
        <row r="753">
          <cell r="BB753" t="str">
            <v>.</v>
          </cell>
        </row>
        <row r="754">
          <cell r="BB754" t="str">
            <v>.</v>
          </cell>
        </row>
        <row r="755">
          <cell r="BB755" t="str">
            <v>.</v>
          </cell>
        </row>
        <row r="756">
          <cell r="BB756" t="str">
            <v>.</v>
          </cell>
        </row>
        <row r="757">
          <cell r="BB757" t="str">
            <v>.</v>
          </cell>
        </row>
        <row r="758">
          <cell r="BB758" t="str">
            <v>.</v>
          </cell>
        </row>
        <row r="759">
          <cell r="BB759" t="str">
            <v>.</v>
          </cell>
        </row>
        <row r="760">
          <cell r="BB760" t="str">
            <v>.</v>
          </cell>
        </row>
        <row r="761">
          <cell r="BB761" t="str">
            <v>.</v>
          </cell>
        </row>
        <row r="762">
          <cell r="BB762" t="str">
            <v>.</v>
          </cell>
        </row>
        <row r="763">
          <cell r="BB763" t="str">
            <v>.</v>
          </cell>
        </row>
        <row r="764">
          <cell r="BB764" t="str">
            <v>.</v>
          </cell>
        </row>
        <row r="765">
          <cell r="BB765" t="str">
            <v>.</v>
          </cell>
        </row>
        <row r="766">
          <cell r="BB766" t="str">
            <v>.</v>
          </cell>
        </row>
        <row r="767">
          <cell r="BB767" t="str">
            <v>.</v>
          </cell>
        </row>
        <row r="768">
          <cell r="BB768" t="str">
            <v>.</v>
          </cell>
        </row>
        <row r="769">
          <cell r="BB769" t="str">
            <v>.</v>
          </cell>
        </row>
        <row r="770">
          <cell r="BB770" t="str">
            <v>.</v>
          </cell>
        </row>
        <row r="771">
          <cell r="BB771" t="str">
            <v>.</v>
          </cell>
        </row>
        <row r="772">
          <cell r="BB772" t="str">
            <v>.</v>
          </cell>
        </row>
        <row r="773">
          <cell r="BB773" t="str">
            <v>.</v>
          </cell>
        </row>
        <row r="774">
          <cell r="BB774" t="str">
            <v>.</v>
          </cell>
        </row>
        <row r="775">
          <cell r="BB775" t="str">
            <v>.</v>
          </cell>
        </row>
        <row r="776">
          <cell r="BB776" t="str">
            <v>.</v>
          </cell>
        </row>
        <row r="777">
          <cell r="BB777" t="str">
            <v>.</v>
          </cell>
        </row>
        <row r="778">
          <cell r="BB778" t="str">
            <v>.</v>
          </cell>
        </row>
        <row r="779">
          <cell r="BB779" t="str">
            <v>.</v>
          </cell>
        </row>
        <row r="780">
          <cell r="BB780" t="str">
            <v>.</v>
          </cell>
        </row>
        <row r="781">
          <cell r="BB781" t="str">
            <v>.</v>
          </cell>
        </row>
        <row r="782">
          <cell r="BB782" t="str">
            <v>.</v>
          </cell>
        </row>
        <row r="783">
          <cell r="BB783" t="str">
            <v>.</v>
          </cell>
        </row>
        <row r="784">
          <cell r="BB784" t="str">
            <v>.</v>
          </cell>
        </row>
        <row r="785">
          <cell r="BB785" t="str">
            <v>.</v>
          </cell>
        </row>
        <row r="786">
          <cell r="BB786" t="str">
            <v>.</v>
          </cell>
        </row>
        <row r="787">
          <cell r="BB787" t="str">
            <v>.</v>
          </cell>
        </row>
        <row r="788">
          <cell r="BB788" t="str">
            <v>.</v>
          </cell>
        </row>
        <row r="789">
          <cell r="BB789" t="str">
            <v>.</v>
          </cell>
        </row>
        <row r="790">
          <cell r="BB790" t="str">
            <v>.</v>
          </cell>
        </row>
        <row r="791">
          <cell r="BB791" t="str">
            <v>.</v>
          </cell>
        </row>
        <row r="792">
          <cell r="BB792" t="str">
            <v>.</v>
          </cell>
        </row>
        <row r="793">
          <cell r="BB793" t="str">
            <v>.</v>
          </cell>
        </row>
        <row r="794">
          <cell r="BB794" t="str">
            <v>.</v>
          </cell>
        </row>
        <row r="795">
          <cell r="BB795" t="str">
            <v>.</v>
          </cell>
        </row>
        <row r="796">
          <cell r="BB796" t="str">
            <v>.</v>
          </cell>
        </row>
        <row r="797">
          <cell r="BB797" t="str">
            <v>.</v>
          </cell>
        </row>
        <row r="798">
          <cell r="BB798" t="str">
            <v>.</v>
          </cell>
        </row>
        <row r="799">
          <cell r="BB799" t="str">
            <v>.</v>
          </cell>
        </row>
        <row r="800">
          <cell r="BB800" t="str">
            <v>.</v>
          </cell>
        </row>
        <row r="801">
          <cell r="BB801" t="str">
            <v>.</v>
          </cell>
        </row>
        <row r="802">
          <cell r="BB802" t="str">
            <v>.</v>
          </cell>
        </row>
        <row r="803">
          <cell r="BB803" t="str">
            <v>.</v>
          </cell>
        </row>
        <row r="804">
          <cell r="BB804" t="str">
            <v>.</v>
          </cell>
        </row>
        <row r="805">
          <cell r="BB805" t="str">
            <v>.</v>
          </cell>
        </row>
        <row r="806">
          <cell r="BB806" t="str">
            <v>.</v>
          </cell>
        </row>
        <row r="807">
          <cell r="BB807" t="str">
            <v>.</v>
          </cell>
        </row>
        <row r="808">
          <cell r="BB808" t="str">
            <v>.</v>
          </cell>
        </row>
        <row r="809">
          <cell r="BB809" t="str">
            <v>.</v>
          </cell>
        </row>
        <row r="810">
          <cell r="BB810" t="str">
            <v>.</v>
          </cell>
        </row>
        <row r="811">
          <cell r="BB811" t="str">
            <v>.</v>
          </cell>
        </row>
        <row r="812">
          <cell r="BB812" t="str">
            <v>.</v>
          </cell>
        </row>
        <row r="813">
          <cell r="BB813" t="str">
            <v>.</v>
          </cell>
        </row>
        <row r="814">
          <cell r="BB814" t="str">
            <v>.</v>
          </cell>
        </row>
        <row r="815">
          <cell r="BB815" t="str">
            <v>.</v>
          </cell>
        </row>
        <row r="816">
          <cell r="BB816" t="str">
            <v>.</v>
          </cell>
        </row>
        <row r="817">
          <cell r="BB817" t="str">
            <v>.</v>
          </cell>
        </row>
        <row r="818">
          <cell r="BB818" t="str">
            <v>.</v>
          </cell>
        </row>
        <row r="819">
          <cell r="BB819" t="str">
            <v>.</v>
          </cell>
        </row>
        <row r="820">
          <cell r="BB820" t="str">
            <v>.</v>
          </cell>
        </row>
        <row r="821">
          <cell r="BB821" t="str">
            <v>.</v>
          </cell>
        </row>
        <row r="822">
          <cell r="BB822" t="str">
            <v>.</v>
          </cell>
        </row>
        <row r="823">
          <cell r="BB823" t="str">
            <v>.</v>
          </cell>
        </row>
        <row r="824">
          <cell r="BB824" t="str">
            <v>.</v>
          </cell>
        </row>
        <row r="825">
          <cell r="BB825" t="str">
            <v>.</v>
          </cell>
        </row>
        <row r="826">
          <cell r="BB826" t="str">
            <v>.</v>
          </cell>
        </row>
        <row r="827">
          <cell r="BB827" t="str">
            <v>.</v>
          </cell>
        </row>
        <row r="828">
          <cell r="BB828" t="str">
            <v>.</v>
          </cell>
        </row>
        <row r="829">
          <cell r="BB829" t="str">
            <v>.</v>
          </cell>
        </row>
        <row r="830">
          <cell r="BB830" t="str">
            <v>.</v>
          </cell>
        </row>
        <row r="831">
          <cell r="BB831" t="str">
            <v>.</v>
          </cell>
        </row>
        <row r="832">
          <cell r="BB832" t="str">
            <v>.</v>
          </cell>
        </row>
        <row r="833">
          <cell r="BB833" t="str">
            <v>.</v>
          </cell>
        </row>
        <row r="834">
          <cell r="BB834" t="str">
            <v>.</v>
          </cell>
        </row>
        <row r="835">
          <cell r="BB835" t="str">
            <v>.</v>
          </cell>
        </row>
        <row r="836">
          <cell r="BB836" t="str">
            <v>.</v>
          </cell>
        </row>
        <row r="837">
          <cell r="BB837" t="str">
            <v>.</v>
          </cell>
        </row>
        <row r="838">
          <cell r="BB838" t="str">
            <v>.</v>
          </cell>
        </row>
        <row r="839">
          <cell r="BB839" t="str">
            <v>.</v>
          </cell>
        </row>
        <row r="840">
          <cell r="BB840" t="str">
            <v>.</v>
          </cell>
        </row>
        <row r="841">
          <cell r="BB841" t="str">
            <v>.</v>
          </cell>
        </row>
        <row r="842">
          <cell r="BB842" t="str">
            <v>.</v>
          </cell>
        </row>
        <row r="843">
          <cell r="BB843" t="str">
            <v>.</v>
          </cell>
        </row>
        <row r="844">
          <cell r="BB844" t="str">
            <v>.</v>
          </cell>
        </row>
        <row r="845">
          <cell r="BB845" t="str">
            <v>.</v>
          </cell>
        </row>
        <row r="846">
          <cell r="BB846" t="str">
            <v>.</v>
          </cell>
        </row>
        <row r="847">
          <cell r="BB847" t="str">
            <v>.</v>
          </cell>
        </row>
        <row r="848">
          <cell r="BB848" t="str">
            <v>.</v>
          </cell>
        </row>
        <row r="849">
          <cell r="BB849" t="str">
            <v>.</v>
          </cell>
        </row>
        <row r="850">
          <cell r="BB850" t="str">
            <v>.</v>
          </cell>
        </row>
        <row r="851">
          <cell r="BB851" t="str">
            <v>.</v>
          </cell>
        </row>
        <row r="852">
          <cell r="BB852" t="str">
            <v>.</v>
          </cell>
        </row>
        <row r="853">
          <cell r="BB853" t="str">
            <v>.</v>
          </cell>
        </row>
        <row r="854">
          <cell r="BB854" t="str">
            <v>.</v>
          </cell>
        </row>
        <row r="855">
          <cell r="BB855" t="str">
            <v>.</v>
          </cell>
        </row>
        <row r="856">
          <cell r="BB856" t="str">
            <v>.</v>
          </cell>
        </row>
        <row r="857">
          <cell r="BB857" t="str">
            <v>.</v>
          </cell>
        </row>
        <row r="858">
          <cell r="BB858" t="str">
            <v>.</v>
          </cell>
        </row>
        <row r="859">
          <cell r="BB859" t="str">
            <v>.</v>
          </cell>
        </row>
        <row r="860">
          <cell r="BB860" t="str">
            <v>.</v>
          </cell>
        </row>
        <row r="861">
          <cell r="BB861" t="str">
            <v>.</v>
          </cell>
        </row>
        <row r="862">
          <cell r="BB862" t="str">
            <v>.</v>
          </cell>
        </row>
        <row r="863">
          <cell r="BB863" t="str">
            <v>.</v>
          </cell>
        </row>
        <row r="864">
          <cell r="BB864" t="str">
            <v>.</v>
          </cell>
        </row>
        <row r="865">
          <cell r="BB865" t="str">
            <v>.</v>
          </cell>
        </row>
        <row r="866">
          <cell r="BB866" t="str">
            <v>.</v>
          </cell>
        </row>
        <row r="867">
          <cell r="BB867" t="str">
            <v>.</v>
          </cell>
        </row>
        <row r="868">
          <cell r="BB868" t="str">
            <v>.</v>
          </cell>
        </row>
        <row r="869">
          <cell r="BB869" t="str">
            <v>.</v>
          </cell>
        </row>
        <row r="870">
          <cell r="BB870" t="str">
            <v>.</v>
          </cell>
        </row>
        <row r="871">
          <cell r="BB871" t="str">
            <v>.</v>
          </cell>
        </row>
        <row r="872">
          <cell r="BB872" t="str">
            <v>.</v>
          </cell>
        </row>
        <row r="873">
          <cell r="BB873" t="str">
            <v>.</v>
          </cell>
        </row>
        <row r="874">
          <cell r="BB874" t="str">
            <v>.</v>
          </cell>
        </row>
        <row r="875">
          <cell r="BB875" t="str">
            <v>.</v>
          </cell>
        </row>
        <row r="876">
          <cell r="BB876" t="str">
            <v>.</v>
          </cell>
        </row>
        <row r="877">
          <cell r="BB877" t="str">
            <v>.</v>
          </cell>
        </row>
        <row r="878">
          <cell r="BB878" t="str">
            <v>.</v>
          </cell>
        </row>
        <row r="879">
          <cell r="BB879" t="str">
            <v>.</v>
          </cell>
        </row>
        <row r="880">
          <cell r="BB880" t="str">
            <v>.</v>
          </cell>
        </row>
        <row r="881">
          <cell r="BB881" t="str">
            <v>.</v>
          </cell>
        </row>
        <row r="882">
          <cell r="BB882" t="str">
            <v>.</v>
          </cell>
        </row>
        <row r="883">
          <cell r="BB883" t="str">
            <v>.</v>
          </cell>
        </row>
        <row r="884">
          <cell r="BB884" t="str">
            <v>.</v>
          </cell>
        </row>
        <row r="885">
          <cell r="BB885" t="str">
            <v>.</v>
          </cell>
        </row>
        <row r="886">
          <cell r="BB886" t="str">
            <v>.</v>
          </cell>
        </row>
        <row r="887">
          <cell r="BB887" t="str">
            <v>.</v>
          </cell>
        </row>
        <row r="888">
          <cell r="BB888" t="str">
            <v>.</v>
          </cell>
        </row>
        <row r="889">
          <cell r="BB889" t="str">
            <v>.</v>
          </cell>
        </row>
        <row r="890">
          <cell r="BB890" t="str">
            <v>.</v>
          </cell>
        </row>
        <row r="891">
          <cell r="BB891" t="str">
            <v>.</v>
          </cell>
        </row>
        <row r="892">
          <cell r="BB892" t="str">
            <v>.</v>
          </cell>
        </row>
        <row r="893">
          <cell r="BB893" t="str">
            <v>.</v>
          </cell>
        </row>
        <row r="894">
          <cell r="BB894" t="str">
            <v>.</v>
          </cell>
        </row>
        <row r="895">
          <cell r="BB895" t="str">
            <v>.</v>
          </cell>
        </row>
        <row r="896">
          <cell r="BB896" t="str">
            <v>.</v>
          </cell>
        </row>
        <row r="897">
          <cell r="BB897" t="str">
            <v>.</v>
          </cell>
        </row>
        <row r="898">
          <cell r="BB898" t="str">
            <v>.</v>
          </cell>
        </row>
        <row r="899">
          <cell r="BB899" t="str">
            <v>.</v>
          </cell>
        </row>
        <row r="900">
          <cell r="BB900" t="str">
            <v>.</v>
          </cell>
        </row>
        <row r="901">
          <cell r="BB901" t="str">
            <v>.</v>
          </cell>
        </row>
        <row r="902">
          <cell r="BB902" t="str">
            <v>.</v>
          </cell>
        </row>
        <row r="903">
          <cell r="BB903" t="str">
            <v>.</v>
          </cell>
        </row>
        <row r="904">
          <cell r="BB904" t="str">
            <v>.</v>
          </cell>
        </row>
        <row r="905">
          <cell r="BB905" t="str">
            <v>.</v>
          </cell>
        </row>
        <row r="906">
          <cell r="BB906" t="str">
            <v>.</v>
          </cell>
        </row>
        <row r="907">
          <cell r="BB907" t="str">
            <v>.</v>
          </cell>
        </row>
        <row r="908">
          <cell r="BB908" t="str">
            <v>.</v>
          </cell>
        </row>
        <row r="909">
          <cell r="BB909" t="str">
            <v>.</v>
          </cell>
        </row>
        <row r="910">
          <cell r="BB910" t="str">
            <v>.</v>
          </cell>
        </row>
        <row r="911">
          <cell r="BB911" t="str">
            <v>.</v>
          </cell>
        </row>
        <row r="912">
          <cell r="BB912" t="str">
            <v>.</v>
          </cell>
        </row>
        <row r="913">
          <cell r="BB913" t="str">
            <v>.</v>
          </cell>
        </row>
        <row r="914">
          <cell r="BB914" t="str">
            <v>.</v>
          </cell>
        </row>
        <row r="915">
          <cell r="BB915" t="str">
            <v>.</v>
          </cell>
        </row>
        <row r="916">
          <cell r="BB916" t="str">
            <v>.</v>
          </cell>
        </row>
        <row r="917">
          <cell r="BB917" t="str">
            <v>.</v>
          </cell>
        </row>
        <row r="918">
          <cell r="BB918" t="str">
            <v>.</v>
          </cell>
        </row>
        <row r="919">
          <cell r="BB919" t="str">
            <v>.</v>
          </cell>
        </row>
        <row r="920">
          <cell r="BB920" t="str">
            <v>.</v>
          </cell>
        </row>
        <row r="921">
          <cell r="BB921" t="str">
            <v>.</v>
          </cell>
        </row>
        <row r="922">
          <cell r="BB922" t="str">
            <v>.</v>
          </cell>
        </row>
        <row r="923">
          <cell r="BB923" t="str">
            <v>.</v>
          </cell>
        </row>
        <row r="924">
          <cell r="BB924" t="str">
            <v>.</v>
          </cell>
        </row>
        <row r="925">
          <cell r="BB925" t="str">
            <v>.</v>
          </cell>
        </row>
        <row r="926">
          <cell r="BB926" t="str">
            <v>.</v>
          </cell>
        </row>
        <row r="927">
          <cell r="BB927" t="str">
            <v>.</v>
          </cell>
        </row>
        <row r="928">
          <cell r="BB928" t="str">
            <v>.</v>
          </cell>
        </row>
        <row r="929">
          <cell r="BB929" t="str">
            <v>.</v>
          </cell>
        </row>
        <row r="930">
          <cell r="BB930" t="str">
            <v>.</v>
          </cell>
        </row>
        <row r="931">
          <cell r="BB931" t="str">
            <v>.</v>
          </cell>
        </row>
        <row r="932">
          <cell r="BB932" t="str">
            <v>.</v>
          </cell>
        </row>
        <row r="933">
          <cell r="BB933" t="str">
            <v>.</v>
          </cell>
        </row>
        <row r="934">
          <cell r="BB934" t="str">
            <v>.</v>
          </cell>
        </row>
        <row r="935">
          <cell r="BB935" t="str">
            <v>.</v>
          </cell>
        </row>
        <row r="936">
          <cell r="BB936" t="str">
            <v>.</v>
          </cell>
        </row>
        <row r="937">
          <cell r="BB937" t="str">
            <v>.</v>
          </cell>
        </row>
        <row r="938">
          <cell r="BB938" t="str">
            <v>.</v>
          </cell>
        </row>
        <row r="939">
          <cell r="BB939" t="str">
            <v>.</v>
          </cell>
        </row>
        <row r="940">
          <cell r="BB940" t="str">
            <v>.</v>
          </cell>
        </row>
        <row r="941">
          <cell r="BB941" t="str">
            <v>.</v>
          </cell>
        </row>
        <row r="942">
          <cell r="BB942" t="str">
            <v>.</v>
          </cell>
        </row>
        <row r="943">
          <cell r="BB943" t="str">
            <v>.</v>
          </cell>
        </row>
        <row r="944">
          <cell r="BB944" t="str">
            <v>.</v>
          </cell>
        </row>
        <row r="945">
          <cell r="BB945" t="str">
            <v>.</v>
          </cell>
        </row>
        <row r="946">
          <cell r="BB946" t="str">
            <v>.</v>
          </cell>
        </row>
        <row r="947">
          <cell r="BB947" t="str">
            <v>.</v>
          </cell>
        </row>
        <row r="948">
          <cell r="BB948" t="str">
            <v>.</v>
          </cell>
        </row>
        <row r="949">
          <cell r="BB949" t="str">
            <v>.</v>
          </cell>
        </row>
        <row r="950">
          <cell r="BB950" t="str">
            <v>.</v>
          </cell>
        </row>
        <row r="951">
          <cell r="BB951" t="str">
            <v>.</v>
          </cell>
        </row>
        <row r="952">
          <cell r="BB952" t="str">
            <v>.</v>
          </cell>
        </row>
        <row r="953">
          <cell r="BB953" t="str">
            <v>.</v>
          </cell>
        </row>
        <row r="954">
          <cell r="BB954" t="str">
            <v>.</v>
          </cell>
        </row>
        <row r="955">
          <cell r="BB955" t="str">
            <v>.</v>
          </cell>
        </row>
        <row r="956">
          <cell r="BB956" t="str">
            <v>.</v>
          </cell>
        </row>
        <row r="957">
          <cell r="BB957" t="str">
            <v>.</v>
          </cell>
        </row>
        <row r="958">
          <cell r="BB958" t="str">
            <v>.</v>
          </cell>
        </row>
        <row r="959">
          <cell r="BB959" t="str">
            <v>.</v>
          </cell>
        </row>
        <row r="960">
          <cell r="BB960" t="str">
            <v>.</v>
          </cell>
        </row>
        <row r="961">
          <cell r="BB961" t="str">
            <v>.</v>
          </cell>
        </row>
        <row r="962">
          <cell r="BB962" t="str">
            <v>.</v>
          </cell>
        </row>
        <row r="963">
          <cell r="BB963" t="str">
            <v>.</v>
          </cell>
        </row>
        <row r="964">
          <cell r="BB964" t="str">
            <v>.</v>
          </cell>
        </row>
        <row r="965">
          <cell r="BB965" t="str">
            <v>.</v>
          </cell>
        </row>
        <row r="966">
          <cell r="BB966" t="str">
            <v>.</v>
          </cell>
        </row>
        <row r="967">
          <cell r="BB967" t="str">
            <v>.</v>
          </cell>
        </row>
        <row r="968">
          <cell r="BB968" t="str">
            <v>.</v>
          </cell>
        </row>
        <row r="969">
          <cell r="BB969" t="str">
            <v>.</v>
          </cell>
        </row>
        <row r="970">
          <cell r="BB970" t="str">
            <v>.</v>
          </cell>
        </row>
        <row r="971">
          <cell r="BB971" t="str">
            <v>.</v>
          </cell>
        </row>
        <row r="972">
          <cell r="BB972" t="str">
            <v>.</v>
          </cell>
        </row>
        <row r="973">
          <cell r="BB973" t="str">
            <v>.</v>
          </cell>
        </row>
        <row r="974">
          <cell r="BB974" t="str">
            <v>.</v>
          </cell>
        </row>
        <row r="975">
          <cell r="BB975" t="str">
            <v>.</v>
          </cell>
        </row>
        <row r="976">
          <cell r="BB976" t="str">
            <v>.</v>
          </cell>
        </row>
        <row r="977">
          <cell r="BB977" t="str">
            <v>.</v>
          </cell>
        </row>
        <row r="978">
          <cell r="BB978" t="str">
            <v>.</v>
          </cell>
        </row>
        <row r="979">
          <cell r="BB979" t="str">
            <v>.</v>
          </cell>
        </row>
        <row r="980">
          <cell r="BB980" t="str">
            <v>.</v>
          </cell>
        </row>
        <row r="981">
          <cell r="BB981" t="str">
            <v>.</v>
          </cell>
        </row>
        <row r="982">
          <cell r="BB982" t="str">
            <v>.</v>
          </cell>
        </row>
        <row r="983">
          <cell r="BB983" t="str">
            <v>.</v>
          </cell>
        </row>
        <row r="984">
          <cell r="BB984" t="str">
            <v>.</v>
          </cell>
        </row>
        <row r="985">
          <cell r="BB985" t="str">
            <v>.</v>
          </cell>
        </row>
        <row r="986">
          <cell r="BB986" t="str">
            <v>.</v>
          </cell>
        </row>
        <row r="987">
          <cell r="BB987" t="str">
            <v>.</v>
          </cell>
        </row>
        <row r="988">
          <cell r="BB988" t="str">
            <v>.</v>
          </cell>
        </row>
        <row r="989">
          <cell r="BB989" t="str">
            <v>.</v>
          </cell>
        </row>
        <row r="990">
          <cell r="BB990" t="str">
            <v>.</v>
          </cell>
        </row>
        <row r="991">
          <cell r="BB991" t="str">
            <v>.</v>
          </cell>
        </row>
        <row r="992">
          <cell r="BB992" t="str">
            <v>.</v>
          </cell>
        </row>
        <row r="993">
          <cell r="BB993" t="str">
            <v>.</v>
          </cell>
        </row>
        <row r="994">
          <cell r="BB994" t="str">
            <v>.</v>
          </cell>
        </row>
        <row r="995">
          <cell r="BB995" t="str">
            <v>.</v>
          </cell>
        </row>
        <row r="996">
          <cell r="A996" t="str">
            <v>.</v>
          </cell>
          <cell r="B996" t="str">
            <v>.</v>
          </cell>
          <cell r="C996" t="str">
            <v>.</v>
          </cell>
          <cell r="D996" t="str">
            <v>.</v>
          </cell>
          <cell r="E996" t="str">
            <v>.</v>
          </cell>
          <cell r="F996" t="str">
            <v>.</v>
          </cell>
          <cell r="G996" t="str">
            <v>.</v>
          </cell>
          <cell r="H996" t="str">
            <v>.</v>
          </cell>
          <cell r="S996" t="str">
            <v>.</v>
          </cell>
          <cell r="T996" t="str">
            <v>.</v>
          </cell>
          <cell r="U996" t="str">
            <v>.</v>
          </cell>
          <cell r="V996" t="str">
            <v>.</v>
          </cell>
          <cell r="W996" t="str">
            <v>.</v>
          </cell>
          <cell r="X996" t="str">
            <v>.</v>
          </cell>
          <cell r="Y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cell r="AZ996" t="str">
            <v>.</v>
          </cell>
          <cell r="BA996" t="str">
            <v>.</v>
          </cell>
          <cell r="BB996" t="str">
            <v>.</v>
          </cell>
        </row>
      </sheetData>
      <sheetData sheetId="18" refreshError="1">
        <row r="1">
          <cell r="S1" t="str">
            <v>SmartCharts</v>
          </cell>
        </row>
        <row r="5">
          <cell r="C5" t="str">
            <v>Define value axis here:</v>
          </cell>
        </row>
        <row r="6">
          <cell r="C6" t="str">
            <v>Value axis definition</v>
          </cell>
        </row>
        <row r="8">
          <cell r="C8" t="str">
            <v>Define highlighted areas here:</v>
          </cell>
        </row>
        <row r="9">
          <cell r="C9" t="str">
            <v>MarketView expectation</v>
          </cell>
        </row>
        <row r="11">
          <cell r="C11" t="str">
            <v>Input your data here:</v>
          </cell>
          <cell r="F11" t="str">
            <v>Highlight?</v>
          </cell>
        </row>
        <row r="12">
          <cell r="D12" t="str">
            <v>Series1</v>
          </cell>
          <cell r="AF12" t="str">
            <v>No.</v>
          </cell>
          <cell r="AG12" t="str">
            <v>HighlightYes</v>
          </cell>
          <cell r="AH12" t="str">
            <v>HighlightNo</v>
          </cell>
          <cell r="AJ12" t="str">
            <v>ArrowLine</v>
          </cell>
        </row>
        <row r="13">
          <cell r="C13">
            <v>2003</v>
          </cell>
          <cell r="D13">
            <v>1.5839551986872611</v>
          </cell>
          <cell r="G13" t="b">
            <v>0</v>
          </cell>
          <cell r="AF13">
            <v>1</v>
          </cell>
          <cell r="AG13">
            <v>0</v>
          </cell>
          <cell r="AH13">
            <v>1.5839551986872611</v>
          </cell>
          <cell r="AJ13">
            <v>1.5839551986872611</v>
          </cell>
        </row>
        <row r="14">
          <cell r="C14">
            <v>2004</v>
          </cell>
          <cell r="D14">
            <v>1.2663892799762217</v>
          </cell>
          <cell r="G14" t="b">
            <v>0</v>
          </cell>
          <cell r="AF14">
            <v>2</v>
          </cell>
          <cell r="AG14">
            <v>0</v>
          </cell>
          <cell r="AH14">
            <v>1.2663892799762217</v>
          </cell>
          <cell r="AJ14">
            <v>1.2663892799762217</v>
          </cell>
        </row>
        <row r="15">
          <cell r="C15">
            <v>2005</v>
          </cell>
          <cell r="D15">
            <v>0.96620408615259445</v>
          </cell>
          <cell r="G15" t="b">
            <v>0</v>
          </cell>
          <cell r="AF15">
            <v>3</v>
          </cell>
          <cell r="AG15">
            <v>0</v>
          </cell>
          <cell r="AH15">
            <v>0.96620408615259445</v>
          </cell>
          <cell r="AJ15">
            <v>0.96620408615259445</v>
          </cell>
        </row>
        <row r="16">
          <cell r="C16">
            <v>2006</v>
          </cell>
          <cell r="D16">
            <v>-0.34099731302541975</v>
          </cell>
          <cell r="G16" t="b">
            <v>0</v>
          </cell>
          <cell r="AF16">
            <v>4</v>
          </cell>
          <cell r="AG16">
            <v>0</v>
          </cell>
          <cell r="AH16">
            <v>-0.34099731302541975</v>
          </cell>
          <cell r="AJ16">
            <v>-0.34099731302541975</v>
          </cell>
        </row>
        <row r="17">
          <cell r="C17">
            <v>2007</v>
          </cell>
          <cell r="D17">
            <v>-7.1640215703390825E-2</v>
          </cell>
          <cell r="G17" t="b">
            <v>0</v>
          </cell>
          <cell r="AF17">
            <v>5</v>
          </cell>
          <cell r="AG17">
            <v>0</v>
          </cell>
          <cell r="AH17">
            <v>-7.1640215703390825E-2</v>
          </cell>
          <cell r="AJ17">
            <v>-7.1640215703390825E-2</v>
          </cell>
        </row>
        <row r="18">
          <cell r="C18" t="str">
            <v>2008e</v>
          </cell>
          <cell r="D18">
            <v>-0.5190145343785133</v>
          </cell>
          <cell r="G18" t="b">
            <v>1</v>
          </cell>
          <cell r="AF18">
            <v>6</v>
          </cell>
          <cell r="AG18">
            <v>-0.5190145343785133</v>
          </cell>
          <cell r="AH18">
            <v>0</v>
          </cell>
          <cell r="AJ18">
            <v>-0.5190145343785133</v>
          </cell>
        </row>
        <row r="19">
          <cell r="C19" t="str">
            <v>2009e</v>
          </cell>
          <cell r="D19">
            <v>8.0202609200936657E-3</v>
          </cell>
          <cell r="G19" t="b">
            <v>1</v>
          </cell>
          <cell r="AF19">
            <v>7</v>
          </cell>
          <cell r="AG19">
            <v>8.0202609200936657E-3</v>
          </cell>
          <cell r="AH19">
            <v>0</v>
          </cell>
          <cell r="AJ19">
            <v>8.0202609200936657E-3</v>
          </cell>
        </row>
        <row r="20">
          <cell r="C20" t="str">
            <v>2010e</v>
          </cell>
          <cell r="D20">
            <v>0</v>
          </cell>
          <cell r="G20" t="b">
            <v>1</v>
          </cell>
          <cell r="AF20">
            <v>8</v>
          </cell>
          <cell r="AG20">
            <v>0</v>
          </cell>
          <cell r="AH20">
            <v>0</v>
          </cell>
          <cell r="AJ20">
            <v>0</v>
          </cell>
        </row>
        <row r="21">
          <cell r="G21" t="b">
            <v>0</v>
          </cell>
          <cell r="AF21">
            <v>9</v>
          </cell>
          <cell r="AG21">
            <v>0</v>
          </cell>
          <cell r="AH21">
            <v>0</v>
          </cell>
          <cell r="AJ21">
            <v>0</v>
          </cell>
        </row>
        <row r="22">
          <cell r="G22" t="b">
            <v>0</v>
          </cell>
          <cell r="AF22">
            <v>10</v>
          </cell>
          <cell r="AG22">
            <v>0</v>
          </cell>
          <cell r="AH22">
            <v>0</v>
          </cell>
          <cell r="AJ22">
            <v>0</v>
          </cell>
        </row>
        <row r="23">
          <cell r="G23" t="b">
            <v>0</v>
          </cell>
          <cell r="AF23">
            <v>11</v>
          </cell>
          <cell r="AG23">
            <v>0</v>
          </cell>
          <cell r="AH23">
            <v>0</v>
          </cell>
          <cell r="AJ23">
            <v>0</v>
          </cell>
        </row>
        <row r="24">
          <cell r="G24" t="b">
            <v>0</v>
          </cell>
          <cell r="AF24">
            <v>12</v>
          </cell>
          <cell r="AG24">
            <v>0</v>
          </cell>
          <cell r="AH24">
            <v>0</v>
          </cell>
          <cell r="AJ24">
            <v>0</v>
          </cell>
        </row>
        <row r="25">
          <cell r="G25" t="b">
            <v>0</v>
          </cell>
          <cell r="AF25">
            <v>13</v>
          </cell>
          <cell r="AG25">
            <v>0</v>
          </cell>
          <cell r="AH25">
            <v>0</v>
          </cell>
          <cell r="AJ25">
            <v>0</v>
          </cell>
        </row>
        <row r="26">
          <cell r="G26" t="b">
            <v>0</v>
          </cell>
          <cell r="AF26">
            <v>14</v>
          </cell>
          <cell r="AG26">
            <v>0</v>
          </cell>
          <cell r="AH26">
            <v>0</v>
          </cell>
          <cell r="AJ26">
            <v>0</v>
          </cell>
        </row>
        <row r="27">
          <cell r="G27" t="b">
            <v>0</v>
          </cell>
          <cell r="AF27">
            <v>15</v>
          </cell>
          <cell r="AG27">
            <v>0</v>
          </cell>
          <cell r="AH27">
            <v>0</v>
          </cell>
          <cell r="AJ27">
            <v>0</v>
          </cell>
        </row>
        <row r="28">
          <cell r="G28" t="b">
            <v>0</v>
          </cell>
          <cell r="AF28">
            <v>16</v>
          </cell>
          <cell r="AG28">
            <v>0</v>
          </cell>
          <cell r="AH28">
            <v>0</v>
          </cell>
          <cell r="AJ28">
            <v>0</v>
          </cell>
        </row>
        <row r="29">
          <cell r="G29" t="b">
            <v>0</v>
          </cell>
          <cell r="AF29">
            <v>17</v>
          </cell>
          <cell r="AG29">
            <v>0</v>
          </cell>
          <cell r="AH29">
            <v>0</v>
          </cell>
          <cell r="AJ29">
            <v>0</v>
          </cell>
        </row>
        <row r="30">
          <cell r="G30" t="b">
            <v>0</v>
          </cell>
          <cell r="AF30">
            <v>18</v>
          </cell>
          <cell r="AG30">
            <v>0</v>
          </cell>
          <cell r="AH30">
            <v>0</v>
          </cell>
          <cell r="AJ30">
            <v>0</v>
          </cell>
        </row>
        <row r="31">
          <cell r="G31" t="b">
            <v>0</v>
          </cell>
          <cell r="AF31">
            <v>19</v>
          </cell>
          <cell r="AG31">
            <v>0</v>
          </cell>
          <cell r="AH31">
            <v>0</v>
          </cell>
          <cell r="AJ31">
            <v>0</v>
          </cell>
        </row>
        <row r="32">
          <cell r="G32" t="b">
            <v>0</v>
          </cell>
          <cell r="AF32">
            <v>20</v>
          </cell>
          <cell r="AG32">
            <v>0</v>
          </cell>
          <cell r="AH32">
            <v>0</v>
          </cell>
          <cell r="AJ32">
            <v>0</v>
          </cell>
        </row>
        <row r="38">
          <cell r="G38" t="str">
            <v>Do not change the width of the exhibit or font sizes (they are optimized for export to Word).</v>
          </cell>
        </row>
        <row r="40">
          <cell r="G40" t="str">
            <v>Do not delete any rows or columns (some gray cells are used for calculations).</v>
          </cell>
        </row>
      </sheetData>
      <sheetData sheetId="19" refreshError="1">
        <row r="1">
          <cell r="T1" t="str">
            <v>SmartCharts</v>
          </cell>
        </row>
        <row r="5">
          <cell r="C5" t="str">
            <v>Define value axis here:</v>
          </cell>
        </row>
        <row r="6">
          <cell r="C6" t="str">
            <v>Value axis definition</v>
          </cell>
        </row>
        <row r="8">
          <cell r="C8" t="str">
            <v>Define highlighted areas here:</v>
          </cell>
        </row>
        <row r="9">
          <cell r="C9" t="str">
            <v>Definition of highlighted areas</v>
          </cell>
        </row>
        <row r="11">
          <cell r="C11" t="str">
            <v>Input your data here:</v>
          </cell>
          <cell r="G11" t="str">
            <v>Highlight?</v>
          </cell>
        </row>
        <row r="12">
          <cell r="D12" t="str">
            <v>dividends</v>
          </cell>
          <cell r="E12" t="str">
            <v>dividend payout ratio</v>
          </cell>
          <cell r="AG12" t="str">
            <v>No.</v>
          </cell>
          <cell r="AH12" t="str">
            <v>HighlightYes</v>
          </cell>
          <cell r="AI12" t="str">
            <v>HighlightNo</v>
          </cell>
          <cell r="AK12" t="str">
            <v>ArrowLine</v>
          </cell>
        </row>
        <row r="13">
          <cell r="C13">
            <v>2003</v>
          </cell>
          <cell r="D13">
            <v>1.5</v>
          </cell>
          <cell r="E13">
            <v>0.35496750495172369</v>
          </cell>
          <cell r="H13" t="b">
            <v>0</v>
          </cell>
          <cell r="AG13">
            <v>1</v>
          </cell>
          <cell r="AH13">
            <v>0</v>
          </cell>
          <cell r="AI13">
            <v>1.5</v>
          </cell>
          <cell r="AK13">
            <v>1.5</v>
          </cell>
        </row>
        <row r="14">
          <cell r="C14">
            <v>2004</v>
          </cell>
          <cell r="D14">
            <v>1.5</v>
          </cell>
          <cell r="E14">
            <v>0.29928583712848106</v>
          </cell>
          <cell r="H14" t="b">
            <v>0</v>
          </cell>
          <cell r="AG14">
            <v>2</v>
          </cell>
          <cell r="AH14">
            <v>0</v>
          </cell>
          <cell r="AI14">
            <v>1.5</v>
          </cell>
          <cell r="AK14">
            <v>1.5</v>
          </cell>
        </row>
        <row r="15">
          <cell r="C15">
            <v>2005</v>
          </cell>
          <cell r="D15">
            <v>1.75</v>
          </cell>
          <cell r="E15">
            <v>0.2471011007153065</v>
          </cell>
          <cell r="H15" t="b">
            <v>0</v>
          </cell>
          <cell r="X15">
            <v>0.35496750495172369</v>
          </cell>
          <cell r="Y15">
            <v>1.5</v>
          </cell>
          <cell r="AG15">
            <v>3</v>
          </cell>
          <cell r="AH15">
            <v>0</v>
          </cell>
          <cell r="AI15">
            <v>1.75</v>
          </cell>
          <cell r="AK15">
            <v>1.75</v>
          </cell>
        </row>
        <row r="16">
          <cell r="C16">
            <v>2006</v>
          </cell>
          <cell r="D16">
            <v>2</v>
          </cell>
          <cell r="E16">
            <v>0.2128905630975233</v>
          </cell>
          <cell r="H16" t="b">
            <v>0</v>
          </cell>
          <cell r="X16">
            <v>0.29928583712848106</v>
          </cell>
          <cell r="Y16">
            <v>1.5</v>
          </cell>
          <cell r="AG16">
            <v>4</v>
          </cell>
          <cell r="AH16">
            <v>0</v>
          </cell>
          <cell r="AI16">
            <v>2</v>
          </cell>
          <cell r="AK16">
            <v>2</v>
          </cell>
        </row>
        <row r="17">
          <cell r="C17">
            <v>2007</v>
          </cell>
          <cell r="D17">
            <v>2.5</v>
          </cell>
          <cell r="E17">
            <v>0.23266612431999104</v>
          </cell>
          <cell r="H17" t="b">
            <v>0</v>
          </cell>
          <cell r="X17">
            <v>0.2471011007153065</v>
          </cell>
          <cell r="Y17">
            <v>1.75</v>
          </cell>
          <cell r="AG17">
            <v>5</v>
          </cell>
          <cell r="AH17">
            <v>0</v>
          </cell>
          <cell r="AI17">
            <v>2.5</v>
          </cell>
          <cell r="AK17">
            <v>2.5</v>
          </cell>
        </row>
        <row r="18">
          <cell r="C18" t="str">
            <v>2008e</v>
          </cell>
          <cell r="D18">
            <v>3.3818579999999998</v>
          </cell>
          <cell r="E18">
            <v>0.23316914511789721</v>
          </cell>
          <cell r="H18" t="b">
            <v>1</v>
          </cell>
          <cell r="X18">
            <v>0.2128905630975233</v>
          </cell>
          <cell r="Y18">
            <v>2</v>
          </cell>
          <cell r="AG18">
            <v>6</v>
          </cell>
          <cell r="AH18">
            <v>3.3818579999999998</v>
          </cell>
          <cell r="AI18">
            <v>0</v>
          </cell>
          <cell r="AK18">
            <v>3.3818579999999998</v>
          </cell>
        </row>
        <row r="19">
          <cell r="C19" t="str">
            <v>2009e</v>
          </cell>
          <cell r="D19">
            <v>4.64391</v>
          </cell>
          <cell r="E19">
            <v>0.2413796394220093</v>
          </cell>
          <cell r="H19" t="b">
            <v>1</v>
          </cell>
          <cell r="X19">
            <v>0.23266612431999104</v>
          </cell>
          <cell r="Y19">
            <v>2.5</v>
          </cell>
          <cell r="AG19">
            <v>7</v>
          </cell>
          <cell r="AH19">
            <v>4.64391</v>
          </cell>
          <cell r="AI19">
            <v>0</v>
          </cell>
          <cell r="AK19">
            <v>4.64391</v>
          </cell>
        </row>
        <row r="20">
          <cell r="C20" t="str">
            <v>2010e</v>
          </cell>
          <cell r="D20">
            <v>5.685314</v>
          </cell>
          <cell r="E20">
            <v>0.22662169627183337</v>
          </cell>
          <cell r="H20" t="b">
            <v>1</v>
          </cell>
          <cell r="X20">
            <v>0.23316914511789721</v>
          </cell>
          <cell r="Y20">
            <v>3.3818579999999998</v>
          </cell>
          <cell r="AG20">
            <v>8</v>
          </cell>
          <cell r="AH20">
            <v>5.685314</v>
          </cell>
          <cell r="AI20">
            <v>0</v>
          </cell>
          <cell r="AK20">
            <v>5.685314</v>
          </cell>
        </row>
        <row r="21">
          <cell r="H21" t="b">
            <v>0</v>
          </cell>
          <cell r="X21">
            <v>0.2413796394220093</v>
          </cell>
          <cell r="Y21">
            <v>4.64391</v>
          </cell>
          <cell r="AG21">
            <v>9</v>
          </cell>
          <cell r="AH21">
            <v>0</v>
          </cell>
          <cell r="AI21">
            <v>0</v>
          </cell>
          <cell r="AK21">
            <v>0</v>
          </cell>
        </row>
        <row r="22">
          <cell r="H22" t="b">
            <v>0</v>
          </cell>
          <cell r="X22">
            <v>0.22662169627183337</v>
          </cell>
          <cell r="Y22">
            <v>5.685314</v>
          </cell>
          <cell r="AG22">
            <v>10</v>
          </cell>
          <cell r="AH22">
            <v>0</v>
          </cell>
          <cell r="AI22">
            <v>0</v>
          </cell>
          <cell r="AK22">
            <v>0</v>
          </cell>
        </row>
        <row r="23">
          <cell r="H23" t="b">
            <v>0</v>
          </cell>
          <cell r="AG23">
            <v>11</v>
          </cell>
          <cell r="AH23">
            <v>0</v>
          </cell>
          <cell r="AI23">
            <v>0</v>
          </cell>
          <cell r="AK23">
            <v>0</v>
          </cell>
        </row>
        <row r="24">
          <cell r="H24" t="b">
            <v>0</v>
          </cell>
          <cell r="AG24">
            <v>12</v>
          </cell>
          <cell r="AH24">
            <v>0</v>
          </cell>
          <cell r="AI24">
            <v>0</v>
          </cell>
          <cell r="AK24">
            <v>0</v>
          </cell>
        </row>
        <row r="25">
          <cell r="H25" t="b">
            <v>0</v>
          </cell>
          <cell r="AG25">
            <v>13</v>
          </cell>
          <cell r="AH25">
            <v>0</v>
          </cell>
          <cell r="AI25">
            <v>0</v>
          </cell>
          <cell r="AK25">
            <v>0</v>
          </cell>
        </row>
        <row r="26">
          <cell r="H26" t="b">
            <v>0</v>
          </cell>
          <cell r="AG26">
            <v>14</v>
          </cell>
          <cell r="AH26">
            <v>0</v>
          </cell>
          <cell r="AI26">
            <v>0</v>
          </cell>
          <cell r="AK26">
            <v>0</v>
          </cell>
        </row>
        <row r="27">
          <cell r="H27" t="b">
            <v>0</v>
          </cell>
          <cell r="AG27">
            <v>15</v>
          </cell>
          <cell r="AH27">
            <v>0</v>
          </cell>
          <cell r="AI27">
            <v>0</v>
          </cell>
          <cell r="AK27">
            <v>0</v>
          </cell>
        </row>
        <row r="28">
          <cell r="H28" t="b">
            <v>0</v>
          </cell>
          <cell r="AG28">
            <v>16</v>
          </cell>
          <cell r="AH28">
            <v>0</v>
          </cell>
          <cell r="AI28">
            <v>0</v>
          </cell>
          <cell r="AK28">
            <v>0</v>
          </cell>
        </row>
        <row r="29">
          <cell r="H29" t="b">
            <v>0</v>
          </cell>
          <cell r="AG29">
            <v>17</v>
          </cell>
          <cell r="AH29">
            <v>0</v>
          </cell>
          <cell r="AI29">
            <v>0</v>
          </cell>
          <cell r="AK29">
            <v>0</v>
          </cell>
        </row>
        <row r="30">
          <cell r="H30" t="b">
            <v>0</v>
          </cell>
          <cell r="AG30">
            <v>18</v>
          </cell>
          <cell r="AH30">
            <v>0</v>
          </cell>
          <cell r="AI30">
            <v>0</v>
          </cell>
          <cell r="AK30">
            <v>0</v>
          </cell>
        </row>
        <row r="31">
          <cell r="H31" t="b">
            <v>0</v>
          </cell>
          <cell r="AG31">
            <v>19</v>
          </cell>
          <cell r="AH31">
            <v>0</v>
          </cell>
          <cell r="AI31">
            <v>0</v>
          </cell>
          <cell r="AK31">
            <v>0</v>
          </cell>
        </row>
        <row r="32">
          <cell r="H32" t="b">
            <v>0</v>
          </cell>
          <cell r="AG32">
            <v>20</v>
          </cell>
          <cell r="AH32">
            <v>0</v>
          </cell>
          <cell r="AI32">
            <v>0</v>
          </cell>
          <cell r="AK32">
            <v>0</v>
          </cell>
        </row>
        <row r="38">
          <cell r="H38" t="str">
            <v>Do not change the width of the exhibit or font sizes (they are optimized for export to Word).</v>
          </cell>
        </row>
        <row r="40">
          <cell r="H40" t="str">
            <v>Do not delete any rows or columns (some gray cells are used for calculations).</v>
          </cell>
        </row>
      </sheetData>
      <sheetData sheetId="20" refreshError="1">
        <row r="1">
          <cell r="S1" t="str">
            <v>SmartCharts</v>
          </cell>
        </row>
        <row r="5">
          <cell r="C5" t="str">
            <v>Define value axis here:</v>
          </cell>
        </row>
        <row r="6">
          <cell r="C6" t="str">
            <v>Value axis definition</v>
          </cell>
        </row>
        <row r="8">
          <cell r="C8" t="str">
            <v>Define highlighted areas here:</v>
          </cell>
        </row>
        <row r="9">
          <cell r="C9" t="str">
            <v>MarketView expectation</v>
          </cell>
        </row>
        <row r="11">
          <cell r="C11" t="str">
            <v>Input your data here:</v>
          </cell>
          <cell r="F11" t="str">
            <v>Highlight?</v>
          </cell>
        </row>
        <row r="12">
          <cell r="D12" t="str">
            <v>Series1</v>
          </cell>
          <cell r="AF12" t="str">
            <v>No.</v>
          </cell>
          <cell r="AG12" t="str">
            <v>HighlightYes</v>
          </cell>
          <cell r="AH12" t="str">
            <v>HighlightNo</v>
          </cell>
          <cell r="AJ12" t="str">
            <v>ArrowLine</v>
          </cell>
        </row>
        <row r="13">
          <cell r="C13">
            <v>2003</v>
          </cell>
          <cell r="G13" t="b">
            <v>0</v>
          </cell>
          <cell r="AF13">
            <v>1</v>
          </cell>
          <cell r="AG13">
            <v>0</v>
          </cell>
          <cell r="AH13">
            <v>0</v>
          </cell>
          <cell r="AJ13">
            <v>0</v>
          </cell>
        </row>
        <row r="14">
          <cell r="C14">
            <v>2004</v>
          </cell>
          <cell r="D14">
            <v>177.23304599999989</v>
          </cell>
          <cell r="G14" t="b">
            <v>0</v>
          </cell>
          <cell r="AF14">
            <v>2</v>
          </cell>
          <cell r="AG14">
            <v>0</v>
          </cell>
          <cell r="AH14">
            <v>177.23304599999989</v>
          </cell>
          <cell r="AJ14">
            <v>177.23304599999989</v>
          </cell>
        </row>
        <row r="15">
          <cell r="C15">
            <v>2005</v>
          </cell>
          <cell r="D15">
            <v>722.12711799999988</v>
          </cell>
          <cell r="G15" t="b">
            <v>0</v>
          </cell>
          <cell r="AF15">
            <v>3</v>
          </cell>
          <cell r="AG15">
            <v>0</v>
          </cell>
          <cell r="AH15">
            <v>722.12711799999988</v>
          </cell>
          <cell r="AJ15">
            <v>722.12711799999988</v>
          </cell>
        </row>
        <row r="16">
          <cell r="C16">
            <v>2006</v>
          </cell>
          <cell r="D16">
            <v>-1971.1971309999997</v>
          </cell>
          <cell r="G16" t="b">
            <v>0</v>
          </cell>
          <cell r="AF16">
            <v>4</v>
          </cell>
          <cell r="AG16">
            <v>0</v>
          </cell>
          <cell r="AH16">
            <v>-1971.1971309999997</v>
          </cell>
          <cell r="AJ16">
            <v>-1971.1971309999997</v>
          </cell>
        </row>
        <row r="17">
          <cell r="C17">
            <v>2007</v>
          </cell>
          <cell r="D17">
            <v>-5722.6101679999992</v>
          </cell>
          <cell r="G17" t="b">
            <v>0</v>
          </cell>
          <cell r="AF17">
            <v>5</v>
          </cell>
          <cell r="AG17">
            <v>0</v>
          </cell>
          <cell r="AH17">
            <v>-5722.6101679999992</v>
          </cell>
          <cell r="AJ17">
            <v>-5722.6101679999992</v>
          </cell>
        </row>
        <row r="18">
          <cell r="C18" t="str">
            <v>2008e</v>
          </cell>
          <cell r="D18">
            <v>-1644.8594304764192</v>
          </cell>
          <cell r="G18" t="b">
            <v>1</v>
          </cell>
          <cell r="AF18">
            <v>6</v>
          </cell>
          <cell r="AG18">
            <v>-1644.8594304764192</v>
          </cell>
          <cell r="AH18">
            <v>0</v>
          </cell>
          <cell r="AJ18">
            <v>-1644.8594304764192</v>
          </cell>
        </row>
        <row r="19">
          <cell r="C19" t="str">
            <v>2009e</v>
          </cell>
          <cell r="D19">
            <v>-1262.8725615223339</v>
          </cell>
          <cell r="G19" t="b">
            <v>1</v>
          </cell>
          <cell r="AF19">
            <v>7</v>
          </cell>
          <cell r="AG19">
            <v>-1262.8725615223339</v>
          </cell>
          <cell r="AH19">
            <v>0</v>
          </cell>
          <cell r="AJ19">
            <v>-1262.8725615223339</v>
          </cell>
        </row>
        <row r="20">
          <cell r="C20" t="str">
            <v>2010e</v>
          </cell>
          <cell r="D20">
            <v>-879.388901922684</v>
          </cell>
          <cell r="G20" t="b">
            <v>1</v>
          </cell>
          <cell r="AF20">
            <v>8</v>
          </cell>
          <cell r="AG20">
            <v>-879.388901922684</v>
          </cell>
          <cell r="AH20">
            <v>0</v>
          </cell>
          <cell r="AJ20">
            <v>-879.388901922684</v>
          </cell>
        </row>
        <row r="21">
          <cell r="G21" t="b">
            <v>0</v>
          </cell>
          <cell r="AF21">
            <v>9</v>
          </cell>
          <cell r="AG21">
            <v>0</v>
          </cell>
          <cell r="AH21">
            <v>0</v>
          </cell>
          <cell r="AJ21">
            <v>0</v>
          </cell>
        </row>
        <row r="22">
          <cell r="G22" t="b">
            <v>0</v>
          </cell>
          <cell r="AF22">
            <v>10</v>
          </cell>
          <cell r="AG22">
            <v>0</v>
          </cell>
          <cell r="AH22">
            <v>0</v>
          </cell>
          <cell r="AJ22">
            <v>0</v>
          </cell>
        </row>
        <row r="23">
          <cell r="G23" t="b">
            <v>0</v>
          </cell>
          <cell r="AF23">
            <v>11</v>
          </cell>
          <cell r="AG23">
            <v>0</v>
          </cell>
          <cell r="AH23">
            <v>0</v>
          </cell>
          <cell r="AJ23">
            <v>0</v>
          </cell>
        </row>
        <row r="24">
          <cell r="G24" t="b">
            <v>0</v>
          </cell>
          <cell r="AF24">
            <v>12</v>
          </cell>
          <cell r="AG24">
            <v>0</v>
          </cell>
          <cell r="AH24">
            <v>0</v>
          </cell>
          <cell r="AJ24">
            <v>0</v>
          </cell>
        </row>
        <row r="25">
          <cell r="G25" t="b">
            <v>0</v>
          </cell>
          <cell r="AF25">
            <v>13</v>
          </cell>
          <cell r="AG25">
            <v>0</v>
          </cell>
          <cell r="AH25">
            <v>0</v>
          </cell>
          <cell r="AJ25">
            <v>0</v>
          </cell>
        </row>
        <row r="26">
          <cell r="G26" t="b">
            <v>0</v>
          </cell>
          <cell r="AF26">
            <v>14</v>
          </cell>
          <cell r="AG26">
            <v>0</v>
          </cell>
          <cell r="AH26">
            <v>0</v>
          </cell>
          <cell r="AJ26">
            <v>0</v>
          </cell>
        </row>
        <row r="27">
          <cell r="G27" t="b">
            <v>0</v>
          </cell>
          <cell r="AF27">
            <v>15</v>
          </cell>
          <cell r="AG27">
            <v>0</v>
          </cell>
          <cell r="AH27">
            <v>0</v>
          </cell>
          <cell r="AJ27">
            <v>0</v>
          </cell>
        </row>
        <row r="28">
          <cell r="G28" t="b">
            <v>0</v>
          </cell>
          <cell r="AF28">
            <v>16</v>
          </cell>
          <cell r="AG28">
            <v>0</v>
          </cell>
          <cell r="AH28">
            <v>0</v>
          </cell>
          <cell r="AJ28">
            <v>0</v>
          </cell>
        </row>
        <row r="29">
          <cell r="G29" t="b">
            <v>0</v>
          </cell>
          <cell r="AF29">
            <v>17</v>
          </cell>
          <cell r="AG29">
            <v>0</v>
          </cell>
          <cell r="AH29">
            <v>0</v>
          </cell>
          <cell r="AJ29">
            <v>0</v>
          </cell>
        </row>
        <row r="30">
          <cell r="G30" t="b">
            <v>0</v>
          </cell>
          <cell r="AF30">
            <v>18</v>
          </cell>
          <cell r="AG30">
            <v>0</v>
          </cell>
          <cell r="AH30">
            <v>0</v>
          </cell>
          <cell r="AJ30">
            <v>0</v>
          </cell>
        </row>
        <row r="31">
          <cell r="G31" t="b">
            <v>0</v>
          </cell>
          <cell r="AF31">
            <v>19</v>
          </cell>
          <cell r="AG31">
            <v>0</v>
          </cell>
          <cell r="AH31">
            <v>0</v>
          </cell>
          <cell r="AJ31">
            <v>0</v>
          </cell>
        </row>
        <row r="32">
          <cell r="G32" t="b">
            <v>0</v>
          </cell>
          <cell r="AF32">
            <v>20</v>
          </cell>
          <cell r="AG32">
            <v>0</v>
          </cell>
          <cell r="AH32">
            <v>0</v>
          </cell>
          <cell r="AJ32">
            <v>0</v>
          </cell>
        </row>
        <row r="38">
          <cell r="G38" t="str">
            <v>Do not change the width of the exhibit or font sizes (they are optimized for export to Word).</v>
          </cell>
        </row>
        <row r="40">
          <cell r="G40" t="str">
            <v>Do not delete any rows or columns (some gray cells are used for calculations).</v>
          </cell>
        </row>
      </sheetData>
      <sheetData sheetId="21" refreshError="1">
        <row r="1">
          <cell r="O1" t="str">
            <v>SmartCharts</v>
          </cell>
          <cell r="AY1" t="str">
            <v>.</v>
          </cell>
        </row>
        <row r="2">
          <cell r="AY2" t="str">
            <v>.</v>
          </cell>
        </row>
        <row r="3">
          <cell r="AY3" t="str">
            <v>.</v>
          </cell>
        </row>
        <row r="4">
          <cell r="AY4" t="str">
            <v>.</v>
          </cell>
        </row>
        <row r="5">
          <cell r="C5" t="str">
            <v>Define value axis here:</v>
          </cell>
        </row>
        <row r="6">
          <cell r="C6" t="str">
            <v>Value axis definition</v>
          </cell>
        </row>
        <row r="10">
          <cell r="D10" t="str">
            <v>EPS</v>
          </cell>
          <cell r="E10" t="str">
            <v>Depreciation &amp; amortization</v>
          </cell>
          <cell r="F10" t="str">
            <v>Capital expenditures</v>
          </cell>
          <cell r="G10" t="str">
            <v>Changes in Working Capital</v>
          </cell>
          <cell r="H10" t="str">
            <v>Other activities</v>
          </cell>
          <cell r="AY10" t="str">
            <v>.</v>
          </cell>
        </row>
        <row r="11">
          <cell r="C11">
            <v>2003</v>
          </cell>
        </row>
        <row r="12">
          <cell r="C12">
            <v>2004</v>
          </cell>
          <cell r="D12">
            <v>7.9945801893321705E-2</v>
          </cell>
          <cell r="E12">
            <v>7.6815948629398292E-2</v>
          </cell>
          <cell r="F12">
            <v>-0.18968046490102697</v>
          </cell>
          <cell r="G12">
            <v>-5.5883018111168102E-2</v>
          </cell>
          <cell r="H12">
            <v>7.7132093461970469E-4</v>
          </cell>
          <cell r="U12">
            <v>7.9945801893321705E-2</v>
          </cell>
          <cell r="V12">
            <v>7.6815948629398292E-2</v>
          </cell>
          <cell r="W12">
            <v>0.18968046490102697</v>
          </cell>
          <cell r="X12">
            <v>5.5883018111168102E-2</v>
          </cell>
          <cell r="Y12">
            <v>7.7132093461970469E-4</v>
          </cell>
          <cell r="Z12">
            <v>-0.18968046490102697</v>
          </cell>
          <cell r="AA12">
            <v>-5.5883018111168102E-2</v>
          </cell>
          <cell r="AY12" t="str">
            <v>.</v>
          </cell>
        </row>
        <row r="13">
          <cell r="C13">
            <v>2005</v>
          </cell>
          <cell r="D13">
            <v>0.112967612882259</v>
          </cell>
          <cell r="E13">
            <v>6.124317209128273E-2</v>
          </cell>
          <cell r="F13">
            <v>-0.20099249463138427</v>
          </cell>
          <cell r="G13">
            <v>-0.15468398459088162</v>
          </cell>
          <cell r="H13">
            <v>3.7478084469610123E-2</v>
          </cell>
          <cell r="U13">
            <v>0.112967612882259</v>
          </cell>
          <cell r="V13">
            <v>6.124317209128273E-2</v>
          </cell>
          <cell r="W13">
            <v>0.20099249463138427</v>
          </cell>
          <cell r="X13">
            <v>0.15468398459088162</v>
          </cell>
          <cell r="Y13">
            <v>3.7478084469610123E-2</v>
          </cell>
          <cell r="Z13">
            <v>-0.20099249463138427</v>
          </cell>
          <cell r="AA13">
            <v>-0.15468398459088162</v>
          </cell>
          <cell r="AY13" t="str">
            <v>.</v>
          </cell>
        </row>
        <row r="14">
          <cell r="C14">
            <v>2006</v>
          </cell>
          <cell r="D14">
            <v>0.15942547250595618</v>
          </cell>
          <cell r="E14">
            <v>9.356012675157209E-2</v>
          </cell>
          <cell r="F14">
            <v>-0.41459417372638463</v>
          </cell>
          <cell r="G14">
            <v>-4.2491885358200379E-2</v>
          </cell>
          <cell r="H14">
            <v>4.273129648223719E-2</v>
          </cell>
          <cell r="U14">
            <v>0.15942547250595618</v>
          </cell>
          <cell r="V14">
            <v>9.356012675157209E-2</v>
          </cell>
          <cell r="W14">
            <v>0.41459417372638463</v>
          </cell>
          <cell r="X14">
            <v>4.2491885358200379E-2</v>
          </cell>
          <cell r="Y14">
            <v>4.273129648223719E-2</v>
          </cell>
          <cell r="Z14">
            <v>-0.41459417372638463</v>
          </cell>
          <cell r="AA14">
            <v>-4.2491885358200379E-2</v>
          </cell>
          <cell r="AY14" t="str">
            <v>.</v>
          </cell>
        </row>
        <row r="15">
          <cell r="C15">
            <v>2007</v>
          </cell>
          <cell r="D15">
            <v>0.21618446238326433</v>
          </cell>
          <cell r="E15">
            <v>0.12757746580736426</v>
          </cell>
          <cell r="F15">
            <v>-1</v>
          </cell>
          <cell r="G15">
            <v>-5.9079172820426691E-2</v>
          </cell>
          <cell r="H15">
            <v>1.2635053250695338E-3</v>
          </cell>
          <cell r="U15">
            <v>0.21618446238326433</v>
          </cell>
          <cell r="V15">
            <v>0.12757746580736426</v>
          </cell>
          <cell r="W15">
            <v>1</v>
          </cell>
          <cell r="X15">
            <v>5.9079172820426691E-2</v>
          </cell>
          <cell r="Y15">
            <v>1.2635053250695338E-3</v>
          </cell>
          <cell r="Z15">
            <v>-1</v>
          </cell>
          <cell r="AA15">
            <v>-5.9079172820426691E-2</v>
          </cell>
          <cell r="AY15" t="str">
            <v>.</v>
          </cell>
        </row>
        <row r="16">
          <cell r="C16" t="str">
            <v>2008e</v>
          </cell>
          <cell r="D16">
            <v>0.31378056857959363</v>
          </cell>
          <cell r="E16">
            <v>0.16731322559989192</v>
          </cell>
          <cell r="F16">
            <v>-0.38767868799905131</v>
          </cell>
          <cell r="G16">
            <v>-0.24012208801364401</v>
          </cell>
          <cell r="H16">
            <v>5.9261023964582507E-2</v>
          </cell>
          <cell r="U16">
            <v>0.31378056857959363</v>
          </cell>
          <cell r="V16">
            <v>0.16731322559989192</v>
          </cell>
          <cell r="W16">
            <v>0.38767868799905131</v>
          </cell>
          <cell r="X16">
            <v>0.24012208801364401</v>
          </cell>
          <cell r="Y16">
            <v>5.9261023964582507E-2</v>
          </cell>
          <cell r="Z16">
            <v>-0.38767868799905131</v>
          </cell>
          <cell r="AA16">
            <v>-0.24012208801364401</v>
          </cell>
          <cell r="AY16" t="str">
            <v>.</v>
          </cell>
        </row>
        <row r="17">
          <cell r="C17" t="str">
            <v>2009e</v>
          </cell>
          <cell r="D17">
            <v>0.41015983926676164</v>
          </cell>
          <cell r="E17">
            <v>0.21151206848508192</v>
          </cell>
          <cell r="F17">
            <v>-0.45554750224177926</v>
          </cell>
          <cell r="G17">
            <v>-0.2690530395822569</v>
          </cell>
          <cell r="H17">
            <v>5.5207276057322743E-2</v>
          </cell>
          <cell r="U17">
            <v>0.41015983926676164</v>
          </cell>
          <cell r="V17">
            <v>0.21151206848508192</v>
          </cell>
          <cell r="W17">
            <v>0.45554750224177926</v>
          </cell>
          <cell r="X17">
            <v>0.2690530395822569</v>
          </cell>
          <cell r="Y17">
            <v>5.5207276057322743E-2</v>
          </cell>
          <cell r="Z17">
            <v>-0.45554750224177926</v>
          </cell>
          <cell r="AA17">
            <v>-0.2690530395822569</v>
          </cell>
          <cell r="AY17" t="str">
            <v>.</v>
          </cell>
        </row>
        <row r="18">
          <cell r="C18" t="str">
            <v>2010e</v>
          </cell>
          <cell r="D18">
            <v>0.54440384618548221</v>
          </cell>
          <cell r="E18">
            <v>0.26054921262738706</v>
          </cell>
          <cell r="F18">
            <v>-0.53105468856717586</v>
          </cell>
          <cell r="G18">
            <v>-0.32624916542241911</v>
          </cell>
          <cell r="H18">
            <v>5.7765592335649193E-2</v>
          </cell>
          <cell r="U18">
            <v>0.54440384618548221</v>
          </cell>
          <cell r="V18">
            <v>0.26054921262738706</v>
          </cell>
          <cell r="W18">
            <v>0.53105468856717586</v>
          </cell>
          <cell r="X18">
            <v>0.32624916542241911</v>
          </cell>
          <cell r="Y18">
            <v>5.7765592335649193E-2</v>
          </cell>
          <cell r="Z18">
            <v>-0.53105468856717586</v>
          </cell>
          <cell r="AA18">
            <v>-0.32624916542241911</v>
          </cell>
          <cell r="AY18" t="str">
            <v>.</v>
          </cell>
        </row>
        <row r="19">
          <cell r="AY19" t="str">
            <v>.</v>
          </cell>
        </row>
        <row r="20">
          <cell r="AY20" t="str">
            <v>.</v>
          </cell>
        </row>
        <row r="21">
          <cell r="AY21" t="str">
            <v>.</v>
          </cell>
        </row>
        <row r="22">
          <cell r="AY22" t="str">
            <v>.</v>
          </cell>
        </row>
        <row r="23">
          <cell r="AY23" t="str">
            <v>.</v>
          </cell>
        </row>
        <row r="24">
          <cell r="AY24" t="str">
            <v>.</v>
          </cell>
        </row>
        <row r="25">
          <cell r="AY25" t="str">
            <v>.</v>
          </cell>
        </row>
        <row r="26">
          <cell r="AY26" t="str">
            <v>.</v>
          </cell>
        </row>
        <row r="27">
          <cell r="AY27" t="str">
            <v>.</v>
          </cell>
        </row>
        <row r="28">
          <cell r="AY28" t="str">
            <v>.</v>
          </cell>
        </row>
        <row r="29">
          <cell r="AY29" t="str">
            <v>.</v>
          </cell>
        </row>
        <row r="30">
          <cell r="AY30" t="str">
            <v>.</v>
          </cell>
        </row>
        <row r="31">
          <cell r="AY31" t="str">
            <v>.</v>
          </cell>
        </row>
        <row r="32">
          <cell r="AY32" t="str">
            <v>.</v>
          </cell>
        </row>
        <row r="33">
          <cell r="AY33" t="str">
            <v>.</v>
          </cell>
        </row>
        <row r="34">
          <cell r="AY34" t="str">
            <v>.</v>
          </cell>
        </row>
        <row r="35">
          <cell r="AY35" t="str">
            <v>.</v>
          </cell>
        </row>
        <row r="36">
          <cell r="AY36" t="str">
            <v>.</v>
          </cell>
        </row>
        <row r="37">
          <cell r="AY37" t="str">
            <v>.</v>
          </cell>
        </row>
        <row r="38">
          <cell r="AY38" t="str">
            <v>.</v>
          </cell>
        </row>
        <row r="39">
          <cell r="AY39" t="str">
            <v>.</v>
          </cell>
        </row>
        <row r="40">
          <cell r="AY40" t="str">
            <v>.</v>
          </cell>
        </row>
        <row r="41">
          <cell r="AY41" t="str">
            <v>.</v>
          </cell>
        </row>
        <row r="42">
          <cell r="AY42" t="str">
            <v>.</v>
          </cell>
        </row>
        <row r="43">
          <cell r="AY43" t="str">
            <v>.</v>
          </cell>
        </row>
        <row r="44">
          <cell r="AY44" t="str">
            <v>.</v>
          </cell>
        </row>
        <row r="45">
          <cell r="AY45" t="str">
            <v>.</v>
          </cell>
        </row>
        <row r="46">
          <cell r="AY46" t="str">
            <v>.</v>
          </cell>
        </row>
        <row r="47">
          <cell r="AY47" t="str">
            <v>.</v>
          </cell>
        </row>
        <row r="48">
          <cell r="AY48" t="str">
            <v>.</v>
          </cell>
        </row>
        <row r="49">
          <cell r="AY49" t="str">
            <v>.</v>
          </cell>
        </row>
        <row r="50">
          <cell r="AY50" t="str">
            <v>.</v>
          </cell>
        </row>
        <row r="51">
          <cell r="AY51" t="str">
            <v>.</v>
          </cell>
        </row>
        <row r="52">
          <cell r="AY52" t="str">
            <v>.</v>
          </cell>
        </row>
        <row r="53">
          <cell r="AY53" t="str">
            <v>.</v>
          </cell>
        </row>
        <row r="54">
          <cell r="AY54" t="str">
            <v>.</v>
          </cell>
        </row>
        <row r="55">
          <cell r="AY55" t="str">
            <v>.</v>
          </cell>
        </row>
        <row r="56">
          <cell r="AY56" t="str">
            <v>.</v>
          </cell>
        </row>
        <row r="57">
          <cell r="AY57" t="str">
            <v>.</v>
          </cell>
        </row>
        <row r="58">
          <cell r="AY58" t="str">
            <v>.</v>
          </cell>
        </row>
        <row r="59">
          <cell r="AY59" t="str">
            <v>.</v>
          </cell>
        </row>
        <row r="60">
          <cell r="AY60" t="str">
            <v>.</v>
          </cell>
        </row>
        <row r="61">
          <cell r="AY61" t="str">
            <v>.</v>
          </cell>
        </row>
        <row r="62">
          <cell r="AY62" t="str">
            <v>.</v>
          </cell>
        </row>
        <row r="63">
          <cell r="AY63" t="str">
            <v>.</v>
          </cell>
        </row>
        <row r="64">
          <cell r="AY64" t="str">
            <v>.</v>
          </cell>
        </row>
        <row r="65">
          <cell r="AY65" t="str">
            <v>.</v>
          </cell>
        </row>
        <row r="66">
          <cell r="AY66" t="str">
            <v>.</v>
          </cell>
        </row>
        <row r="67">
          <cell r="AY67" t="str">
            <v>.</v>
          </cell>
        </row>
        <row r="68">
          <cell r="AY68" t="str">
            <v>.</v>
          </cell>
        </row>
        <row r="69">
          <cell r="AY69" t="str">
            <v>.</v>
          </cell>
        </row>
        <row r="70">
          <cell r="AY70" t="str">
            <v>.</v>
          </cell>
        </row>
        <row r="71">
          <cell r="AY71" t="str">
            <v>.</v>
          </cell>
        </row>
        <row r="72">
          <cell r="AY72" t="str">
            <v>.</v>
          </cell>
        </row>
        <row r="73">
          <cell r="AY73" t="str">
            <v>.</v>
          </cell>
        </row>
        <row r="74">
          <cell r="AY74" t="str">
            <v>.</v>
          </cell>
        </row>
        <row r="75">
          <cell r="AY75" t="str">
            <v>.</v>
          </cell>
        </row>
        <row r="76">
          <cell r="AY76" t="str">
            <v>.</v>
          </cell>
        </row>
        <row r="77">
          <cell r="AY77" t="str">
            <v>.</v>
          </cell>
        </row>
        <row r="78">
          <cell r="AY78" t="str">
            <v>.</v>
          </cell>
        </row>
        <row r="79">
          <cell r="AY79" t="str">
            <v>.</v>
          </cell>
        </row>
        <row r="80">
          <cell r="AY80" t="str">
            <v>.</v>
          </cell>
        </row>
        <row r="81">
          <cell r="AY81" t="str">
            <v>.</v>
          </cell>
        </row>
        <row r="82">
          <cell r="AY82" t="str">
            <v>.</v>
          </cell>
        </row>
        <row r="83">
          <cell r="AY83" t="str">
            <v>.</v>
          </cell>
        </row>
        <row r="84">
          <cell r="AY84" t="str">
            <v>.</v>
          </cell>
        </row>
        <row r="85">
          <cell r="AY85" t="str">
            <v>.</v>
          </cell>
        </row>
        <row r="86">
          <cell r="AY86" t="str">
            <v>.</v>
          </cell>
        </row>
        <row r="87">
          <cell r="AY87" t="str">
            <v>.</v>
          </cell>
        </row>
        <row r="88">
          <cell r="AY88" t="str">
            <v>.</v>
          </cell>
        </row>
        <row r="89">
          <cell r="AY89" t="str">
            <v>.</v>
          </cell>
        </row>
        <row r="90">
          <cell r="AY90" t="str">
            <v>.</v>
          </cell>
        </row>
        <row r="91">
          <cell r="AY91" t="str">
            <v>.</v>
          </cell>
        </row>
        <row r="92">
          <cell r="AY92" t="str">
            <v>.</v>
          </cell>
        </row>
        <row r="93">
          <cell r="AY93" t="str">
            <v>.</v>
          </cell>
        </row>
        <row r="94">
          <cell r="AY94" t="str">
            <v>.</v>
          </cell>
        </row>
        <row r="95">
          <cell r="AY95" t="str">
            <v>.</v>
          </cell>
        </row>
        <row r="96">
          <cell r="AY96" t="str">
            <v>.</v>
          </cell>
        </row>
        <row r="97">
          <cell r="AY97" t="str">
            <v>.</v>
          </cell>
        </row>
        <row r="98">
          <cell r="AY98" t="str">
            <v>.</v>
          </cell>
        </row>
        <row r="99">
          <cell r="AY99" t="str">
            <v>.</v>
          </cell>
        </row>
        <row r="100">
          <cell r="AY100" t="str">
            <v>.</v>
          </cell>
        </row>
        <row r="101">
          <cell r="AY101" t="str">
            <v>.</v>
          </cell>
        </row>
        <row r="102">
          <cell r="AY102" t="str">
            <v>.</v>
          </cell>
        </row>
        <row r="103">
          <cell r="AY103" t="str">
            <v>.</v>
          </cell>
        </row>
        <row r="104">
          <cell r="AY104" t="str">
            <v>.</v>
          </cell>
        </row>
        <row r="105">
          <cell r="AY105" t="str">
            <v>.</v>
          </cell>
        </row>
        <row r="106">
          <cell r="AY106" t="str">
            <v>.</v>
          </cell>
        </row>
        <row r="107">
          <cell r="AY107" t="str">
            <v>.</v>
          </cell>
        </row>
        <row r="108">
          <cell r="AY108" t="str">
            <v>.</v>
          </cell>
        </row>
        <row r="109">
          <cell r="AY109" t="str">
            <v>.</v>
          </cell>
        </row>
        <row r="110">
          <cell r="AY110" t="str">
            <v>.</v>
          </cell>
        </row>
        <row r="111">
          <cell r="AY111" t="str">
            <v>.</v>
          </cell>
        </row>
        <row r="112">
          <cell r="AY112" t="str">
            <v>.</v>
          </cell>
        </row>
        <row r="113">
          <cell r="AY113" t="str">
            <v>.</v>
          </cell>
        </row>
        <row r="114">
          <cell r="AY114" t="str">
            <v>.</v>
          </cell>
        </row>
        <row r="115">
          <cell r="AY115" t="str">
            <v>.</v>
          </cell>
        </row>
        <row r="116">
          <cell r="AY116" t="str">
            <v>.</v>
          </cell>
        </row>
        <row r="117">
          <cell r="AY117" t="str">
            <v>.</v>
          </cell>
        </row>
        <row r="118">
          <cell r="AY118" t="str">
            <v>.</v>
          </cell>
        </row>
        <row r="119">
          <cell r="AY119" t="str">
            <v>.</v>
          </cell>
        </row>
        <row r="120">
          <cell r="AY120" t="str">
            <v>.</v>
          </cell>
        </row>
        <row r="121">
          <cell r="AY121" t="str">
            <v>.</v>
          </cell>
        </row>
        <row r="122">
          <cell r="AY122" t="str">
            <v>.</v>
          </cell>
        </row>
        <row r="123">
          <cell r="AY123" t="str">
            <v>.</v>
          </cell>
        </row>
        <row r="124">
          <cell r="AY124" t="str">
            <v>.</v>
          </cell>
        </row>
        <row r="125">
          <cell r="AY125" t="str">
            <v>.</v>
          </cell>
        </row>
        <row r="126">
          <cell r="AY126" t="str">
            <v>.</v>
          </cell>
        </row>
        <row r="127">
          <cell r="AY127" t="str">
            <v>.</v>
          </cell>
        </row>
        <row r="128">
          <cell r="AY128" t="str">
            <v>.</v>
          </cell>
        </row>
        <row r="129">
          <cell r="AY129" t="str">
            <v>.</v>
          </cell>
        </row>
        <row r="130">
          <cell r="AY130" t="str">
            <v>.</v>
          </cell>
        </row>
        <row r="131">
          <cell r="AY131" t="str">
            <v>.</v>
          </cell>
        </row>
        <row r="132">
          <cell r="AY132" t="str">
            <v>.</v>
          </cell>
        </row>
        <row r="133">
          <cell r="AY133" t="str">
            <v>.</v>
          </cell>
        </row>
        <row r="134">
          <cell r="AY134" t="str">
            <v>.</v>
          </cell>
        </row>
        <row r="135">
          <cell r="AY135" t="str">
            <v>.</v>
          </cell>
        </row>
        <row r="136">
          <cell r="AY136" t="str">
            <v>.</v>
          </cell>
        </row>
        <row r="137">
          <cell r="AY137" t="str">
            <v>.</v>
          </cell>
        </row>
        <row r="138">
          <cell r="AY138" t="str">
            <v>.</v>
          </cell>
        </row>
        <row r="139">
          <cell r="AY139" t="str">
            <v>.</v>
          </cell>
        </row>
        <row r="140">
          <cell r="AY140" t="str">
            <v>.</v>
          </cell>
        </row>
        <row r="141">
          <cell r="AY141" t="str">
            <v>.</v>
          </cell>
        </row>
        <row r="142">
          <cell r="AY142" t="str">
            <v>.</v>
          </cell>
        </row>
        <row r="143">
          <cell r="AY143" t="str">
            <v>.</v>
          </cell>
        </row>
        <row r="144">
          <cell r="AY144" t="str">
            <v>.</v>
          </cell>
        </row>
        <row r="145">
          <cell r="AY145" t="str">
            <v>.</v>
          </cell>
        </row>
        <row r="146">
          <cell r="AY146" t="str">
            <v>.</v>
          </cell>
        </row>
        <row r="147">
          <cell r="AY147" t="str">
            <v>.</v>
          </cell>
        </row>
        <row r="148">
          <cell r="AY148" t="str">
            <v>.</v>
          </cell>
        </row>
        <row r="149">
          <cell r="AY149" t="str">
            <v>.</v>
          </cell>
        </row>
        <row r="150">
          <cell r="AY150" t="str">
            <v>.</v>
          </cell>
        </row>
        <row r="151">
          <cell r="AY151" t="str">
            <v>.</v>
          </cell>
        </row>
        <row r="152">
          <cell r="AY152" t="str">
            <v>.</v>
          </cell>
        </row>
        <row r="153">
          <cell r="AY153" t="str">
            <v>.</v>
          </cell>
        </row>
        <row r="154">
          <cell r="AY154" t="str">
            <v>.</v>
          </cell>
        </row>
        <row r="155">
          <cell r="AY155" t="str">
            <v>.</v>
          </cell>
        </row>
        <row r="156">
          <cell r="AY156" t="str">
            <v>.</v>
          </cell>
        </row>
        <row r="157">
          <cell r="AY157" t="str">
            <v>.</v>
          </cell>
        </row>
        <row r="158">
          <cell r="AY158" t="str">
            <v>.</v>
          </cell>
        </row>
        <row r="159">
          <cell r="AY159" t="str">
            <v>.</v>
          </cell>
        </row>
        <row r="160">
          <cell r="AY160" t="str">
            <v>.</v>
          </cell>
        </row>
        <row r="161">
          <cell r="AY161" t="str">
            <v>.</v>
          </cell>
        </row>
        <row r="162">
          <cell r="AY162" t="str">
            <v>.</v>
          </cell>
        </row>
        <row r="163">
          <cell r="AY163" t="str">
            <v>.</v>
          </cell>
        </row>
        <row r="164">
          <cell r="AY164" t="str">
            <v>.</v>
          </cell>
        </row>
        <row r="165">
          <cell r="AY165" t="str">
            <v>.</v>
          </cell>
        </row>
        <row r="166">
          <cell r="AY166" t="str">
            <v>.</v>
          </cell>
        </row>
        <row r="167">
          <cell r="AY167" t="str">
            <v>.</v>
          </cell>
        </row>
        <row r="168">
          <cell r="AY168" t="str">
            <v>.</v>
          </cell>
        </row>
        <row r="169">
          <cell r="AY169" t="str">
            <v>.</v>
          </cell>
        </row>
        <row r="170">
          <cell r="AY170" t="str">
            <v>.</v>
          </cell>
        </row>
        <row r="171">
          <cell r="AY171" t="str">
            <v>.</v>
          </cell>
        </row>
        <row r="172">
          <cell r="AY172" t="str">
            <v>.</v>
          </cell>
        </row>
        <row r="173">
          <cell r="AY173" t="str">
            <v>.</v>
          </cell>
        </row>
        <row r="174">
          <cell r="AY174" t="str">
            <v>.</v>
          </cell>
        </row>
        <row r="175">
          <cell r="AY175" t="str">
            <v>.</v>
          </cell>
        </row>
        <row r="176">
          <cell r="AY176" t="str">
            <v>.</v>
          </cell>
        </row>
        <row r="177">
          <cell r="AY177" t="str">
            <v>.</v>
          </cell>
        </row>
        <row r="178">
          <cell r="AY178" t="str">
            <v>.</v>
          </cell>
        </row>
        <row r="179">
          <cell r="AY179" t="str">
            <v>.</v>
          </cell>
        </row>
        <row r="180">
          <cell r="AY180" t="str">
            <v>.</v>
          </cell>
        </row>
        <row r="181">
          <cell r="AY181" t="str">
            <v>.</v>
          </cell>
        </row>
        <row r="182">
          <cell r="AY182" t="str">
            <v>.</v>
          </cell>
        </row>
        <row r="183">
          <cell r="AY183" t="str">
            <v>.</v>
          </cell>
        </row>
        <row r="184">
          <cell r="AY184" t="str">
            <v>.</v>
          </cell>
        </row>
        <row r="185">
          <cell r="AY185" t="str">
            <v>.</v>
          </cell>
        </row>
        <row r="186">
          <cell r="AY186" t="str">
            <v>.</v>
          </cell>
        </row>
        <row r="187">
          <cell r="AY187" t="str">
            <v>.</v>
          </cell>
        </row>
        <row r="188">
          <cell r="AY188" t="str">
            <v>.</v>
          </cell>
        </row>
        <row r="189">
          <cell r="AY189" t="str">
            <v>.</v>
          </cell>
        </row>
        <row r="190">
          <cell r="AY190" t="str">
            <v>.</v>
          </cell>
        </row>
        <row r="191">
          <cell r="AY191" t="str">
            <v>.</v>
          </cell>
        </row>
        <row r="192">
          <cell r="AY192" t="str">
            <v>.</v>
          </cell>
        </row>
        <row r="193">
          <cell r="AY193" t="str">
            <v>.</v>
          </cell>
        </row>
        <row r="194">
          <cell r="AY194" t="str">
            <v>.</v>
          </cell>
        </row>
        <row r="195">
          <cell r="AY195" t="str">
            <v>.</v>
          </cell>
        </row>
        <row r="196">
          <cell r="AY196" t="str">
            <v>.</v>
          </cell>
        </row>
        <row r="197">
          <cell r="AY197" t="str">
            <v>.</v>
          </cell>
        </row>
        <row r="198">
          <cell r="AY198" t="str">
            <v>.</v>
          </cell>
        </row>
        <row r="199">
          <cell r="AY199" t="str">
            <v>.</v>
          </cell>
        </row>
        <row r="200">
          <cell r="AY200" t="str">
            <v>.</v>
          </cell>
        </row>
        <row r="201">
          <cell r="AY201" t="str">
            <v>.</v>
          </cell>
        </row>
        <row r="202">
          <cell r="AY202" t="str">
            <v>.</v>
          </cell>
        </row>
        <row r="203">
          <cell r="AY203" t="str">
            <v>.</v>
          </cell>
        </row>
        <row r="204">
          <cell r="AY204" t="str">
            <v>.</v>
          </cell>
        </row>
        <row r="205">
          <cell r="AY205" t="str">
            <v>.</v>
          </cell>
        </row>
        <row r="206">
          <cell r="AY206" t="str">
            <v>.</v>
          </cell>
        </row>
        <row r="207">
          <cell r="AY207" t="str">
            <v>.</v>
          </cell>
        </row>
        <row r="208">
          <cell r="AY208" t="str">
            <v>.</v>
          </cell>
        </row>
        <row r="209">
          <cell r="AY209" t="str">
            <v>.</v>
          </cell>
        </row>
        <row r="210">
          <cell r="AY210" t="str">
            <v>.</v>
          </cell>
        </row>
        <row r="211">
          <cell r="AY211" t="str">
            <v>.</v>
          </cell>
        </row>
        <row r="212">
          <cell r="AY212" t="str">
            <v>.</v>
          </cell>
        </row>
        <row r="213">
          <cell r="AY213" t="str">
            <v>.</v>
          </cell>
        </row>
        <row r="214">
          <cell r="AY214" t="str">
            <v>.</v>
          </cell>
        </row>
        <row r="215">
          <cell r="AY215" t="str">
            <v>.</v>
          </cell>
        </row>
        <row r="216">
          <cell r="AY216" t="str">
            <v>.</v>
          </cell>
        </row>
        <row r="217">
          <cell r="AY217" t="str">
            <v>.</v>
          </cell>
        </row>
        <row r="218">
          <cell r="AY218" t="str">
            <v>.</v>
          </cell>
        </row>
        <row r="219">
          <cell r="AY219" t="str">
            <v>.</v>
          </cell>
        </row>
        <row r="220">
          <cell r="AY220" t="str">
            <v>.</v>
          </cell>
        </row>
        <row r="221">
          <cell r="AY221" t="str">
            <v>.</v>
          </cell>
        </row>
        <row r="222">
          <cell r="AY222" t="str">
            <v>.</v>
          </cell>
        </row>
        <row r="223">
          <cell r="AY223" t="str">
            <v>.</v>
          </cell>
        </row>
        <row r="224">
          <cell r="AY224" t="str">
            <v>.</v>
          </cell>
        </row>
        <row r="225">
          <cell r="AY225" t="str">
            <v>.</v>
          </cell>
        </row>
        <row r="226">
          <cell r="AY226" t="str">
            <v>.</v>
          </cell>
        </row>
        <row r="227">
          <cell r="AY227" t="str">
            <v>.</v>
          </cell>
        </row>
        <row r="228">
          <cell r="AY228" t="str">
            <v>.</v>
          </cell>
        </row>
        <row r="229">
          <cell r="AY229" t="str">
            <v>.</v>
          </cell>
        </row>
        <row r="230">
          <cell r="AY230" t="str">
            <v>.</v>
          </cell>
        </row>
        <row r="231">
          <cell r="AY231" t="str">
            <v>.</v>
          </cell>
        </row>
        <row r="232">
          <cell r="AY232" t="str">
            <v>.</v>
          </cell>
        </row>
        <row r="233">
          <cell r="AY233" t="str">
            <v>.</v>
          </cell>
        </row>
        <row r="234">
          <cell r="AY234" t="str">
            <v>.</v>
          </cell>
        </row>
        <row r="235">
          <cell r="AY235" t="str">
            <v>.</v>
          </cell>
        </row>
        <row r="236">
          <cell r="AY236" t="str">
            <v>.</v>
          </cell>
        </row>
        <row r="237">
          <cell r="AY237" t="str">
            <v>.</v>
          </cell>
        </row>
        <row r="238">
          <cell r="AY238" t="str">
            <v>.</v>
          </cell>
        </row>
        <row r="239">
          <cell r="AY239" t="str">
            <v>.</v>
          </cell>
        </row>
        <row r="240">
          <cell r="AY240" t="str">
            <v>.</v>
          </cell>
        </row>
        <row r="241">
          <cell r="AY241" t="str">
            <v>.</v>
          </cell>
        </row>
        <row r="242">
          <cell r="AY242" t="str">
            <v>.</v>
          </cell>
        </row>
        <row r="243">
          <cell r="AY243" t="str">
            <v>.</v>
          </cell>
        </row>
        <row r="244">
          <cell r="AY244" t="str">
            <v>.</v>
          </cell>
        </row>
        <row r="245">
          <cell r="AY245" t="str">
            <v>.</v>
          </cell>
        </row>
        <row r="246">
          <cell r="AY246" t="str">
            <v>.</v>
          </cell>
        </row>
        <row r="247">
          <cell r="AY247" t="str">
            <v>.</v>
          </cell>
        </row>
        <row r="248">
          <cell r="AY248" t="str">
            <v>.</v>
          </cell>
        </row>
        <row r="249">
          <cell r="AY249" t="str">
            <v>.</v>
          </cell>
        </row>
        <row r="250">
          <cell r="AY250" t="str">
            <v>.</v>
          </cell>
        </row>
        <row r="251">
          <cell r="AY251" t="str">
            <v>.</v>
          </cell>
        </row>
        <row r="252">
          <cell r="AY252" t="str">
            <v>.</v>
          </cell>
        </row>
        <row r="253">
          <cell r="AY253" t="str">
            <v>.</v>
          </cell>
        </row>
        <row r="254">
          <cell r="AY254" t="str">
            <v>.</v>
          </cell>
        </row>
        <row r="255">
          <cell r="AY255" t="str">
            <v>.</v>
          </cell>
        </row>
        <row r="256">
          <cell r="AY256" t="str">
            <v>.</v>
          </cell>
        </row>
        <row r="257">
          <cell r="AY257" t="str">
            <v>.</v>
          </cell>
        </row>
        <row r="258">
          <cell r="AY258" t="str">
            <v>.</v>
          </cell>
        </row>
        <row r="259">
          <cell r="AY259" t="str">
            <v>.</v>
          </cell>
        </row>
        <row r="260">
          <cell r="AY260" t="str">
            <v>.</v>
          </cell>
        </row>
        <row r="261">
          <cell r="AY261" t="str">
            <v>.</v>
          </cell>
        </row>
        <row r="262">
          <cell r="AY262" t="str">
            <v>.</v>
          </cell>
        </row>
        <row r="263">
          <cell r="AY263" t="str">
            <v>.</v>
          </cell>
        </row>
        <row r="264">
          <cell r="AY264" t="str">
            <v>.</v>
          </cell>
        </row>
        <row r="265">
          <cell r="AY265" t="str">
            <v>.</v>
          </cell>
        </row>
        <row r="266">
          <cell r="AY266" t="str">
            <v>.</v>
          </cell>
        </row>
        <row r="267">
          <cell r="AY267" t="str">
            <v>.</v>
          </cell>
        </row>
        <row r="268">
          <cell r="AY268" t="str">
            <v>.</v>
          </cell>
        </row>
        <row r="269">
          <cell r="AY269" t="str">
            <v>.</v>
          </cell>
        </row>
        <row r="270">
          <cell r="AY270" t="str">
            <v>.</v>
          </cell>
        </row>
        <row r="271">
          <cell r="AY271" t="str">
            <v>.</v>
          </cell>
        </row>
        <row r="272">
          <cell r="AY272" t="str">
            <v>.</v>
          </cell>
        </row>
        <row r="273">
          <cell r="AY273" t="str">
            <v>.</v>
          </cell>
        </row>
        <row r="274">
          <cell r="AY274" t="str">
            <v>.</v>
          </cell>
        </row>
        <row r="275">
          <cell r="AY275" t="str">
            <v>.</v>
          </cell>
        </row>
        <row r="276">
          <cell r="AY276" t="str">
            <v>.</v>
          </cell>
        </row>
        <row r="277">
          <cell r="AY277" t="str">
            <v>.</v>
          </cell>
        </row>
        <row r="278">
          <cell r="AY278" t="str">
            <v>.</v>
          </cell>
        </row>
        <row r="279">
          <cell r="AY279" t="str">
            <v>.</v>
          </cell>
        </row>
        <row r="280">
          <cell r="AY280" t="str">
            <v>.</v>
          </cell>
        </row>
        <row r="281">
          <cell r="AY281" t="str">
            <v>.</v>
          </cell>
        </row>
        <row r="282">
          <cell r="AY282" t="str">
            <v>.</v>
          </cell>
        </row>
        <row r="283">
          <cell r="AY283" t="str">
            <v>.</v>
          </cell>
        </row>
        <row r="284">
          <cell r="AY284" t="str">
            <v>.</v>
          </cell>
        </row>
        <row r="285">
          <cell r="AY285" t="str">
            <v>.</v>
          </cell>
        </row>
        <row r="286">
          <cell r="AY286" t="str">
            <v>.</v>
          </cell>
        </row>
        <row r="287">
          <cell r="AY287" t="str">
            <v>.</v>
          </cell>
        </row>
        <row r="288">
          <cell r="AY288" t="str">
            <v>.</v>
          </cell>
        </row>
        <row r="289">
          <cell r="AY289" t="str">
            <v>.</v>
          </cell>
        </row>
        <row r="290">
          <cell r="AY290" t="str">
            <v>.</v>
          </cell>
        </row>
        <row r="291">
          <cell r="AY291" t="str">
            <v>.</v>
          </cell>
        </row>
        <row r="292">
          <cell r="AY292" t="str">
            <v>.</v>
          </cell>
        </row>
        <row r="293">
          <cell r="AY293" t="str">
            <v>.</v>
          </cell>
        </row>
        <row r="294">
          <cell r="AY294" t="str">
            <v>.</v>
          </cell>
        </row>
        <row r="295">
          <cell r="AY295" t="str">
            <v>.</v>
          </cell>
        </row>
        <row r="296">
          <cell r="AY296" t="str">
            <v>.</v>
          </cell>
        </row>
        <row r="297">
          <cell r="AY297" t="str">
            <v>.</v>
          </cell>
        </row>
        <row r="298">
          <cell r="AY298" t="str">
            <v>.</v>
          </cell>
        </row>
        <row r="299">
          <cell r="AY299" t="str">
            <v>.</v>
          </cell>
        </row>
        <row r="300">
          <cell r="AY300" t="str">
            <v>.</v>
          </cell>
        </row>
        <row r="301">
          <cell r="AY301" t="str">
            <v>.</v>
          </cell>
        </row>
        <row r="302">
          <cell r="AY302" t="str">
            <v>.</v>
          </cell>
        </row>
        <row r="303">
          <cell r="AY303" t="str">
            <v>.</v>
          </cell>
        </row>
        <row r="304">
          <cell r="AY304" t="str">
            <v>.</v>
          </cell>
        </row>
        <row r="305">
          <cell r="AY305" t="str">
            <v>.</v>
          </cell>
        </row>
        <row r="306">
          <cell r="AY306" t="str">
            <v>.</v>
          </cell>
        </row>
        <row r="307">
          <cell r="AY307" t="str">
            <v>.</v>
          </cell>
        </row>
        <row r="308">
          <cell r="AY308" t="str">
            <v>.</v>
          </cell>
        </row>
        <row r="309">
          <cell r="AY309" t="str">
            <v>.</v>
          </cell>
        </row>
        <row r="310">
          <cell r="AY310" t="str">
            <v>.</v>
          </cell>
        </row>
        <row r="311">
          <cell r="AY311" t="str">
            <v>.</v>
          </cell>
        </row>
        <row r="312">
          <cell r="AY312" t="str">
            <v>.</v>
          </cell>
        </row>
        <row r="313">
          <cell r="AY313" t="str">
            <v>.</v>
          </cell>
        </row>
        <row r="314">
          <cell r="AY314" t="str">
            <v>.</v>
          </cell>
        </row>
        <row r="315">
          <cell r="AY315" t="str">
            <v>.</v>
          </cell>
        </row>
        <row r="316">
          <cell r="AY316" t="str">
            <v>.</v>
          </cell>
        </row>
        <row r="317">
          <cell r="AY317" t="str">
            <v>.</v>
          </cell>
        </row>
        <row r="318">
          <cell r="AY318" t="str">
            <v>.</v>
          </cell>
        </row>
        <row r="319">
          <cell r="AY319" t="str">
            <v>.</v>
          </cell>
        </row>
        <row r="320">
          <cell r="AY320" t="str">
            <v>.</v>
          </cell>
        </row>
        <row r="321">
          <cell r="AY321" t="str">
            <v>.</v>
          </cell>
        </row>
        <row r="322">
          <cell r="AY322" t="str">
            <v>.</v>
          </cell>
        </row>
        <row r="323">
          <cell r="AY323" t="str">
            <v>.</v>
          </cell>
        </row>
        <row r="324">
          <cell r="AY324" t="str">
            <v>.</v>
          </cell>
        </row>
        <row r="325">
          <cell r="AY325" t="str">
            <v>.</v>
          </cell>
        </row>
        <row r="326">
          <cell r="AY326" t="str">
            <v>.</v>
          </cell>
        </row>
        <row r="327">
          <cell r="AY327" t="str">
            <v>.</v>
          </cell>
        </row>
        <row r="328">
          <cell r="AY328" t="str">
            <v>.</v>
          </cell>
        </row>
        <row r="329">
          <cell r="AY329" t="str">
            <v>.</v>
          </cell>
        </row>
        <row r="330">
          <cell r="AY330" t="str">
            <v>.</v>
          </cell>
        </row>
        <row r="331">
          <cell r="AY331" t="str">
            <v>.</v>
          </cell>
        </row>
        <row r="332">
          <cell r="AY332" t="str">
            <v>.</v>
          </cell>
        </row>
        <row r="333">
          <cell r="AY333" t="str">
            <v>.</v>
          </cell>
        </row>
        <row r="334">
          <cell r="AY334" t="str">
            <v>.</v>
          </cell>
        </row>
        <row r="335">
          <cell r="AY335" t="str">
            <v>.</v>
          </cell>
        </row>
        <row r="336">
          <cell r="AY336" t="str">
            <v>.</v>
          </cell>
        </row>
        <row r="337">
          <cell r="AY337" t="str">
            <v>.</v>
          </cell>
        </row>
        <row r="338">
          <cell r="AY338" t="str">
            <v>.</v>
          </cell>
        </row>
        <row r="339">
          <cell r="AY339" t="str">
            <v>.</v>
          </cell>
        </row>
        <row r="340">
          <cell r="AY340" t="str">
            <v>.</v>
          </cell>
        </row>
        <row r="341">
          <cell r="AY341" t="str">
            <v>.</v>
          </cell>
        </row>
        <row r="342">
          <cell r="AY342" t="str">
            <v>.</v>
          </cell>
        </row>
        <row r="343">
          <cell r="AY343" t="str">
            <v>.</v>
          </cell>
        </row>
        <row r="344">
          <cell r="AY344" t="str">
            <v>.</v>
          </cell>
        </row>
        <row r="345">
          <cell r="AY345" t="str">
            <v>.</v>
          </cell>
        </row>
        <row r="346">
          <cell r="AY346" t="str">
            <v>.</v>
          </cell>
        </row>
        <row r="347">
          <cell r="AY347" t="str">
            <v>.</v>
          </cell>
        </row>
        <row r="348">
          <cell r="AY348" t="str">
            <v>.</v>
          </cell>
        </row>
        <row r="349">
          <cell r="AY349" t="str">
            <v>.</v>
          </cell>
        </row>
        <row r="350">
          <cell r="AY350" t="str">
            <v>.</v>
          </cell>
        </row>
        <row r="351">
          <cell r="AY351" t="str">
            <v>.</v>
          </cell>
        </row>
        <row r="352">
          <cell r="AY352" t="str">
            <v>.</v>
          </cell>
        </row>
        <row r="353">
          <cell r="AY353" t="str">
            <v>.</v>
          </cell>
        </row>
        <row r="354">
          <cell r="AY354" t="str">
            <v>.</v>
          </cell>
        </row>
        <row r="355">
          <cell r="AY355" t="str">
            <v>.</v>
          </cell>
        </row>
        <row r="356">
          <cell r="AY356" t="str">
            <v>.</v>
          </cell>
        </row>
        <row r="357">
          <cell r="AY357" t="str">
            <v>.</v>
          </cell>
        </row>
        <row r="358">
          <cell r="AY358" t="str">
            <v>.</v>
          </cell>
        </row>
        <row r="359">
          <cell r="AY359" t="str">
            <v>.</v>
          </cell>
        </row>
        <row r="360">
          <cell r="AY360" t="str">
            <v>.</v>
          </cell>
        </row>
        <row r="361">
          <cell r="AY361" t="str">
            <v>.</v>
          </cell>
        </row>
        <row r="362">
          <cell r="AY362" t="str">
            <v>.</v>
          </cell>
        </row>
        <row r="363">
          <cell r="AY363" t="str">
            <v>.</v>
          </cell>
        </row>
        <row r="364">
          <cell r="AY364" t="str">
            <v>.</v>
          </cell>
        </row>
        <row r="365">
          <cell r="AY365" t="str">
            <v>.</v>
          </cell>
        </row>
        <row r="366">
          <cell r="AY366" t="str">
            <v>.</v>
          </cell>
        </row>
        <row r="367">
          <cell r="AY367" t="str">
            <v>.</v>
          </cell>
        </row>
        <row r="368">
          <cell r="AY368" t="str">
            <v>.</v>
          </cell>
        </row>
        <row r="369">
          <cell r="AY369" t="str">
            <v>.</v>
          </cell>
        </row>
        <row r="370">
          <cell r="AY370" t="str">
            <v>.</v>
          </cell>
        </row>
        <row r="371">
          <cell r="AY371" t="str">
            <v>.</v>
          </cell>
        </row>
        <row r="372">
          <cell r="AY372" t="str">
            <v>.</v>
          </cell>
        </row>
        <row r="373">
          <cell r="AY373" t="str">
            <v>.</v>
          </cell>
        </row>
        <row r="374">
          <cell r="AY374" t="str">
            <v>.</v>
          </cell>
        </row>
        <row r="375">
          <cell r="AY375" t="str">
            <v>.</v>
          </cell>
        </row>
        <row r="376">
          <cell r="AY376" t="str">
            <v>.</v>
          </cell>
        </row>
        <row r="377">
          <cell r="AY377" t="str">
            <v>.</v>
          </cell>
        </row>
        <row r="378">
          <cell r="AY378" t="str">
            <v>.</v>
          </cell>
        </row>
        <row r="379">
          <cell r="AY379" t="str">
            <v>.</v>
          </cell>
        </row>
        <row r="380">
          <cell r="AY380" t="str">
            <v>.</v>
          </cell>
        </row>
        <row r="381">
          <cell r="AY381" t="str">
            <v>.</v>
          </cell>
        </row>
        <row r="382">
          <cell r="AY382" t="str">
            <v>.</v>
          </cell>
        </row>
        <row r="383">
          <cell r="AY383" t="str">
            <v>.</v>
          </cell>
        </row>
        <row r="384">
          <cell r="AY384" t="str">
            <v>.</v>
          </cell>
        </row>
        <row r="385">
          <cell r="AY385" t="str">
            <v>.</v>
          </cell>
        </row>
        <row r="386">
          <cell r="AY386" t="str">
            <v>.</v>
          </cell>
        </row>
        <row r="387">
          <cell r="AY387" t="str">
            <v>.</v>
          </cell>
        </row>
        <row r="388">
          <cell r="AY388" t="str">
            <v>.</v>
          </cell>
        </row>
        <row r="389">
          <cell r="AY389" t="str">
            <v>.</v>
          </cell>
        </row>
        <row r="390">
          <cell r="AY390" t="str">
            <v>.</v>
          </cell>
        </row>
        <row r="391">
          <cell r="AY391" t="str">
            <v>.</v>
          </cell>
        </row>
        <row r="392">
          <cell r="AY392" t="str">
            <v>.</v>
          </cell>
        </row>
        <row r="393">
          <cell r="AY393" t="str">
            <v>.</v>
          </cell>
        </row>
        <row r="394">
          <cell r="AY394" t="str">
            <v>.</v>
          </cell>
        </row>
        <row r="395">
          <cell r="AY395" t="str">
            <v>.</v>
          </cell>
        </row>
        <row r="396">
          <cell r="AY396" t="str">
            <v>.</v>
          </cell>
        </row>
        <row r="397">
          <cell r="AY397" t="str">
            <v>.</v>
          </cell>
        </row>
        <row r="398">
          <cell r="AY398" t="str">
            <v>.</v>
          </cell>
        </row>
        <row r="399">
          <cell r="AY399" t="str">
            <v>.</v>
          </cell>
        </row>
        <row r="400">
          <cell r="AY400" t="str">
            <v>.</v>
          </cell>
        </row>
        <row r="401">
          <cell r="AY401" t="str">
            <v>.</v>
          </cell>
        </row>
        <row r="402">
          <cell r="AY402" t="str">
            <v>.</v>
          </cell>
        </row>
        <row r="403">
          <cell r="AY403" t="str">
            <v>.</v>
          </cell>
        </row>
        <row r="404">
          <cell r="AY404" t="str">
            <v>.</v>
          </cell>
        </row>
        <row r="405">
          <cell r="AY405" t="str">
            <v>.</v>
          </cell>
        </row>
        <row r="406">
          <cell r="AY406" t="str">
            <v>.</v>
          </cell>
        </row>
        <row r="407">
          <cell r="AY407" t="str">
            <v>.</v>
          </cell>
        </row>
        <row r="408">
          <cell r="AY408" t="str">
            <v>.</v>
          </cell>
        </row>
        <row r="409">
          <cell r="AY409" t="str">
            <v>.</v>
          </cell>
        </row>
        <row r="410">
          <cell r="AY410" t="str">
            <v>.</v>
          </cell>
        </row>
        <row r="411">
          <cell r="AY411" t="str">
            <v>.</v>
          </cell>
        </row>
        <row r="412">
          <cell r="AY412" t="str">
            <v>.</v>
          </cell>
        </row>
        <row r="413">
          <cell r="AY413" t="str">
            <v>.</v>
          </cell>
        </row>
        <row r="414">
          <cell r="AY414" t="str">
            <v>.</v>
          </cell>
        </row>
        <row r="415">
          <cell r="AY415" t="str">
            <v>.</v>
          </cell>
        </row>
        <row r="416">
          <cell r="AY416" t="str">
            <v>.</v>
          </cell>
        </row>
        <row r="417">
          <cell r="AY417" t="str">
            <v>.</v>
          </cell>
        </row>
        <row r="418">
          <cell r="AY418" t="str">
            <v>.</v>
          </cell>
        </row>
        <row r="419">
          <cell r="AY419" t="str">
            <v>.</v>
          </cell>
        </row>
        <row r="420">
          <cell r="AY420" t="str">
            <v>.</v>
          </cell>
        </row>
        <row r="421">
          <cell r="AY421" t="str">
            <v>.</v>
          </cell>
        </row>
        <row r="422">
          <cell r="AY422" t="str">
            <v>.</v>
          </cell>
        </row>
        <row r="423">
          <cell r="AY423" t="str">
            <v>.</v>
          </cell>
        </row>
        <row r="424">
          <cell r="AY424" t="str">
            <v>.</v>
          </cell>
        </row>
        <row r="425">
          <cell r="AY425" t="str">
            <v>.</v>
          </cell>
        </row>
        <row r="426">
          <cell r="AY426" t="str">
            <v>.</v>
          </cell>
        </row>
        <row r="427">
          <cell r="AY427" t="str">
            <v>.</v>
          </cell>
        </row>
        <row r="428">
          <cell r="AY428" t="str">
            <v>.</v>
          </cell>
        </row>
        <row r="429">
          <cell r="AY429" t="str">
            <v>.</v>
          </cell>
        </row>
        <row r="430">
          <cell r="AY430" t="str">
            <v>.</v>
          </cell>
        </row>
        <row r="431">
          <cell r="AY431" t="str">
            <v>.</v>
          </cell>
        </row>
        <row r="432">
          <cell r="AY432" t="str">
            <v>.</v>
          </cell>
        </row>
        <row r="433">
          <cell r="AY433" t="str">
            <v>.</v>
          </cell>
        </row>
        <row r="434">
          <cell r="AY434" t="str">
            <v>.</v>
          </cell>
        </row>
        <row r="435">
          <cell r="AY435" t="str">
            <v>.</v>
          </cell>
        </row>
        <row r="436">
          <cell r="AY436" t="str">
            <v>.</v>
          </cell>
        </row>
        <row r="437">
          <cell r="AY437" t="str">
            <v>.</v>
          </cell>
        </row>
        <row r="438">
          <cell r="AY438" t="str">
            <v>.</v>
          </cell>
        </row>
        <row r="439">
          <cell r="AY439" t="str">
            <v>.</v>
          </cell>
        </row>
        <row r="440">
          <cell r="AY440" t="str">
            <v>.</v>
          </cell>
        </row>
        <row r="441">
          <cell r="AY441" t="str">
            <v>.</v>
          </cell>
        </row>
        <row r="442">
          <cell r="AY442" t="str">
            <v>.</v>
          </cell>
        </row>
        <row r="443">
          <cell r="AY443" t="str">
            <v>.</v>
          </cell>
        </row>
        <row r="444">
          <cell r="AY444" t="str">
            <v>.</v>
          </cell>
        </row>
        <row r="445">
          <cell r="AY445" t="str">
            <v>.</v>
          </cell>
        </row>
        <row r="446">
          <cell r="AY446" t="str">
            <v>.</v>
          </cell>
        </row>
        <row r="447">
          <cell r="AY447" t="str">
            <v>.</v>
          </cell>
        </row>
        <row r="448">
          <cell r="AY448" t="str">
            <v>.</v>
          </cell>
        </row>
        <row r="449">
          <cell r="AY449" t="str">
            <v>.</v>
          </cell>
        </row>
        <row r="450">
          <cell r="AY450" t="str">
            <v>.</v>
          </cell>
        </row>
        <row r="451">
          <cell r="AY451" t="str">
            <v>.</v>
          </cell>
        </row>
        <row r="452">
          <cell r="AY452" t="str">
            <v>.</v>
          </cell>
        </row>
        <row r="453">
          <cell r="AY453" t="str">
            <v>.</v>
          </cell>
        </row>
        <row r="454">
          <cell r="AY454" t="str">
            <v>.</v>
          </cell>
        </row>
        <row r="455">
          <cell r="AY455" t="str">
            <v>.</v>
          </cell>
        </row>
        <row r="456">
          <cell r="AY456" t="str">
            <v>.</v>
          </cell>
        </row>
        <row r="457">
          <cell r="AY457" t="str">
            <v>.</v>
          </cell>
        </row>
        <row r="458">
          <cell r="AY458" t="str">
            <v>.</v>
          </cell>
        </row>
        <row r="459">
          <cell r="AY459" t="str">
            <v>.</v>
          </cell>
        </row>
        <row r="460">
          <cell r="AY460" t="str">
            <v>.</v>
          </cell>
        </row>
        <row r="461">
          <cell r="AY461" t="str">
            <v>.</v>
          </cell>
        </row>
        <row r="462">
          <cell r="AY462" t="str">
            <v>.</v>
          </cell>
        </row>
        <row r="463">
          <cell r="AY463" t="str">
            <v>.</v>
          </cell>
        </row>
        <row r="464">
          <cell r="AY464" t="str">
            <v>.</v>
          </cell>
        </row>
        <row r="465">
          <cell r="AY465" t="str">
            <v>.</v>
          </cell>
        </row>
        <row r="466">
          <cell r="AY466" t="str">
            <v>.</v>
          </cell>
        </row>
        <row r="467">
          <cell r="AY467" t="str">
            <v>.</v>
          </cell>
        </row>
        <row r="468">
          <cell r="AY468" t="str">
            <v>.</v>
          </cell>
        </row>
        <row r="469">
          <cell r="AY469" t="str">
            <v>.</v>
          </cell>
        </row>
        <row r="470">
          <cell r="AY470" t="str">
            <v>.</v>
          </cell>
        </row>
        <row r="471">
          <cell r="AY471" t="str">
            <v>.</v>
          </cell>
        </row>
        <row r="472">
          <cell r="AY472" t="str">
            <v>.</v>
          </cell>
        </row>
        <row r="473">
          <cell r="AY473" t="str">
            <v>.</v>
          </cell>
        </row>
        <row r="474">
          <cell r="AY474" t="str">
            <v>.</v>
          </cell>
        </row>
        <row r="475">
          <cell r="AY475" t="str">
            <v>.</v>
          </cell>
        </row>
        <row r="476">
          <cell r="AY476" t="str">
            <v>.</v>
          </cell>
        </row>
        <row r="477">
          <cell r="AY477" t="str">
            <v>.</v>
          </cell>
        </row>
        <row r="478">
          <cell r="AY478" t="str">
            <v>.</v>
          </cell>
        </row>
        <row r="479">
          <cell r="AY479" t="str">
            <v>.</v>
          </cell>
        </row>
        <row r="480">
          <cell r="AY480" t="str">
            <v>.</v>
          </cell>
        </row>
        <row r="481">
          <cell r="AY481" t="str">
            <v>.</v>
          </cell>
        </row>
        <row r="482">
          <cell r="AY482" t="str">
            <v>.</v>
          </cell>
        </row>
        <row r="483">
          <cell r="AY483" t="str">
            <v>.</v>
          </cell>
        </row>
        <row r="484">
          <cell r="AY484" t="str">
            <v>.</v>
          </cell>
        </row>
        <row r="485">
          <cell r="AY485" t="str">
            <v>.</v>
          </cell>
        </row>
        <row r="486">
          <cell r="AY486" t="str">
            <v>.</v>
          </cell>
        </row>
        <row r="487">
          <cell r="AY487" t="str">
            <v>.</v>
          </cell>
        </row>
        <row r="488">
          <cell r="AY488" t="str">
            <v>.</v>
          </cell>
        </row>
        <row r="489">
          <cell r="AY489" t="str">
            <v>.</v>
          </cell>
        </row>
        <row r="490">
          <cell r="AY490" t="str">
            <v>.</v>
          </cell>
        </row>
        <row r="491">
          <cell r="AY491" t="str">
            <v>.</v>
          </cell>
        </row>
        <row r="492">
          <cell r="AY492" t="str">
            <v>.</v>
          </cell>
        </row>
        <row r="493">
          <cell r="AY493" t="str">
            <v>.</v>
          </cell>
        </row>
        <row r="494">
          <cell r="AY494" t="str">
            <v>.</v>
          </cell>
        </row>
        <row r="495">
          <cell r="AY495" t="str">
            <v>.</v>
          </cell>
        </row>
        <row r="496">
          <cell r="AY496" t="str">
            <v>.</v>
          </cell>
        </row>
        <row r="497">
          <cell r="AY497" t="str">
            <v>.</v>
          </cell>
        </row>
        <row r="498">
          <cell r="AY498" t="str">
            <v>.</v>
          </cell>
        </row>
        <row r="499">
          <cell r="AY499" t="str">
            <v>.</v>
          </cell>
        </row>
        <row r="500">
          <cell r="AY500" t="str">
            <v>.</v>
          </cell>
        </row>
        <row r="501">
          <cell r="AY501" t="str">
            <v>.</v>
          </cell>
        </row>
        <row r="502">
          <cell r="AY502" t="str">
            <v>.</v>
          </cell>
        </row>
        <row r="503">
          <cell r="AY503" t="str">
            <v>.</v>
          </cell>
        </row>
        <row r="504">
          <cell r="AY504" t="str">
            <v>.</v>
          </cell>
        </row>
        <row r="505">
          <cell r="AY505" t="str">
            <v>.</v>
          </cell>
        </row>
        <row r="506">
          <cell r="AY506" t="str">
            <v>.</v>
          </cell>
        </row>
        <row r="507">
          <cell r="AY507" t="str">
            <v>.</v>
          </cell>
        </row>
        <row r="508">
          <cell r="AY508" t="str">
            <v>.</v>
          </cell>
        </row>
        <row r="509">
          <cell r="AY509" t="str">
            <v>.</v>
          </cell>
        </row>
        <row r="510">
          <cell r="AY510" t="str">
            <v>.</v>
          </cell>
        </row>
        <row r="511">
          <cell r="AY511" t="str">
            <v>.</v>
          </cell>
        </row>
        <row r="512">
          <cell r="AY512" t="str">
            <v>.</v>
          </cell>
        </row>
        <row r="513">
          <cell r="AY513" t="str">
            <v>.</v>
          </cell>
        </row>
        <row r="514">
          <cell r="AY514" t="str">
            <v>.</v>
          </cell>
        </row>
        <row r="515">
          <cell r="AY515" t="str">
            <v>.</v>
          </cell>
        </row>
        <row r="516">
          <cell r="AY516" t="str">
            <v>.</v>
          </cell>
        </row>
        <row r="517">
          <cell r="AY517" t="str">
            <v>.</v>
          </cell>
        </row>
        <row r="518">
          <cell r="AY518" t="str">
            <v>.</v>
          </cell>
        </row>
        <row r="519">
          <cell r="AY519" t="str">
            <v>.</v>
          </cell>
        </row>
        <row r="520">
          <cell r="AY520" t="str">
            <v>.</v>
          </cell>
        </row>
        <row r="521">
          <cell r="AY521" t="str">
            <v>.</v>
          </cell>
        </row>
        <row r="522">
          <cell r="AY522" t="str">
            <v>.</v>
          </cell>
        </row>
        <row r="523">
          <cell r="AY523" t="str">
            <v>.</v>
          </cell>
        </row>
        <row r="524">
          <cell r="AY524" t="str">
            <v>.</v>
          </cell>
        </row>
        <row r="525">
          <cell r="AY525" t="str">
            <v>.</v>
          </cell>
        </row>
        <row r="526">
          <cell r="AY526" t="str">
            <v>.</v>
          </cell>
        </row>
        <row r="527">
          <cell r="AY527" t="str">
            <v>.</v>
          </cell>
        </row>
        <row r="528">
          <cell r="AY528" t="str">
            <v>.</v>
          </cell>
        </row>
        <row r="529">
          <cell r="AY529" t="str">
            <v>.</v>
          </cell>
        </row>
        <row r="530">
          <cell r="AY530" t="str">
            <v>.</v>
          </cell>
        </row>
        <row r="531">
          <cell r="AY531" t="str">
            <v>.</v>
          </cell>
        </row>
        <row r="532">
          <cell r="AY532" t="str">
            <v>.</v>
          </cell>
        </row>
        <row r="533">
          <cell r="AY533" t="str">
            <v>.</v>
          </cell>
        </row>
        <row r="534">
          <cell r="AY534" t="str">
            <v>.</v>
          </cell>
        </row>
        <row r="535">
          <cell r="AY535" t="str">
            <v>.</v>
          </cell>
        </row>
        <row r="536">
          <cell r="AY536" t="str">
            <v>.</v>
          </cell>
        </row>
        <row r="537">
          <cell r="AY537" t="str">
            <v>.</v>
          </cell>
        </row>
        <row r="538">
          <cell r="AY538" t="str">
            <v>.</v>
          </cell>
        </row>
        <row r="539">
          <cell r="AY539" t="str">
            <v>.</v>
          </cell>
        </row>
        <row r="540">
          <cell r="AY540" t="str">
            <v>.</v>
          </cell>
        </row>
        <row r="541">
          <cell r="AY541" t="str">
            <v>.</v>
          </cell>
        </row>
        <row r="542">
          <cell r="AY542" t="str">
            <v>.</v>
          </cell>
        </row>
        <row r="543">
          <cell r="AY543" t="str">
            <v>.</v>
          </cell>
        </row>
        <row r="544">
          <cell r="AY544" t="str">
            <v>.</v>
          </cell>
        </row>
        <row r="545">
          <cell r="AY545" t="str">
            <v>.</v>
          </cell>
        </row>
        <row r="546">
          <cell r="AY546" t="str">
            <v>.</v>
          </cell>
        </row>
        <row r="547">
          <cell r="AY547" t="str">
            <v>.</v>
          </cell>
        </row>
        <row r="548">
          <cell r="AY548" t="str">
            <v>.</v>
          </cell>
        </row>
        <row r="549">
          <cell r="AY549" t="str">
            <v>.</v>
          </cell>
        </row>
        <row r="550">
          <cell r="AY550" t="str">
            <v>.</v>
          </cell>
        </row>
        <row r="551">
          <cell r="AY551" t="str">
            <v>.</v>
          </cell>
        </row>
        <row r="552">
          <cell r="AY552" t="str">
            <v>.</v>
          </cell>
        </row>
        <row r="553">
          <cell r="AY553" t="str">
            <v>.</v>
          </cell>
        </row>
        <row r="554">
          <cell r="AY554" t="str">
            <v>.</v>
          </cell>
        </row>
        <row r="555">
          <cell r="AY555" t="str">
            <v>.</v>
          </cell>
        </row>
        <row r="556">
          <cell r="AY556" t="str">
            <v>.</v>
          </cell>
        </row>
        <row r="557">
          <cell r="AY557" t="str">
            <v>.</v>
          </cell>
        </row>
        <row r="558">
          <cell r="AY558" t="str">
            <v>.</v>
          </cell>
        </row>
        <row r="559">
          <cell r="AY559" t="str">
            <v>.</v>
          </cell>
        </row>
        <row r="560">
          <cell r="AY560" t="str">
            <v>.</v>
          </cell>
        </row>
        <row r="561">
          <cell r="AY561" t="str">
            <v>.</v>
          </cell>
        </row>
        <row r="562">
          <cell r="AY562" t="str">
            <v>.</v>
          </cell>
        </row>
        <row r="563">
          <cell r="AY563" t="str">
            <v>.</v>
          </cell>
        </row>
        <row r="564">
          <cell r="AY564" t="str">
            <v>.</v>
          </cell>
        </row>
        <row r="565">
          <cell r="AY565" t="str">
            <v>.</v>
          </cell>
        </row>
        <row r="566">
          <cell r="AY566" t="str">
            <v>.</v>
          </cell>
        </row>
        <row r="567">
          <cell r="AY567" t="str">
            <v>.</v>
          </cell>
        </row>
        <row r="568">
          <cell r="AY568" t="str">
            <v>.</v>
          </cell>
        </row>
        <row r="569">
          <cell r="AY569" t="str">
            <v>.</v>
          </cell>
        </row>
        <row r="570">
          <cell r="AY570" t="str">
            <v>.</v>
          </cell>
        </row>
        <row r="571">
          <cell r="AY571" t="str">
            <v>.</v>
          </cell>
        </row>
        <row r="572">
          <cell r="AY572" t="str">
            <v>.</v>
          </cell>
        </row>
        <row r="573">
          <cell r="AY573" t="str">
            <v>.</v>
          </cell>
        </row>
        <row r="574">
          <cell r="AY574" t="str">
            <v>.</v>
          </cell>
        </row>
        <row r="575">
          <cell r="AY575" t="str">
            <v>.</v>
          </cell>
        </row>
        <row r="576">
          <cell r="AY576" t="str">
            <v>.</v>
          </cell>
        </row>
        <row r="577">
          <cell r="AY577" t="str">
            <v>.</v>
          </cell>
        </row>
        <row r="578">
          <cell r="AY578" t="str">
            <v>.</v>
          </cell>
        </row>
        <row r="579">
          <cell r="AY579" t="str">
            <v>.</v>
          </cell>
        </row>
        <row r="580">
          <cell r="AY580" t="str">
            <v>.</v>
          </cell>
        </row>
        <row r="581">
          <cell r="AY581" t="str">
            <v>.</v>
          </cell>
        </row>
        <row r="582">
          <cell r="AY582" t="str">
            <v>.</v>
          </cell>
        </row>
        <row r="583">
          <cell r="AY583" t="str">
            <v>.</v>
          </cell>
        </row>
        <row r="584">
          <cell r="AY584" t="str">
            <v>.</v>
          </cell>
        </row>
        <row r="585">
          <cell r="AY585" t="str">
            <v>.</v>
          </cell>
        </row>
        <row r="586">
          <cell r="AY586" t="str">
            <v>.</v>
          </cell>
        </row>
        <row r="587">
          <cell r="AY587" t="str">
            <v>.</v>
          </cell>
        </row>
        <row r="588">
          <cell r="AY588" t="str">
            <v>.</v>
          </cell>
        </row>
        <row r="589">
          <cell r="AY589" t="str">
            <v>.</v>
          </cell>
        </row>
        <row r="590">
          <cell r="AY590" t="str">
            <v>.</v>
          </cell>
        </row>
        <row r="591">
          <cell r="AY591" t="str">
            <v>.</v>
          </cell>
        </row>
        <row r="592">
          <cell r="AY592" t="str">
            <v>.</v>
          </cell>
        </row>
        <row r="593">
          <cell r="AY593" t="str">
            <v>.</v>
          </cell>
        </row>
        <row r="594">
          <cell r="AY594" t="str">
            <v>.</v>
          </cell>
        </row>
        <row r="595">
          <cell r="AY595" t="str">
            <v>.</v>
          </cell>
        </row>
        <row r="596">
          <cell r="AY596" t="str">
            <v>.</v>
          </cell>
        </row>
        <row r="597">
          <cell r="AY597" t="str">
            <v>.</v>
          </cell>
        </row>
        <row r="598">
          <cell r="AY598" t="str">
            <v>.</v>
          </cell>
        </row>
        <row r="599">
          <cell r="AY599" t="str">
            <v>.</v>
          </cell>
        </row>
        <row r="600">
          <cell r="AY600" t="str">
            <v>.</v>
          </cell>
        </row>
        <row r="601">
          <cell r="AY601" t="str">
            <v>.</v>
          </cell>
        </row>
        <row r="602">
          <cell r="AY602" t="str">
            <v>.</v>
          </cell>
        </row>
        <row r="603">
          <cell r="AY603" t="str">
            <v>.</v>
          </cell>
        </row>
        <row r="604">
          <cell r="AY604" t="str">
            <v>.</v>
          </cell>
        </row>
        <row r="605">
          <cell r="AY605" t="str">
            <v>.</v>
          </cell>
        </row>
        <row r="606">
          <cell r="AY606" t="str">
            <v>.</v>
          </cell>
        </row>
        <row r="607">
          <cell r="AY607" t="str">
            <v>.</v>
          </cell>
        </row>
        <row r="608">
          <cell r="AY608" t="str">
            <v>.</v>
          </cell>
        </row>
        <row r="609">
          <cell r="AY609" t="str">
            <v>.</v>
          </cell>
        </row>
        <row r="610">
          <cell r="AY610" t="str">
            <v>.</v>
          </cell>
        </row>
        <row r="611">
          <cell r="AY611" t="str">
            <v>.</v>
          </cell>
        </row>
        <row r="612">
          <cell r="AY612" t="str">
            <v>.</v>
          </cell>
        </row>
        <row r="613">
          <cell r="AY613" t="str">
            <v>.</v>
          </cell>
        </row>
        <row r="614">
          <cell r="AY614" t="str">
            <v>.</v>
          </cell>
        </row>
        <row r="615">
          <cell r="AY615" t="str">
            <v>.</v>
          </cell>
        </row>
        <row r="616">
          <cell r="AY616" t="str">
            <v>.</v>
          </cell>
        </row>
        <row r="617">
          <cell r="AY617" t="str">
            <v>.</v>
          </cell>
        </row>
        <row r="618">
          <cell r="AY618" t="str">
            <v>.</v>
          </cell>
        </row>
        <row r="619">
          <cell r="AY619" t="str">
            <v>.</v>
          </cell>
        </row>
        <row r="620">
          <cell r="AY620" t="str">
            <v>.</v>
          </cell>
        </row>
        <row r="621">
          <cell r="AY621" t="str">
            <v>.</v>
          </cell>
        </row>
        <row r="622">
          <cell r="AY622" t="str">
            <v>.</v>
          </cell>
        </row>
        <row r="623">
          <cell r="AY623" t="str">
            <v>.</v>
          </cell>
        </row>
        <row r="624">
          <cell r="AY624" t="str">
            <v>.</v>
          </cell>
        </row>
        <row r="625">
          <cell r="AY625" t="str">
            <v>.</v>
          </cell>
        </row>
        <row r="626">
          <cell r="AY626" t="str">
            <v>.</v>
          </cell>
        </row>
        <row r="627">
          <cell r="AY627" t="str">
            <v>.</v>
          </cell>
        </row>
        <row r="628">
          <cell r="AY628" t="str">
            <v>.</v>
          </cell>
        </row>
        <row r="629">
          <cell r="AY629" t="str">
            <v>.</v>
          </cell>
        </row>
        <row r="630">
          <cell r="AY630" t="str">
            <v>.</v>
          </cell>
        </row>
        <row r="631">
          <cell r="AY631" t="str">
            <v>.</v>
          </cell>
        </row>
        <row r="632">
          <cell r="AY632" t="str">
            <v>.</v>
          </cell>
        </row>
        <row r="633">
          <cell r="AY633" t="str">
            <v>.</v>
          </cell>
        </row>
        <row r="634">
          <cell r="AY634" t="str">
            <v>.</v>
          </cell>
        </row>
        <row r="635">
          <cell r="AY635" t="str">
            <v>.</v>
          </cell>
        </row>
        <row r="636">
          <cell r="AY636" t="str">
            <v>.</v>
          </cell>
        </row>
        <row r="637">
          <cell r="AY637" t="str">
            <v>.</v>
          </cell>
        </row>
        <row r="638">
          <cell r="AY638" t="str">
            <v>.</v>
          </cell>
        </row>
        <row r="639">
          <cell r="AY639" t="str">
            <v>.</v>
          </cell>
        </row>
        <row r="640">
          <cell r="AY640" t="str">
            <v>.</v>
          </cell>
        </row>
        <row r="641">
          <cell r="AY641" t="str">
            <v>.</v>
          </cell>
        </row>
        <row r="642">
          <cell r="AY642" t="str">
            <v>.</v>
          </cell>
        </row>
        <row r="643">
          <cell r="AY643" t="str">
            <v>.</v>
          </cell>
        </row>
        <row r="644">
          <cell r="AY644" t="str">
            <v>.</v>
          </cell>
        </row>
        <row r="645">
          <cell r="AY645" t="str">
            <v>.</v>
          </cell>
        </row>
        <row r="646">
          <cell r="AY646" t="str">
            <v>.</v>
          </cell>
        </row>
        <row r="647">
          <cell r="AY647" t="str">
            <v>.</v>
          </cell>
        </row>
        <row r="648">
          <cell r="AY648" t="str">
            <v>.</v>
          </cell>
        </row>
        <row r="649">
          <cell r="AY649" t="str">
            <v>.</v>
          </cell>
        </row>
        <row r="650">
          <cell r="AY650" t="str">
            <v>.</v>
          </cell>
        </row>
        <row r="651">
          <cell r="AY651" t="str">
            <v>.</v>
          </cell>
        </row>
        <row r="652">
          <cell r="AY652" t="str">
            <v>.</v>
          </cell>
        </row>
        <row r="653">
          <cell r="AY653" t="str">
            <v>.</v>
          </cell>
        </row>
        <row r="654">
          <cell r="AY654" t="str">
            <v>.</v>
          </cell>
        </row>
        <row r="655">
          <cell r="AY655" t="str">
            <v>.</v>
          </cell>
        </row>
        <row r="656">
          <cell r="AY656" t="str">
            <v>.</v>
          </cell>
        </row>
        <row r="657">
          <cell r="AY657" t="str">
            <v>.</v>
          </cell>
        </row>
        <row r="658">
          <cell r="AY658" t="str">
            <v>.</v>
          </cell>
        </row>
        <row r="659">
          <cell r="AY659" t="str">
            <v>.</v>
          </cell>
        </row>
        <row r="660">
          <cell r="AY660" t="str">
            <v>.</v>
          </cell>
        </row>
        <row r="661">
          <cell r="AY661" t="str">
            <v>.</v>
          </cell>
        </row>
        <row r="662">
          <cell r="AY662" t="str">
            <v>.</v>
          </cell>
        </row>
        <row r="663">
          <cell r="AY663" t="str">
            <v>.</v>
          </cell>
        </row>
        <row r="664">
          <cell r="AY664" t="str">
            <v>.</v>
          </cell>
        </row>
        <row r="665">
          <cell r="AY665" t="str">
            <v>.</v>
          </cell>
        </row>
        <row r="666">
          <cell r="AY666" t="str">
            <v>.</v>
          </cell>
        </row>
        <row r="667">
          <cell r="AY667" t="str">
            <v>.</v>
          </cell>
        </row>
        <row r="668">
          <cell r="AY668" t="str">
            <v>.</v>
          </cell>
        </row>
        <row r="669">
          <cell r="AY669" t="str">
            <v>.</v>
          </cell>
        </row>
        <row r="670">
          <cell r="AY670" t="str">
            <v>.</v>
          </cell>
        </row>
        <row r="671">
          <cell r="AY671" t="str">
            <v>.</v>
          </cell>
        </row>
        <row r="672">
          <cell r="AY672" t="str">
            <v>.</v>
          </cell>
        </row>
        <row r="673">
          <cell r="AY673" t="str">
            <v>.</v>
          </cell>
        </row>
        <row r="674">
          <cell r="AY674" t="str">
            <v>.</v>
          </cell>
        </row>
        <row r="675">
          <cell r="AY675" t="str">
            <v>.</v>
          </cell>
        </row>
        <row r="676">
          <cell r="AY676" t="str">
            <v>.</v>
          </cell>
        </row>
        <row r="677">
          <cell r="AY677" t="str">
            <v>.</v>
          </cell>
        </row>
        <row r="678">
          <cell r="AY678" t="str">
            <v>.</v>
          </cell>
        </row>
        <row r="679">
          <cell r="AY679" t="str">
            <v>.</v>
          </cell>
        </row>
        <row r="680">
          <cell r="AY680" t="str">
            <v>.</v>
          </cell>
        </row>
        <row r="681">
          <cell r="AY681" t="str">
            <v>.</v>
          </cell>
        </row>
        <row r="682">
          <cell r="AY682" t="str">
            <v>.</v>
          </cell>
        </row>
        <row r="683">
          <cell r="AY683" t="str">
            <v>.</v>
          </cell>
        </row>
        <row r="684">
          <cell r="AY684" t="str">
            <v>.</v>
          </cell>
        </row>
        <row r="685">
          <cell r="AY685" t="str">
            <v>.</v>
          </cell>
        </row>
        <row r="686">
          <cell r="AY686" t="str">
            <v>.</v>
          </cell>
        </row>
        <row r="687">
          <cell r="AY687" t="str">
            <v>.</v>
          </cell>
        </row>
        <row r="688">
          <cell r="AY688" t="str">
            <v>.</v>
          </cell>
        </row>
        <row r="689">
          <cell r="AY689" t="str">
            <v>.</v>
          </cell>
        </row>
        <row r="690">
          <cell r="AY690" t="str">
            <v>.</v>
          </cell>
        </row>
        <row r="691">
          <cell r="AY691" t="str">
            <v>.</v>
          </cell>
        </row>
        <row r="692">
          <cell r="AY692" t="str">
            <v>.</v>
          </cell>
        </row>
        <row r="693">
          <cell r="AY693" t="str">
            <v>.</v>
          </cell>
        </row>
        <row r="694">
          <cell r="AY694" t="str">
            <v>.</v>
          </cell>
        </row>
        <row r="695">
          <cell r="AY695" t="str">
            <v>.</v>
          </cell>
        </row>
        <row r="696">
          <cell r="AY696" t="str">
            <v>.</v>
          </cell>
        </row>
        <row r="697">
          <cell r="AY697" t="str">
            <v>.</v>
          </cell>
        </row>
        <row r="698">
          <cell r="AY698" t="str">
            <v>.</v>
          </cell>
        </row>
        <row r="699">
          <cell r="AY699" t="str">
            <v>.</v>
          </cell>
        </row>
        <row r="700">
          <cell r="AY700" t="str">
            <v>.</v>
          </cell>
        </row>
        <row r="701">
          <cell r="AY701" t="str">
            <v>.</v>
          </cell>
        </row>
        <row r="702">
          <cell r="AY702" t="str">
            <v>.</v>
          </cell>
        </row>
        <row r="703">
          <cell r="AY703" t="str">
            <v>.</v>
          </cell>
        </row>
        <row r="704">
          <cell r="AY704" t="str">
            <v>.</v>
          </cell>
        </row>
        <row r="705">
          <cell r="AY705" t="str">
            <v>.</v>
          </cell>
        </row>
        <row r="706">
          <cell r="AY706" t="str">
            <v>.</v>
          </cell>
        </row>
        <row r="707">
          <cell r="AY707" t="str">
            <v>.</v>
          </cell>
        </row>
        <row r="708">
          <cell r="AY708" t="str">
            <v>.</v>
          </cell>
        </row>
        <row r="709">
          <cell r="AY709" t="str">
            <v>.</v>
          </cell>
        </row>
        <row r="710">
          <cell r="AY710" t="str">
            <v>.</v>
          </cell>
        </row>
        <row r="711">
          <cell r="AY711" t="str">
            <v>.</v>
          </cell>
        </row>
        <row r="712">
          <cell r="AY712" t="str">
            <v>.</v>
          </cell>
        </row>
        <row r="713">
          <cell r="AY713" t="str">
            <v>.</v>
          </cell>
        </row>
        <row r="714">
          <cell r="AY714" t="str">
            <v>.</v>
          </cell>
        </row>
        <row r="715">
          <cell r="AY715" t="str">
            <v>.</v>
          </cell>
        </row>
        <row r="716">
          <cell r="AY716" t="str">
            <v>.</v>
          </cell>
        </row>
        <row r="717">
          <cell r="AY717" t="str">
            <v>.</v>
          </cell>
        </row>
        <row r="718">
          <cell r="AY718" t="str">
            <v>.</v>
          </cell>
        </row>
        <row r="719">
          <cell r="AY719" t="str">
            <v>.</v>
          </cell>
        </row>
        <row r="720">
          <cell r="AY720" t="str">
            <v>.</v>
          </cell>
        </row>
        <row r="721">
          <cell r="AY721" t="str">
            <v>.</v>
          </cell>
        </row>
        <row r="722">
          <cell r="AY722" t="str">
            <v>.</v>
          </cell>
        </row>
        <row r="723">
          <cell r="AY723" t="str">
            <v>.</v>
          </cell>
        </row>
        <row r="724">
          <cell r="AY724" t="str">
            <v>.</v>
          </cell>
        </row>
        <row r="725">
          <cell r="AY725" t="str">
            <v>.</v>
          </cell>
        </row>
        <row r="726">
          <cell r="AY726" t="str">
            <v>.</v>
          </cell>
        </row>
        <row r="727">
          <cell r="AY727" t="str">
            <v>.</v>
          </cell>
        </row>
        <row r="728">
          <cell r="AY728" t="str">
            <v>.</v>
          </cell>
        </row>
        <row r="729">
          <cell r="AY729" t="str">
            <v>.</v>
          </cell>
        </row>
        <row r="730">
          <cell r="AY730" t="str">
            <v>.</v>
          </cell>
        </row>
        <row r="731">
          <cell r="AY731" t="str">
            <v>.</v>
          </cell>
        </row>
        <row r="732">
          <cell r="AY732" t="str">
            <v>.</v>
          </cell>
        </row>
        <row r="733">
          <cell r="AY733" t="str">
            <v>.</v>
          </cell>
        </row>
        <row r="734">
          <cell r="AY734" t="str">
            <v>.</v>
          </cell>
        </row>
        <row r="735">
          <cell r="AY735" t="str">
            <v>.</v>
          </cell>
        </row>
        <row r="736">
          <cell r="AY736" t="str">
            <v>.</v>
          </cell>
        </row>
        <row r="737">
          <cell r="AY737" t="str">
            <v>.</v>
          </cell>
        </row>
        <row r="738">
          <cell r="AY738" t="str">
            <v>.</v>
          </cell>
        </row>
        <row r="739">
          <cell r="AY739" t="str">
            <v>.</v>
          </cell>
        </row>
        <row r="740">
          <cell r="AY740" t="str">
            <v>.</v>
          </cell>
        </row>
        <row r="741">
          <cell r="AY741" t="str">
            <v>.</v>
          </cell>
        </row>
        <row r="742">
          <cell r="AY742" t="str">
            <v>.</v>
          </cell>
        </row>
        <row r="743">
          <cell r="AY743" t="str">
            <v>.</v>
          </cell>
        </row>
        <row r="744">
          <cell r="AY744" t="str">
            <v>.</v>
          </cell>
        </row>
        <row r="745">
          <cell r="AY745" t="str">
            <v>.</v>
          </cell>
        </row>
        <row r="746">
          <cell r="AY746" t="str">
            <v>.</v>
          </cell>
        </row>
        <row r="747">
          <cell r="AY747" t="str">
            <v>.</v>
          </cell>
        </row>
        <row r="748">
          <cell r="AY748" t="str">
            <v>.</v>
          </cell>
        </row>
        <row r="749">
          <cell r="AY749" t="str">
            <v>.</v>
          </cell>
        </row>
        <row r="750">
          <cell r="AY750" t="str">
            <v>.</v>
          </cell>
        </row>
        <row r="751">
          <cell r="AY751" t="str">
            <v>.</v>
          </cell>
        </row>
        <row r="752">
          <cell r="AY752" t="str">
            <v>.</v>
          </cell>
        </row>
        <row r="753">
          <cell r="AY753" t="str">
            <v>.</v>
          </cell>
        </row>
        <row r="754">
          <cell r="AY754" t="str">
            <v>.</v>
          </cell>
        </row>
        <row r="755">
          <cell r="AY755" t="str">
            <v>.</v>
          </cell>
        </row>
        <row r="756">
          <cell r="AY756" t="str">
            <v>.</v>
          </cell>
        </row>
        <row r="757">
          <cell r="AY757" t="str">
            <v>.</v>
          </cell>
        </row>
        <row r="758">
          <cell r="AY758" t="str">
            <v>.</v>
          </cell>
        </row>
        <row r="759">
          <cell r="AY759" t="str">
            <v>.</v>
          </cell>
        </row>
        <row r="760">
          <cell r="AY760" t="str">
            <v>.</v>
          </cell>
        </row>
        <row r="761">
          <cell r="AY761" t="str">
            <v>.</v>
          </cell>
        </row>
        <row r="762">
          <cell r="AY762" t="str">
            <v>.</v>
          </cell>
        </row>
        <row r="763">
          <cell r="AY763" t="str">
            <v>.</v>
          </cell>
        </row>
        <row r="764">
          <cell r="AY764" t="str">
            <v>.</v>
          </cell>
        </row>
        <row r="765">
          <cell r="AY765" t="str">
            <v>.</v>
          </cell>
        </row>
        <row r="766">
          <cell r="AY766" t="str">
            <v>.</v>
          </cell>
        </row>
        <row r="767">
          <cell r="AY767" t="str">
            <v>.</v>
          </cell>
        </row>
        <row r="768">
          <cell r="AY768" t="str">
            <v>.</v>
          </cell>
        </row>
        <row r="769">
          <cell r="AY769" t="str">
            <v>.</v>
          </cell>
        </row>
        <row r="770">
          <cell r="AY770" t="str">
            <v>.</v>
          </cell>
        </row>
        <row r="771">
          <cell r="AY771" t="str">
            <v>.</v>
          </cell>
        </row>
        <row r="772">
          <cell r="AY772" t="str">
            <v>.</v>
          </cell>
        </row>
        <row r="773">
          <cell r="AY773" t="str">
            <v>.</v>
          </cell>
        </row>
        <row r="774">
          <cell r="AY774" t="str">
            <v>.</v>
          </cell>
        </row>
        <row r="775">
          <cell r="AY775" t="str">
            <v>.</v>
          </cell>
        </row>
        <row r="776">
          <cell r="AY776" t="str">
            <v>.</v>
          </cell>
        </row>
        <row r="777">
          <cell r="AY777" t="str">
            <v>.</v>
          </cell>
        </row>
        <row r="778">
          <cell r="AY778" t="str">
            <v>.</v>
          </cell>
        </row>
        <row r="779">
          <cell r="AY779" t="str">
            <v>.</v>
          </cell>
        </row>
        <row r="780">
          <cell r="AY780" t="str">
            <v>.</v>
          </cell>
        </row>
        <row r="781">
          <cell r="AY781" t="str">
            <v>.</v>
          </cell>
        </row>
        <row r="782">
          <cell r="AY782" t="str">
            <v>.</v>
          </cell>
        </row>
        <row r="783">
          <cell r="AY783" t="str">
            <v>.</v>
          </cell>
        </row>
        <row r="784">
          <cell r="AY784" t="str">
            <v>.</v>
          </cell>
        </row>
        <row r="785">
          <cell r="AY785" t="str">
            <v>.</v>
          </cell>
        </row>
        <row r="786">
          <cell r="AY786" t="str">
            <v>.</v>
          </cell>
        </row>
        <row r="787">
          <cell r="AY787" t="str">
            <v>.</v>
          </cell>
        </row>
        <row r="788">
          <cell r="AY788" t="str">
            <v>.</v>
          </cell>
        </row>
        <row r="789">
          <cell r="AY789" t="str">
            <v>.</v>
          </cell>
        </row>
        <row r="790">
          <cell r="AY790" t="str">
            <v>.</v>
          </cell>
        </row>
        <row r="791">
          <cell r="AY791" t="str">
            <v>.</v>
          </cell>
        </row>
        <row r="792">
          <cell r="AY792" t="str">
            <v>.</v>
          </cell>
        </row>
        <row r="793">
          <cell r="AY793" t="str">
            <v>.</v>
          </cell>
        </row>
        <row r="794">
          <cell r="AY794" t="str">
            <v>.</v>
          </cell>
        </row>
        <row r="795">
          <cell r="AY795" t="str">
            <v>.</v>
          </cell>
        </row>
        <row r="796">
          <cell r="AY796" t="str">
            <v>.</v>
          </cell>
        </row>
        <row r="797">
          <cell r="AY797" t="str">
            <v>.</v>
          </cell>
        </row>
        <row r="798">
          <cell r="AY798" t="str">
            <v>.</v>
          </cell>
        </row>
        <row r="799">
          <cell r="AY799" t="str">
            <v>.</v>
          </cell>
        </row>
        <row r="800">
          <cell r="AY800" t="str">
            <v>.</v>
          </cell>
        </row>
        <row r="801">
          <cell r="AY801" t="str">
            <v>.</v>
          </cell>
        </row>
        <row r="802">
          <cell r="AY802" t="str">
            <v>.</v>
          </cell>
        </row>
        <row r="803">
          <cell r="AY803" t="str">
            <v>.</v>
          </cell>
        </row>
        <row r="804">
          <cell r="AY804" t="str">
            <v>.</v>
          </cell>
        </row>
        <row r="805">
          <cell r="AY805" t="str">
            <v>.</v>
          </cell>
        </row>
        <row r="806">
          <cell r="AY806" t="str">
            <v>.</v>
          </cell>
        </row>
        <row r="807">
          <cell r="AY807" t="str">
            <v>.</v>
          </cell>
        </row>
        <row r="808">
          <cell r="AY808" t="str">
            <v>.</v>
          </cell>
        </row>
        <row r="809">
          <cell r="AY809" t="str">
            <v>.</v>
          </cell>
        </row>
        <row r="810">
          <cell r="AY810" t="str">
            <v>.</v>
          </cell>
        </row>
        <row r="811">
          <cell r="AY811" t="str">
            <v>.</v>
          </cell>
        </row>
        <row r="812">
          <cell r="AY812" t="str">
            <v>.</v>
          </cell>
        </row>
        <row r="813">
          <cell r="AY813" t="str">
            <v>.</v>
          </cell>
        </row>
        <row r="814">
          <cell r="AY814" t="str">
            <v>.</v>
          </cell>
        </row>
        <row r="815">
          <cell r="AY815" t="str">
            <v>.</v>
          </cell>
        </row>
        <row r="816">
          <cell r="AY816" t="str">
            <v>.</v>
          </cell>
        </row>
        <row r="817">
          <cell r="AY817" t="str">
            <v>.</v>
          </cell>
        </row>
        <row r="818">
          <cell r="AY818" t="str">
            <v>.</v>
          </cell>
        </row>
        <row r="819">
          <cell r="AY819" t="str">
            <v>.</v>
          </cell>
        </row>
        <row r="820">
          <cell r="AY820" t="str">
            <v>.</v>
          </cell>
        </row>
        <row r="821">
          <cell r="AY821" t="str">
            <v>.</v>
          </cell>
        </row>
        <row r="822">
          <cell r="AY822" t="str">
            <v>.</v>
          </cell>
        </row>
        <row r="823">
          <cell r="AY823" t="str">
            <v>.</v>
          </cell>
        </row>
        <row r="824">
          <cell r="AY824" t="str">
            <v>.</v>
          </cell>
        </row>
        <row r="825">
          <cell r="AY825" t="str">
            <v>.</v>
          </cell>
        </row>
        <row r="826">
          <cell r="AY826" t="str">
            <v>.</v>
          </cell>
        </row>
        <row r="827">
          <cell r="AY827" t="str">
            <v>.</v>
          </cell>
        </row>
        <row r="828">
          <cell r="AY828" t="str">
            <v>.</v>
          </cell>
        </row>
        <row r="829">
          <cell r="AY829" t="str">
            <v>.</v>
          </cell>
        </row>
        <row r="830">
          <cell r="AY830" t="str">
            <v>.</v>
          </cell>
        </row>
        <row r="831">
          <cell r="AY831" t="str">
            <v>.</v>
          </cell>
        </row>
        <row r="832">
          <cell r="AY832" t="str">
            <v>.</v>
          </cell>
        </row>
        <row r="833">
          <cell r="AY833" t="str">
            <v>.</v>
          </cell>
        </row>
        <row r="834">
          <cell r="AY834" t="str">
            <v>.</v>
          </cell>
        </row>
        <row r="835">
          <cell r="AY835" t="str">
            <v>.</v>
          </cell>
        </row>
        <row r="836">
          <cell r="AY836" t="str">
            <v>.</v>
          </cell>
        </row>
        <row r="837">
          <cell r="AY837" t="str">
            <v>.</v>
          </cell>
        </row>
        <row r="838">
          <cell r="AY838" t="str">
            <v>.</v>
          </cell>
        </row>
        <row r="839">
          <cell r="AY839" t="str">
            <v>.</v>
          </cell>
        </row>
        <row r="840">
          <cell r="AY840" t="str">
            <v>.</v>
          </cell>
        </row>
        <row r="841">
          <cell r="AY841" t="str">
            <v>.</v>
          </cell>
        </row>
        <row r="842">
          <cell r="AY842" t="str">
            <v>.</v>
          </cell>
        </row>
        <row r="843">
          <cell r="AY843" t="str">
            <v>.</v>
          </cell>
        </row>
        <row r="844">
          <cell r="AY844" t="str">
            <v>.</v>
          </cell>
        </row>
        <row r="845">
          <cell r="AY845" t="str">
            <v>.</v>
          </cell>
        </row>
        <row r="846">
          <cell r="AY846" t="str">
            <v>.</v>
          </cell>
        </row>
        <row r="847">
          <cell r="AY847" t="str">
            <v>.</v>
          </cell>
        </row>
        <row r="848">
          <cell r="AY848" t="str">
            <v>.</v>
          </cell>
        </row>
        <row r="849">
          <cell r="AY849" t="str">
            <v>.</v>
          </cell>
        </row>
        <row r="850">
          <cell r="AY850" t="str">
            <v>.</v>
          </cell>
        </row>
        <row r="851">
          <cell r="AY851" t="str">
            <v>.</v>
          </cell>
        </row>
        <row r="852">
          <cell r="AY852" t="str">
            <v>.</v>
          </cell>
        </row>
        <row r="853">
          <cell r="AY853" t="str">
            <v>.</v>
          </cell>
        </row>
        <row r="854">
          <cell r="AY854" t="str">
            <v>.</v>
          </cell>
        </row>
        <row r="855">
          <cell r="AY855" t="str">
            <v>.</v>
          </cell>
        </row>
        <row r="856">
          <cell r="AY856" t="str">
            <v>.</v>
          </cell>
        </row>
        <row r="857">
          <cell r="AY857" t="str">
            <v>.</v>
          </cell>
        </row>
        <row r="858">
          <cell r="AY858" t="str">
            <v>.</v>
          </cell>
        </row>
        <row r="859">
          <cell r="AY859" t="str">
            <v>.</v>
          </cell>
        </row>
        <row r="860">
          <cell r="AY860" t="str">
            <v>.</v>
          </cell>
        </row>
        <row r="861">
          <cell r="AY861" t="str">
            <v>.</v>
          </cell>
        </row>
        <row r="862">
          <cell r="AY862" t="str">
            <v>.</v>
          </cell>
        </row>
        <row r="863">
          <cell r="AY863" t="str">
            <v>.</v>
          </cell>
        </row>
        <row r="864">
          <cell r="AY864" t="str">
            <v>.</v>
          </cell>
        </row>
        <row r="865">
          <cell r="AY865" t="str">
            <v>.</v>
          </cell>
        </row>
        <row r="866">
          <cell r="AY866" t="str">
            <v>.</v>
          </cell>
        </row>
        <row r="867">
          <cell r="AY867" t="str">
            <v>.</v>
          </cell>
        </row>
        <row r="868">
          <cell r="AY868" t="str">
            <v>.</v>
          </cell>
        </row>
        <row r="869">
          <cell r="AY869" t="str">
            <v>.</v>
          </cell>
        </row>
        <row r="870">
          <cell r="AY870" t="str">
            <v>.</v>
          </cell>
        </row>
        <row r="871">
          <cell r="AY871" t="str">
            <v>.</v>
          </cell>
        </row>
        <row r="872">
          <cell r="AY872" t="str">
            <v>.</v>
          </cell>
        </row>
        <row r="873">
          <cell r="AY873" t="str">
            <v>.</v>
          </cell>
        </row>
        <row r="874">
          <cell r="AY874" t="str">
            <v>.</v>
          </cell>
        </row>
        <row r="875">
          <cell r="AY875" t="str">
            <v>.</v>
          </cell>
        </row>
        <row r="876">
          <cell r="AY876" t="str">
            <v>.</v>
          </cell>
        </row>
        <row r="877">
          <cell r="AY877" t="str">
            <v>.</v>
          </cell>
        </row>
        <row r="878">
          <cell r="AY878" t="str">
            <v>.</v>
          </cell>
        </row>
        <row r="879">
          <cell r="AY879" t="str">
            <v>.</v>
          </cell>
        </row>
        <row r="880">
          <cell r="AY880" t="str">
            <v>.</v>
          </cell>
        </row>
        <row r="881">
          <cell r="AY881" t="str">
            <v>.</v>
          </cell>
        </row>
        <row r="882">
          <cell r="AY882" t="str">
            <v>.</v>
          </cell>
        </row>
        <row r="883">
          <cell r="AY883" t="str">
            <v>.</v>
          </cell>
        </row>
        <row r="884">
          <cell r="AY884" t="str">
            <v>.</v>
          </cell>
        </row>
        <row r="885">
          <cell r="AY885" t="str">
            <v>.</v>
          </cell>
        </row>
        <row r="886">
          <cell r="AY886" t="str">
            <v>.</v>
          </cell>
        </row>
        <row r="887">
          <cell r="AY887" t="str">
            <v>.</v>
          </cell>
        </row>
        <row r="888">
          <cell r="AY888" t="str">
            <v>.</v>
          </cell>
        </row>
        <row r="889">
          <cell r="AY889" t="str">
            <v>.</v>
          </cell>
        </row>
        <row r="890">
          <cell r="AY890" t="str">
            <v>.</v>
          </cell>
        </row>
        <row r="891">
          <cell r="AY891" t="str">
            <v>.</v>
          </cell>
        </row>
        <row r="892">
          <cell r="AY892" t="str">
            <v>.</v>
          </cell>
        </row>
        <row r="893">
          <cell r="AY893" t="str">
            <v>.</v>
          </cell>
        </row>
        <row r="894">
          <cell r="AY894" t="str">
            <v>.</v>
          </cell>
        </row>
        <row r="895">
          <cell r="AY895" t="str">
            <v>.</v>
          </cell>
        </row>
        <row r="896">
          <cell r="AY896" t="str">
            <v>.</v>
          </cell>
        </row>
        <row r="897">
          <cell r="AY897" t="str">
            <v>.</v>
          </cell>
        </row>
        <row r="898">
          <cell r="AY898" t="str">
            <v>.</v>
          </cell>
        </row>
        <row r="899">
          <cell r="AY899" t="str">
            <v>.</v>
          </cell>
        </row>
        <row r="900">
          <cell r="AY900" t="str">
            <v>.</v>
          </cell>
        </row>
        <row r="901">
          <cell r="AY901" t="str">
            <v>.</v>
          </cell>
        </row>
        <row r="902">
          <cell r="AY902" t="str">
            <v>.</v>
          </cell>
        </row>
        <row r="903">
          <cell r="AY903" t="str">
            <v>.</v>
          </cell>
        </row>
        <row r="904">
          <cell r="AY904" t="str">
            <v>.</v>
          </cell>
        </row>
        <row r="905">
          <cell r="AY905" t="str">
            <v>.</v>
          </cell>
        </row>
        <row r="906">
          <cell r="AY906" t="str">
            <v>.</v>
          </cell>
        </row>
        <row r="907">
          <cell r="AY907" t="str">
            <v>.</v>
          </cell>
        </row>
        <row r="908">
          <cell r="AY908" t="str">
            <v>.</v>
          </cell>
        </row>
        <row r="909">
          <cell r="AY909" t="str">
            <v>.</v>
          </cell>
        </row>
        <row r="910">
          <cell r="AY910" t="str">
            <v>.</v>
          </cell>
        </row>
        <row r="911">
          <cell r="AY911" t="str">
            <v>.</v>
          </cell>
        </row>
        <row r="912">
          <cell r="AY912" t="str">
            <v>.</v>
          </cell>
        </row>
        <row r="913">
          <cell r="AY913" t="str">
            <v>.</v>
          </cell>
        </row>
        <row r="914">
          <cell r="AY914" t="str">
            <v>.</v>
          </cell>
        </row>
        <row r="915">
          <cell r="AY915" t="str">
            <v>.</v>
          </cell>
        </row>
        <row r="916">
          <cell r="AY916" t="str">
            <v>.</v>
          </cell>
        </row>
        <row r="917">
          <cell r="AY917" t="str">
            <v>.</v>
          </cell>
        </row>
        <row r="918">
          <cell r="AY918" t="str">
            <v>.</v>
          </cell>
        </row>
        <row r="919">
          <cell r="AY919" t="str">
            <v>.</v>
          </cell>
        </row>
        <row r="920">
          <cell r="AY920" t="str">
            <v>.</v>
          </cell>
        </row>
        <row r="921">
          <cell r="AY921" t="str">
            <v>.</v>
          </cell>
        </row>
        <row r="922">
          <cell r="AY922" t="str">
            <v>.</v>
          </cell>
        </row>
        <row r="923">
          <cell r="AY923" t="str">
            <v>.</v>
          </cell>
        </row>
        <row r="924">
          <cell r="AY924" t="str">
            <v>.</v>
          </cell>
        </row>
        <row r="925">
          <cell r="AY925" t="str">
            <v>.</v>
          </cell>
        </row>
        <row r="926">
          <cell r="AY926" t="str">
            <v>.</v>
          </cell>
        </row>
        <row r="927">
          <cell r="AY927" t="str">
            <v>.</v>
          </cell>
        </row>
        <row r="928">
          <cell r="AY928" t="str">
            <v>.</v>
          </cell>
        </row>
        <row r="929">
          <cell r="AY929" t="str">
            <v>.</v>
          </cell>
        </row>
        <row r="930">
          <cell r="AY930" t="str">
            <v>.</v>
          </cell>
        </row>
        <row r="931">
          <cell r="AY931" t="str">
            <v>.</v>
          </cell>
        </row>
        <row r="932">
          <cell r="AY932" t="str">
            <v>.</v>
          </cell>
        </row>
        <row r="933">
          <cell r="AY933" t="str">
            <v>.</v>
          </cell>
        </row>
        <row r="934">
          <cell r="AY934" t="str">
            <v>.</v>
          </cell>
        </row>
        <row r="935">
          <cell r="AY935" t="str">
            <v>.</v>
          </cell>
        </row>
        <row r="936">
          <cell r="AY936" t="str">
            <v>.</v>
          </cell>
        </row>
        <row r="937">
          <cell r="AY937" t="str">
            <v>.</v>
          </cell>
        </row>
        <row r="938">
          <cell r="AY938" t="str">
            <v>.</v>
          </cell>
        </row>
        <row r="939">
          <cell r="AY939" t="str">
            <v>.</v>
          </cell>
        </row>
        <row r="940">
          <cell r="AY940" t="str">
            <v>.</v>
          </cell>
        </row>
        <row r="941">
          <cell r="AY941" t="str">
            <v>.</v>
          </cell>
        </row>
        <row r="942">
          <cell r="AY942" t="str">
            <v>.</v>
          </cell>
        </row>
        <row r="943">
          <cell r="AY943" t="str">
            <v>.</v>
          </cell>
        </row>
        <row r="944">
          <cell r="AY944" t="str">
            <v>.</v>
          </cell>
        </row>
        <row r="945">
          <cell r="AY945" t="str">
            <v>.</v>
          </cell>
        </row>
        <row r="946">
          <cell r="AY946" t="str">
            <v>.</v>
          </cell>
        </row>
        <row r="947">
          <cell r="AY947" t="str">
            <v>.</v>
          </cell>
        </row>
        <row r="948">
          <cell r="AY948" t="str">
            <v>.</v>
          </cell>
        </row>
        <row r="949">
          <cell r="AY949" t="str">
            <v>.</v>
          </cell>
        </row>
        <row r="950">
          <cell r="AY950" t="str">
            <v>.</v>
          </cell>
        </row>
        <row r="951">
          <cell r="AY951" t="str">
            <v>.</v>
          </cell>
        </row>
        <row r="952">
          <cell r="AY952" t="str">
            <v>.</v>
          </cell>
        </row>
        <row r="953">
          <cell r="AY953" t="str">
            <v>.</v>
          </cell>
        </row>
        <row r="954">
          <cell r="AY954" t="str">
            <v>.</v>
          </cell>
        </row>
        <row r="955">
          <cell r="AY955" t="str">
            <v>.</v>
          </cell>
        </row>
        <row r="956">
          <cell r="AY956" t="str">
            <v>.</v>
          </cell>
        </row>
        <row r="957">
          <cell r="AY957" t="str">
            <v>.</v>
          </cell>
        </row>
        <row r="958">
          <cell r="AY958" t="str">
            <v>.</v>
          </cell>
        </row>
        <row r="959">
          <cell r="AY959" t="str">
            <v>.</v>
          </cell>
        </row>
        <row r="960">
          <cell r="AY960" t="str">
            <v>.</v>
          </cell>
        </row>
        <row r="961">
          <cell r="AY961" t="str">
            <v>.</v>
          </cell>
        </row>
        <row r="962">
          <cell r="AY962" t="str">
            <v>.</v>
          </cell>
        </row>
        <row r="963">
          <cell r="AY963" t="str">
            <v>.</v>
          </cell>
        </row>
        <row r="964">
          <cell r="AY964" t="str">
            <v>.</v>
          </cell>
        </row>
        <row r="965">
          <cell r="AY965" t="str">
            <v>.</v>
          </cell>
        </row>
        <row r="966">
          <cell r="AY966" t="str">
            <v>.</v>
          </cell>
        </row>
        <row r="967">
          <cell r="AY967" t="str">
            <v>.</v>
          </cell>
        </row>
        <row r="968">
          <cell r="AY968" t="str">
            <v>.</v>
          </cell>
        </row>
        <row r="969">
          <cell r="AY969" t="str">
            <v>.</v>
          </cell>
        </row>
        <row r="970">
          <cell r="AY970" t="str">
            <v>.</v>
          </cell>
        </row>
        <row r="971">
          <cell r="AY971" t="str">
            <v>.</v>
          </cell>
        </row>
        <row r="972">
          <cell r="AY972" t="str">
            <v>.</v>
          </cell>
        </row>
        <row r="973">
          <cell r="AY973" t="str">
            <v>.</v>
          </cell>
        </row>
        <row r="974">
          <cell r="AY974" t="str">
            <v>.</v>
          </cell>
        </row>
        <row r="975">
          <cell r="AY975" t="str">
            <v>.</v>
          </cell>
        </row>
        <row r="976">
          <cell r="AY976" t="str">
            <v>.</v>
          </cell>
        </row>
        <row r="977">
          <cell r="AY977" t="str">
            <v>.</v>
          </cell>
        </row>
        <row r="978">
          <cell r="AY978" t="str">
            <v>.</v>
          </cell>
        </row>
        <row r="979">
          <cell r="AY979" t="str">
            <v>.</v>
          </cell>
        </row>
        <row r="980">
          <cell r="AY980" t="str">
            <v>.</v>
          </cell>
        </row>
        <row r="981">
          <cell r="AY981" t="str">
            <v>.</v>
          </cell>
        </row>
        <row r="982">
          <cell r="AY982" t="str">
            <v>.</v>
          </cell>
        </row>
        <row r="983">
          <cell r="AY983" t="str">
            <v>.</v>
          </cell>
        </row>
        <row r="984">
          <cell r="AY984" t="str">
            <v>.</v>
          </cell>
        </row>
        <row r="985">
          <cell r="AY985" t="str">
            <v>.</v>
          </cell>
        </row>
        <row r="986">
          <cell r="AY986" t="str">
            <v>.</v>
          </cell>
        </row>
        <row r="987">
          <cell r="AY987" t="str">
            <v>.</v>
          </cell>
        </row>
        <row r="988">
          <cell r="AY988" t="str">
            <v>.</v>
          </cell>
        </row>
        <row r="989">
          <cell r="AY989" t="str">
            <v>.</v>
          </cell>
        </row>
        <row r="990">
          <cell r="AY990" t="str">
            <v>.</v>
          </cell>
        </row>
        <row r="991">
          <cell r="AY991" t="str">
            <v>.</v>
          </cell>
        </row>
        <row r="992">
          <cell r="AY992" t="str">
            <v>.</v>
          </cell>
        </row>
        <row r="993">
          <cell r="AY993" t="str">
            <v>.</v>
          </cell>
        </row>
        <row r="994">
          <cell r="AY994" t="str">
            <v>.</v>
          </cell>
        </row>
        <row r="995">
          <cell r="AY995" t="str">
            <v>.</v>
          </cell>
        </row>
        <row r="996">
          <cell r="A996" t="str">
            <v>.</v>
          </cell>
          <cell r="B996" t="str">
            <v>.</v>
          </cell>
          <cell r="C996" t="str">
            <v>.</v>
          </cell>
          <cell r="D996" t="str">
            <v>.</v>
          </cell>
          <cell r="E996" t="str">
            <v>.</v>
          </cell>
          <cell r="F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cell r="AX996" t="str">
            <v>.</v>
          </cell>
          <cell r="AY996" t="str">
            <v>.</v>
          </cell>
        </row>
      </sheetData>
      <sheetData sheetId="22" refreshError="1"/>
      <sheetData sheetId="23" refreshError="1">
        <row r="1">
          <cell r="B1" t="str">
            <v>Rolta India Ltd.</v>
          </cell>
        </row>
        <row r="2">
          <cell r="B2" t="str">
            <v xml:space="preserve">relative to </v>
          </cell>
        </row>
        <row r="3">
          <cell r="B3" t="str">
            <v>Information Technology</v>
          </cell>
        </row>
        <row r="5">
          <cell r="D5" t="str">
            <v>Rolta India Ltd.</v>
          </cell>
        </row>
        <row r="6">
          <cell r="D6" t="str">
            <v>Percentile range (vs. peers)</v>
          </cell>
          <cell r="J6" t="str">
            <v>Peer
median</v>
          </cell>
        </row>
        <row r="7">
          <cell r="B7" t="str">
            <v>Valuation</v>
          </cell>
          <cell r="C7" t="str">
            <v xml:space="preserve">  0          20         40         60         80     100%</v>
          </cell>
        </row>
        <row r="8">
          <cell r="B8" t="str">
            <v>P/E LTM</v>
          </cell>
          <cell r="G8">
            <v>21.621870000000001</v>
          </cell>
          <cell r="J8">
            <v>13.394874999999999</v>
          </cell>
        </row>
        <row r="9">
          <cell r="B9" t="str">
            <v>P/E (FY1)</v>
          </cell>
          <cell r="H9">
            <v>20.694458166823328</v>
          </cell>
          <cell r="J9">
            <v>14.085775039027197</v>
          </cell>
        </row>
        <row r="10">
          <cell r="B10" t="str">
            <v>P/E (FY2)</v>
          </cell>
          <cell r="H10">
            <v>15.599014634957593</v>
          </cell>
          <cell r="J10">
            <v>11.178371391641534</v>
          </cell>
        </row>
        <row r="11">
          <cell r="B11" t="str">
            <v>P/Book</v>
          </cell>
          <cell r="G11">
            <v>3.5718800000000002</v>
          </cell>
          <cell r="J11">
            <v>2.86226</v>
          </cell>
        </row>
        <row r="12">
          <cell r="B12" t="str">
            <v>P/CF</v>
          </cell>
          <cell r="G12">
            <v>13.40723</v>
          </cell>
          <cell r="J12">
            <v>11.400309999999999</v>
          </cell>
        </row>
        <row r="13">
          <cell r="B13" t="str">
            <v>P/Sales</v>
          </cell>
          <cell r="H13">
            <v>5.2475399999999999</v>
          </cell>
          <cell r="J13">
            <v>1.9415499999999999</v>
          </cell>
        </row>
        <row r="14">
          <cell r="B14" t="str">
            <v>EV/Ebitda</v>
          </cell>
          <cell r="G14">
            <v>16.154547701816412</v>
          </cell>
          <cell r="J14">
            <v>10.658766575267769</v>
          </cell>
        </row>
        <row r="15">
          <cell r="B15" t="str">
            <v>EV/Sales</v>
          </cell>
          <cell r="H15">
            <v>5.0269488234878006</v>
          </cell>
          <cell r="J15">
            <v>1.5981384026862981</v>
          </cell>
        </row>
        <row r="16">
          <cell r="B16" t="str">
            <v>Performance</v>
          </cell>
          <cell r="C16" t="str">
            <v xml:space="preserve">  0          20         40         60         80     100%</v>
          </cell>
        </row>
        <row r="17">
          <cell r="B17" t="str">
            <v>Pchange 1mo</v>
          </cell>
          <cell r="E17">
            <v>-8.7999999999999995E-2</v>
          </cell>
          <cell r="J17">
            <v>-2.0876820000000001E-2</v>
          </cell>
        </row>
        <row r="18">
          <cell r="B18" t="str">
            <v>Pchange 3 mo</v>
          </cell>
          <cell r="G18">
            <v>-8.0000000000000002E-3</v>
          </cell>
          <cell r="J18">
            <v>-9.2043639999999996E-2</v>
          </cell>
        </row>
        <row r="19">
          <cell r="B19" t="str">
            <v>Pchange 6 mo</v>
          </cell>
          <cell r="G19">
            <v>-0.122</v>
          </cell>
          <cell r="J19">
            <v>-0.18910795</v>
          </cell>
        </row>
        <row r="20">
          <cell r="B20" t="str">
            <v>Pchange 12mo</v>
          </cell>
          <cell r="H20">
            <v>0.34799999999999998</v>
          </cell>
          <cell r="J20">
            <v>-0.1974312</v>
          </cell>
        </row>
        <row r="21">
          <cell r="B21" t="str">
            <v>Efficiency</v>
          </cell>
          <cell r="C21" t="str">
            <v xml:space="preserve">  0          20         40         60         80     100%</v>
          </cell>
        </row>
        <row r="22">
          <cell r="B22" t="str">
            <v>Cash Turn</v>
          </cell>
          <cell r="D22">
            <v>0.7</v>
          </cell>
          <cell r="J22">
            <v>6.6652543078164674</v>
          </cell>
        </row>
        <row r="23">
          <cell r="B23" t="str">
            <v>Fix Asset Turn</v>
          </cell>
          <cell r="D23">
            <v>0.7</v>
          </cell>
          <cell r="J23">
            <v>3.7082649999999999</v>
          </cell>
        </row>
        <row r="24">
          <cell r="B24" t="str">
            <v>Inventory Turn</v>
          </cell>
          <cell r="H24">
            <v>34.5</v>
          </cell>
          <cell r="J24">
            <v>8.0652722137025954</v>
          </cell>
        </row>
        <row r="25">
          <cell r="B25" t="str">
            <v>Total Asset Turn</v>
          </cell>
          <cell r="D25">
            <v>0.4</v>
          </cell>
          <cell r="J25">
            <v>0.86623757679812219</v>
          </cell>
        </row>
        <row r="26">
          <cell r="B26" t="str">
            <v>Work Cap Turn</v>
          </cell>
          <cell r="D26">
            <v>0.7</v>
          </cell>
          <cell r="J26">
            <v>3.0825914282517566</v>
          </cell>
        </row>
        <row r="27">
          <cell r="B27" t="str">
            <v>LTD/Work Cap</v>
          </cell>
          <cell r="H27">
            <v>0.6</v>
          </cell>
          <cell r="J27">
            <v>4.0988471674371432E-3</v>
          </cell>
        </row>
        <row r="28">
          <cell r="B28" t="str">
            <v>Cash Flow</v>
          </cell>
          <cell r="C28" t="str">
            <v xml:space="preserve">  0          20         40         60         80     100%</v>
          </cell>
        </row>
        <row r="29">
          <cell r="B29" t="str">
            <v>FCF/Market Cap</v>
          </cell>
          <cell r="E29">
            <v>5.5E-2</v>
          </cell>
          <cell r="J29">
            <v>7.0318451574141738E-2</v>
          </cell>
        </row>
        <row r="30">
          <cell r="B30" t="str">
            <v>FCF/Sales</v>
          </cell>
          <cell r="H30">
            <v>0.39</v>
          </cell>
          <cell r="J30">
            <v>0.16181539999999997</v>
          </cell>
        </row>
        <row r="31">
          <cell r="B31" t="str">
            <v>Liquidity</v>
          </cell>
          <cell r="C31" t="str">
            <v xml:space="preserve">  0          20         40         60         80     100%</v>
          </cell>
        </row>
        <row r="32">
          <cell r="B32" t="str">
            <v>Cash ratio</v>
          </cell>
          <cell r="H32">
            <v>4.5560377741247695</v>
          </cell>
          <cell r="J32">
            <v>0.43202785721958231</v>
          </cell>
        </row>
        <row r="33">
          <cell r="B33" t="str">
            <v>Quick ratio</v>
          </cell>
          <cell r="H33">
            <v>7.8753619683448957</v>
          </cell>
          <cell r="J33">
            <v>1.9167270835799803</v>
          </cell>
        </row>
        <row r="34">
          <cell r="B34" t="str">
            <v>Current ratio</v>
          </cell>
          <cell r="H34">
            <v>8.0225490376185196</v>
          </cell>
          <cell r="J34">
            <v>2.2298031944381362</v>
          </cell>
        </row>
        <row r="37">
          <cell r="E37" t="str">
            <v></v>
          </cell>
        </row>
        <row r="38">
          <cell r="E38" t="str">
            <v></v>
          </cell>
        </row>
        <row r="39">
          <cell r="E39" t="str">
            <v></v>
          </cell>
        </row>
        <row r="40">
          <cell r="E40" t="str">
            <v></v>
          </cell>
        </row>
        <row r="47">
          <cell r="E47" t="str">
            <v></v>
          </cell>
          <cell r="F47" t="str">
            <v></v>
          </cell>
        </row>
        <row r="48">
          <cell r="E48" t="str">
            <v></v>
          </cell>
          <cell r="F48" t="str">
            <v></v>
          </cell>
        </row>
      </sheetData>
      <sheetData sheetId="24" refreshError="1">
        <row r="5">
          <cell r="D5" t="str">
            <v>Rolta India Ltd.</v>
          </cell>
        </row>
        <row r="6">
          <cell r="D6" t="str">
            <v>Percentile range (vs. peers)</v>
          </cell>
          <cell r="J6" t="str">
            <v>Peer
median</v>
          </cell>
        </row>
        <row r="7">
          <cell r="B7" t="str">
            <v>Growth</v>
          </cell>
          <cell r="C7" t="str">
            <v xml:space="preserve">  0          20         40         60         80     100%</v>
          </cell>
        </row>
        <row r="8">
          <cell r="B8" t="str">
            <v>EPS  1yr fwd</v>
          </cell>
          <cell r="C8" t="str">
            <v xml:space="preserve"> </v>
          </cell>
          <cell r="G8">
            <v>0.34994434133837671</v>
          </cell>
          <cell r="J8">
            <v>0.24507583426829038</v>
          </cell>
        </row>
        <row r="9">
          <cell r="B9" t="str">
            <v>EPS  2yr fwd</v>
          </cell>
          <cell r="G9">
            <v>0.79090585867912133</v>
          </cell>
          <cell r="J9">
            <v>0.54165173182937332</v>
          </cell>
        </row>
        <row r="10">
          <cell r="B10" t="str">
            <v>EPS  1yr hist</v>
          </cell>
          <cell r="E10">
            <v>0.1436142</v>
          </cell>
          <cell r="J10">
            <v>0.39057600000000003</v>
          </cell>
        </row>
        <row r="11">
          <cell r="B11" t="str">
            <v>EPS  3yr hist</v>
          </cell>
          <cell r="F11">
            <v>0.29139809999999999</v>
          </cell>
          <cell r="J11">
            <v>0.30270160000000002</v>
          </cell>
        </row>
        <row r="12">
          <cell r="B12" t="str">
            <v>EPS  5yr hist</v>
          </cell>
          <cell r="E12">
            <v>4.9647199999999996E-2</v>
          </cell>
          <cell r="J12">
            <v>0.18435220000000002</v>
          </cell>
        </row>
        <row r="13">
          <cell r="B13" t="str">
            <v>BVPS  1yr hist</v>
          </cell>
          <cell r="E13">
            <v>0.10893827289611213</v>
          </cell>
          <cell r="J13">
            <v>0.22911630269172178</v>
          </cell>
        </row>
        <row r="14">
          <cell r="B14" t="str">
            <v>DPS  1yr hist</v>
          </cell>
          <cell r="G14">
            <v>0.25</v>
          </cell>
          <cell r="J14">
            <v>0</v>
          </cell>
        </row>
        <row r="15">
          <cell r="B15" t="str">
            <v>EBIT  1yr hist</v>
          </cell>
          <cell r="E15">
            <v>0.24485651208492287</v>
          </cell>
          <cell r="J15">
            <v>0.56850427638032031</v>
          </cell>
        </row>
        <row r="16">
          <cell r="B16" t="str">
            <v>Sales  1yr hist</v>
          </cell>
          <cell r="F16">
            <v>0.32998586132285745</v>
          </cell>
          <cell r="J16">
            <v>0.37984755351738131</v>
          </cell>
        </row>
        <row r="17">
          <cell r="B17" t="str">
            <v>Quality</v>
          </cell>
          <cell r="C17" t="str">
            <v xml:space="preserve">  0          20         40         60         80     100%</v>
          </cell>
        </row>
        <row r="18">
          <cell r="B18" t="str">
            <v>ROA</v>
          </cell>
          <cell r="F18">
            <v>0.1184658</v>
          </cell>
          <cell r="J18">
            <v>0.1272691</v>
          </cell>
        </row>
        <row r="19">
          <cell r="B19" t="str">
            <v>ROE</v>
          </cell>
          <cell r="F19">
            <v>0.17368439999999999</v>
          </cell>
          <cell r="J19">
            <v>0.21419870000000002</v>
          </cell>
        </row>
        <row r="20">
          <cell r="B20" t="str">
            <v>EBIT margin</v>
          </cell>
          <cell r="H20">
            <v>0.27416333162437756</v>
          </cell>
          <cell r="J20">
            <v>0.15357519284540136</v>
          </cell>
        </row>
        <row r="21">
          <cell r="B21" t="str">
            <v>Net inc. margin</v>
          </cell>
          <cell r="H21">
            <v>0.2426798</v>
          </cell>
          <cell r="J21">
            <v>0.11734069999999999</v>
          </cell>
        </row>
        <row r="22">
          <cell r="B22" t="str">
            <v>Payout ratio</v>
          </cell>
          <cell r="H22">
            <v>0.21082499999999998</v>
          </cell>
          <cell r="J22">
            <v>6.6231399999999996E-2</v>
          </cell>
        </row>
        <row r="23">
          <cell r="B23" t="str">
            <v>Gross mrgn</v>
          </cell>
          <cell r="G23">
            <v>0.23997453357402426</v>
          </cell>
          <cell r="J23">
            <v>0.14569958835584462</v>
          </cell>
        </row>
        <row r="24">
          <cell r="B24" t="str">
            <v>ROI</v>
          </cell>
          <cell r="E24">
            <v>0.1325161</v>
          </cell>
          <cell r="J24">
            <v>0.16856649999999998</v>
          </cell>
        </row>
        <row r="25">
          <cell r="B25" t="str">
            <v>Financial Leverage</v>
          </cell>
          <cell r="C25" t="str">
            <v xml:space="preserve">  0          20         40         60         80     100%</v>
          </cell>
        </row>
        <row r="26">
          <cell r="B26" t="str">
            <v>Debt/Assets</v>
          </cell>
          <cell r="G26">
            <v>0.33543653674062973</v>
          </cell>
          <cell r="J26">
            <v>0.1160265764825805</v>
          </cell>
        </row>
        <row r="27">
          <cell r="B27" t="str">
            <v>Debt/Equity</v>
          </cell>
          <cell r="G27">
            <v>0.5901767</v>
          </cell>
          <cell r="J27">
            <v>0.18525710000000001</v>
          </cell>
        </row>
        <row r="28">
          <cell r="B28" t="str">
            <v>Net Debt/Equity</v>
          </cell>
          <cell r="G28">
            <v>-2.0327706515882699E-2</v>
          </cell>
          <cell r="J28">
            <v>-0.16130908468463256</v>
          </cell>
        </row>
        <row r="29">
          <cell r="B29" t="str">
            <v>Capex Discipline</v>
          </cell>
          <cell r="C29" t="str">
            <v xml:space="preserve">  0          20         40         60         80     100%</v>
          </cell>
        </row>
        <row r="30">
          <cell r="B30" t="str">
            <v>Capex/Deprec</v>
          </cell>
          <cell r="E30">
            <v>2.4672570593759451</v>
          </cell>
          <cell r="J30">
            <v>3.6387113093166663</v>
          </cell>
        </row>
        <row r="31">
          <cell r="B31" t="str">
            <v>Capex/Sales</v>
          </cell>
          <cell r="H31">
            <v>0.35316068940857437</v>
          </cell>
          <cell r="J31">
            <v>9.413321561872777E-2</v>
          </cell>
        </row>
        <row r="32">
          <cell r="B32" t="str">
            <v>FCF/EPS</v>
          </cell>
          <cell r="G32">
            <v>1.6195981779699669</v>
          </cell>
          <cell r="J32">
            <v>1.3280138922417146</v>
          </cell>
        </row>
        <row r="33">
          <cell r="B33" t="str">
            <v>Depr 1yr chg</v>
          </cell>
          <cell r="H33">
            <v>0.36377146770894186</v>
          </cell>
          <cell r="J33">
            <v>0.16342412451361876</v>
          </cell>
        </row>
        <row r="34">
          <cell r="B34" t="str">
            <v>Shrs out 1yr chg</v>
          </cell>
          <cell r="G34">
            <v>2.5058357762257621E-3</v>
          </cell>
          <cell r="J34">
            <v>1.5121596156952855E-3</v>
          </cell>
        </row>
        <row r="35">
          <cell r="B35" t="str">
            <v>Capex 1yr chg</v>
          </cell>
          <cell r="G35">
            <v>0.53235599999999983</v>
          </cell>
          <cell r="J35">
            <v>-8.311700000000033E-3</v>
          </cell>
        </row>
        <row r="38">
          <cell r="E38" t="str">
            <v></v>
          </cell>
        </row>
        <row r="39">
          <cell r="E39" t="str">
            <v></v>
          </cell>
        </row>
        <row r="40">
          <cell r="E40" t="str">
            <v></v>
          </cell>
        </row>
        <row r="41">
          <cell r="E41" t="str">
            <v></v>
          </cell>
        </row>
        <row r="48">
          <cell r="E48" t="str">
            <v></v>
          </cell>
          <cell r="F48" t="str">
            <v></v>
          </cell>
        </row>
        <row r="49">
          <cell r="E49" t="str">
            <v></v>
          </cell>
          <cell r="F49" t="str">
            <v></v>
          </cell>
        </row>
      </sheetData>
      <sheetData sheetId="25"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7114</v>
          </cell>
          <cell r="E2">
            <v>7114</v>
          </cell>
        </row>
        <row r="3">
          <cell r="A3" t="str">
            <v>FY08e</v>
          </cell>
          <cell r="B3">
            <v>10733</v>
          </cell>
          <cell r="C3">
            <v>9659.7000000000007</v>
          </cell>
          <cell r="D3">
            <v>11806.3</v>
          </cell>
          <cell r="E3">
            <v>9659.7000000000007</v>
          </cell>
          <cell r="F3">
            <v>2146.5999999999985</v>
          </cell>
          <cell r="J3">
            <v>1073.2999999999993</v>
          </cell>
          <cell r="K3">
            <v>1073.2999999999993</v>
          </cell>
        </row>
        <row r="4">
          <cell r="A4" t="str">
            <v>FY09e</v>
          </cell>
          <cell r="B4">
            <v>14787</v>
          </cell>
          <cell r="C4">
            <v>12568.95</v>
          </cell>
          <cell r="D4">
            <v>17005.05</v>
          </cell>
          <cell r="E4">
            <v>12568.95</v>
          </cell>
          <cell r="F4">
            <v>4436.0999999999985</v>
          </cell>
          <cell r="J4">
            <v>2218.0499999999993</v>
          </cell>
          <cell r="K4">
            <v>2218.0499999999993</v>
          </cell>
        </row>
        <row r="5">
          <cell r="A5" t="str">
            <v>FY10e</v>
          </cell>
          <cell r="B5">
            <v>19704</v>
          </cell>
          <cell r="C5">
            <v>15763.2</v>
          </cell>
          <cell r="D5">
            <v>23644.799999999999</v>
          </cell>
          <cell r="E5">
            <v>15763.2</v>
          </cell>
          <cell r="F5">
            <v>7881.5999999999985</v>
          </cell>
          <cell r="G5">
            <v>19704</v>
          </cell>
          <cell r="J5">
            <v>3940.7999999999993</v>
          </cell>
          <cell r="K5">
            <v>3940.7999999999993</v>
          </cell>
        </row>
        <row r="12">
          <cell r="L12">
            <v>3.4285714285714284</v>
          </cell>
        </row>
      </sheetData>
      <sheetData sheetId="26"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10.74</v>
          </cell>
          <cell r="E2">
            <v>10.74</v>
          </cell>
        </row>
        <row r="3">
          <cell r="A3" t="str">
            <v>FY08e</v>
          </cell>
          <cell r="B3">
            <v>14.5</v>
          </cell>
          <cell r="C3">
            <v>12.4</v>
          </cell>
          <cell r="D3">
            <v>15.72</v>
          </cell>
          <cell r="E3">
            <v>12.4</v>
          </cell>
          <cell r="F3">
            <v>3.3200000000000003</v>
          </cell>
          <cell r="J3">
            <v>1.2200000000000006</v>
          </cell>
          <cell r="K3">
            <v>2.0999999999999996</v>
          </cell>
        </row>
        <row r="4">
          <cell r="A4" t="str">
            <v>FY09e</v>
          </cell>
          <cell r="B4">
            <v>19.239999999999998</v>
          </cell>
          <cell r="C4">
            <v>15.5</v>
          </cell>
          <cell r="D4">
            <v>21.07</v>
          </cell>
          <cell r="E4">
            <v>15.5</v>
          </cell>
          <cell r="F4">
            <v>5.57</v>
          </cell>
          <cell r="J4">
            <v>1.8300000000000018</v>
          </cell>
          <cell r="K4">
            <v>3.7399999999999984</v>
          </cell>
        </row>
        <row r="5">
          <cell r="A5" t="str">
            <v>FY10e</v>
          </cell>
          <cell r="B5">
            <v>25.45</v>
          </cell>
          <cell r="C5">
            <v>19.7</v>
          </cell>
          <cell r="D5">
            <v>31.2</v>
          </cell>
          <cell r="E5">
            <v>19.7</v>
          </cell>
          <cell r="F5">
            <v>11.5</v>
          </cell>
          <cell r="G5">
            <v>25.45</v>
          </cell>
          <cell r="J5">
            <v>5.75</v>
          </cell>
          <cell r="K5">
            <v>5.75</v>
          </cell>
        </row>
        <row r="12">
          <cell r="L12">
            <v>3.4285714285714284</v>
          </cell>
        </row>
      </sheetData>
      <sheetData sheetId="27"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7114</v>
          </cell>
          <cell r="E2">
            <v>7114</v>
          </cell>
        </row>
        <row r="3">
          <cell r="A3" t="str">
            <v>FY08e</v>
          </cell>
          <cell r="B3">
            <v>10733</v>
          </cell>
          <cell r="C3">
            <v>9659.7000000000007</v>
          </cell>
          <cell r="D3">
            <v>11806.3</v>
          </cell>
          <cell r="E3">
            <v>9659.7000000000007</v>
          </cell>
          <cell r="F3">
            <v>2146.5999999999985</v>
          </cell>
          <cell r="J3">
            <v>1073.2999999999993</v>
          </cell>
          <cell r="K3">
            <v>1073.2999999999993</v>
          </cell>
        </row>
        <row r="4">
          <cell r="A4" t="str">
            <v>FY09e</v>
          </cell>
          <cell r="B4">
            <v>14787</v>
          </cell>
          <cell r="C4">
            <v>12568.95</v>
          </cell>
          <cell r="D4">
            <v>17005.05</v>
          </cell>
          <cell r="E4">
            <v>12568.95</v>
          </cell>
          <cell r="F4">
            <v>4436.0999999999985</v>
          </cell>
          <cell r="J4">
            <v>2218.0499999999993</v>
          </cell>
          <cell r="K4">
            <v>2218.0499999999993</v>
          </cell>
        </row>
        <row r="5">
          <cell r="A5" t="str">
            <v>FY10e</v>
          </cell>
          <cell r="B5">
            <v>19704</v>
          </cell>
          <cell r="C5">
            <v>15763.2</v>
          </cell>
          <cell r="D5">
            <v>23644.799999999999</v>
          </cell>
          <cell r="E5">
            <v>15763.2</v>
          </cell>
          <cell r="F5">
            <v>7881.5999999999985</v>
          </cell>
          <cell r="G5">
            <v>19704</v>
          </cell>
          <cell r="J5">
            <v>3940.7999999999993</v>
          </cell>
          <cell r="K5">
            <v>3940.7999999999993</v>
          </cell>
        </row>
        <row r="12">
          <cell r="L12">
            <v>3.4285714285714284</v>
          </cell>
        </row>
      </sheetData>
      <sheetData sheetId="28" refreshError="1">
        <row r="1">
          <cell r="B1" t="str">
            <v>Mid</v>
          </cell>
          <cell r="C1" t="str">
            <v>Low</v>
          </cell>
          <cell r="D1" t="str">
            <v>High</v>
          </cell>
          <cell r="E1" t="str">
            <v>Low plot</v>
          </cell>
          <cell r="F1" t="str">
            <v>High plot</v>
          </cell>
          <cell r="G1" t="str">
            <v>Median</v>
          </cell>
          <cell r="H1" t="str">
            <v>High</v>
          </cell>
          <cell r="I1" t="str">
            <v>Low</v>
          </cell>
          <cell r="J1" t="str">
            <v>High err</v>
          </cell>
          <cell r="K1" t="str">
            <v>Low err</v>
          </cell>
        </row>
        <row r="2">
          <cell r="A2" t="str">
            <v>FY07</v>
          </cell>
          <cell r="B2">
            <v>10.74</v>
          </cell>
          <cell r="E2">
            <v>10.74</v>
          </cell>
        </row>
        <row r="3">
          <cell r="A3" t="str">
            <v>FY08e</v>
          </cell>
          <cell r="B3">
            <v>14.5</v>
          </cell>
          <cell r="C3">
            <v>12.4</v>
          </cell>
          <cell r="D3">
            <v>15.72</v>
          </cell>
          <cell r="E3">
            <v>12.4</v>
          </cell>
          <cell r="F3">
            <v>3.3200000000000003</v>
          </cell>
          <cell r="J3">
            <v>1.2200000000000006</v>
          </cell>
          <cell r="K3">
            <v>2.0999999999999996</v>
          </cell>
        </row>
        <row r="4">
          <cell r="A4" t="str">
            <v>FY09e</v>
          </cell>
          <cell r="B4">
            <v>19.239999999999998</v>
          </cell>
          <cell r="C4">
            <v>15.5</v>
          </cell>
          <cell r="D4">
            <v>21.07</v>
          </cell>
          <cell r="E4">
            <v>15.5</v>
          </cell>
          <cell r="F4">
            <v>5.57</v>
          </cell>
          <cell r="J4">
            <v>1.8300000000000018</v>
          </cell>
          <cell r="K4">
            <v>3.7399999999999984</v>
          </cell>
        </row>
        <row r="5">
          <cell r="A5" t="str">
            <v>FY10e</v>
          </cell>
          <cell r="B5">
            <v>25.45</v>
          </cell>
          <cell r="C5">
            <v>19.7</v>
          </cell>
          <cell r="D5">
            <v>31.2</v>
          </cell>
          <cell r="E5">
            <v>19.7</v>
          </cell>
          <cell r="F5">
            <v>11.5</v>
          </cell>
          <cell r="G5">
            <v>25.45</v>
          </cell>
          <cell r="J5">
            <v>5.75</v>
          </cell>
          <cell r="K5">
            <v>5.75</v>
          </cell>
        </row>
        <row r="12">
          <cell r="L12">
            <v>3.4285714285714284</v>
          </cell>
        </row>
      </sheetData>
      <sheetData sheetId="29" refreshError="1">
        <row r="1">
          <cell r="N1" t="str">
            <v>SmartCharts</v>
          </cell>
          <cell r="AW1" t="str">
            <v>.</v>
          </cell>
        </row>
        <row r="2">
          <cell r="AW2" t="str">
            <v>.</v>
          </cell>
        </row>
        <row r="3">
          <cell r="AW3" t="str">
            <v>.</v>
          </cell>
        </row>
        <row r="4">
          <cell r="AW4" t="str">
            <v>.</v>
          </cell>
        </row>
        <row r="5">
          <cell r="C5" t="str">
            <v>Define value axis here:</v>
          </cell>
        </row>
        <row r="6">
          <cell r="C6" t="str">
            <v>Value axis definition</v>
          </cell>
        </row>
        <row r="10">
          <cell r="C10" t="str">
            <v>Input your data here:</v>
          </cell>
          <cell r="AW10" t="str">
            <v>.</v>
          </cell>
        </row>
        <row r="11">
          <cell r="C11">
            <v>2000</v>
          </cell>
          <cell r="D11">
            <v>7</v>
          </cell>
        </row>
        <row r="12">
          <cell r="C12">
            <v>2001</v>
          </cell>
          <cell r="D12">
            <v>9</v>
          </cell>
          <cell r="AW12" t="str">
            <v>.</v>
          </cell>
        </row>
        <row r="13">
          <cell r="C13">
            <v>2002</v>
          </cell>
          <cell r="D13">
            <v>10.5</v>
          </cell>
          <cell r="AW13" t="str">
            <v>.</v>
          </cell>
        </row>
        <row r="14">
          <cell r="C14">
            <v>2003</v>
          </cell>
          <cell r="D14">
            <v>9.3000000000000007</v>
          </cell>
          <cell r="AW14" t="str">
            <v>.</v>
          </cell>
        </row>
        <row r="15">
          <cell r="C15">
            <v>2004</v>
          </cell>
          <cell r="D15">
            <v>11</v>
          </cell>
          <cell r="AW15" t="str">
            <v>.</v>
          </cell>
        </row>
        <row r="16">
          <cell r="C16">
            <v>2005</v>
          </cell>
          <cell r="D16">
            <v>11.8</v>
          </cell>
          <cell r="AW16" t="str">
            <v>.</v>
          </cell>
        </row>
        <row r="17">
          <cell r="C17">
            <v>2006</v>
          </cell>
          <cell r="D17">
            <v>13</v>
          </cell>
          <cell r="AW17" t="str">
            <v>.</v>
          </cell>
        </row>
        <row r="18">
          <cell r="C18">
            <v>2007</v>
          </cell>
          <cell r="D18">
            <v>12.2</v>
          </cell>
          <cell r="AW18" t="str">
            <v>.</v>
          </cell>
        </row>
        <row r="19">
          <cell r="C19" t="str">
            <v>2008e</v>
          </cell>
          <cell r="D19">
            <v>14.2</v>
          </cell>
          <cell r="AW19" t="str">
            <v>.</v>
          </cell>
        </row>
        <row r="20">
          <cell r="AW20" t="str">
            <v>.</v>
          </cell>
        </row>
        <row r="21">
          <cell r="AW21" t="str">
            <v>.</v>
          </cell>
        </row>
        <row r="22">
          <cell r="AW22" t="str">
            <v>.</v>
          </cell>
        </row>
        <row r="23">
          <cell r="AW23" t="str">
            <v>.</v>
          </cell>
        </row>
        <row r="24">
          <cell r="AW24" t="str">
            <v>.</v>
          </cell>
        </row>
        <row r="25">
          <cell r="AW25" t="str">
            <v>.</v>
          </cell>
        </row>
        <row r="26">
          <cell r="AW26" t="str">
            <v>.</v>
          </cell>
        </row>
        <row r="27">
          <cell r="AW27" t="str">
            <v>.</v>
          </cell>
        </row>
        <row r="28">
          <cell r="AW28" t="str">
            <v>.</v>
          </cell>
        </row>
        <row r="29">
          <cell r="AW29" t="str">
            <v>.</v>
          </cell>
        </row>
        <row r="30">
          <cell r="AW30" t="str">
            <v>.</v>
          </cell>
        </row>
        <row r="31">
          <cell r="AW31" t="str">
            <v>.</v>
          </cell>
        </row>
        <row r="32">
          <cell r="AW32" t="str">
            <v>.</v>
          </cell>
        </row>
        <row r="33">
          <cell r="AW33" t="str">
            <v>.</v>
          </cell>
        </row>
        <row r="34">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30" refreshError="1"/>
      <sheetData sheetId="31" refreshError="1">
        <row r="1">
          <cell r="U1" t="str">
            <v>SmartCharts</v>
          </cell>
        </row>
        <row r="5">
          <cell r="C5" t="str">
            <v>Define value axis here:</v>
          </cell>
        </row>
        <row r="6">
          <cell r="C6" t="str">
            <v>profit margins</v>
          </cell>
        </row>
        <row r="8">
          <cell r="C8" t="str">
            <v>Define highlighted areas here:</v>
          </cell>
        </row>
        <row r="9">
          <cell r="C9" t="str">
            <v>MarketView forecast</v>
          </cell>
        </row>
        <row r="11">
          <cell r="C11" t="str">
            <v>Input your data here:</v>
          </cell>
          <cell r="H11" t="str">
            <v>Highlight?</v>
          </cell>
        </row>
        <row r="12">
          <cell r="D12" t="str">
            <v>EBITDA</v>
          </cell>
          <cell r="E12" t="str">
            <v>EBIT</v>
          </cell>
          <cell r="F12" t="str">
            <v>Net income</v>
          </cell>
          <cell r="Z12">
            <v>0.51801866540021901</v>
          </cell>
          <cell r="AA12">
            <v>0.29502136477202878</v>
          </cell>
          <cell r="AB12">
            <v>0.20144051222942319</v>
          </cell>
          <cell r="AH12" t="str">
            <v>No.</v>
          </cell>
          <cell r="AI12" t="str">
            <v>HighlightYes</v>
          </cell>
          <cell r="AJ12" t="str">
            <v>HighlightNo</v>
          </cell>
          <cell r="AL12" t="str">
            <v>ArrowLine</v>
          </cell>
        </row>
        <row r="13">
          <cell r="B13">
            <v>1</v>
          </cell>
          <cell r="C13">
            <v>2003</v>
          </cell>
          <cell r="D13">
            <v>0.51801866540021901</v>
          </cell>
          <cell r="E13">
            <v>0.29502136477202878</v>
          </cell>
          <cell r="F13">
            <v>0.20144051222942319</v>
          </cell>
          <cell r="I13" t="b">
            <v>0</v>
          </cell>
          <cell r="Z13">
            <v>0.41452307363459162</v>
          </cell>
          <cell r="AA13">
            <v>0.23953313561971987</v>
          </cell>
          <cell r="AB13">
            <v>0.18211988554522082</v>
          </cell>
          <cell r="AH13">
            <v>1</v>
          </cell>
          <cell r="AI13">
            <v>0</v>
          </cell>
          <cell r="AJ13">
            <v>0.51801866540021901</v>
          </cell>
          <cell r="AL13">
            <v>0.51801866540021901</v>
          </cell>
        </row>
        <row r="14">
          <cell r="B14">
            <v>2</v>
          </cell>
          <cell r="C14">
            <v>2004</v>
          </cell>
          <cell r="D14">
            <v>0.41452307363459162</v>
          </cell>
          <cell r="E14">
            <v>0.23953313561971987</v>
          </cell>
          <cell r="F14">
            <v>0.18211988554522082</v>
          </cell>
          <cell r="I14" t="b">
            <v>0</v>
          </cell>
          <cell r="Z14">
            <v>0.38230944316140969</v>
          </cell>
          <cell r="AA14">
            <v>0.26434103887528793</v>
          </cell>
          <cell r="AB14">
            <v>0.21760155412444609</v>
          </cell>
          <cell r="AH14">
            <v>2</v>
          </cell>
          <cell r="AI14">
            <v>0</v>
          </cell>
          <cell r="AJ14">
            <v>0.41452307363459162</v>
          </cell>
          <cell r="AL14">
            <v>0.41452307363459162</v>
          </cell>
        </row>
        <row r="15">
          <cell r="B15">
            <v>3</v>
          </cell>
          <cell r="C15">
            <v>2005</v>
          </cell>
          <cell r="D15">
            <v>0.38230944316140969</v>
          </cell>
          <cell r="E15">
            <v>0.26434103887528793</v>
          </cell>
          <cell r="F15">
            <v>0.21760155412444609</v>
          </cell>
          <cell r="I15" t="b">
            <v>0</v>
          </cell>
          <cell r="Z15">
            <v>0.43259605209015412</v>
          </cell>
          <cell r="AA15">
            <v>0.29291195508379769</v>
          </cell>
          <cell r="AB15">
            <v>0.23802041992813888</v>
          </cell>
          <cell r="AH15">
            <v>3</v>
          </cell>
          <cell r="AI15">
            <v>0</v>
          </cell>
          <cell r="AJ15">
            <v>0.38230944316140969</v>
          </cell>
          <cell r="AL15">
            <v>0.38230944316140969</v>
          </cell>
        </row>
        <row r="16">
          <cell r="B16">
            <v>4</v>
          </cell>
          <cell r="C16">
            <v>2006</v>
          </cell>
          <cell r="D16">
            <v>0.43259605209015412</v>
          </cell>
          <cell r="E16">
            <v>0.29291195508379769</v>
          </cell>
          <cell r="F16">
            <v>0.23802041992813888</v>
          </cell>
          <cell r="I16" t="b">
            <v>0</v>
          </cell>
          <cell r="Z16">
            <v>0.4173765518138659</v>
          </cell>
          <cell r="AA16">
            <v>0.27416333162437756</v>
          </cell>
          <cell r="AB16">
            <v>0.24267979315084837</v>
          </cell>
          <cell r="AH16">
            <v>4</v>
          </cell>
          <cell r="AI16">
            <v>0</v>
          </cell>
          <cell r="AJ16">
            <v>0.43259605209015412</v>
          </cell>
          <cell r="AL16">
            <v>0.43259605209015412</v>
          </cell>
        </row>
        <row r="17">
          <cell r="B17">
            <v>5</v>
          </cell>
          <cell r="C17">
            <v>2007</v>
          </cell>
          <cell r="D17">
            <v>0.4173765518138659</v>
          </cell>
          <cell r="E17">
            <v>0.27416333162437756</v>
          </cell>
          <cell r="F17">
            <v>0.24267979315084837</v>
          </cell>
          <cell r="I17" t="b">
            <v>0</v>
          </cell>
          <cell r="Z17">
            <v>0.35984743476442915</v>
          </cell>
          <cell r="AA17">
            <v>0.2353534741794974</v>
          </cell>
          <cell r="AB17">
            <v>0.23347697468030085</v>
          </cell>
          <cell r="AH17">
            <v>5</v>
          </cell>
          <cell r="AI17">
            <v>0</v>
          </cell>
          <cell r="AJ17">
            <v>0.4173765518138659</v>
          </cell>
          <cell r="AL17">
            <v>0.4173765518138659</v>
          </cell>
        </row>
        <row r="18">
          <cell r="C18" t="str">
            <v>2008e</v>
          </cell>
          <cell r="D18">
            <v>0.35984743476442915</v>
          </cell>
          <cell r="E18">
            <v>0.2353534741794974</v>
          </cell>
          <cell r="F18">
            <v>0.23347697468030085</v>
          </cell>
          <cell r="I18" t="b">
            <v>1</v>
          </cell>
          <cell r="Z18">
            <v>0.3718303614199947</v>
          </cell>
          <cell r="AA18">
            <v>0.2576024182750179</v>
          </cell>
          <cell r="AB18">
            <v>0.22150847058365833</v>
          </cell>
          <cell r="AH18">
            <v>6</v>
          </cell>
          <cell r="AI18">
            <v>0.35984743476442915</v>
          </cell>
          <cell r="AJ18">
            <v>0</v>
          </cell>
          <cell r="AL18">
            <v>0.35984743476442915</v>
          </cell>
        </row>
        <row r="19">
          <cell r="C19" t="str">
            <v>2009e</v>
          </cell>
          <cell r="D19">
            <v>0.3718303614199947</v>
          </cell>
          <cell r="E19">
            <v>0.2576024182750179</v>
          </cell>
          <cell r="F19">
            <v>0.22150847058365833</v>
          </cell>
          <cell r="I19" t="b">
            <v>1</v>
          </cell>
          <cell r="Z19">
            <v>0.37968151980844639</v>
          </cell>
          <cell r="AA19">
            <v>0.27408140479090526</v>
          </cell>
          <cell r="AB19">
            <v>0.22064587412664402</v>
          </cell>
          <cell r="AH19">
            <v>7</v>
          </cell>
          <cell r="AI19">
            <v>0.3718303614199947</v>
          </cell>
          <cell r="AJ19">
            <v>0</v>
          </cell>
          <cell r="AL19">
            <v>0.3718303614199947</v>
          </cell>
        </row>
        <row r="20">
          <cell r="C20" t="str">
            <v>2010e</v>
          </cell>
          <cell r="D20">
            <v>0.37968151980844639</v>
          </cell>
          <cell r="E20">
            <v>0.27408140479090526</v>
          </cell>
          <cell r="F20">
            <v>0.22064587412664402</v>
          </cell>
          <cell r="I20" t="b">
            <v>1</v>
          </cell>
          <cell r="AH20">
            <v>8</v>
          </cell>
          <cell r="AI20">
            <v>0.37968151980844639</v>
          </cell>
          <cell r="AJ20">
            <v>0</v>
          </cell>
          <cell r="AL20">
            <v>0.37968151980844639</v>
          </cell>
        </row>
        <row r="21">
          <cell r="I21" t="b">
            <v>0</v>
          </cell>
          <cell r="AH21">
            <v>9</v>
          </cell>
          <cell r="AI21">
            <v>0</v>
          </cell>
          <cell r="AJ21">
            <v>0</v>
          </cell>
          <cell r="AL21">
            <v>0</v>
          </cell>
        </row>
        <row r="22">
          <cell r="I22" t="b">
            <v>0</v>
          </cell>
          <cell r="AH22">
            <v>10</v>
          </cell>
          <cell r="AI22">
            <v>0</v>
          </cell>
          <cell r="AJ22">
            <v>0</v>
          </cell>
          <cell r="AL22">
            <v>0</v>
          </cell>
        </row>
        <row r="23">
          <cell r="I23" t="b">
            <v>0</v>
          </cell>
          <cell r="AH23">
            <v>11</v>
          </cell>
          <cell r="AI23">
            <v>0</v>
          </cell>
          <cell r="AJ23">
            <v>0</v>
          </cell>
          <cell r="AL23">
            <v>0</v>
          </cell>
        </row>
        <row r="24">
          <cell r="I24" t="b">
            <v>0</v>
          </cell>
          <cell r="AH24">
            <v>12</v>
          </cell>
          <cell r="AI24">
            <v>0</v>
          </cell>
          <cell r="AJ24">
            <v>0</v>
          </cell>
          <cell r="AL24">
            <v>0</v>
          </cell>
        </row>
        <row r="25">
          <cell r="I25" t="b">
            <v>0</v>
          </cell>
          <cell r="AH25">
            <v>13</v>
          </cell>
          <cell r="AI25">
            <v>0</v>
          </cell>
          <cell r="AJ25">
            <v>0</v>
          </cell>
          <cell r="AL25">
            <v>0</v>
          </cell>
        </row>
        <row r="26">
          <cell r="I26" t="b">
            <v>0</v>
          </cell>
          <cell r="AH26">
            <v>14</v>
          </cell>
          <cell r="AI26">
            <v>0</v>
          </cell>
          <cell r="AJ26">
            <v>0</v>
          </cell>
          <cell r="AL26">
            <v>0</v>
          </cell>
        </row>
        <row r="27">
          <cell r="I27" t="b">
            <v>0</v>
          </cell>
          <cell r="AH27">
            <v>15</v>
          </cell>
          <cell r="AI27">
            <v>0</v>
          </cell>
          <cell r="AJ27">
            <v>0</v>
          </cell>
          <cell r="AL27">
            <v>0</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32" refreshError="1"/>
      <sheetData sheetId="33" refreshError="1"/>
      <sheetData sheetId="3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ummary"/>
      <sheetName val="Division Summary"/>
      <sheetName val="BS"/>
      <sheetName val="CF"/>
      <sheetName val="IS"/>
      <sheetName val="Inputs"/>
      <sheetName val="Links"/>
      <sheetName val="Notes"/>
      <sheetName val="Preview"/>
      <sheetName val="Exhibits"/>
      <sheetName val="JV Model"/>
      <sheetName val="AEM"/>
      <sheetName val="Acetyls"/>
      <sheetName val="Cons Spec"/>
      <sheetName val="Ind Spec"/>
      <sheetName val="MWA RR"/>
      <sheetName val="Chart1"/>
      <sheetName val="DCF"/>
      <sheetName val="MW-Cache"/>
      <sheetName val="Ratios"/>
      <sheetName val="Debt"/>
      <sheetName val="Equity Investments"/>
      <sheetName val="End Markets"/>
      <sheetName val="mwareDates"/>
      <sheetName val="AFOSHEET"/>
      <sheetName val="CE.N"/>
      <sheetName val="Model Summary"/>
      <sheetName val="Earnings Charts"/>
      <sheetName val="mwareSettings"/>
      <sheetName val="Updates to Estimates"/>
      <sheetName val="SOTP"/>
    </sheetNames>
    <sheetDataSet>
      <sheetData sheetId="0"/>
      <sheetData sheetId="1" refreshError="1">
        <row r="1">
          <cell r="A1" t="str">
            <v>Vincent Andrews</v>
          </cell>
        </row>
        <row r="2">
          <cell r="A2" t="str">
            <v>Vincent.Andrews@morganstanley.com</v>
          </cell>
        </row>
        <row r="3">
          <cell r="A3" t="str">
            <v>212-761-3293</v>
          </cell>
        </row>
        <row r="6">
          <cell r="A6" t="str">
            <v>Celanese (CE.N): Valuation and Model Summary</v>
          </cell>
        </row>
        <row r="9">
          <cell r="A9" t="str">
            <v>In US$ millions (except per share data)</v>
          </cell>
        </row>
        <row r="11">
          <cell r="A11" t="str">
            <v>Price</v>
          </cell>
          <cell r="G11">
            <v>47</v>
          </cell>
        </row>
        <row r="12">
          <cell r="A12" t="str">
            <v>MS Base Case</v>
          </cell>
          <cell r="G12">
            <v>60</v>
          </cell>
        </row>
        <row r="13">
          <cell r="A13" t="str">
            <v>Upside Potential (%)</v>
          </cell>
          <cell r="G13">
            <v>0.27659574468085113</v>
          </cell>
        </row>
        <row r="14">
          <cell r="A14" t="str">
            <v>MS Rating</v>
          </cell>
          <cell r="G14" t="str">
            <v>E/W</v>
          </cell>
        </row>
        <row r="15">
          <cell r="A15" t="str">
            <v>Diluted share count</v>
          </cell>
          <cell r="G15">
            <v>159.77499999999998</v>
          </cell>
        </row>
        <row r="16">
          <cell r="A16" t="str">
            <v>Current net debt (including preferred stock)</v>
          </cell>
          <cell r="G16">
            <v>3452</v>
          </cell>
        </row>
        <row r="17">
          <cell r="A17" t="str">
            <v>Market Capitalisation</v>
          </cell>
          <cell r="G17">
            <v>7509.4249999999993</v>
          </cell>
        </row>
        <row r="18">
          <cell r="A18" t="str">
            <v>Enterprise Value</v>
          </cell>
          <cell r="G18">
            <v>10961.424999999999</v>
          </cell>
        </row>
        <row r="20">
          <cell r="A20" t="str">
            <v>Profit and Loss Summary</v>
          </cell>
          <cell r="C20">
            <v>2002</v>
          </cell>
          <cell r="D20">
            <v>2003</v>
          </cell>
          <cell r="E20">
            <v>2004</v>
          </cell>
          <cell r="F20">
            <v>2005</v>
          </cell>
          <cell r="G20">
            <v>2006</v>
          </cell>
          <cell r="H20">
            <v>2007</v>
          </cell>
          <cell r="I20">
            <v>2008</v>
          </cell>
          <cell r="J20">
            <v>2009</v>
          </cell>
          <cell r="K20">
            <v>2010</v>
          </cell>
          <cell r="L20">
            <v>2011</v>
          </cell>
          <cell r="M20" t="str">
            <v>2012e</v>
          </cell>
          <cell r="N20" t="str">
            <v>2013e</v>
          </cell>
          <cell r="O20" t="str">
            <v>2014e</v>
          </cell>
          <cell r="P20" t="str">
            <v>2015e</v>
          </cell>
          <cell r="Q20" t="str">
            <v>2016e</v>
          </cell>
          <cell r="R20" t="str">
            <v>2017e</v>
          </cell>
          <cell r="S20" t="str">
            <v>2018e</v>
          </cell>
          <cell r="T20" t="str">
            <v>2019e</v>
          </cell>
          <cell r="U20" t="str">
            <v>2020e</v>
          </cell>
        </row>
        <row r="22">
          <cell r="A22" t="str">
            <v>Revenues</v>
          </cell>
          <cell r="C22">
            <v>3836</v>
          </cell>
          <cell r="D22">
            <v>4485</v>
          </cell>
          <cell r="E22">
            <v>4927</v>
          </cell>
          <cell r="F22">
            <v>6033</v>
          </cell>
          <cell r="G22">
            <v>5778</v>
          </cell>
          <cell r="H22">
            <v>6444</v>
          </cell>
          <cell r="I22">
            <v>6823</v>
          </cell>
          <cell r="J22">
            <v>5082</v>
          </cell>
          <cell r="K22">
            <v>5918</v>
          </cell>
          <cell r="L22">
            <v>6763</v>
          </cell>
          <cell r="M22">
            <v>6418</v>
          </cell>
          <cell r="N22">
            <v>6510</v>
          </cell>
          <cell r="O22">
            <v>6863.9613156334472</v>
          </cell>
          <cell r="P22">
            <v>7152.1815308081123</v>
          </cell>
          <cell r="Q22">
            <v>7618.741830649049</v>
          </cell>
          <cell r="R22">
            <v>8011.6911516394021</v>
          </cell>
          <cell r="S22">
            <v>8281.359891516986</v>
          </cell>
          <cell r="T22">
            <v>8509.501103636052</v>
          </cell>
          <cell r="U22">
            <v>8747.4328262274994</v>
          </cell>
        </row>
        <row r="23">
          <cell r="A23" t="str">
            <v>Revenue growth (%)</v>
          </cell>
          <cell r="D23">
            <v>0.16918665276329503</v>
          </cell>
          <cell r="E23">
            <v>9.8550724637681109E-2</v>
          </cell>
          <cell r="F23">
            <v>0.22447736959610309</v>
          </cell>
          <cell r="G23">
            <v>-4.2267528592739967E-2</v>
          </cell>
          <cell r="H23">
            <v>0.11526479750778806</v>
          </cell>
          <cell r="I23">
            <v>5.8814400993171922E-2</v>
          </cell>
          <cell r="J23">
            <v>-0.25516634911329328</v>
          </cell>
          <cell r="K23">
            <v>0.16450216450216448</v>
          </cell>
          <cell r="L23">
            <v>0.14278472456911118</v>
          </cell>
          <cell r="M23">
            <v>-5.1012864113559098E-2</v>
          </cell>
          <cell r="N23">
            <v>1.4334683702087903E-2</v>
          </cell>
          <cell r="O23">
            <v>5.4371937885322241E-2</v>
          </cell>
          <cell r="P23">
            <v>4.199036123910127E-2</v>
          </cell>
          <cell r="Q23">
            <v>6.5233285513129458E-2</v>
          </cell>
          <cell r="R23">
            <v>5.1576668395505676E-2</v>
          </cell>
          <cell r="S23">
            <v>3.3659402836865748E-2</v>
          </cell>
          <cell r="T23">
            <v>2.7548761931329935E-2</v>
          </cell>
          <cell r="U23">
            <v>2.7960713524060932E-2</v>
          </cell>
        </row>
        <row r="24">
          <cell r="A24" t="str">
            <v>EBIT (Pre exceptionals)</v>
          </cell>
          <cell r="G24">
            <v>712</v>
          </cell>
          <cell r="H24">
            <v>830</v>
          </cell>
          <cell r="I24">
            <v>611</v>
          </cell>
          <cell r="J24">
            <v>407</v>
          </cell>
          <cell r="K24">
            <v>616</v>
          </cell>
          <cell r="L24">
            <v>804</v>
          </cell>
          <cell r="M24">
            <v>630</v>
          </cell>
          <cell r="N24">
            <v>783</v>
          </cell>
          <cell r="O24">
            <v>864.6822455583499</v>
          </cell>
          <cell r="P24">
            <v>846.58378559401478</v>
          </cell>
          <cell r="Q24">
            <v>807.95295517017212</v>
          </cell>
          <cell r="R24">
            <v>824.97375946218278</v>
          </cell>
          <cell r="S24">
            <v>820.79585553696063</v>
          </cell>
          <cell r="T24">
            <v>813.14912032082498</v>
          </cell>
          <cell r="U24">
            <v>819.03788076602609</v>
          </cell>
        </row>
        <row r="25">
          <cell r="A25" t="str">
            <v>EBIT Growth (%)</v>
          </cell>
          <cell r="H25">
            <v>0.16573033707865159</v>
          </cell>
          <cell r="I25">
            <v>-0.26385542168674703</v>
          </cell>
          <cell r="J25">
            <v>-0.33387888707037638</v>
          </cell>
          <cell r="K25">
            <v>0.5135135135135136</v>
          </cell>
          <cell r="L25">
            <v>0.30519480519480524</v>
          </cell>
          <cell r="M25">
            <v>-0.21641791044776115</v>
          </cell>
          <cell r="N25">
            <v>0.24285714285714288</v>
          </cell>
          <cell r="O25">
            <v>0.10431959841423999</v>
          </cell>
          <cell r="P25">
            <v>-2.0930763939357222E-2</v>
          </cell>
          <cell r="Q25">
            <v>-4.563143197543873E-2</v>
          </cell>
          <cell r="R25">
            <v>2.1066578422781701E-2</v>
          </cell>
          <cell r="S25">
            <v>-5.0642870482884295E-3</v>
          </cell>
          <cell r="T25">
            <v>-9.3162449158971095E-3</v>
          </cell>
          <cell r="U25">
            <v>7.2419194684461008E-3</v>
          </cell>
        </row>
        <row r="26">
          <cell r="A26" t="str">
            <v>EBITDA (incl JVs)</v>
          </cell>
          <cell r="G26">
            <v>1144</v>
          </cell>
          <cell r="H26">
            <v>1294</v>
          </cell>
          <cell r="I26">
            <v>1164</v>
          </cell>
          <cell r="J26">
            <v>857</v>
          </cell>
          <cell r="K26">
            <v>1122</v>
          </cell>
          <cell r="L26">
            <v>1377</v>
          </cell>
          <cell r="M26">
            <v>1262</v>
          </cell>
          <cell r="N26">
            <v>1358</v>
          </cell>
          <cell r="O26">
            <v>1465.21714581635</v>
          </cell>
          <cell r="P26">
            <v>1510.6085344442367</v>
          </cell>
          <cell r="Q26">
            <v>1509.3220131284843</v>
          </cell>
          <cell r="R26">
            <v>1556.9306015951727</v>
          </cell>
          <cell r="S26">
            <v>1578.6013039674499</v>
          </cell>
          <cell r="T26">
            <v>1593.5854483992621</v>
          </cell>
          <cell r="U26">
            <v>1623.1541076735405</v>
          </cell>
        </row>
        <row r="27">
          <cell r="A27" t="str">
            <v>EBITDA Growth (%)</v>
          </cell>
          <cell r="H27">
            <v>0.13111888111888104</v>
          </cell>
          <cell r="I27">
            <v>-0.10046367851622873</v>
          </cell>
          <cell r="J27">
            <v>-0.2637457044673539</v>
          </cell>
          <cell r="K27">
            <v>0.30921820303383907</v>
          </cell>
          <cell r="L27">
            <v>0.22727272727272729</v>
          </cell>
          <cell r="M27">
            <v>-8.3514887436456076E-2</v>
          </cell>
          <cell r="N27">
            <v>7.6069730586370898E-2</v>
          </cell>
          <cell r="O27">
            <v>7.8952242869182676E-2</v>
          </cell>
          <cell r="P27">
            <v>3.0979291197549275E-2</v>
          </cell>
          <cell r="Q27">
            <v>-8.5165765081940403E-4</v>
          </cell>
          <cell r="R27">
            <v>3.1543029289029301E-2</v>
          </cell>
          <cell r="S27">
            <v>1.3918862118885933E-2</v>
          </cell>
          <cell r="T27">
            <v>9.4920385496661819E-3</v>
          </cell>
          <cell r="U27">
            <v>1.8554799997690496E-2</v>
          </cell>
        </row>
        <row r="28">
          <cell r="A28" t="str">
            <v>EPS (Pre exceptionals)</v>
          </cell>
          <cell r="C28">
            <v>3.3380127768797152</v>
          </cell>
          <cell r="D28">
            <v>2.992489760579589</v>
          </cell>
          <cell r="E28">
            <v>-1.1737852437822835</v>
          </cell>
          <cell r="F28">
            <v>1.6666661853190319</v>
          </cell>
          <cell r="G28">
            <v>2.6250294086235382</v>
          </cell>
          <cell r="H28">
            <v>3.2880137002361831</v>
          </cell>
          <cell r="I28">
            <v>2.7527671381118881</v>
          </cell>
          <cell r="J28">
            <v>1.7630339653076033</v>
          </cell>
          <cell r="K28">
            <v>3.3844325397731438</v>
          </cell>
          <cell r="L28">
            <v>4.5109139392236068</v>
          </cell>
          <cell r="M28">
            <v>4.0744797371303401</v>
          </cell>
          <cell r="N28">
            <v>4.4966337873806168</v>
          </cell>
          <cell r="O28">
            <v>5.0876576353162228</v>
          </cell>
          <cell r="P28">
            <v>4.9986737651472692</v>
          </cell>
          <cell r="Q28">
            <v>4.9978270252733248</v>
          </cell>
          <cell r="R28">
            <v>5.2716483541715311</v>
          </cell>
          <cell r="S28">
            <v>5.4534557232883341</v>
          </cell>
          <cell r="T28">
            <v>5.6194212022976338</v>
          </cell>
          <cell r="U28">
            <v>5.7825931846049894</v>
          </cell>
        </row>
        <row r="29">
          <cell r="A29" t="str">
            <v>EPS (Pre exceptionals) growth (%)</v>
          </cell>
          <cell r="D29">
            <v>-0.1035115918948375</v>
          </cell>
          <cell r="E29">
            <v>-1.3922436959500049</v>
          </cell>
          <cell r="F29">
            <v>-2.4199072565851485</v>
          </cell>
          <cell r="G29">
            <v>0.57501810005286513</v>
          </cell>
          <cell r="H29">
            <v>0.25256261489286991</v>
          </cell>
          <cell r="I29">
            <v>-0.16278720556603743</v>
          </cell>
          <cell r="J29">
            <v>-0.35954119006344243</v>
          </cell>
          <cell r="K29">
            <v>0.91966383312567035</v>
          </cell>
          <cell r="L29">
            <v>0.33284203074290564</v>
          </cell>
          <cell r="M29">
            <v>-9.6750726786949848E-2</v>
          </cell>
          <cell r="N29">
            <v>0.10360931394583406</v>
          </cell>
          <cell r="O29">
            <v>0.13143695392634802</v>
          </cell>
          <cell r="P29">
            <v>2.0422831083008575E-2</v>
          </cell>
          <cell r="Q29">
            <v>-1.6939290574402577E-4</v>
          </cell>
          <cell r="R29">
            <v>5.4788076400709596E-2</v>
          </cell>
          <cell r="S29">
            <v>3.4487764908093022E-2</v>
          </cell>
          <cell r="T29">
            <v>3.0433084530339993E-2</v>
          </cell>
          <cell r="U29">
            <v>2.9037151057592636E-2</v>
          </cell>
        </row>
        <row r="30">
          <cell r="A30" t="str">
            <v>Reported EPS</v>
          </cell>
          <cell r="C30">
            <v>3.5764422609425521</v>
          </cell>
          <cell r="D30">
            <v>3.4777583704033059</v>
          </cell>
          <cell r="E30">
            <v>-0.81829599852250623</v>
          </cell>
          <cell r="F30">
            <v>1.3898912953382541</v>
          </cell>
          <cell r="G30">
            <v>2.3631085141932515</v>
          </cell>
          <cell r="H30">
            <v>2.4879108992906107</v>
          </cell>
          <cell r="I30">
            <v>1.7250674065501166</v>
          </cell>
          <cell r="J30">
            <v>3.1696422914194455</v>
          </cell>
          <cell r="K30">
            <v>2.3804684095046178</v>
          </cell>
          <cell r="L30">
            <v>2.6864159721736125</v>
          </cell>
          <cell r="M30">
            <v>2.3282741355030514</v>
          </cell>
          <cell r="N30">
            <v>5.5926099890402377</v>
          </cell>
          <cell r="O30">
            <v>5.0107592053258356</v>
          </cell>
          <cell r="P30">
            <v>4.9986737651472692</v>
          </cell>
          <cell r="Q30">
            <v>4.9978270252733248</v>
          </cell>
          <cell r="R30">
            <v>5.2716483541715311</v>
          </cell>
          <cell r="S30">
            <v>5.4534557232883341</v>
          </cell>
          <cell r="T30">
            <v>5.6194212022976338</v>
          </cell>
          <cell r="U30">
            <v>5.7825931846049894</v>
          </cell>
        </row>
        <row r="31">
          <cell r="A31" t="str">
            <v>DPS</v>
          </cell>
          <cell r="C31">
            <v>0</v>
          </cell>
          <cell r="D31">
            <v>0</v>
          </cell>
          <cell r="E31">
            <v>0</v>
          </cell>
          <cell r="F31">
            <v>0</v>
          </cell>
          <cell r="G31">
            <v>0.163937088915139</v>
          </cell>
          <cell r="H31">
            <v>0.16183846423842507</v>
          </cell>
          <cell r="I31">
            <v>0.16172506738544473</v>
          </cell>
          <cell r="J31">
            <v>0.16006820408743347</v>
          </cell>
          <cell r="K31">
            <v>0.22644321577937071</v>
          </cell>
          <cell r="L31">
            <v>0.20550039804658876</v>
          </cell>
          <cell r="M31">
            <v>0.26970941250789637</v>
          </cell>
          <cell r="N31">
            <v>0.52435683995602322</v>
          </cell>
          <cell r="O31">
            <v>0.92932258064516138</v>
          </cell>
          <cell r="P31">
            <v>0.96026015723959735</v>
          </cell>
          <cell r="Q31">
            <v>0.95183359021266833</v>
          </cell>
          <cell r="R31">
            <v>1.0076058091517501</v>
          </cell>
          <cell r="S31">
            <v>1.0471115898996102</v>
          </cell>
          <cell r="T31">
            <v>1.0847977640928743</v>
          </cell>
          <cell r="U31">
            <v>1.1237291405704151</v>
          </cell>
        </row>
        <row r="32">
          <cell r="A32" t="str">
            <v>Free cash flow per share</v>
          </cell>
          <cell r="C32">
            <v>2.7679896955368966</v>
          </cell>
          <cell r="D32">
            <v>2.9089078851957066</v>
          </cell>
          <cell r="E32">
            <v>-2.2509372447389007</v>
          </cell>
          <cell r="F32">
            <v>3.9535822606821753</v>
          </cell>
          <cell r="G32">
            <v>2.5377224438134425</v>
          </cell>
          <cell r="H32">
            <v>3.9713131725765622</v>
          </cell>
          <cell r="I32">
            <v>3.6520044032284384</v>
          </cell>
          <cell r="J32">
            <v>5.5118679204201602</v>
          </cell>
          <cell r="K32">
            <v>1.7679871476426869</v>
          </cell>
          <cell r="L32">
            <v>1.4658897459401681</v>
          </cell>
          <cell r="M32">
            <v>0.78235017994054146</v>
          </cell>
          <cell r="N32">
            <v>0.15656802880851728</v>
          </cell>
          <cell r="O32">
            <v>3.4625963267943076</v>
          </cell>
          <cell r="P32">
            <v>4.0265325400269081</v>
          </cell>
          <cell r="Q32">
            <v>3.8128316602297603</v>
          </cell>
          <cell r="R32">
            <v>4.4476484818939328</v>
          </cell>
          <cell r="S32">
            <v>5.052281814168512</v>
          </cell>
          <cell r="T32">
            <v>5.1037775653701978</v>
          </cell>
          <cell r="U32">
            <v>5.1645309141173179</v>
          </cell>
        </row>
        <row r="34">
          <cell r="A34" t="str">
            <v>Valuation summary</v>
          </cell>
          <cell r="C34">
            <v>2002</v>
          </cell>
          <cell r="D34">
            <v>2003</v>
          </cell>
          <cell r="E34">
            <v>2004</v>
          </cell>
          <cell r="F34">
            <v>2005</v>
          </cell>
          <cell r="G34">
            <v>2006</v>
          </cell>
          <cell r="H34">
            <v>2007</v>
          </cell>
          <cell r="I34">
            <v>2008</v>
          </cell>
          <cell r="J34">
            <v>2009</v>
          </cell>
          <cell r="K34">
            <v>2010</v>
          </cell>
          <cell r="L34">
            <v>2011</v>
          </cell>
          <cell r="M34" t="str">
            <v>2012e</v>
          </cell>
          <cell r="N34" t="str">
            <v>2013e</v>
          </cell>
          <cell r="O34" t="str">
            <v>2014e</v>
          </cell>
          <cell r="P34" t="str">
            <v>2015e</v>
          </cell>
          <cell r="Q34" t="str">
            <v>2016e</v>
          </cell>
          <cell r="R34" t="str">
            <v>2017e</v>
          </cell>
          <cell r="S34" t="str">
            <v>2018e</v>
          </cell>
          <cell r="T34" t="str">
            <v>2019e</v>
          </cell>
          <cell r="U34" t="str">
            <v>2020e</v>
          </cell>
        </row>
        <row r="36">
          <cell r="A36" t="str">
            <v>Price</v>
          </cell>
          <cell r="C36">
            <v>42.850833333333334</v>
          </cell>
          <cell r="D36">
            <v>33.434166666666663</v>
          </cell>
          <cell r="E36">
            <v>44.964166666666664</v>
          </cell>
          <cell r="F36">
            <v>54.710833333333341</v>
          </cell>
          <cell r="G36">
            <v>53.464166666666664</v>
          </cell>
          <cell r="H36">
            <v>64.243333333333339</v>
          </cell>
          <cell r="I36">
            <v>60.141666666666673</v>
          </cell>
          <cell r="J36">
            <v>40.975000000000001</v>
          </cell>
          <cell r="K36">
            <v>47</v>
          </cell>
          <cell r="L36">
            <v>47</v>
          </cell>
          <cell r="M36">
            <v>47</v>
          </cell>
          <cell r="N36">
            <v>47</v>
          </cell>
          <cell r="O36">
            <v>47</v>
          </cell>
          <cell r="P36">
            <v>47</v>
          </cell>
          <cell r="Q36">
            <v>47</v>
          </cell>
          <cell r="R36">
            <v>47</v>
          </cell>
          <cell r="S36">
            <v>47</v>
          </cell>
          <cell r="T36">
            <v>47</v>
          </cell>
          <cell r="U36">
            <v>47</v>
          </cell>
        </row>
        <row r="37">
          <cell r="A37" t="str">
            <v>Market Cap</v>
          </cell>
          <cell r="C37">
            <v>2156.6544172216668</v>
          </cell>
          <cell r="D37">
            <v>1653.5584287874997</v>
          </cell>
          <cell r="E37">
            <v>6703.7213224041661</v>
          </cell>
          <cell r="F37">
            <v>9092.9431261200025</v>
          </cell>
          <cell r="G37">
            <v>9185.5501075358334</v>
          </cell>
          <cell r="H37">
            <v>11000.25728727</v>
          </cell>
          <cell r="I37">
            <v>9831.4708953416666</v>
          </cell>
          <cell r="J37">
            <v>6437.8084729749999</v>
          </cell>
          <cell r="K37">
            <v>7443.4930240000003</v>
          </cell>
          <cell r="L37">
            <v>7470.5481980000004</v>
          </cell>
          <cell r="M37">
            <v>7509.4249999999993</v>
          </cell>
          <cell r="N37">
            <v>7504.7250000000004</v>
          </cell>
          <cell r="O37">
            <v>7334.35</v>
          </cell>
          <cell r="P37">
            <v>7640.9098734592044</v>
          </cell>
          <cell r="Q37">
            <v>7693.5038228428857</v>
          </cell>
          <cell r="R37">
            <v>7746.0977722265679</v>
          </cell>
          <cell r="S37">
            <v>7798.6917216102511</v>
          </cell>
          <cell r="T37">
            <v>7851.2856709939333</v>
          </cell>
          <cell r="U37">
            <v>7903.8796203776146</v>
          </cell>
        </row>
        <row r="38">
          <cell r="A38" t="str">
            <v>P/E (x)</v>
          </cell>
          <cell r="C38">
            <v>12.837228673938494</v>
          </cell>
          <cell r="D38">
            <v>11.172692086402025</v>
          </cell>
          <cell r="E38">
            <v>-38.306978985166666</v>
          </cell>
          <cell r="F38">
            <v>32.82650948057762</v>
          </cell>
          <cell r="G38">
            <v>20.367073409170363</v>
          </cell>
          <cell r="H38">
            <v>19.53864527046181</v>
          </cell>
          <cell r="I38">
            <v>21.847713100759261</v>
          </cell>
          <cell r="J38">
            <v>23.24118582301444</v>
          </cell>
          <cell r="K38">
            <v>13.887113850746269</v>
          </cell>
          <cell r="L38">
            <v>10.419174613668062</v>
          </cell>
          <cell r="M38">
            <v>11.535215053763439</v>
          </cell>
          <cell r="N38">
            <v>10.452263231197772</v>
          </cell>
          <cell r="O38">
            <v>9.2380429991490018</v>
          </cell>
          <cell r="P38">
            <v>9.4024939830445806</v>
          </cell>
          <cell r="Q38">
            <v>9.4040869686620709</v>
          </cell>
          <cell r="R38">
            <v>8.915617439241414</v>
          </cell>
          <cell r="S38">
            <v>8.618388483341322</v>
          </cell>
          <cell r="T38">
            <v>8.3638507077531283</v>
          </cell>
          <cell r="U38">
            <v>8.1278413506812495</v>
          </cell>
        </row>
        <row r="39">
          <cell r="A39" t="str">
            <v>EV/ EBITDA (x)</v>
          </cell>
          <cell r="G39">
            <v>10.533697646447406</v>
          </cell>
          <cell r="H39">
            <v>11.329410577488408</v>
          </cell>
          <cell r="I39">
            <v>11.175662281221364</v>
          </cell>
          <cell r="J39">
            <v>11.564537308022171</v>
          </cell>
          <cell r="K39">
            <v>9.7268208770053466</v>
          </cell>
          <cell r="L39">
            <v>7.8863821336238198</v>
          </cell>
          <cell r="M39">
            <v>8.4298137876386683</v>
          </cell>
          <cell r="N39">
            <v>7.5272671999111394</v>
          </cell>
          <cell r="O39">
            <v>6.0772926585699958</v>
          </cell>
          <cell r="P39">
            <v>5.7223683354548269</v>
          </cell>
          <cell r="Q39">
            <v>5.2878855968934841</v>
          </cell>
          <cell r="R39">
            <v>4.6689841803937506</v>
          </cell>
          <cell r="S39">
            <v>4.1328268770905012</v>
          </cell>
          <cell r="T39">
            <v>3.6106074268368973</v>
          </cell>
          <cell r="U39">
            <v>4.8531310964747032</v>
          </cell>
        </row>
        <row r="40">
          <cell r="A40" t="str">
            <v>EV/ Sales (x)</v>
          </cell>
          <cell r="C40">
            <v>1.0291069909336983</v>
          </cell>
          <cell r="D40">
            <v>0.73747122158026757</v>
          </cell>
          <cell r="E40">
            <v>2.0809257808817061</v>
          </cell>
          <cell r="F40">
            <v>2.1988965897762309</v>
          </cell>
          <cell r="G40">
            <v>2.2121062837549035</v>
          </cell>
          <cell r="H40">
            <v>2.1992950476831159</v>
          </cell>
          <cell r="I40">
            <v>2.0160443932788605</v>
          </cell>
          <cell r="J40">
            <v>1.9460465314787487</v>
          </cell>
          <cell r="K40">
            <v>1.8929525217979046</v>
          </cell>
          <cell r="L40">
            <v>1.6610303412686678</v>
          </cell>
          <cell r="M40">
            <v>1.7446907136179495</v>
          </cell>
          <cell r="N40">
            <v>1.6465015360983104</v>
          </cell>
          <cell r="O40">
            <v>1.4740254777420185</v>
          </cell>
          <cell r="P40">
            <v>1.3128514473064155</v>
          </cell>
          <cell r="Q40">
            <v>1.1708775881014548</v>
          </cell>
          <cell r="R40">
            <v>1.0403911562491079</v>
          </cell>
          <cell r="S40">
            <v>0.92106687627517358</v>
          </cell>
          <cell r="T40">
            <v>0.80923915012490077</v>
          </cell>
          <cell r="U40">
            <v>0.69963950671249908</v>
          </cell>
        </row>
        <row r="41">
          <cell r="A41" t="str">
            <v>Price/ Free cash flow</v>
          </cell>
          <cell r="C41">
            <v>15.480850019935396</v>
          </cell>
          <cell r="D41">
            <v>11.493717912768236</v>
          </cell>
          <cell r="E41">
            <v>-19.975753109848391</v>
          </cell>
          <cell r="F41">
            <v>13.838293913199923</v>
          </cell>
          <cell r="G41">
            <v>21.067775475999618</v>
          </cell>
          <cell r="H41">
            <v>16.176848951867647</v>
          </cell>
          <cell r="I41">
            <v>16.468125452833611</v>
          </cell>
          <cell r="J41">
            <v>7.4339589757217093</v>
          </cell>
          <cell r="K41">
            <v>26.583903657142862</v>
          </cell>
          <cell r="L41">
            <v>32.062438618025752</v>
          </cell>
          <cell r="M41">
            <v>60.075399999999995</v>
          </cell>
          <cell r="N41">
            <v>300.18900000000002</v>
          </cell>
          <cell r="O41">
            <v>13.573629601667394</v>
          </cell>
          <cell r="P41">
            <v>11.672574239195374</v>
          </cell>
          <cell r="Q41">
            <v>12.326796509334427</v>
          </cell>
          <cell r="R41">
            <v>10.567381885356662</v>
          </cell>
          <cell r="S41">
            <v>9.3027273079253412</v>
          </cell>
          <cell r="T41">
            <v>9.2088652763594521</v>
          </cell>
          <cell r="U41">
            <v>9.1005360954515417</v>
          </cell>
        </row>
        <row r="42">
          <cell r="A42" t="str">
            <v>Free cash flow yield</v>
          </cell>
          <cell r="C42">
            <v>6.4595936186466155E-2</v>
          </cell>
          <cell r="D42">
            <v>8.7004049306718387E-2</v>
          </cell>
          <cell r="E42">
            <v>-5.0060690803541356E-2</v>
          </cell>
          <cell r="F42">
            <v>7.2263243306758415E-2</v>
          </cell>
          <cell r="G42">
            <v>4.7465856143150881E-2</v>
          </cell>
          <cell r="H42">
            <v>6.1816735940069971E-2</v>
          </cell>
          <cell r="I42">
            <v>6.0723365440960589E-2</v>
          </cell>
          <cell r="J42">
            <v>0.13451782600171228</v>
          </cell>
          <cell r="K42">
            <v>3.7616747822184826E-2</v>
          </cell>
          <cell r="L42">
            <v>3.1189143530641873E-2</v>
          </cell>
          <cell r="M42">
            <v>1.6645748509373223E-2</v>
          </cell>
          <cell r="N42">
            <v>3.3312346555003677E-3</v>
          </cell>
          <cell r="O42">
            <v>7.3672262272219305E-2</v>
          </cell>
          <cell r="P42">
            <v>8.5670905106955492E-2</v>
          </cell>
          <cell r="Q42">
            <v>8.1124077877228945E-2</v>
          </cell>
          <cell r="R42">
            <v>9.4630818763700691E-2</v>
          </cell>
          <cell r="S42">
            <v>0.10749535774826621</v>
          </cell>
          <cell r="T42">
            <v>0.10859101202915314</v>
          </cell>
          <cell r="U42">
            <v>0.10988363647058123</v>
          </cell>
        </row>
        <row r="43">
          <cell r="A43" t="str">
            <v>Dividend Yield (%)</v>
          </cell>
          <cell r="C43">
            <v>0</v>
          </cell>
          <cell r="D43">
            <v>0</v>
          </cell>
          <cell r="E43">
            <v>0</v>
          </cell>
          <cell r="F43">
            <v>0</v>
          </cell>
          <cell r="G43">
            <v>3.0662984038868214E-3</v>
          </cell>
          <cell r="H43">
            <v>2.5191479931265253E-3</v>
          </cell>
          <cell r="I43">
            <v>2.6890686000073947E-3</v>
          </cell>
          <cell r="J43">
            <v>3.9064845414870887E-3</v>
          </cell>
          <cell r="K43">
            <v>4.8179407612632067E-3</v>
          </cell>
          <cell r="L43">
            <v>4.3723488946082719E-3</v>
          </cell>
          <cell r="M43">
            <v>5.7384981384658801E-3</v>
          </cell>
          <cell r="N43">
            <v>1.1156528509702621E-2</v>
          </cell>
          <cell r="O43">
            <v>1.9772820864790666E-2</v>
          </cell>
          <cell r="P43">
            <v>2.0431067175310583E-2</v>
          </cell>
          <cell r="Q43">
            <v>2.0251778515163157E-2</v>
          </cell>
          <cell r="R43">
            <v>2.1438421471313831E-2</v>
          </cell>
          <cell r="S43">
            <v>2.2278969997864047E-2</v>
          </cell>
          <cell r="T43">
            <v>2.3080803491337752E-2</v>
          </cell>
          <cell r="U43">
            <v>2.3909130650434363E-2</v>
          </cell>
        </row>
        <row r="44">
          <cell r="A44" t="str">
            <v>Price/ Book value</v>
          </cell>
          <cell r="C44">
            <v>1.0225957407404773</v>
          </cell>
          <cell r="D44">
            <v>0.63598401107211522</v>
          </cell>
          <cell r="E44">
            <v>16.511628872916667</v>
          </cell>
          <cell r="F44">
            <v>30.411181023812716</v>
          </cell>
          <cell r="G44">
            <v>10.668467023851143</v>
          </cell>
          <cell r="H44">
            <v>10.309519481977507</v>
          </cell>
          <cell r="I44">
            <v>53.431907039900359</v>
          </cell>
          <cell r="J44">
            <v>10.986021284940273</v>
          </cell>
          <cell r="K44">
            <v>8.0383293995680347</v>
          </cell>
          <cell r="L44">
            <v>5.5708785965697247</v>
          </cell>
          <cell r="M44">
            <v>4.3407080924855483</v>
          </cell>
          <cell r="N44">
            <v>2.7805576139310859</v>
          </cell>
          <cell r="O44">
            <v>2.1979637461675705</v>
          </cell>
          <cell r="P44">
            <v>1.8640443223584571</v>
          </cell>
          <cell r="Q44">
            <v>1.5814593187419035</v>
          </cell>
          <cell r="R44">
            <v>1.3654549936218263</v>
          </cell>
          <cell r="S44">
            <v>1.1978064791983882</v>
          </cell>
          <cell r="T44">
            <v>1.0643570253383074</v>
          </cell>
          <cell r="U44">
            <v>0.95573150219549174</v>
          </cell>
        </row>
        <row r="46">
          <cell r="A46" t="str">
            <v>Key financial ratios</v>
          </cell>
          <cell r="C46">
            <v>2002</v>
          </cell>
          <cell r="D46">
            <v>2003</v>
          </cell>
          <cell r="E46">
            <v>2004</v>
          </cell>
          <cell r="F46">
            <v>2005</v>
          </cell>
          <cell r="G46">
            <v>2006</v>
          </cell>
          <cell r="H46">
            <v>2007</v>
          </cell>
          <cell r="I46">
            <v>2008</v>
          </cell>
          <cell r="J46">
            <v>2009</v>
          </cell>
          <cell r="K46">
            <v>2010</v>
          </cell>
          <cell r="L46">
            <v>2011</v>
          </cell>
          <cell r="M46" t="str">
            <v>2012e</v>
          </cell>
          <cell r="N46" t="str">
            <v>2013e</v>
          </cell>
          <cell r="O46" t="str">
            <v>2014e</v>
          </cell>
          <cell r="P46" t="str">
            <v>2015e</v>
          </cell>
          <cell r="Q46" t="str">
            <v>2016e</v>
          </cell>
          <cell r="R46" t="str">
            <v>2017e</v>
          </cell>
          <cell r="S46" t="str">
            <v>2018e</v>
          </cell>
          <cell r="T46" t="str">
            <v>2019e</v>
          </cell>
          <cell r="U46" t="str">
            <v>2020e</v>
          </cell>
        </row>
        <row r="48">
          <cell r="A48" t="str">
            <v>Gross margin (%)</v>
          </cell>
          <cell r="C48">
            <v>0.17335766423357665</v>
          </cell>
          <cell r="D48">
            <v>0.15384615384615385</v>
          </cell>
          <cell r="E48">
            <v>0.19322102699411406</v>
          </cell>
          <cell r="F48">
            <v>0.2158130283441074</v>
          </cell>
          <cell r="G48">
            <v>0.22654897888542749</v>
          </cell>
          <cell r="H48">
            <v>0.22423960273122284</v>
          </cell>
          <cell r="I48">
            <v>0.18408324783819435</v>
          </cell>
          <cell r="J48">
            <v>0.19736324281778828</v>
          </cell>
          <cell r="K48">
            <v>0.19939168638053398</v>
          </cell>
          <cell r="L48">
            <v>0.2095224013011977</v>
          </cell>
          <cell r="M48">
            <v>0.1840137114365846</v>
          </cell>
          <cell r="N48">
            <v>0.20967741935483872</v>
          </cell>
          <cell r="O48">
            <v>0.22078196605682088</v>
          </cell>
          <cell r="P48">
            <v>0.21886261924539993</v>
          </cell>
          <cell r="Q48">
            <v>0.20132646216862526</v>
          </cell>
          <cell r="R48">
            <v>0.20095703007116153</v>
          </cell>
          <cell r="S48">
            <v>0.20099722799513403</v>
          </cell>
          <cell r="T48">
            <v>0.20129133840623045</v>
          </cell>
          <cell r="U48">
            <v>0.20156311713567762</v>
          </cell>
        </row>
        <row r="49">
          <cell r="A49" t="str">
            <v>EBITDA margin incl JVs (%)</v>
          </cell>
          <cell r="G49">
            <v>0.19799238490827276</v>
          </cell>
          <cell r="H49">
            <v>0.20080695220360026</v>
          </cell>
          <cell r="I49">
            <v>0.17059944306023744</v>
          </cell>
          <cell r="J49">
            <v>0.16863439590712317</v>
          </cell>
          <cell r="K49">
            <v>0.1895910780669145</v>
          </cell>
          <cell r="L49">
            <v>0.20360786633150968</v>
          </cell>
          <cell r="M49">
            <v>0.19663446556559677</v>
          </cell>
          <cell r="N49">
            <v>0.2086021505376344</v>
          </cell>
          <cell r="O49">
            <v>0.21346523944987167</v>
          </cell>
          <cell r="P49">
            <v>0.211209478945308</v>
          </cell>
          <cell r="Q49">
            <v>0.19810646517207206</v>
          </cell>
          <cell r="R49">
            <v>0.19433232910839104</v>
          </cell>
          <cell r="S49">
            <v>0.19062102416107898</v>
          </cell>
          <cell r="T49">
            <v>0.1872713134402596</v>
          </cell>
          <cell r="U49">
            <v>0.18555776762375634</v>
          </cell>
        </row>
        <row r="50">
          <cell r="A50" t="str">
            <v>Capex/ depreciation</v>
          </cell>
          <cell r="D50">
            <v>0.71768707482993199</v>
          </cell>
          <cell r="E50">
            <v>0.8127490039840638</v>
          </cell>
          <cell r="F50">
            <v>0.74125874125874125</v>
          </cell>
          <cell r="G50">
            <v>0.90079365079365081</v>
          </cell>
          <cell r="H50">
            <v>1.1548117154811715</v>
          </cell>
          <cell r="I50">
            <v>0.86619718309859151</v>
          </cell>
          <cell r="J50">
            <v>0.72314049586776863</v>
          </cell>
          <cell r="K50">
            <v>0.70292887029288698</v>
          </cell>
          <cell r="L50">
            <v>1.3734939759036144</v>
          </cell>
          <cell r="M50">
            <v>1.2700729927007299</v>
          </cell>
          <cell r="N50">
            <v>1.2369337979094077</v>
          </cell>
          <cell r="O50">
            <v>1.698778039333332</v>
          </cell>
          <cell r="P50">
            <v>1.5466343859477349</v>
          </cell>
          <cell r="Q50">
            <v>1.6381451878264348</v>
          </cell>
          <cell r="R50">
            <v>1.2821752627922036</v>
          </cell>
          <cell r="S50">
            <v>1.0636002617175651</v>
          </cell>
          <cell r="T50">
            <v>1.0765348534538324</v>
          </cell>
          <cell r="U50">
            <v>1.0889578608765125</v>
          </cell>
        </row>
        <row r="51">
          <cell r="A51" t="str">
            <v>Net Debt/(Cash) on B/S (m)</v>
          </cell>
          <cell r="C51">
            <v>1791</v>
          </cell>
          <cell r="D51">
            <v>1654</v>
          </cell>
          <cell r="E51">
            <v>3549</v>
          </cell>
          <cell r="F51">
            <v>4173</v>
          </cell>
          <cell r="G51">
            <v>3596</v>
          </cell>
          <cell r="H51">
            <v>3172</v>
          </cell>
          <cell r="I51">
            <v>3924</v>
          </cell>
          <cell r="J51">
            <v>3452</v>
          </cell>
          <cell r="K51">
            <v>3759</v>
          </cell>
          <cell r="L51">
            <v>3763</v>
          </cell>
          <cell r="M51">
            <v>3688</v>
          </cell>
          <cell r="N51">
            <v>3214</v>
          </cell>
          <cell r="O51">
            <v>2783.3038574793268</v>
          </cell>
          <cell r="P51">
            <v>1784.2764079455856</v>
          </cell>
          <cell r="Q51">
            <v>1262.0911995565198</v>
          </cell>
          <cell r="R51">
            <v>621.76537406228545</v>
          </cell>
          <cell r="S51">
            <v>-142.07678657035922</v>
          </cell>
          <cell r="T51">
            <v>-939.67410893255601</v>
          </cell>
          <cell r="U51">
            <v>-1761.919295680214</v>
          </cell>
        </row>
        <row r="52">
          <cell r="A52" t="str">
            <v>Net debt to capital</v>
          </cell>
          <cell r="C52">
            <v>0.45923076923076922</v>
          </cell>
          <cell r="D52">
            <v>0.38881053126469206</v>
          </cell>
          <cell r="E52">
            <v>0.89734513274336281</v>
          </cell>
          <cell r="F52">
            <v>0.93313953488372092</v>
          </cell>
          <cell r="G52">
            <v>0.80682073143369981</v>
          </cell>
          <cell r="H52">
            <v>0.74828969096485021</v>
          </cell>
          <cell r="I52">
            <v>0.9552093476144109</v>
          </cell>
          <cell r="J52">
            <v>0.85487865279841502</v>
          </cell>
          <cell r="K52">
            <v>0.80234791889007473</v>
          </cell>
          <cell r="L52">
            <v>0.73726489028213171</v>
          </cell>
          <cell r="M52">
            <v>0.68069398301956441</v>
          </cell>
          <cell r="N52">
            <v>0.54354811432437</v>
          </cell>
          <cell r="O52">
            <v>0.4547742543402653</v>
          </cell>
          <cell r="P52">
            <v>0.30327406270455487</v>
          </cell>
          <cell r="Q52">
            <v>0.20599166599474278</v>
          </cell>
          <cell r="R52">
            <v>9.8776463616144505E-2</v>
          </cell>
          <cell r="S52">
            <v>-2.2308480705269286E-2</v>
          </cell>
          <cell r="T52">
            <v>-0.14598288566594772</v>
          </cell>
          <cell r="U52">
            <v>-0.27072880831745666</v>
          </cell>
        </row>
        <row r="53">
          <cell r="A53" t="str">
            <v>Net debt/ EBITDA</v>
          </cell>
          <cell r="C53">
            <v>3.8599137931034484</v>
          </cell>
          <cell r="D53">
            <v>3.5116772823779194</v>
          </cell>
          <cell r="E53">
            <v>8.5724637681159415</v>
          </cell>
          <cell r="F53">
            <v>4.1398809523809526</v>
          </cell>
          <cell r="G53">
            <v>3.1433566433566433</v>
          </cell>
          <cell r="H53">
            <v>2.4513137557959817</v>
          </cell>
          <cell r="I53">
            <v>3.3711340206185567</v>
          </cell>
          <cell r="J53">
            <v>4.0280046674445744</v>
          </cell>
          <cell r="K53">
            <v>3.3443060498220643</v>
          </cell>
          <cell r="L53">
            <v>2.7327523602033406</v>
          </cell>
          <cell r="M53">
            <v>2.9223454833597464</v>
          </cell>
          <cell r="N53">
            <v>2.3667157584683358</v>
          </cell>
          <cell r="O53">
            <v>1.8995845533384066</v>
          </cell>
          <cell r="P53">
            <v>1.186139120095373</v>
          </cell>
          <cell r="Q53">
            <v>0.83263502599236494</v>
          </cell>
          <cell r="R53">
            <v>0.39772631166814237</v>
          </cell>
          <cell r="S53">
            <v>-8.9659059858376494E-2</v>
          </cell>
          <cell r="T53">
            <v>-0.58756131772707287</v>
          </cell>
          <cell r="U53">
            <v>-1.0818516645039604</v>
          </cell>
        </row>
        <row r="54">
          <cell r="A54" t="str">
            <v>RNOA</v>
          </cell>
          <cell r="D54">
            <v>3.5093917710196779E-2</v>
          </cell>
          <cell r="E54">
            <v>6.4426609417060901E-3</v>
          </cell>
          <cell r="F54">
            <v>0.13099508508149837</v>
          </cell>
          <cell r="G54">
            <v>0.1440552795965982</v>
          </cell>
          <cell r="H54">
            <v>0.16209724768907147</v>
          </cell>
          <cell r="I54">
            <v>0.1461887744458677</v>
          </cell>
          <cell r="J54">
            <v>0.10389259027983574</v>
          </cell>
          <cell r="K54">
            <v>0.17182654172506184</v>
          </cell>
          <cell r="L54">
            <v>0.1906461350815673</v>
          </cell>
          <cell r="M54">
            <v>0.15650540192566054</v>
          </cell>
          <cell r="N54">
            <v>0.15794854873021705</v>
          </cell>
          <cell r="O54">
            <v>0.1557180309405603</v>
          </cell>
          <cell r="P54">
            <v>0.15191660671704807</v>
          </cell>
          <cell r="Q54">
            <v>0.14428763925941276</v>
          </cell>
          <cell r="R54">
            <v>0.14393167202967255</v>
          </cell>
          <cell r="S54">
            <v>0.14280341236752728</v>
          </cell>
          <cell r="T54">
            <v>0.14330747893751344</v>
          </cell>
          <cell r="U54">
            <v>0.14398320794364092</v>
          </cell>
        </row>
        <row r="55">
          <cell r="A55" t="str">
            <v>ROE</v>
          </cell>
          <cell r="D55">
            <v>8.2061068702290074E-2</v>
          </cell>
          <cell r="E55">
            <v>-4.7250193648334625E-2</v>
          </cell>
          <cell r="F55">
            <v>-1.9732142857142858</v>
          </cell>
          <cell r="G55">
            <v>1.876595744680851</v>
          </cell>
          <cell r="H55">
            <v>0.70266836086404061</v>
          </cell>
          <cell r="I55">
            <v>0.4143126177024482</v>
          </cell>
          <cell r="J55">
            <v>1.4670329670329669</v>
          </cell>
          <cell r="K55">
            <v>0.90955631399317405</v>
          </cell>
          <cell r="L55">
            <v>0.77429805615550751</v>
          </cell>
          <cell r="M55">
            <v>0.4854586129753915</v>
          </cell>
          <cell r="N55">
            <v>0.41502890173410406</v>
          </cell>
          <cell r="O55">
            <v>0.29415671507636038</v>
          </cell>
          <cell r="P55">
            <v>0.24584589739271559</v>
          </cell>
          <cell r="Q55">
            <v>0.19958077034966551</v>
          </cell>
          <cell r="R55">
            <v>0.17859339786366552</v>
          </cell>
          <cell r="S55">
            <v>0.15951080338598109</v>
          </cell>
          <cell r="T55">
            <v>0.14417813786452549</v>
          </cell>
          <cell r="U55">
            <v>0.13182921036447651</v>
          </cell>
        </row>
        <row r="59">
          <cell r="A59" t="str">
            <v>PE at Price Target</v>
          </cell>
          <cell r="G59">
            <v>22.856886784922395</v>
          </cell>
          <cell r="H59">
            <v>18.248099147424508</v>
          </cell>
          <cell r="I59">
            <v>21.796249733333333</v>
          </cell>
          <cell r="J59">
            <v>34.032242815884473</v>
          </cell>
          <cell r="K59">
            <v>17.728230447761195</v>
          </cell>
          <cell r="L59">
            <v>13.301073974895399</v>
          </cell>
          <cell r="M59">
            <v>14.725806451612902</v>
          </cell>
          <cell r="N59">
            <v>13.343314763231199</v>
          </cell>
          <cell r="O59">
            <v>11.793246381892343</v>
          </cell>
          <cell r="P59">
            <v>11.00291849079685</v>
          </cell>
          <cell r="Q59">
            <v>11.004782622902423</v>
          </cell>
          <cell r="R59">
            <v>10.433169343793145</v>
          </cell>
          <cell r="S59">
            <v>10.085348225186653</v>
          </cell>
          <cell r="T59">
            <v>9.7874848707749376</v>
          </cell>
          <cell r="U59">
            <v>9.5113037082440144</v>
          </cell>
        </row>
        <row r="76">
          <cell r="A76" t="str">
            <v>Profit and Loss Summary</v>
          </cell>
        </row>
        <row r="78">
          <cell r="A78" t="str">
            <v>Revenues</v>
          </cell>
        </row>
        <row r="79">
          <cell r="A79" t="str">
            <v>Revenue growth (%)</v>
          </cell>
        </row>
        <row r="80">
          <cell r="A80" t="str">
            <v>EBIT (Pre exceptionals)</v>
          </cell>
        </row>
        <row r="81">
          <cell r="A81" t="str">
            <v>EBIT Growth (%)</v>
          </cell>
        </row>
        <row r="82">
          <cell r="A82" t="str">
            <v>EBITDA</v>
          </cell>
        </row>
        <row r="83">
          <cell r="A83" t="str">
            <v>EBITDA Growth (%)</v>
          </cell>
        </row>
        <row r="84">
          <cell r="A84" t="str">
            <v>EPS (Pre exceptionals)</v>
          </cell>
        </row>
        <row r="85">
          <cell r="A85" t="str">
            <v>EPS (Pre exceptionals) growth (%)</v>
          </cell>
        </row>
        <row r="86">
          <cell r="A86" t="str">
            <v>Reported EPS</v>
          </cell>
        </row>
        <row r="87">
          <cell r="A87" t="str">
            <v>DPS</v>
          </cell>
        </row>
        <row r="88">
          <cell r="A88" t="str">
            <v>Free cash flow per share</v>
          </cell>
        </row>
        <row r="90">
          <cell r="A90" t="str">
            <v>Profit and Loss Summary</v>
          </cell>
        </row>
        <row r="92">
          <cell r="A92" t="str">
            <v>Revenues</v>
          </cell>
        </row>
        <row r="93">
          <cell r="A93" t="str">
            <v>Revenue growth (%)</v>
          </cell>
        </row>
        <row r="94">
          <cell r="A94" t="str">
            <v>EBIT (Pre exceptionals)</v>
          </cell>
        </row>
        <row r="95">
          <cell r="A95" t="str">
            <v>EBIT Growth (%)</v>
          </cell>
        </row>
        <row r="96">
          <cell r="A96" t="str">
            <v>EBITDA</v>
          </cell>
        </row>
        <row r="97">
          <cell r="A97" t="str">
            <v>EBITDA Growth (%)</v>
          </cell>
        </row>
        <row r="98">
          <cell r="A98" t="str">
            <v>EPS (Pre exceptionals)</v>
          </cell>
        </row>
        <row r="99">
          <cell r="A99" t="str">
            <v>EPS (Pre exceptionals) growth (%)</v>
          </cell>
        </row>
        <row r="100">
          <cell r="A100" t="str">
            <v>Reported EPS</v>
          </cell>
        </row>
        <row r="101">
          <cell r="A101" t="str">
            <v>DPS</v>
          </cell>
        </row>
        <row r="102">
          <cell r="A102" t="str">
            <v>Free cash flow per share</v>
          </cell>
        </row>
        <row r="104">
          <cell r="A104" t="str">
            <v>Profit and Loss Summary</v>
          </cell>
        </row>
        <row r="106">
          <cell r="A106" t="str">
            <v>Revenues</v>
          </cell>
        </row>
        <row r="107">
          <cell r="A107" t="str">
            <v>Revenue growth (%)</v>
          </cell>
        </row>
        <row r="108">
          <cell r="A108" t="str">
            <v>EBIT (Pre exceptionals)</v>
          </cell>
        </row>
        <row r="109">
          <cell r="A109" t="str">
            <v>EBIT Growth (%)</v>
          </cell>
        </row>
        <row r="110">
          <cell r="A110" t="str">
            <v>EBITDA</v>
          </cell>
        </row>
        <row r="111">
          <cell r="A111" t="str">
            <v>EBITDA Growth (%)</v>
          </cell>
        </row>
        <row r="112">
          <cell r="A112" t="str">
            <v>EPS (Pre exceptionals)</v>
          </cell>
        </row>
        <row r="113">
          <cell r="A113" t="str">
            <v>EPS (Pre exceptionals) growth (%)</v>
          </cell>
        </row>
        <row r="114">
          <cell r="A114" t="str">
            <v>Reported EPS</v>
          </cell>
        </row>
        <row r="115">
          <cell r="A115" t="str">
            <v>DPS</v>
          </cell>
        </row>
        <row r="116">
          <cell r="A116" t="str">
            <v>Free cash flow per share</v>
          </cell>
        </row>
      </sheetData>
      <sheetData sheetId="2" refreshError="1">
        <row r="2">
          <cell r="A2" t="str">
            <v>Annual Segment Summary</v>
          </cell>
        </row>
        <row r="6">
          <cell r="C6">
            <v>2002</v>
          </cell>
          <cell r="D6">
            <v>2003</v>
          </cell>
          <cell r="E6">
            <v>2004</v>
          </cell>
          <cell r="F6">
            <v>2005</v>
          </cell>
          <cell r="G6">
            <v>2006</v>
          </cell>
          <cell r="H6">
            <v>2007</v>
          </cell>
          <cell r="I6">
            <v>2008</v>
          </cell>
          <cell r="J6">
            <v>2009</v>
          </cell>
          <cell r="K6">
            <v>2010</v>
          </cell>
          <cell r="L6">
            <v>2011</v>
          </cell>
          <cell r="M6" t="str">
            <v>2012e</v>
          </cell>
          <cell r="N6" t="str">
            <v>2013e</v>
          </cell>
          <cell r="O6" t="str">
            <v>2014e</v>
          </cell>
          <cell r="P6" t="str">
            <v>2015e</v>
          </cell>
          <cell r="Q6" t="str">
            <v>2016e</v>
          </cell>
          <cell r="R6" t="str">
            <v>2017e</v>
          </cell>
          <cell r="S6" t="str">
            <v>2018e</v>
          </cell>
          <cell r="T6" t="str">
            <v>2019e</v>
          </cell>
          <cell r="U6" t="str">
            <v>2020e</v>
          </cell>
        </row>
        <row r="7">
          <cell r="A7" t="str">
            <v>Revenue</v>
          </cell>
        </row>
        <row r="8">
          <cell r="A8" t="str">
            <v>Bull Case</v>
          </cell>
        </row>
        <row r="9">
          <cell r="A9" t="str">
            <v>Advanced Engineering Materials</v>
          </cell>
          <cell r="G9">
            <v>915</v>
          </cell>
          <cell r="H9">
            <v>1030</v>
          </cell>
          <cell r="I9">
            <v>1061</v>
          </cell>
          <cell r="J9">
            <v>808</v>
          </cell>
          <cell r="K9">
            <v>1109</v>
          </cell>
          <cell r="L9">
            <v>1298</v>
          </cell>
          <cell r="M9">
            <v>1288.1600000000001</v>
          </cell>
          <cell r="N9">
            <v>1391.2728</v>
          </cell>
          <cell r="O9">
            <v>1508.8772059999999</v>
          </cell>
          <cell r="P9">
            <v>1632.8589161781058</v>
          </cell>
          <cell r="Q9">
            <v>1768.7730992652612</v>
          </cell>
          <cell r="R9">
            <v>1917.9281949740423</v>
          </cell>
          <cell r="S9">
            <v>2047.1625775455648</v>
          </cell>
          <cell r="T9">
            <v>2155.2188863567603</v>
          </cell>
          <cell r="U9">
            <v>2269.2988787402746</v>
          </cell>
        </row>
        <row r="10">
          <cell r="A10" t="str">
            <v>Consumer Specialties</v>
          </cell>
          <cell r="G10">
            <v>876</v>
          </cell>
          <cell r="H10">
            <v>1111</v>
          </cell>
          <cell r="I10">
            <v>1155</v>
          </cell>
          <cell r="J10">
            <v>1084</v>
          </cell>
          <cell r="K10">
            <v>1098</v>
          </cell>
          <cell r="L10">
            <v>1161</v>
          </cell>
          <cell r="M10">
            <v>1270.54</v>
          </cell>
          <cell r="N10">
            <v>1398.0886000000003</v>
          </cell>
          <cell r="O10">
            <v>1467.9930300000003</v>
          </cell>
          <cell r="P10">
            <v>1541.3926815000004</v>
          </cell>
          <cell r="Q10">
            <v>1541.3926815000004</v>
          </cell>
          <cell r="R10">
            <v>1541.3926815000004</v>
          </cell>
          <cell r="S10">
            <v>1541.3926815000004</v>
          </cell>
          <cell r="T10">
            <v>1541.3926815000004</v>
          </cell>
          <cell r="U10">
            <v>1541.3926815000004</v>
          </cell>
        </row>
        <row r="11">
          <cell r="A11" t="str">
            <v>Industrial Specialties</v>
          </cell>
          <cell r="G11">
            <v>1281</v>
          </cell>
          <cell r="H11">
            <v>1346</v>
          </cell>
          <cell r="I11">
            <v>1406</v>
          </cell>
          <cell r="J11">
            <v>974</v>
          </cell>
          <cell r="K11">
            <v>1036</v>
          </cell>
          <cell r="L11">
            <v>1223</v>
          </cell>
          <cell r="M11">
            <v>1257.52</v>
          </cell>
          <cell r="N11">
            <v>1351.9416000000001</v>
          </cell>
          <cell r="O11">
            <v>1456.7171627999999</v>
          </cell>
          <cell r="P11">
            <v>1568.4664090668252</v>
          </cell>
          <cell r="Q11">
            <v>1673.9064453292024</v>
          </cell>
          <cell r="R11">
            <v>1787.3299396507416</v>
          </cell>
          <cell r="S11">
            <v>1909.4351632952273</v>
          </cell>
          <cell r="T11">
            <v>2040.9885164526772</v>
          </cell>
          <cell r="U11">
            <v>2182.8316096057811</v>
          </cell>
        </row>
        <row r="12">
          <cell r="A12" t="str">
            <v>Acetyl Intermediates</v>
          </cell>
          <cell r="G12">
            <v>3351</v>
          </cell>
          <cell r="H12">
            <v>3615</v>
          </cell>
          <cell r="I12">
            <v>3875</v>
          </cell>
          <cell r="J12">
            <v>2603</v>
          </cell>
          <cell r="K12">
            <v>3082</v>
          </cell>
          <cell r="L12">
            <v>3551</v>
          </cell>
          <cell r="M12">
            <v>3568.7</v>
          </cell>
          <cell r="N12">
            <v>3845.6760000000004</v>
          </cell>
          <cell r="O12">
            <v>4293.0853345785208</v>
          </cell>
          <cell r="P12">
            <v>4599.8635013449666</v>
          </cell>
          <cell r="Q12">
            <v>4817.7257335603554</v>
          </cell>
          <cell r="R12">
            <v>5083.0474356245404</v>
          </cell>
          <cell r="S12">
            <v>5364.5981283440187</v>
          </cell>
          <cell r="T12">
            <v>5663.5483481203364</v>
          </cell>
          <cell r="U12">
            <v>5981.1706443613639</v>
          </cell>
        </row>
        <row r="13">
          <cell r="A13" t="str">
            <v xml:space="preserve">Intersegment &amp; Other </v>
          </cell>
          <cell r="G13">
            <v>-645</v>
          </cell>
          <cell r="H13">
            <v>-658</v>
          </cell>
          <cell r="I13">
            <v>-674</v>
          </cell>
          <cell r="J13">
            <v>-387</v>
          </cell>
          <cell r="K13">
            <v>-407</v>
          </cell>
          <cell r="L13">
            <v>-470</v>
          </cell>
          <cell r="M13">
            <v>-478.44100000000003</v>
          </cell>
          <cell r="N13">
            <v>-499.93788000000006</v>
          </cell>
          <cell r="O13">
            <v>-556.10109349520769</v>
          </cell>
          <cell r="P13">
            <v>-595.9822551748457</v>
          </cell>
          <cell r="Q13">
            <v>-624.30434536284622</v>
          </cell>
          <cell r="R13">
            <v>-709.62664098743574</v>
          </cell>
          <cell r="S13">
            <v>-802.68971925160281</v>
          </cell>
          <cell r="T13">
            <v>-847.53225221805042</v>
          </cell>
          <cell r="U13">
            <v>-895.17559665420458</v>
          </cell>
        </row>
        <row r="14">
          <cell r="A14" t="str">
            <v>Total Celanese</v>
          </cell>
          <cell r="G14">
            <v>5778</v>
          </cell>
          <cell r="H14">
            <v>6444</v>
          </cell>
          <cell r="I14">
            <v>6823</v>
          </cell>
          <cell r="J14">
            <v>5082</v>
          </cell>
          <cell r="K14">
            <v>5918</v>
          </cell>
          <cell r="L14">
            <v>6763</v>
          </cell>
          <cell r="M14">
            <v>6906.4790000000003</v>
          </cell>
          <cell r="N14">
            <v>7487.0411199999999</v>
          </cell>
          <cell r="O14">
            <v>8170.5716398833129</v>
          </cell>
          <cell r="P14">
            <v>8746.5992529150517</v>
          </cell>
          <cell r="Q14">
            <v>9177.4936142919723</v>
          </cell>
          <cell r="R14">
            <v>9620.07161076189</v>
          </cell>
          <cell r="S14">
            <v>10059.898831433209</v>
          </cell>
          <cell r="T14">
            <v>10553.616180211724</v>
          </cell>
          <cell r="U14">
            <v>11079.518217553215</v>
          </cell>
        </row>
        <row r="15">
          <cell r="A15" t="str">
            <v>Growth</v>
          </cell>
          <cell r="H15">
            <v>0.11526479750778806</v>
          </cell>
          <cell r="I15">
            <v>5.8814400993171922E-2</v>
          </cell>
          <cell r="J15">
            <v>-0.25516634911329328</v>
          </cell>
          <cell r="K15">
            <v>0.16450216450216448</v>
          </cell>
          <cell r="L15">
            <v>0.14278472456911118</v>
          </cell>
          <cell r="M15">
            <v>2.1215289072896715E-2</v>
          </cell>
          <cell r="N15">
            <v>8.4060506084214559E-2</v>
          </cell>
          <cell r="O15">
            <v>9.1295147031770663E-2</v>
          </cell>
          <cell r="P15">
            <v>7.0500283018137155E-2</v>
          </cell>
          <cell r="Q15">
            <v>4.9264216744960843E-2</v>
          </cell>
          <cell r="R15">
            <v>4.8224277245009217E-2</v>
          </cell>
          <cell r="S15">
            <v>4.5719744973549803E-2</v>
          </cell>
          <cell r="T15">
            <v>4.9077764801753521E-2</v>
          </cell>
          <cell r="U15">
            <v>4.9831453822204663E-2</v>
          </cell>
        </row>
        <row r="17">
          <cell r="A17" t="str">
            <v>Base Case</v>
          </cell>
        </row>
        <row r="18">
          <cell r="A18" t="str">
            <v>Advanced Engineering Materials</v>
          </cell>
          <cell r="G18">
            <v>915</v>
          </cell>
          <cell r="H18">
            <v>1030</v>
          </cell>
          <cell r="I18">
            <v>1061</v>
          </cell>
          <cell r="J18">
            <v>808</v>
          </cell>
          <cell r="K18">
            <v>1109</v>
          </cell>
          <cell r="L18">
            <v>1298</v>
          </cell>
          <cell r="M18">
            <v>1261</v>
          </cell>
          <cell r="N18">
            <v>1352</v>
          </cell>
          <cell r="O18">
            <v>1459.5236488762007</v>
          </cell>
          <cell r="P18">
            <v>1547.6882727083043</v>
          </cell>
          <cell r="Q18">
            <v>1642.8126979371784</v>
          </cell>
          <cell r="R18">
            <v>1745.5595067502763</v>
          </cell>
          <cell r="S18">
            <v>1823.8801643545821</v>
          </cell>
          <cell r="T18">
            <v>1882.0502540352761</v>
          </cell>
          <cell r="U18">
            <v>1942.3420649387574</v>
          </cell>
        </row>
        <row r="19">
          <cell r="A19" t="str">
            <v>Consumer Specialties</v>
          </cell>
          <cell r="G19">
            <v>876</v>
          </cell>
          <cell r="H19">
            <v>1111</v>
          </cell>
          <cell r="I19">
            <v>1155</v>
          </cell>
          <cell r="J19">
            <v>1084</v>
          </cell>
          <cell r="K19">
            <v>1098</v>
          </cell>
          <cell r="L19">
            <v>1161</v>
          </cell>
          <cell r="M19">
            <v>1186</v>
          </cell>
          <cell r="N19">
            <v>1214</v>
          </cell>
          <cell r="O19">
            <v>1239.3800000000001</v>
          </cell>
          <cell r="P19">
            <v>1264.1676000000002</v>
          </cell>
          <cell r="Q19">
            <v>1276.8092760000002</v>
          </cell>
          <cell r="R19">
            <v>1276.8092760000002</v>
          </cell>
          <cell r="S19">
            <v>1276.8092760000002</v>
          </cell>
          <cell r="T19">
            <v>1276.8092760000002</v>
          </cell>
          <cell r="U19">
            <v>1276.8092760000002</v>
          </cell>
        </row>
        <row r="20">
          <cell r="A20" t="str">
            <v>Industrial Specialties</v>
          </cell>
          <cell r="G20">
            <v>1281</v>
          </cell>
          <cell r="H20">
            <v>1346</v>
          </cell>
          <cell r="I20">
            <v>1406</v>
          </cell>
          <cell r="J20">
            <v>974</v>
          </cell>
          <cell r="K20">
            <v>1036</v>
          </cell>
          <cell r="L20">
            <v>1223</v>
          </cell>
          <cell r="M20">
            <v>1184</v>
          </cell>
          <cell r="N20">
            <v>1155</v>
          </cell>
          <cell r="O20">
            <v>1224.5643667572463</v>
          </cell>
          <cell r="P20">
            <v>1287.5242115326291</v>
          </cell>
          <cell r="Q20">
            <v>1354.2045515708228</v>
          </cell>
          <cell r="R20">
            <v>1424.8771569973128</v>
          </cell>
          <cell r="S20">
            <v>1499.8371555505894</v>
          </cell>
          <cell r="T20">
            <v>1579.4052232383522</v>
          </cell>
          <cell r="U20">
            <v>1663.929988533195</v>
          </cell>
        </row>
        <row r="21">
          <cell r="A21" t="str">
            <v>Acetyl Intermediates</v>
          </cell>
          <cell r="G21">
            <v>3351</v>
          </cell>
          <cell r="H21">
            <v>3615</v>
          </cell>
          <cell r="I21">
            <v>3875</v>
          </cell>
          <cell r="J21">
            <v>2603</v>
          </cell>
          <cell r="K21">
            <v>3082</v>
          </cell>
          <cell r="L21">
            <v>3551</v>
          </cell>
          <cell r="M21">
            <v>3231</v>
          </cell>
          <cell r="N21">
            <v>3241</v>
          </cell>
          <cell r="O21">
            <v>3395.59</v>
          </cell>
          <cell r="P21">
            <v>3506.6683293875626</v>
          </cell>
          <cell r="Q21">
            <v>3842.4313852195942</v>
          </cell>
          <cell r="R21">
            <v>4142.3781533625734</v>
          </cell>
          <cell r="S21">
            <v>4328.0391713080189</v>
          </cell>
          <cell r="T21">
            <v>4434.3957063087328</v>
          </cell>
          <cell r="U21">
            <v>4543.9429373594685</v>
          </cell>
        </row>
        <row r="22">
          <cell r="A22" t="str">
            <v>Intersegment &amp; Other</v>
          </cell>
          <cell r="G22">
            <v>-645</v>
          </cell>
          <cell r="H22">
            <v>-658</v>
          </cell>
          <cell r="I22">
            <v>-674</v>
          </cell>
          <cell r="J22">
            <v>-387</v>
          </cell>
          <cell r="K22">
            <v>-407</v>
          </cell>
          <cell r="L22">
            <v>-470</v>
          </cell>
          <cell r="M22">
            <v>-444</v>
          </cell>
          <cell r="N22">
            <v>-452</v>
          </cell>
          <cell r="O22">
            <v>-455.0967</v>
          </cell>
          <cell r="P22">
            <v>-453.86688282038318</v>
          </cell>
          <cell r="Q22">
            <v>-497.51608007854725</v>
          </cell>
          <cell r="R22">
            <v>-577.93294147076028</v>
          </cell>
          <cell r="S22">
            <v>-647.20587569620284</v>
          </cell>
          <cell r="T22">
            <v>-663.15935594630992</v>
          </cell>
          <cell r="U22">
            <v>-679.5914406039202</v>
          </cell>
        </row>
        <row r="23">
          <cell r="A23" t="str">
            <v>Total Celanese</v>
          </cell>
          <cell r="G23">
            <v>5778</v>
          </cell>
          <cell r="H23">
            <v>6444</v>
          </cell>
          <cell r="I23">
            <v>6823</v>
          </cell>
          <cell r="J23">
            <v>5082</v>
          </cell>
          <cell r="K23">
            <v>5918</v>
          </cell>
          <cell r="L23">
            <v>6763</v>
          </cell>
          <cell r="M23">
            <v>6418</v>
          </cell>
          <cell r="N23">
            <v>6510</v>
          </cell>
          <cell r="O23">
            <v>6863.9613156334472</v>
          </cell>
          <cell r="P23">
            <v>7152.1815308081123</v>
          </cell>
          <cell r="Q23">
            <v>7618.741830649049</v>
          </cell>
          <cell r="R23">
            <v>8011.6911516394021</v>
          </cell>
          <cell r="S23">
            <v>8281.359891516986</v>
          </cell>
          <cell r="T23">
            <v>8509.501103636052</v>
          </cell>
          <cell r="U23">
            <v>8747.4328262274994</v>
          </cell>
        </row>
        <row r="24">
          <cell r="A24" t="str">
            <v>Growth</v>
          </cell>
          <cell r="H24">
            <v>0.11526479750778806</v>
          </cell>
          <cell r="I24">
            <v>5.8814400993171922E-2</v>
          </cell>
          <cell r="J24">
            <v>-0.25516634911329328</v>
          </cell>
          <cell r="K24">
            <v>0.16450216450216448</v>
          </cell>
          <cell r="L24">
            <v>0.14278472456911118</v>
          </cell>
          <cell r="M24">
            <v>-5.1012864113559098E-2</v>
          </cell>
          <cell r="N24">
            <v>1.4334683702087903E-2</v>
          </cell>
          <cell r="O24">
            <v>5.4371937885322241E-2</v>
          </cell>
          <cell r="P24">
            <v>4.199036123910127E-2</v>
          </cell>
          <cell r="Q24">
            <v>6.5233285513129458E-2</v>
          </cell>
          <cell r="R24">
            <v>5.1576668395505676E-2</v>
          </cell>
          <cell r="S24">
            <v>3.3659402836865748E-2</v>
          </cell>
          <cell r="T24">
            <v>2.7548761931329935E-2</v>
          </cell>
          <cell r="U24">
            <v>2.7960713524060932E-2</v>
          </cell>
        </row>
        <row r="26">
          <cell r="A26" t="str">
            <v>Bear Case</v>
          </cell>
        </row>
        <row r="27">
          <cell r="A27" t="str">
            <v>Advanced Engineering Materials</v>
          </cell>
          <cell r="G27">
            <v>915</v>
          </cell>
          <cell r="H27">
            <v>1030</v>
          </cell>
          <cell r="I27">
            <v>1061</v>
          </cell>
          <cell r="J27">
            <v>808</v>
          </cell>
          <cell r="K27">
            <v>1109</v>
          </cell>
          <cell r="L27">
            <v>1298</v>
          </cell>
          <cell r="M27">
            <v>1201.2</v>
          </cell>
          <cell r="N27">
            <v>1134.8</v>
          </cell>
          <cell r="O27">
            <v>1164.8876699999998</v>
          </cell>
          <cell r="P27">
            <v>1191.9899518407974</v>
          </cell>
          <cell r="Q27">
            <v>1220.8389777458426</v>
          </cell>
          <cell r="R27">
            <v>1251.5788882551817</v>
          </cell>
          <cell r="S27">
            <v>1255.7298583386951</v>
          </cell>
          <cell r="T27">
            <v>1253.0729171983426</v>
          </cell>
          <cell r="U27">
            <v>1250.5297177491266</v>
          </cell>
        </row>
        <row r="28">
          <cell r="A28" t="str">
            <v>Consumer Specialties</v>
          </cell>
          <cell r="G28">
            <v>876</v>
          </cell>
          <cell r="H28">
            <v>1111</v>
          </cell>
          <cell r="I28">
            <v>1155</v>
          </cell>
          <cell r="J28">
            <v>1084</v>
          </cell>
          <cell r="K28">
            <v>1098</v>
          </cell>
          <cell r="L28">
            <v>1161</v>
          </cell>
          <cell r="M28">
            <v>1173.9000000000001</v>
          </cell>
          <cell r="N28">
            <v>1138.683</v>
          </cell>
          <cell r="O28">
            <v>1138.683</v>
          </cell>
          <cell r="P28">
            <v>1161.4566600000001</v>
          </cell>
          <cell r="Q28">
            <v>1184.6857932</v>
          </cell>
          <cell r="R28">
            <v>1208.3795090640001</v>
          </cell>
          <cell r="S28">
            <v>1232.5470992452802</v>
          </cell>
          <cell r="T28">
            <v>1257.1980412301857</v>
          </cell>
          <cell r="U28">
            <v>1282.3420020547894</v>
          </cell>
        </row>
        <row r="29">
          <cell r="A29" t="str">
            <v>Industrial Specialties</v>
          </cell>
          <cell r="G29">
            <v>1281</v>
          </cell>
          <cell r="H29">
            <v>1346</v>
          </cell>
          <cell r="I29">
            <v>1406</v>
          </cell>
          <cell r="J29">
            <v>974</v>
          </cell>
          <cell r="K29">
            <v>1036</v>
          </cell>
          <cell r="L29">
            <v>1223</v>
          </cell>
          <cell r="M29">
            <v>1191.08</v>
          </cell>
          <cell r="N29">
            <v>1149.1676</v>
          </cell>
          <cell r="O29">
            <v>1201.8932388000001</v>
          </cell>
          <cell r="P29">
            <v>1255.4058361554892</v>
          </cell>
          <cell r="Q29">
            <v>1311.5433107372228</v>
          </cell>
          <cell r="R29">
            <v>1370.4931293624361</v>
          </cell>
          <cell r="S29">
            <v>1432.4572153778772</v>
          </cell>
          <cell r="T29">
            <v>1497.6530928261154</v>
          </cell>
          <cell r="U29">
            <v>1566.3151220133902</v>
          </cell>
        </row>
        <row r="30">
          <cell r="A30" t="str">
            <v>Acetyl Intermediates</v>
          </cell>
          <cell r="G30">
            <v>3351</v>
          </cell>
          <cell r="H30">
            <v>3615</v>
          </cell>
          <cell r="I30">
            <v>3875</v>
          </cell>
          <cell r="J30">
            <v>2603</v>
          </cell>
          <cell r="K30">
            <v>3082</v>
          </cell>
          <cell r="L30">
            <v>3551</v>
          </cell>
          <cell r="M30">
            <v>3368.06</v>
          </cell>
          <cell r="N30">
            <v>3258.4982</v>
          </cell>
          <cell r="O30">
            <v>3323.6681640000002</v>
          </cell>
          <cell r="P30">
            <v>3390.1415272800004</v>
          </cell>
          <cell r="Q30">
            <v>3457.9443578256005</v>
          </cell>
          <cell r="R30">
            <v>3527.1032449821128</v>
          </cell>
          <cell r="S30">
            <v>3597.6453098817551</v>
          </cell>
          <cell r="T30">
            <v>3669.5982160793901</v>
          </cell>
          <cell r="U30">
            <v>3742.9901804009778</v>
          </cell>
        </row>
        <row r="31">
          <cell r="A31" t="str">
            <v>Intersegment &amp; Other</v>
          </cell>
          <cell r="G31">
            <v>-645</v>
          </cell>
          <cell r="H31">
            <v>-658</v>
          </cell>
          <cell r="I31">
            <v>-674</v>
          </cell>
          <cell r="J31">
            <v>-387</v>
          </cell>
          <cell r="K31">
            <v>-407</v>
          </cell>
          <cell r="L31">
            <v>-470</v>
          </cell>
          <cell r="M31">
            <v>-452.3578</v>
          </cell>
          <cell r="N31">
            <v>-423.60476600000004</v>
          </cell>
          <cell r="O31">
            <v>-430.07686132000003</v>
          </cell>
          <cell r="P31">
            <v>-438.71839854640007</v>
          </cell>
          <cell r="Q31">
            <v>-447.53276651732807</v>
          </cell>
          <cell r="R31">
            <v>-491.79445429749586</v>
          </cell>
          <cell r="S31">
            <v>-537.6467964822632</v>
          </cell>
          <cell r="T31">
            <v>-548.43973241190849</v>
          </cell>
          <cell r="U31">
            <v>-559.4485270601466</v>
          </cell>
        </row>
        <row r="32">
          <cell r="A32" t="str">
            <v>Total Celanese</v>
          </cell>
          <cell r="G32">
            <v>5778</v>
          </cell>
          <cell r="H32">
            <v>6444</v>
          </cell>
          <cell r="I32">
            <v>6823</v>
          </cell>
          <cell r="J32">
            <v>5082</v>
          </cell>
          <cell r="K32">
            <v>5918</v>
          </cell>
          <cell r="L32">
            <v>6763</v>
          </cell>
          <cell r="M32">
            <v>6481.8822</v>
          </cell>
          <cell r="N32">
            <v>6257.5440339999996</v>
          </cell>
          <cell r="O32">
            <v>6399.0552114800012</v>
          </cell>
          <cell r="P32">
            <v>6560.2755767298868</v>
          </cell>
          <cell r="Q32">
            <v>6727.4796729913378</v>
          </cell>
          <cell r="R32">
            <v>6865.7603173662346</v>
          </cell>
          <cell r="S32">
            <v>6980.7326863613443</v>
          </cell>
          <cell r="T32">
            <v>7129.0825349221259</v>
          </cell>
          <cell r="U32">
            <v>7282.7284951581378</v>
          </cell>
        </row>
        <row r="33">
          <cell r="A33" t="str">
            <v>Growth</v>
          </cell>
          <cell r="H33">
            <v>0.11526479750778806</v>
          </cell>
          <cell r="I33">
            <v>5.8814400993171922E-2</v>
          </cell>
          <cell r="J33">
            <v>-0.25516634911329328</v>
          </cell>
          <cell r="K33">
            <v>0.16450216450216448</v>
          </cell>
          <cell r="L33">
            <v>0.14278472456911118</v>
          </cell>
          <cell r="M33">
            <v>-4.1567026467543955E-2</v>
          </cell>
          <cell r="N33">
            <v>-3.4610034412535406E-2</v>
          </cell>
          <cell r="O33">
            <v>2.2614491677742654E-2</v>
          </cell>
          <cell r="P33">
            <v>2.5194401348601181E-2</v>
          </cell>
          <cell r="Q33">
            <v>2.5487358618675238E-2</v>
          </cell>
          <cell r="R33">
            <v>2.0554598615890152E-2</v>
          </cell>
          <cell r="S33">
            <v>1.6745759199356058E-2</v>
          </cell>
          <cell r="T33">
            <v>2.125132922660411E-2</v>
          </cell>
          <cell r="U33">
            <v>2.1551996274888241E-2</v>
          </cell>
        </row>
        <row r="34">
          <cell r="A34" t="str">
            <v>% of Revenue</v>
          </cell>
        </row>
        <row r="35">
          <cell r="A35" t="str">
            <v>Advanced Engineering Materials</v>
          </cell>
          <cell r="G35">
            <v>0.15835929387331257</v>
          </cell>
          <cell r="H35">
            <v>0.15983860955927995</v>
          </cell>
          <cell r="I35">
            <v>0.15550344423274221</v>
          </cell>
          <cell r="J35">
            <v>0.15899252262888627</v>
          </cell>
          <cell r="K35">
            <v>0.18739438999662048</v>
          </cell>
          <cell r="L35">
            <v>0.19192665976637588</v>
          </cell>
          <cell r="M35">
            <v>0.19647865378622623</v>
          </cell>
          <cell r="N35">
            <v>0.20768049155145929</v>
          </cell>
          <cell r="O35">
            <v>0.2126357626101375</v>
          </cell>
          <cell r="P35">
            <v>0.21639387451809181</v>
          </cell>
          <cell r="Q35">
            <v>0.21562782076804216</v>
          </cell>
          <cell r="R35">
            <v>0.21787653489277217</v>
          </cell>
          <cell r="S35">
            <v>0.22023921049764719</v>
          </cell>
          <cell r="T35">
            <v>0.22117045771709093</v>
          </cell>
          <cell r="U35">
            <v>0.22204709696255309</v>
          </cell>
        </row>
        <row r="36">
          <cell r="A36" t="str">
            <v>Consumer Specialties</v>
          </cell>
          <cell r="G36">
            <v>0.15160955347871236</v>
          </cell>
          <cell r="H36">
            <v>0.17240844196151459</v>
          </cell>
          <cell r="I36">
            <v>0.16928037520152425</v>
          </cell>
          <cell r="J36">
            <v>0.21330184966548604</v>
          </cell>
          <cell r="K36">
            <v>0.18553565393714092</v>
          </cell>
          <cell r="L36">
            <v>0.17166937749519445</v>
          </cell>
          <cell r="M36">
            <v>0.18479277033343722</v>
          </cell>
          <cell r="N36">
            <v>0.18648233486943164</v>
          </cell>
          <cell r="O36">
            <v>0.18056337193759706</v>
          </cell>
          <cell r="P36">
            <v>0.17675272845838466</v>
          </cell>
          <cell r="Q36">
            <v>0.1675879435714161</v>
          </cell>
          <cell r="R36">
            <v>0.15936825968868401</v>
          </cell>
          <cell r="S36">
            <v>0.15417869682344082</v>
          </cell>
          <cell r="T36">
            <v>0.15004513900990368</v>
          </cell>
          <cell r="U36">
            <v>0.14596388464644536</v>
          </cell>
        </row>
        <row r="37">
          <cell r="A37" t="str">
            <v>Industrial Specialties</v>
          </cell>
          <cell r="G37">
            <v>0.2217030114226376</v>
          </cell>
          <cell r="H37">
            <v>0.20887647423960273</v>
          </cell>
          <cell r="I37">
            <v>0.2060677121500806</v>
          </cell>
          <cell r="J37">
            <v>0.19165682802046438</v>
          </cell>
          <cell r="K37">
            <v>0.17505914160189254</v>
          </cell>
          <cell r="L37">
            <v>0.18083690669821084</v>
          </cell>
          <cell r="M37">
            <v>0.18448114677469618</v>
          </cell>
          <cell r="N37">
            <v>0.17741935483870969</v>
          </cell>
          <cell r="O37">
            <v>0.17840490504632692</v>
          </cell>
          <cell r="P37">
            <v>0.18001839103028947</v>
          </cell>
          <cell r="Q37">
            <v>0.17774648120022418</v>
          </cell>
          <cell r="R37">
            <v>0.17784973609544916</v>
          </cell>
          <cell r="S37">
            <v>0.18111000792115653</v>
          </cell>
          <cell r="T37">
            <v>0.18560491431906426</v>
          </cell>
          <cell r="U37">
            <v>0.1902192359276221</v>
          </cell>
        </row>
        <row r="38">
          <cell r="A38" t="str">
            <v>Acetyl Intermediates</v>
          </cell>
          <cell r="G38">
            <v>0.57995846313603328</v>
          </cell>
          <cell r="H38">
            <v>0.56098696461824948</v>
          </cell>
          <cell r="I38">
            <v>0.56793199472372857</v>
          </cell>
          <cell r="J38">
            <v>0.51219992129083036</v>
          </cell>
          <cell r="K38">
            <v>0.52078404866508954</v>
          </cell>
          <cell r="L38">
            <v>0.52506284193405295</v>
          </cell>
          <cell r="M38">
            <v>0.5034278591461514</v>
          </cell>
          <cell r="N38">
            <v>0.49784946236559141</v>
          </cell>
          <cell r="O38">
            <v>0.49469830085815902</v>
          </cell>
          <cell r="P38">
            <v>0.4902935299226599</v>
          </cell>
          <cell r="Q38">
            <v>0.50433936083279163</v>
          </cell>
          <cell r="R38">
            <v>0.51704166760284243</v>
          </cell>
          <cell r="S38">
            <v>0.52262421003360182</v>
          </cell>
          <cell r="T38">
            <v>0.52111112652819869</v>
          </cell>
          <cell r="U38">
            <v>0.51946016935795458</v>
          </cell>
        </row>
        <row r="39">
          <cell r="A39" t="str">
            <v>Intersegment &amp; Other</v>
          </cell>
          <cell r="G39">
            <v>-0.11163032191069575</v>
          </cell>
          <cell r="H39">
            <v>-0.10211049037864681</v>
          </cell>
          <cell r="I39">
            <v>-9.8783526308075631E-2</v>
          </cell>
          <cell r="J39">
            <v>-7.615112160566706E-2</v>
          </cell>
          <cell r="K39">
            <v>-6.8773234200743494E-2</v>
          </cell>
          <cell r="L39">
            <v>-6.9495785893834094E-2</v>
          </cell>
          <cell r="M39">
            <v>-6.9180430040511068E-2</v>
          </cell>
          <cell r="N39">
            <v>-6.943164362519201E-2</v>
          </cell>
          <cell r="O39">
            <v>-6.6302340452220485E-2</v>
          </cell>
          <cell r="P39">
            <v>-6.3458523929425706E-2</v>
          </cell>
          <cell r="Q39">
            <v>-6.5301606372474147E-2</v>
          </cell>
          <cell r="R39">
            <v>-7.2136198279747724E-2</v>
          </cell>
          <cell r="S39">
            <v>-7.8152125275846113E-2</v>
          </cell>
          <cell r="T39">
            <v>-7.7931637574257612E-2</v>
          </cell>
          <cell r="U39">
            <v>-7.7690386894575011E-2</v>
          </cell>
        </row>
        <row r="40">
          <cell r="A40" t="str">
            <v>Total Celanese</v>
          </cell>
          <cell r="G40">
            <v>1</v>
          </cell>
          <cell r="H40">
            <v>1</v>
          </cell>
          <cell r="I40">
            <v>1</v>
          </cell>
          <cell r="J40">
            <v>1</v>
          </cell>
          <cell r="K40">
            <v>1</v>
          </cell>
          <cell r="L40">
            <v>1</v>
          </cell>
          <cell r="M40">
            <v>1</v>
          </cell>
          <cell r="N40">
            <v>1</v>
          </cell>
          <cell r="O40">
            <v>1</v>
          </cell>
          <cell r="P40">
            <v>1</v>
          </cell>
          <cell r="Q40">
            <v>1</v>
          </cell>
          <cell r="R40">
            <v>1</v>
          </cell>
          <cell r="S40">
            <v>1</v>
          </cell>
          <cell r="T40">
            <v>1</v>
          </cell>
          <cell r="U40">
            <v>1</v>
          </cell>
        </row>
        <row r="42">
          <cell r="A42" t="str">
            <v>EBIT</v>
          </cell>
        </row>
        <row r="43">
          <cell r="A43" t="str">
            <v>Bull Case</v>
          </cell>
        </row>
        <row r="44">
          <cell r="A44" t="str">
            <v>Advanced Engineering Materials</v>
          </cell>
          <cell r="G44">
            <v>195</v>
          </cell>
          <cell r="H44">
            <v>183</v>
          </cell>
          <cell r="I44">
            <v>94</v>
          </cell>
          <cell r="J44">
            <v>111</v>
          </cell>
          <cell r="K44">
            <v>291</v>
          </cell>
          <cell r="L44">
            <v>299</v>
          </cell>
          <cell r="M44">
            <v>310.30712249999999</v>
          </cell>
          <cell r="N44">
            <v>365.016731875</v>
          </cell>
          <cell r="O44">
            <v>476.62072580749998</v>
          </cell>
          <cell r="P44">
            <v>491.42751408507536</v>
          </cell>
          <cell r="Q44">
            <v>520.15764692415166</v>
          </cell>
          <cell r="R44">
            <v>567.63160696854129</v>
          </cell>
          <cell r="S44">
            <v>604.17106136490816</v>
          </cell>
          <cell r="T44">
            <v>638.49255964414567</v>
          </cell>
          <cell r="U44">
            <v>674.88474558346661</v>
          </cell>
        </row>
        <row r="45">
          <cell r="A45" t="str">
            <v>Consumer Specialties</v>
          </cell>
          <cell r="G45">
            <v>189</v>
          </cell>
          <cell r="H45">
            <v>223</v>
          </cell>
          <cell r="I45">
            <v>240</v>
          </cell>
          <cell r="J45">
            <v>298</v>
          </cell>
          <cell r="K45">
            <v>334</v>
          </cell>
          <cell r="L45">
            <v>330</v>
          </cell>
          <cell r="M45">
            <v>395.40420000000006</v>
          </cell>
          <cell r="N45">
            <v>449.0740780000001</v>
          </cell>
          <cell r="O45">
            <v>542.93787415000008</v>
          </cell>
          <cell r="P45">
            <v>550.71084104250019</v>
          </cell>
          <cell r="Q45">
            <v>504.46906059750012</v>
          </cell>
          <cell r="R45">
            <v>504.46906059750012</v>
          </cell>
          <cell r="S45">
            <v>504.46906059750012</v>
          </cell>
          <cell r="T45">
            <v>504.46906059750012</v>
          </cell>
          <cell r="U45">
            <v>504.46906059750012</v>
          </cell>
        </row>
        <row r="46">
          <cell r="A46" t="str">
            <v>Industrial Specialties</v>
          </cell>
          <cell r="G46">
            <v>59</v>
          </cell>
          <cell r="H46">
            <v>60</v>
          </cell>
          <cell r="I46">
            <v>60</v>
          </cell>
          <cell r="J46">
            <v>63</v>
          </cell>
          <cell r="K46">
            <v>70</v>
          </cell>
          <cell r="L46">
            <v>103</v>
          </cell>
          <cell r="M46">
            <v>109.7976</v>
          </cell>
          <cell r="N46">
            <v>119.752408</v>
          </cell>
          <cell r="O46">
            <v>160.23888790799998</v>
          </cell>
          <cell r="P46">
            <v>141.16197681601426</v>
          </cell>
          <cell r="Q46">
            <v>133.91251562633619</v>
          </cell>
          <cell r="R46">
            <v>142.9863951720593</v>
          </cell>
          <cell r="S46">
            <v>152.75481306361817</v>
          </cell>
          <cell r="T46">
            <v>163.27908131621416</v>
          </cell>
          <cell r="U46">
            <v>174.62652876846246</v>
          </cell>
        </row>
        <row r="47">
          <cell r="A47" t="str">
            <v>Acetyl Intermediates</v>
          </cell>
          <cell r="G47">
            <v>571</v>
          </cell>
          <cell r="H47">
            <v>625</v>
          </cell>
          <cell r="I47">
            <v>542</v>
          </cell>
          <cell r="J47">
            <v>207</v>
          </cell>
          <cell r="K47">
            <v>314</v>
          </cell>
          <cell r="L47">
            <v>466</v>
          </cell>
          <cell r="M47">
            <v>393.35500000000002</v>
          </cell>
          <cell r="N47">
            <v>508.85140000000001</v>
          </cell>
          <cell r="O47">
            <v>634.49737351388546</v>
          </cell>
          <cell r="P47">
            <v>540.98430265467118</v>
          </cell>
          <cell r="Q47">
            <v>517.86120202383734</v>
          </cell>
          <cell r="R47">
            <v>545.71998074057683</v>
          </cell>
          <cell r="S47">
            <v>575.28280347612201</v>
          </cell>
          <cell r="T47">
            <v>606.67257655263541</v>
          </cell>
          <cell r="U47">
            <v>640.02291765794325</v>
          </cell>
        </row>
        <row r="48">
          <cell r="A48" t="str">
            <v>Intersegment &amp; Other</v>
          </cell>
          <cell r="G48">
            <v>-139</v>
          </cell>
          <cell r="H48">
            <v>-88</v>
          </cell>
          <cell r="I48">
            <v>-101</v>
          </cell>
          <cell r="J48">
            <v>-112</v>
          </cell>
          <cell r="K48">
            <v>-145</v>
          </cell>
          <cell r="L48">
            <v>-123</v>
          </cell>
          <cell r="M48">
            <v>-129</v>
          </cell>
          <cell r="N48">
            <v>-138</v>
          </cell>
          <cell r="O48">
            <v>-169.01133898351438</v>
          </cell>
          <cell r="P48">
            <v>-181.37449910420216</v>
          </cell>
          <cell r="Q48">
            <v>-190.15434706248232</v>
          </cell>
          <cell r="R48">
            <v>-216.60425870610507</v>
          </cell>
          <cell r="S48">
            <v>-253.50071016051288</v>
          </cell>
          <cell r="T48">
            <v>-267.85032070977616</v>
          </cell>
          <cell r="U48">
            <v>-283.09619092934548</v>
          </cell>
        </row>
        <row r="49">
          <cell r="A49" t="str">
            <v>Total Celanese</v>
          </cell>
          <cell r="G49">
            <v>875</v>
          </cell>
          <cell r="H49">
            <v>1003</v>
          </cell>
          <cell r="I49">
            <v>835</v>
          </cell>
          <cell r="J49">
            <v>567</v>
          </cell>
          <cell r="K49">
            <v>866</v>
          </cell>
          <cell r="L49">
            <v>1075</v>
          </cell>
          <cell r="M49">
            <v>1079.8639225000002</v>
          </cell>
          <cell r="N49">
            <v>1304.6946178750002</v>
          </cell>
          <cell r="O49">
            <v>1645.2835223958712</v>
          </cell>
          <cell r="P49">
            <v>1542.9101354940585</v>
          </cell>
          <cell r="Q49">
            <v>1486.246078109343</v>
          </cell>
          <cell r="R49">
            <v>1544.2027847725724</v>
          </cell>
          <cell r="S49">
            <v>1583.1770283416358</v>
          </cell>
          <cell r="T49">
            <v>1645.0629574007194</v>
          </cell>
          <cell r="U49">
            <v>1710.9070616780268</v>
          </cell>
        </row>
        <row r="50">
          <cell r="A50" t="str">
            <v>Margin</v>
          </cell>
          <cell r="H50">
            <v>0.15564866542520173</v>
          </cell>
          <cell r="I50">
            <v>0.12238018466950022</v>
          </cell>
          <cell r="J50">
            <v>0.1115702479338843</v>
          </cell>
          <cell r="K50">
            <v>0.14633322068266305</v>
          </cell>
          <cell r="L50">
            <v>0.15895312731036523</v>
          </cell>
          <cell r="M50">
            <v>0.15635520248450768</v>
          </cell>
          <cell r="N50">
            <v>0.17426037829414248</v>
          </cell>
          <cell r="O50">
            <v>0.20136700281344919</v>
          </cell>
          <cell r="P50">
            <v>0.17640114642040333</v>
          </cell>
          <cell r="Q50">
            <v>0.16194465946506728</v>
          </cell>
          <cell r="R50">
            <v>0.16051884510351111</v>
          </cell>
          <cell r="S50">
            <v>0.15737504470669558</v>
          </cell>
          <cell r="T50">
            <v>0.15587670892231714</v>
          </cell>
          <cell r="U50">
            <v>0.15442070928386098</v>
          </cell>
        </row>
        <row r="52">
          <cell r="A52" t="str">
            <v>Base Case</v>
          </cell>
        </row>
        <row r="53">
          <cell r="A53" t="str">
            <v>Advanced Engineering Materials</v>
          </cell>
          <cell r="G53">
            <v>195</v>
          </cell>
          <cell r="H53">
            <v>183</v>
          </cell>
          <cell r="I53">
            <v>94</v>
          </cell>
          <cell r="J53">
            <v>111</v>
          </cell>
          <cell r="K53">
            <v>291</v>
          </cell>
          <cell r="L53">
            <v>302</v>
          </cell>
          <cell r="M53">
            <v>301</v>
          </cell>
          <cell r="N53">
            <v>301</v>
          </cell>
          <cell r="O53">
            <v>335.10861342214969</v>
          </cell>
          <cell r="P53">
            <v>408.43916086978805</v>
          </cell>
          <cell r="Q53">
            <v>435.52434160839573</v>
          </cell>
          <cell r="R53">
            <v>468.70715883167799</v>
          </cell>
          <cell r="S53">
            <v>490.93327887927887</v>
          </cell>
          <cell r="T53">
            <v>511.02171382074306</v>
          </cell>
          <cell r="U53">
            <v>532.00835476901204</v>
          </cell>
          <cell r="W53" t="str">
            <v>Advanced Engineering Materials</v>
          </cell>
          <cell r="X53">
            <v>9.8039215686274508E-2</v>
          </cell>
        </row>
        <row r="54">
          <cell r="A54" t="str">
            <v>Consumer Specialties</v>
          </cell>
          <cell r="G54">
            <v>189</v>
          </cell>
          <cell r="H54">
            <v>223</v>
          </cell>
          <cell r="I54">
            <v>240</v>
          </cell>
          <cell r="J54">
            <v>298</v>
          </cell>
          <cell r="K54">
            <v>334</v>
          </cell>
          <cell r="L54">
            <v>332</v>
          </cell>
          <cell r="M54">
            <v>375</v>
          </cell>
          <cell r="N54">
            <v>436</v>
          </cell>
          <cell r="O54">
            <v>470.37219999999996</v>
          </cell>
          <cell r="P54">
            <v>469.40955599999995</v>
          </cell>
          <cell r="Q54">
            <v>447.12255090000002</v>
          </cell>
          <cell r="R54">
            <v>434.35445814000002</v>
          </cell>
          <cell r="S54">
            <v>408.81827262000007</v>
          </cell>
          <cell r="T54">
            <v>383.28208710000001</v>
          </cell>
          <cell r="U54">
            <v>370.51399434000001</v>
          </cell>
          <cell r="W54" t="str">
            <v>Consumer Specialties</v>
          </cell>
          <cell r="X54">
            <v>1</v>
          </cell>
        </row>
        <row r="55">
          <cell r="A55" t="str">
            <v>Industrial Specialties</v>
          </cell>
          <cell r="G55">
            <v>59</v>
          </cell>
          <cell r="H55">
            <v>60</v>
          </cell>
          <cell r="I55">
            <v>60</v>
          </cell>
          <cell r="J55">
            <v>63</v>
          </cell>
          <cell r="K55">
            <v>70</v>
          </cell>
          <cell r="L55">
            <v>105</v>
          </cell>
          <cell r="M55">
            <v>88</v>
          </cell>
          <cell r="N55">
            <v>73</v>
          </cell>
          <cell r="O55">
            <v>75.573632136200231</v>
          </cell>
          <cell r="P55">
            <v>115.87717903793664</v>
          </cell>
          <cell r="Q55">
            <v>108.33636412566581</v>
          </cell>
          <cell r="R55">
            <v>99.741400989811893</v>
          </cell>
          <cell r="S55">
            <v>104.98860088854126</v>
          </cell>
          <cell r="T55">
            <v>110.55836562668466</v>
          </cell>
          <cell r="U55">
            <v>116.47509919732366</v>
          </cell>
          <cell r="W55" t="str">
            <v>Industrial Specialties</v>
          </cell>
          <cell r="X55">
            <v>2.9411764705882353E-2</v>
          </cell>
        </row>
        <row r="56">
          <cell r="A56" t="str">
            <v>Acetyl Intermediates</v>
          </cell>
          <cell r="G56">
            <v>571</v>
          </cell>
          <cell r="H56">
            <v>625</v>
          </cell>
          <cell r="I56">
            <v>542</v>
          </cell>
          <cell r="J56">
            <v>207</v>
          </cell>
          <cell r="K56">
            <v>314</v>
          </cell>
          <cell r="L56">
            <v>465</v>
          </cell>
          <cell r="M56">
            <v>287</v>
          </cell>
          <cell r="N56">
            <v>301</v>
          </cell>
          <cell r="O56">
            <v>345.12779999999998</v>
          </cell>
          <cell r="P56">
            <v>310.92007482904364</v>
          </cell>
          <cell r="Q56">
            <v>293.79773103388095</v>
          </cell>
          <cell r="R56">
            <v>331.80926111818894</v>
          </cell>
          <cell r="S56">
            <v>356.05074627852548</v>
          </cell>
          <cell r="T56">
            <v>364.82490940488162</v>
          </cell>
          <cell r="U56">
            <v>373.8622974250286</v>
          </cell>
          <cell r="W56" t="str">
            <v>Acetyl Intermediates</v>
          </cell>
          <cell r="X56">
            <v>-0.12745098039215685</v>
          </cell>
        </row>
        <row r="57">
          <cell r="A57" t="str">
            <v>Intersegment &amp; Other</v>
          </cell>
          <cell r="G57">
            <v>-139</v>
          </cell>
          <cell r="H57">
            <v>-88</v>
          </cell>
          <cell r="I57">
            <v>-101</v>
          </cell>
          <cell r="J57">
            <v>-112</v>
          </cell>
          <cell r="K57">
            <v>-145</v>
          </cell>
          <cell r="L57">
            <v>-114</v>
          </cell>
          <cell r="M57">
            <v>-89</v>
          </cell>
          <cell r="N57">
            <v>-55</v>
          </cell>
          <cell r="O57">
            <v>-61</v>
          </cell>
          <cell r="P57">
            <v>-109.58405836150348</v>
          </cell>
          <cell r="Q57">
            <v>-121.36934162120775</v>
          </cell>
          <cell r="R57">
            <v>-143.0818941971053</v>
          </cell>
          <cell r="S57">
            <v>-161.78558643797479</v>
          </cell>
          <cell r="T57">
            <v>-166.0930261055037</v>
          </cell>
          <cell r="U57">
            <v>-170.52968896305848</v>
          </cell>
        </row>
        <row r="58">
          <cell r="A58" t="str">
            <v>Total Celanese</v>
          </cell>
          <cell r="G58">
            <v>875</v>
          </cell>
          <cell r="H58">
            <v>1003</v>
          </cell>
          <cell r="I58">
            <v>835</v>
          </cell>
          <cell r="J58">
            <v>567</v>
          </cell>
          <cell r="K58">
            <v>866</v>
          </cell>
          <cell r="L58">
            <v>1090</v>
          </cell>
          <cell r="M58">
            <v>962</v>
          </cell>
          <cell r="N58">
            <v>1056</v>
          </cell>
          <cell r="O58">
            <v>1165.1822455583501</v>
          </cell>
          <cell r="P58">
            <v>1195.0619123752649</v>
          </cell>
          <cell r="Q58">
            <v>1163.4116460467346</v>
          </cell>
          <cell r="R58">
            <v>1191.5303848825733</v>
          </cell>
          <cell r="S58">
            <v>1199.0053122283707</v>
          </cell>
          <cell r="T58">
            <v>1203.5940498468058</v>
          </cell>
          <cell r="U58">
            <v>1222.3300567683059</v>
          </cell>
        </row>
        <row r="59">
          <cell r="A59" t="str">
            <v>Margin</v>
          </cell>
          <cell r="H59">
            <v>0.15564866542520173</v>
          </cell>
          <cell r="I59">
            <v>0.12238018466950022</v>
          </cell>
          <cell r="J59">
            <v>0.1115702479338843</v>
          </cell>
          <cell r="K59">
            <v>0.14633322068266305</v>
          </cell>
          <cell r="L59">
            <v>0.16117107792399823</v>
          </cell>
          <cell r="M59">
            <v>0.14989093175444063</v>
          </cell>
          <cell r="N59">
            <v>0.16221198156682029</v>
          </cell>
          <cell r="O59">
            <v>0.16975361485568341</v>
          </cell>
          <cell r="P59">
            <v>0.16709054534305662</v>
          </cell>
          <cell r="Q59">
            <v>0.15270390727331187</v>
          </cell>
          <cell r="R59">
            <v>0.14872395382325179</v>
          </cell>
          <cell r="S59">
            <v>0.14478362587001831</v>
          </cell>
          <cell r="T59">
            <v>0.14144120027583265</v>
          </cell>
          <cell r="U59">
            <v>0.13973586091491708</v>
          </cell>
        </row>
        <row r="61">
          <cell r="A61" t="str">
            <v>Bear Case</v>
          </cell>
        </row>
        <row r="62">
          <cell r="A62" t="str">
            <v>Advanced Engineering Materials</v>
          </cell>
          <cell r="G62">
            <v>195</v>
          </cell>
          <cell r="H62">
            <v>183</v>
          </cell>
          <cell r="I62">
            <v>94</v>
          </cell>
          <cell r="J62">
            <v>111</v>
          </cell>
          <cell r="K62">
            <v>291</v>
          </cell>
          <cell r="L62">
            <v>299</v>
          </cell>
          <cell r="M62">
            <v>286.76672250000001</v>
          </cell>
          <cell r="N62">
            <v>279.007907875</v>
          </cell>
          <cell r="O62">
            <v>391.79561298749991</v>
          </cell>
          <cell r="P62">
            <v>391.74181570094174</v>
          </cell>
          <cell r="Q62">
            <v>389.13396958640521</v>
          </cell>
          <cell r="R62">
            <v>408.02641445563472</v>
          </cell>
          <cell r="S62">
            <v>424.99114626260206</v>
          </cell>
          <cell r="T62">
            <v>442.27165315066554</v>
          </cell>
          <cell r="U62">
            <v>460.70168833112791</v>
          </cell>
        </row>
        <row r="63">
          <cell r="A63" t="str">
            <v>Consumer Specialties</v>
          </cell>
          <cell r="G63">
            <v>189</v>
          </cell>
          <cell r="H63">
            <v>223</v>
          </cell>
          <cell r="I63">
            <v>240</v>
          </cell>
          <cell r="J63">
            <v>298</v>
          </cell>
          <cell r="K63">
            <v>334</v>
          </cell>
          <cell r="L63">
            <v>330</v>
          </cell>
          <cell r="M63">
            <v>331.92779999999999</v>
          </cell>
          <cell r="N63">
            <v>305.111266</v>
          </cell>
          <cell r="O63">
            <v>340.01684499999999</v>
          </cell>
          <cell r="P63">
            <v>334.09861530000001</v>
          </cell>
          <cell r="Q63">
            <v>338.86058760599997</v>
          </cell>
          <cell r="R63">
            <v>331.63400426748001</v>
          </cell>
          <cell r="S63">
            <v>324.02121336037681</v>
          </cell>
          <cell r="T63">
            <v>328.58163762758437</v>
          </cell>
          <cell r="U63">
            <v>333.23327038013605</v>
          </cell>
        </row>
        <row r="64">
          <cell r="A64" t="str">
            <v>Industrial Specialties</v>
          </cell>
          <cell r="G64">
            <v>59</v>
          </cell>
          <cell r="H64">
            <v>60</v>
          </cell>
          <cell r="I64">
            <v>60</v>
          </cell>
          <cell r="J64">
            <v>63</v>
          </cell>
          <cell r="K64">
            <v>70</v>
          </cell>
          <cell r="L64">
            <v>103</v>
          </cell>
          <cell r="M64">
            <v>73.406400000000005</v>
          </cell>
          <cell r="N64">
            <v>35.933408</v>
          </cell>
          <cell r="O64">
            <v>72.113594328000005</v>
          </cell>
          <cell r="P64">
            <v>62.770291807774449</v>
          </cell>
          <cell r="Q64">
            <v>65.577165536861145</v>
          </cell>
          <cell r="R64">
            <v>68.524656468121805</v>
          </cell>
          <cell r="S64">
            <v>71.622860768893844</v>
          </cell>
          <cell r="T64">
            <v>74.882654641305749</v>
          </cell>
          <cell r="U64">
            <v>78.315756100669489</v>
          </cell>
        </row>
        <row r="65">
          <cell r="A65" t="str">
            <v>Acetyl Intermediates</v>
          </cell>
          <cell r="G65">
            <v>571</v>
          </cell>
          <cell r="H65">
            <v>625</v>
          </cell>
          <cell r="I65">
            <v>542</v>
          </cell>
          <cell r="J65">
            <v>207</v>
          </cell>
          <cell r="K65">
            <v>314</v>
          </cell>
          <cell r="L65">
            <v>466</v>
          </cell>
          <cell r="M65">
            <v>278.50599999999997</v>
          </cell>
          <cell r="N65">
            <v>257.84982000000002</v>
          </cell>
          <cell r="O65">
            <v>315.54137221004646</v>
          </cell>
          <cell r="P65">
            <v>313.92714428316373</v>
          </cell>
          <cell r="Q65">
            <v>249.60515998794261</v>
          </cell>
          <cell r="R65">
            <v>254.81159068764282</v>
          </cell>
          <cell r="S65">
            <v>260.15774178090197</v>
          </cell>
          <cell r="T65">
            <v>265.64886206828157</v>
          </cell>
          <cell r="U65">
            <v>271.29042566671967</v>
          </cell>
        </row>
        <row r="66">
          <cell r="A66" t="str">
            <v>Intersegment &amp; Other</v>
          </cell>
          <cell r="G66">
            <v>-139</v>
          </cell>
          <cell r="H66">
            <v>-88</v>
          </cell>
          <cell r="I66">
            <v>-101</v>
          </cell>
          <cell r="J66">
            <v>-112</v>
          </cell>
          <cell r="K66">
            <v>-145</v>
          </cell>
          <cell r="L66">
            <v>-123</v>
          </cell>
          <cell r="M66">
            <v>-129</v>
          </cell>
          <cell r="N66">
            <v>-138</v>
          </cell>
          <cell r="O66">
            <v>-129.94382700920002</v>
          </cell>
          <cell r="P66">
            <v>-132.62270354938403</v>
          </cell>
          <cell r="Q66">
            <v>-135.3551576203717</v>
          </cell>
          <cell r="R66">
            <v>-149.07628083222372</v>
          </cell>
          <cell r="S66">
            <v>-168.68697487432422</v>
          </cell>
          <cell r="T66">
            <v>-172.14071437181073</v>
          </cell>
          <cell r="U66">
            <v>-175.66352865924691</v>
          </cell>
        </row>
        <row r="67">
          <cell r="A67" t="str">
            <v>Total Celanese</v>
          </cell>
          <cell r="G67">
            <v>875</v>
          </cell>
          <cell r="H67">
            <v>1003</v>
          </cell>
          <cell r="I67">
            <v>835</v>
          </cell>
          <cell r="J67">
            <v>567</v>
          </cell>
          <cell r="K67">
            <v>866</v>
          </cell>
          <cell r="L67">
            <v>1075</v>
          </cell>
          <cell r="M67">
            <v>841.60692250000011</v>
          </cell>
          <cell r="N67">
            <v>739.90240187500012</v>
          </cell>
          <cell r="O67">
            <v>989.52359751634629</v>
          </cell>
          <cell r="P67">
            <v>969.91516354249597</v>
          </cell>
          <cell r="Q67">
            <v>907.8217250968371</v>
          </cell>
          <cell r="R67">
            <v>913.92038504665572</v>
          </cell>
          <cell r="S67">
            <v>912.10598729845049</v>
          </cell>
          <cell r="T67">
            <v>939.24409311602642</v>
          </cell>
          <cell r="U67">
            <v>967.8776118194063</v>
          </cell>
        </row>
        <row r="68">
          <cell r="A68" t="str">
            <v>Margin</v>
          </cell>
          <cell r="H68">
            <v>0.15564866542520173</v>
          </cell>
          <cell r="I68">
            <v>0.12238018466950022</v>
          </cell>
          <cell r="J68">
            <v>0.1115702479338843</v>
          </cell>
          <cell r="K68">
            <v>0.14633322068266305</v>
          </cell>
          <cell r="L68">
            <v>0.15895312731036523</v>
          </cell>
          <cell r="M68">
            <v>0.1298398978154833</v>
          </cell>
          <cell r="N68">
            <v>0.11824166124197988</v>
          </cell>
          <cell r="O68">
            <v>0.15463588995780597</v>
          </cell>
          <cell r="P68">
            <v>0.14784671043132785</v>
          </cell>
          <cell r="Q68">
            <v>0.13494232152665561</v>
          </cell>
          <cell r="R68">
            <v>0.13311277160884688</v>
          </cell>
          <cell r="S68">
            <v>0.13066049486187661</v>
          </cell>
          <cell r="T68">
            <v>0.13174824228995774</v>
          </cell>
          <cell r="U68">
            <v>0.13290041122127397</v>
          </cell>
        </row>
      </sheetData>
      <sheetData sheetId="3" refreshError="1">
        <row r="1">
          <cell r="A1" t="str">
            <v>Celanese</v>
          </cell>
          <cell r="W1" t="str">
            <v>ElementName</v>
          </cell>
          <cell r="X1" t="str">
            <v>ScaleOverride</v>
          </cell>
          <cell r="Y1" t="str">
            <v>UnitOverride</v>
          </cell>
          <cell r="Z1" t="str">
            <v>ReverseSign</v>
          </cell>
          <cell r="AA1" t="str">
            <v>IsDrivingAssumption</v>
          </cell>
          <cell r="AB1" t="str">
            <v>SegmentID</v>
          </cell>
        </row>
        <row r="3">
          <cell r="A3" t="str">
            <v>In US$ millions (except per share data)</v>
          </cell>
          <cell r="B3">
            <v>2002</v>
          </cell>
          <cell r="C3">
            <v>2003</v>
          </cell>
          <cell r="D3">
            <v>2004</v>
          </cell>
          <cell r="E3">
            <v>2005</v>
          </cell>
          <cell r="F3">
            <v>2006</v>
          </cell>
          <cell r="G3">
            <v>2007</v>
          </cell>
          <cell r="H3">
            <v>2008</v>
          </cell>
          <cell r="I3">
            <v>2009</v>
          </cell>
          <cell r="J3">
            <v>2010</v>
          </cell>
          <cell r="K3">
            <v>2011</v>
          </cell>
          <cell r="L3">
            <v>2012</v>
          </cell>
          <cell r="M3" t="str">
            <v>2013e</v>
          </cell>
          <cell r="N3" t="str">
            <v>2014e</v>
          </cell>
          <cell r="O3" t="str">
            <v>2015e</v>
          </cell>
          <cell r="P3" t="str">
            <v>2016e</v>
          </cell>
          <cell r="Q3" t="str">
            <v>2017e</v>
          </cell>
          <cell r="R3" t="str">
            <v>2018e</v>
          </cell>
          <cell r="S3" t="str">
            <v>2019e</v>
          </cell>
          <cell r="T3" t="str">
            <v>2020e</v>
          </cell>
        </row>
        <row r="5">
          <cell r="A5" t="str">
            <v>Cash and cash equivalents</v>
          </cell>
          <cell r="B5">
            <v>124</v>
          </cell>
          <cell r="C5">
            <v>148</v>
          </cell>
          <cell r="D5">
            <v>838</v>
          </cell>
          <cell r="E5">
            <v>390</v>
          </cell>
          <cell r="F5">
            <v>791</v>
          </cell>
          <cell r="G5">
            <v>825</v>
          </cell>
          <cell r="H5">
            <v>676</v>
          </cell>
          <cell r="I5">
            <v>1254</v>
          </cell>
          <cell r="J5">
            <v>740</v>
          </cell>
          <cell r="K5">
            <v>682</v>
          </cell>
          <cell r="L5">
            <v>959</v>
          </cell>
          <cell r="M5">
            <v>984</v>
          </cell>
          <cell r="N5">
            <v>1095.6961425206732</v>
          </cell>
          <cell r="O5">
            <v>1374.0946297438256</v>
          </cell>
          <cell r="P5">
            <v>1527.5170228745205</v>
          </cell>
          <cell r="Q5">
            <v>1794.6767832631467</v>
          </cell>
          <cell r="R5">
            <v>2183.5487256072001</v>
          </cell>
          <cell r="S5">
            <v>2605.0648531191164</v>
          </cell>
          <cell r="T5">
            <v>3050.2944605558132</v>
          </cell>
          <cell r="W5" t="str">
            <v>mstag:cashAndCashEquivalents</v>
          </cell>
          <cell r="X5">
            <v>6</v>
          </cell>
          <cell r="Y5" t="str">
            <v>ISO4217:USD</v>
          </cell>
          <cell r="Z5" t="b">
            <v>0</v>
          </cell>
        </row>
        <row r="6">
          <cell r="A6" t="str">
            <v>Trade Receivables</v>
          </cell>
          <cell r="B6">
            <v>666</v>
          </cell>
          <cell r="C6">
            <v>722</v>
          </cell>
          <cell r="D6">
            <v>843</v>
          </cell>
          <cell r="E6">
            <v>919</v>
          </cell>
          <cell r="F6">
            <v>1001</v>
          </cell>
          <cell r="G6">
            <v>1009</v>
          </cell>
          <cell r="H6">
            <v>631</v>
          </cell>
          <cell r="I6">
            <v>721</v>
          </cell>
          <cell r="J6">
            <v>827</v>
          </cell>
          <cell r="K6">
            <v>871</v>
          </cell>
          <cell r="L6">
            <v>827</v>
          </cell>
          <cell r="M6">
            <v>867</v>
          </cell>
          <cell r="N6">
            <v>914.14047014657422</v>
          </cell>
          <cell r="O6">
            <v>952.52555871131074</v>
          </cell>
          <cell r="P6">
            <v>1014.6619304412787</v>
          </cell>
          <cell r="Q6">
            <v>1066.9948123611921</v>
          </cell>
          <cell r="R6">
            <v>1102.9092205753036</v>
          </cell>
          <cell r="S6">
            <v>1133.2930041248014</v>
          </cell>
          <cell r="T6">
            <v>1164.9806851519572</v>
          </cell>
          <cell r="W6" t="str">
            <v>mstag:tradeReceivablesCurrent</v>
          </cell>
          <cell r="X6">
            <v>6</v>
          </cell>
          <cell r="Y6" t="str">
            <v>ISO4217:USD</v>
          </cell>
          <cell r="Z6" t="b">
            <v>0</v>
          </cell>
        </row>
        <row r="7">
          <cell r="A7" t="str">
            <v>Non-trade receivables</v>
          </cell>
          <cell r="B7">
            <v>463</v>
          </cell>
          <cell r="C7">
            <v>589</v>
          </cell>
          <cell r="D7">
            <v>670</v>
          </cell>
          <cell r="E7">
            <v>481</v>
          </cell>
          <cell r="F7">
            <v>475</v>
          </cell>
          <cell r="G7">
            <v>437</v>
          </cell>
          <cell r="H7">
            <v>328</v>
          </cell>
          <cell r="I7">
            <v>262</v>
          </cell>
          <cell r="J7">
            <v>253</v>
          </cell>
          <cell r="K7">
            <v>235</v>
          </cell>
          <cell r="L7">
            <v>209</v>
          </cell>
          <cell r="M7">
            <v>343</v>
          </cell>
          <cell r="N7">
            <v>361.64957469466549</v>
          </cell>
          <cell r="O7">
            <v>376.8353709780618</v>
          </cell>
          <cell r="P7">
            <v>401.4175803245198</v>
          </cell>
          <cell r="Q7">
            <v>422.12136175304374</v>
          </cell>
          <cell r="R7">
            <v>436.32971471433581</v>
          </cell>
          <cell r="S7">
            <v>448.35005814856618</v>
          </cell>
          <cell r="T7">
            <v>460.88624568295427</v>
          </cell>
          <cell r="W7" t="str">
            <v>mstag:otherReceivablesCurrent</v>
          </cell>
          <cell r="X7">
            <v>6</v>
          </cell>
          <cell r="Y7" t="str">
            <v>ISO4217:USD</v>
          </cell>
          <cell r="Z7" t="b">
            <v>0</v>
          </cell>
        </row>
        <row r="8">
          <cell r="A8" t="str">
            <v>Inventories</v>
          </cell>
          <cell r="B8">
            <v>505</v>
          </cell>
          <cell r="C8">
            <v>509</v>
          </cell>
          <cell r="D8">
            <v>604</v>
          </cell>
          <cell r="E8">
            <v>650</v>
          </cell>
          <cell r="F8">
            <v>653</v>
          </cell>
          <cell r="G8">
            <v>636</v>
          </cell>
          <cell r="H8">
            <v>577</v>
          </cell>
          <cell r="I8">
            <v>522</v>
          </cell>
          <cell r="J8">
            <v>610</v>
          </cell>
          <cell r="K8">
            <v>712</v>
          </cell>
          <cell r="L8">
            <v>711</v>
          </cell>
          <cell r="M8">
            <v>804</v>
          </cell>
          <cell r="N8">
            <v>835.804089972724</v>
          </cell>
          <cell r="O8">
            <v>873.04498027524335</v>
          </cell>
          <cell r="P8">
            <v>965.96958167150842</v>
          </cell>
          <cell r="Q8">
            <v>1032.6542144245152</v>
          </cell>
          <cell r="R8">
            <v>1084.858869748105</v>
          </cell>
          <cell r="S8">
            <v>1132.9096153754504</v>
          </cell>
          <cell r="T8">
            <v>1183.9248347176595</v>
          </cell>
          <cell r="W8" t="str">
            <v>mstag:inventories</v>
          </cell>
          <cell r="X8">
            <v>6</v>
          </cell>
          <cell r="Y8" t="str">
            <v>ISO4217:USD</v>
          </cell>
          <cell r="Z8" t="b">
            <v>0</v>
          </cell>
        </row>
        <row r="9">
          <cell r="A9" t="str">
            <v>Deferred income taxes</v>
          </cell>
          <cell r="B9">
            <v>84</v>
          </cell>
          <cell r="C9">
            <v>67</v>
          </cell>
          <cell r="D9">
            <v>71</v>
          </cell>
          <cell r="E9">
            <v>37</v>
          </cell>
          <cell r="F9">
            <v>76</v>
          </cell>
          <cell r="G9">
            <v>70</v>
          </cell>
          <cell r="H9">
            <v>24</v>
          </cell>
          <cell r="I9">
            <v>42</v>
          </cell>
          <cell r="J9">
            <v>92</v>
          </cell>
          <cell r="K9">
            <v>104</v>
          </cell>
          <cell r="L9">
            <v>49</v>
          </cell>
          <cell r="M9">
            <v>115</v>
          </cell>
          <cell r="N9">
            <v>115</v>
          </cell>
          <cell r="O9">
            <v>115</v>
          </cell>
          <cell r="P9">
            <v>115</v>
          </cell>
          <cell r="Q9">
            <v>115</v>
          </cell>
          <cell r="R9">
            <v>115</v>
          </cell>
          <cell r="S9">
            <v>115</v>
          </cell>
          <cell r="T9">
            <v>115</v>
          </cell>
          <cell r="W9" t="str">
            <v>mstag:deferredTaxAssetsCurrent</v>
          </cell>
          <cell r="X9">
            <v>6</v>
          </cell>
          <cell r="Y9" t="str">
            <v>ISO4217:USD</v>
          </cell>
          <cell r="Z9" t="b">
            <v>0</v>
          </cell>
        </row>
        <row r="10">
          <cell r="A10" t="str">
            <v>Marketable securities</v>
          </cell>
          <cell r="B10">
            <v>0</v>
          </cell>
          <cell r="C10">
            <v>0</v>
          </cell>
          <cell r="D10">
            <v>0</v>
          </cell>
          <cell r="E10">
            <v>0</v>
          </cell>
          <cell r="F10">
            <v>0</v>
          </cell>
          <cell r="G10">
            <v>46</v>
          </cell>
          <cell r="H10">
            <v>6</v>
          </cell>
          <cell r="I10">
            <v>3</v>
          </cell>
          <cell r="J10">
            <v>78</v>
          </cell>
          <cell r="K10">
            <v>64</v>
          </cell>
          <cell r="L10">
            <v>53</v>
          </cell>
          <cell r="M10">
            <v>41</v>
          </cell>
          <cell r="N10">
            <v>41</v>
          </cell>
          <cell r="O10">
            <v>41</v>
          </cell>
          <cell r="P10">
            <v>41</v>
          </cell>
          <cell r="Q10">
            <v>41</v>
          </cell>
          <cell r="R10">
            <v>41</v>
          </cell>
          <cell r="S10">
            <v>41</v>
          </cell>
          <cell r="T10">
            <v>41</v>
          </cell>
          <cell r="W10" t="str">
            <v>mstag:shortTermInvestments</v>
          </cell>
          <cell r="X10">
            <v>6</v>
          </cell>
          <cell r="Y10" t="str">
            <v>ISO4217:USD</v>
          </cell>
          <cell r="Z10" t="b">
            <v>0</v>
          </cell>
        </row>
        <row r="11">
          <cell r="A11" t="str">
            <v>Other assets</v>
          </cell>
          <cell r="B11">
            <v>225</v>
          </cell>
          <cell r="C11">
            <v>259</v>
          </cell>
          <cell r="D11">
            <v>125</v>
          </cell>
          <cell r="E11">
            <v>91</v>
          </cell>
          <cell r="F11">
            <v>115</v>
          </cell>
          <cell r="G11">
            <v>40</v>
          </cell>
          <cell r="H11">
            <v>42</v>
          </cell>
          <cell r="I11">
            <v>52</v>
          </cell>
          <cell r="J11">
            <v>68</v>
          </cell>
          <cell r="K11">
            <v>35</v>
          </cell>
          <cell r="L11">
            <v>31</v>
          </cell>
          <cell r="M11">
            <v>28</v>
          </cell>
          <cell r="N11">
            <v>28</v>
          </cell>
          <cell r="O11">
            <v>28</v>
          </cell>
          <cell r="P11">
            <v>28</v>
          </cell>
          <cell r="Q11">
            <v>28</v>
          </cell>
          <cell r="R11">
            <v>28</v>
          </cell>
          <cell r="S11">
            <v>28</v>
          </cell>
          <cell r="T11">
            <v>28</v>
          </cell>
          <cell r="W11" t="str">
            <v>mstag:otherAssetsOperatingCurrent</v>
          </cell>
          <cell r="X11">
            <v>6</v>
          </cell>
          <cell r="Y11" t="str">
            <v>ISO4217:USD</v>
          </cell>
          <cell r="Z11" t="b">
            <v>0</v>
          </cell>
        </row>
        <row r="12">
          <cell r="A12" t="str">
            <v>Total current assets</v>
          </cell>
          <cell r="B12">
            <v>2067</v>
          </cell>
          <cell r="C12">
            <v>2294</v>
          </cell>
          <cell r="D12">
            <v>3151</v>
          </cell>
          <cell r="E12">
            <v>2568</v>
          </cell>
          <cell r="F12">
            <v>3111</v>
          </cell>
          <cell r="G12">
            <v>3063</v>
          </cell>
          <cell r="H12">
            <v>2284</v>
          </cell>
          <cell r="I12">
            <v>2856</v>
          </cell>
          <cell r="J12">
            <v>2668</v>
          </cell>
          <cell r="K12">
            <v>2703</v>
          </cell>
          <cell r="L12">
            <v>2839</v>
          </cell>
          <cell r="M12">
            <v>3182</v>
          </cell>
          <cell r="N12">
            <v>3391.2902773346368</v>
          </cell>
          <cell r="O12">
            <v>3763.3839284638561</v>
          </cell>
          <cell r="P12">
            <v>4096.5206813413733</v>
          </cell>
          <cell r="Q12">
            <v>4503.4210120008402</v>
          </cell>
          <cell r="R12">
            <v>4994.6402770305831</v>
          </cell>
          <cell r="S12">
            <v>5506.6318469623648</v>
          </cell>
          <cell r="T12">
            <v>6047.1218094814712</v>
          </cell>
        </row>
        <row r="14">
          <cell r="A14" t="str">
            <v>Investment in affiliates</v>
          </cell>
          <cell r="B14">
            <v>476</v>
          </cell>
          <cell r="C14">
            <v>561</v>
          </cell>
          <cell r="D14">
            <v>833</v>
          </cell>
          <cell r="E14">
            <v>775</v>
          </cell>
          <cell r="F14">
            <v>763</v>
          </cell>
          <cell r="G14">
            <v>814</v>
          </cell>
          <cell r="H14">
            <v>789</v>
          </cell>
          <cell r="I14">
            <v>792</v>
          </cell>
          <cell r="J14">
            <v>838</v>
          </cell>
          <cell r="K14">
            <v>824</v>
          </cell>
          <cell r="L14">
            <v>800</v>
          </cell>
          <cell r="M14">
            <v>841</v>
          </cell>
          <cell r="N14">
            <v>841</v>
          </cell>
          <cell r="O14">
            <v>841</v>
          </cell>
          <cell r="P14">
            <v>841</v>
          </cell>
          <cell r="Q14">
            <v>841</v>
          </cell>
          <cell r="R14">
            <v>841</v>
          </cell>
          <cell r="S14">
            <v>841</v>
          </cell>
          <cell r="T14">
            <v>841</v>
          </cell>
          <cell r="W14" t="str">
            <v>mstag:investmentsUnderTheEquityMethodOperating</v>
          </cell>
          <cell r="X14">
            <v>6</v>
          </cell>
          <cell r="Y14" t="str">
            <v>ISO4217:USD</v>
          </cell>
          <cell r="Z14" t="b">
            <v>0</v>
          </cell>
        </row>
        <row r="15">
          <cell r="A15" t="str">
            <v>Property, plant and equipment (net)</v>
          </cell>
          <cell r="B15">
            <v>1593</v>
          </cell>
          <cell r="C15">
            <v>1710</v>
          </cell>
          <cell r="D15">
            <v>1702</v>
          </cell>
          <cell r="E15">
            <v>2031</v>
          </cell>
          <cell r="F15">
            <v>2155</v>
          </cell>
          <cell r="G15">
            <v>2362</v>
          </cell>
          <cell r="H15">
            <v>2472</v>
          </cell>
          <cell r="I15">
            <v>2797</v>
          </cell>
          <cell r="J15">
            <v>3017</v>
          </cell>
          <cell r="K15">
            <v>3269</v>
          </cell>
          <cell r="L15">
            <v>3350</v>
          </cell>
          <cell r="M15">
            <v>3425</v>
          </cell>
          <cell r="N15">
            <v>3598.2714285714292</v>
          </cell>
          <cell r="O15">
            <v>3743.4647855589928</v>
          </cell>
          <cell r="P15">
            <v>3931.4902451022517</v>
          </cell>
          <cell r="Q15">
            <v>4019.7547284545876</v>
          </cell>
          <cell r="R15">
            <v>4040.2973580629177</v>
          </cell>
          <cell r="S15">
            <v>4065.5072804800825</v>
          </cell>
          <cell r="T15">
            <v>4095.4170528238474</v>
          </cell>
          <cell r="W15" t="str">
            <v>mstag:propertyPlantAndEquipmentNet</v>
          </cell>
          <cell r="X15">
            <v>6</v>
          </cell>
          <cell r="Y15" t="str">
            <v>ISO4217:USD</v>
          </cell>
          <cell r="Z15" t="b">
            <v>0</v>
          </cell>
        </row>
        <row r="16">
          <cell r="A16" t="str">
            <v>Deferred income taxes</v>
          </cell>
          <cell r="B16">
            <v>630</v>
          </cell>
          <cell r="C16">
            <v>606</v>
          </cell>
          <cell r="D16">
            <v>54</v>
          </cell>
          <cell r="E16">
            <v>139</v>
          </cell>
          <cell r="F16">
            <v>22</v>
          </cell>
          <cell r="G16">
            <v>10</v>
          </cell>
          <cell r="H16">
            <v>27</v>
          </cell>
          <cell r="I16">
            <v>484</v>
          </cell>
          <cell r="J16">
            <v>443</v>
          </cell>
          <cell r="K16">
            <v>421</v>
          </cell>
          <cell r="L16">
            <v>606</v>
          </cell>
          <cell r="M16">
            <v>289</v>
          </cell>
          <cell r="N16">
            <v>289</v>
          </cell>
          <cell r="O16">
            <v>289</v>
          </cell>
          <cell r="P16">
            <v>289</v>
          </cell>
          <cell r="Q16">
            <v>289</v>
          </cell>
          <cell r="R16">
            <v>289</v>
          </cell>
          <cell r="S16">
            <v>289</v>
          </cell>
          <cell r="T16">
            <v>289</v>
          </cell>
          <cell r="W16" t="str">
            <v>mstag:deferredTaxAssetsNonCurrent</v>
          </cell>
          <cell r="X16">
            <v>6</v>
          </cell>
          <cell r="Y16" t="str">
            <v>ISO4217:USD</v>
          </cell>
          <cell r="Z16" t="b">
            <v>0</v>
          </cell>
        </row>
        <row r="17">
          <cell r="A17" t="str">
            <v>Marketable securities, at fair value</v>
          </cell>
          <cell r="B17">
            <v>0</v>
          </cell>
          <cell r="C17">
            <v>0</v>
          </cell>
          <cell r="D17">
            <v>0</v>
          </cell>
          <cell r="E17">
            <v>0</v>
          </cell>
          <cell r="F17">
            <v>0</v>
          </cell>
          <cell r="G17">
            <v>209</v>
          </cell>
          <cell r="H17">
            <v>94</v>
          </cell>
          <cell r="I17">
            <v>80</v>
          </cell>
          <cell r="J17">
            <v>0</v>
          </cell>
          <cell r="K17">
            <v>0</v>
          </cell>
          <cell r="L17">
            <v>0</v>
          </cell>
          <cell r="M17">
            <v>0</v>
          </cell>
          <cell r="N17">
            <v>0</v>
          </cell>
          <cell r="O17">
            <v>0</v>
          </cell>
          <cell r="P17">
            <v>0</v>
          </cell>
          <cell r="Q17">
            <v>0</v>
          </cell>
          <cell r="R17">
            <v>0</v>
          </cell>
          <cell r="S17">
            <v>0</v>
          </cell>
          <cell r="T17">
            <v>0</v>
          </cell>
          <cell r="W17" t="str">
            <v>mstag:longTermInvestmentsNonOperating</v>
          </cell>
          <cell r="X17">
            <v>6</v>
          </cell>
          <cell r="Y17" t="str">
            <v>ISO4217:USD</v>
          </cell>
          <cell r="Z17" t="b">
            <v>0</v>
          </cell>
        </row>
        <row r="18">
          <cell r="A18" t="str">
            <v>Other assets</v>
          </cell>
          <cell r="B18">
            <v>566</v>
          </cell>
          <cell r="C18">
            <v>535</v>
          </cell>
          <cell r="D18">
            <v>523</v>
          </cell>
          <cell r="E18">
            <v>502</v>
          </cell>
          <cell r="F18">
            <v>506</v>
          </cell>
          <cell r="G18">
            <v>309</v>
          </cell>
          <cell r="H18">
            <v>357</v>
          </cell>
          <cell r="I18">
            <v>311</v>
          </cell>
          <cell r="J18">
            <v>289</v>
          </cell>
          <cell r="K18">
            <v>344</v>
          </cell>
          <cell r="L18">
            <v>463</v>
          </cell>
          <cell r="M18">
            <v>341</v>
          </cell>
          <cell r="N18">
            <v>341</v>
          </cell>
          <cell r="O18">
            <v>341</v>
          </cell>
          <cell r="P18">
            <v>341</v>
          </cell>
          <cell r="Q18">
            <v>341</v>
          </cell>
          <cell r="R18">
            <v>341</v>
          </cell>
          <cell r="S18">
            <v>341</v>
          </cell>
          <cell r="T18">
            <v>341</v>
          </cell>
          <cell r="W18" t="str">
            <v>mstag:otherAssetsOperatingNonCurrent</v>
          </cell>
          <cell r="X18">
            <v>6</v>
          </cell>
          <cell r="Y18" t="str">
            <v>ISO4217:USD</v>
          </cell>
          <cell r="Z18" t="b">
            <v>0</v>
          </cell>
        </row>
        <row r="19">
          <cell r="A19" t="str">
            <v>Goodwill</v>
          </cell>
          <cell r="B19">
            <v>0</v>
          </cell>
          <cell r="C19">
            <v>1072</v>
          </cell>
          <cell r="D19">
            <v>747</v>
          </cell>
          <cell r="E19">
            <v>949</v>
          </cell>
          <cell r="F19">
            <v>875</v>
          </cell>
          <cell r="G19">
            <v>866</v>
          </cell>
          <cell r="H19">
            <v>779</v>
          </cell>
          <cell r="I19">
            <v>798</v>
          </cell>
          <cell r="J19">
            <v>774</v>
          </cell>
          <cell r="K19">
            <v>760</v>
          </cell>
          <cell r="L19">
            <v>777</v>
          </cell>
          <cell r="M19">
            <v>798</v>
          </cell>
          <cell r="N19">
            <v>798</v>
          </cell>
          <cell r="O19">
            <v>798</v>
          </cell>
          <cell r="P19">
            <v>798</v>
          </cell>
          <cell r="Q19">
            <v>798</v>
          </cell>
          <cell r="R19">
            <v>798</v>
          </cell>
          <cell r="S19">
            <v>798</v>
          </cell>
          <cell r="T19">
            <v>798</v>
          </cell>
          <cell r="W19" t="str">
            <v>mstag:goodwill</v>
          </cell>
          <cell r="X19">
            <v>6</v>
          </cell>
          <cell r="Y19" t="str">
            <v>ISO4217:USD</v>
          </cell>
          <cell r="Z19" t="b">
            <v>0</v>
          </cell>
        </row>
        <row r="20">
          <cell r="A20" t="str">
            <v>Intangible assets, net</v>
          </cell>
          <cell r="B20">
            <v>1085</v>
          </cell>
          <cell r="C20">
            <v>36</v>
          </cell>
          <cell r="D20">
            <v>400</v>
          </cell>
          <cell r="E20">
            <v>481</v>
          </cell>
          <cell r="F20">
            <v>463</v>
          </cell>
          <cell r="G20">
            <v>425</v>
          </cell>
          <cell r="H20">
            <v>364</v>
          </cell>
          <cell r="I20">
            <v>294</v>
          </cell>
          <cell r="J20">
            <v>252</v>
          </cell>
          <cell r="K20">
            <v>197</v>
          </cell>
          <cell r="L20">
            <v>165</v>
          </cell>
          <cell r="M20">
            <v>142</v>
          </cell>
          <cell r="N20">
            <v>109.92857142857144</v>
          </cell>
          <cell r="O20">
            <v>79.995238095238165</v>
          </cell>
          <cell r="P20">
            <v>48.728571428571513</v>
          </cell>
          <cell r="Q20">
            <v>56.12857142857149</v>
          </cell>
          <cell r="R20">
            <v>59.528571428571468</v>
          </cell>
          <cell r="S20">
            <v>58.928571428571445</v>
          </cell>
          <cell r="T20">
            <v>54.328571428571422</v>
          </cell>
          <cell r="W20" t="str">
            <v>mstag:otherIntangibleAssets</v>
          </cell>
          <cell r="X20">
            <v>6</v>
          </cell>
          <cell r="Y20" t="str">
            <v>ISO4217:USD</v>
          </cell>
          <cell r="Z20" t="b">
            <v>0</v>
          </cell>
        </row>
        <row r="21">
          <cell r="A21" t="str">
            <v>Total LT assets</v>
          </cell>
          <cell r="B21">
            <v>4350</v>
          </cell>
          <cell r="C21">
            <v>4520</v>
          </cell>
          <cell r="D21">
            <v>4259</v>
          </cell>
          <cell r="E21">
            <v>4877</v>
          </cell>
          <cell r="F21">
            <v>4784</v>
          </cell>
          <cell r="G21">
            <v>4995</v>
          </cell>
          <cell r="H21">
            <v>4882</v>
          </cell>
          <cell r="I21">
            <v>5556</v>
          </cell>
          <cell r="J21">
            <v>5613</v>
          </cell>
          <cell r="K21">
            <v>5815</v>
          </cell>
          <cell r="L21">
            <v>6161</v>
          </cell>
          <cell r="M21">
            <v>5836</v>
          </cell>
          <cell r="N21">
            <v>5977.2000000000007</v>
          </cell>
          <cell r="O21">
            <v>6092.460023654231</v>
          </cell>
          <cell r="P21">
            <v>6249.2188165308235</v>
          </cell>
          <cell r="Q21">
            <v>6344.8832998831585</v>
          </cell>
          <cell r="R21">
            <v>6368.8259294914897</v>
          </cell>
          <cell r="S21">
            <v>6393.4358519086536</v>
          </cell>
          <cell r="T21">
            <v>6418.7456242524186</v>
          </cell>
        </row>
        <row r="23">
          <cell r="A23" t="str">
            <v>Total assets</v>
          </cell>
          <cell r="B23">
            <v>6417</v>
          </cell>
          <cell r="C23">
            <v>6814</v>
          </cell>
          <cell r="D23">
            <v>7410</v>
          </cell>
          <cell r="E23">
            <v>7445</v>
          </cell>
          <cell r="F23">
            <v>7895</v>
          </cell>
          <cell r="G23">
            <v>8058</v>
          </cell>
          <cell r="H23">
            <v>7166</v>
          </cell>
          <cell r="I23">
            <v>8412</v>
          </cell>
          <cell r="J23">
            <v>8281</v>
          </cell>
          <cell r="K23">
            <v>8518</v>
          </cell>
          <cell r="L23">
            <v>9000</v>
          </cell>
          <cell r="M23">
            <v>9018</v>
          </cell>
          <cell r="N23">
            <v>9368.4902773346366</v>
          </cell>
          <cell r="O23">
            <v>9855.8439521180881</v>
          </cell>
          <cell r="P23">
            <v>10345.739497872197</v>
          </cell>
          <cell r="Q23">
            <v>10848.304311884</v>
          </cell>
          <cell r="R23">
            <v>11363.466206522073</v>
          </cell>
          <cell r="S23">
            <v>11900.067698871018</v>
          </cell>
          <cell r="T23">
            <v>12465.867433733891</v>
          </cell>
        </row>
        <row r="25">
          <cell r="A25" t="str">
            <v>ST borrowings and current portion of LT debt</v>
          </cell>
          <cell r="B25">
            <v>204</v>
          </cell>
          <cell r="C25">
            <v>148</v>
          </cell>
          <cell r="D25">
            <v>144</v>
          </cell>
          <cell r="E25">
            <v>155</v>
          </cell>
          <cell r="F25">
            <v>309</v>
          </cell>
          <cell r="G25">
            <v>272</v>
          </cell>
          <cell r="H25">
            <v>233</v>
          </cell>
          <cell r="I25">
            <v>242</v>
          </cell>
          <cell r="J25">
            <v>228</v>
          </cell>
          <cell r="K25">
            <v>144</v>
          </cell>
          <cell r="L25">
            <v>168</v>
          </cell>
          <cell r="M25">
            <v>177</v>
          </cell>
          <cell r="N25">
            <v>177</v>
          </cell>
          <cell r="O25">
            <v>177</v>
          </cell>
          <cell r="P25">
            <v>177</v>
          </cell>
          <cell r="Q25">
            <v>177</v>
          </cell>
          <cell r="R25">
            <v>177</v>
          </cell>
          <cell r="S25">
            <v>177</v>
          </cell>
          <cell r="T25">
            <v>177</v>
          </cell>
          <cell r="W25" t="str">
            <v>mstag:shortTermBorrowings</v>
          </cell>
          <cell r="X25">
            <v>6</v>
          </cell>
          <cell r="Y25" t="str">
            <v>ISO4217:USD</v>
          </cell>
          <cell r="Z25" t="b">
            <v>0</v>
          </cell>
        </row>
        <row r="26">
          <cell r="A26" t="str">
            <v>Trade payables</v>
          </cell>
          <cell r="B26">
            <v>572</v>
          </cell>
          <cell r="C26">
            <v>590</v>
          </cell>
          <cell r="D26">
            <v>716</v>
          </cell>
          <cell r="E26">
            <v>811</v>
          </cell>
          <cell r="F26">
            <v>830</v>
          </cell>
          <cell r="G26">
            <v>818</v>
          </cell>
          <cell r="H26">
            <v>523</v>
          </cell>
          <cell r="I26">
            <v>649</v>
          </cell>
          <cell r="J26">
            <v>673</v>
          </cell>
          <cell r="K26">
            <v>673</v>
          </cell>
          <cell r="L26">
            <v>649</v>
          </cell>
          <cell r="M26">
            <v>799</v>
          </cell>
          <cell r="N26">
            <v>830.60630334354039</v>
          </cell>
          <cell r="O26">
            <v>867.61559606955166</v>
          </cell>
          <cell r="P26">
            <v>953.29661020370224</v>
          </cell>
          <cell r="Q26">
            <v>1011.6976025685034</v>
          </cell>
          <cell r="R26">
            <v>1054.7622805385358</v>
          </cell>
          <cell r="S26">
            <v>1092.7311526027875</v>
          </cell>
          <cell r="T26">
            <v>1132.4699694949024</v>
          </cell>
          <cell r="W26" t="str">
            <v>mstag:tradeAndOtherPayablesCurrent</v>
          </cell>
          <cell r="X26">
            <v>6</v>
          </cell>
          <cell r="Y26" t="str">
            <v>ISO4217:USD</v>
          </cell>
          <cell r="Z26" t="b">
            <v>0</v>
          </cell>
        </row>
        <row r="27">
          <cell r="A27" t="str">
            <v>Other liabilities</v>
          </cell>
          <cell r="B27">
            <v>690</v>
          </cell>
          <cell r="C27">
            <v>949</v>
          </cell>
          <cell r="D27">
            <v>888</v>
          </cell>
          <cell r="E27">
            <v>787</v>
          </cell>
          <cell r="F27">
            <v>780</v>
          </cell>
          <cell r="G27">
            <v>888</v>
          </cell>
          <cell r="H27">
            <v>574</v>
          </cell>
          <cell r="I27">
            <v>611</v>
          </cell>
          <cell r="J27">
            <v>596</v>
          </cell>
          <cell r="K27">
            <v>539</v>
          </cell>
          <cell r="L27">
            <v>475</v>
          </cell>
          <cell r="M27">
            <v>541</v>
          </cell>
          <cell r="N27">
            <v>541</v>
          </cell>
          <cell r="O27">
            <v>541</v>
          </cell>
          <cell r="P27">
            <v>541</v>
          </cell>
          <cell r="Q27">
            <v>541</v>
          </cell>
          <cell r="R27">
            <v>541</v>
          </cell>
          <cell r="S27">
            <v>541</v>
          </cell>
          <cell r="T27">
            <v>541</v>
          </cell>
          <cell r="W27" t="str">
            <v>mstag:otherLiabilitiesOperatingCurrent</v>
          </cell>
          <cell r="X27">
            <v>6</v>
          </cell>
          <cell r="Y27" t="str">
            <v>ISO4217:USD</v>
          </cell>
          <cell r="Z27" t="b">
            <v>0</v>
          </cell>
        </row>
        <row r="28">
          <cell r="A28" t="str">
            <v>Deferred income taxes</v>
          </cell>
          <cell r="B28">
            <v>11</v>
          </cell>
          <cell r="C28">
            <v>19</v>
          </cell>
          <cell r="D28">
            <v>20</v>
          </cell>
          <cell r="E28">
            <v>36</v>
          </cell>
          <cell r="F28">
            <v>18</v>
          </cell>
          <cell r="G28">
            <v>30</v>
          </cell>
          <cell r="H28">
            <v>15</v>
          </cell>
          <cell r="I28">
            <v>33</v>
          </cell>
          <cell r="J28">
            <v>28</v>
          </cell>
          <cell r="K28">
            <v>17</v>
          </cell>
          <cell r="L28">
            <v>25</v>
          </cell>
          <cell r="M28">
            <v>10</v>
          </cell>
          <cell r="N28">
            <v>10</v>
          </cell>
          <cell r="O28">
            <v>10</v>
          </cell>
          <cell r="P28">
            <v>10</v>
          </cell>
          <cell r="Q28">
            <v>10</v>
          </cell>
          <cell r="R28">
            <v>10</v>
          </cell>
          <cell r="S28">
            <v>10</v>
          </cell>
          <cell r="T28">
            <v>10</v>
          </cell>
          <cell r="W28" t="str">
            <v>mstag:deferredTaxLiabilitiesCurrent</v>
          </cell>
          <cell r="X28">
            <v>6</v>
          </cell>
          <cell r="Y28" t="str">
            <v>ISO4217:USD</v>
          </cell>
          <cell r="Z28" t="b">
            <v>0</v>
          </cell>
        </row>
        <row r="29">
          <cell r="A29" t="str">
            <v>Income taxes payables</v>
          </cell>
          <cell r="B29">
            <v>454</v>
          </cell>
          <cell r="C29">
            <v>266</v>
          </cell>
          <cell r="D29">
            <v>227</v>
          </cell>
          <cell r="E29">
            <v>224</v>
          </cell>
          <cell r="F29">
            <v>279</v>
          </cell>
          <cell r="G29">
            <v>23</v>
          </cell>
          <cell r="H29">
            <v>24</v>
          </cell>
          <cell r="I29">
            <v>72</v>
          </cell>
          <cell r="J29">
            <v>17</v>
          </cell>
          <cell r="K29">
            <v>12</v>
          </cell>
          <cell r="L29">
            <v>38</v>
          </cell>
          <cell r="M29">
            <v>18</v>
          </cell>
          <cell r="N29">
            <v>18</v>
          </cell>
          <cell r="O29">
            <v>18</v>
          </cell>
          <cell r="P29">
            <v>18</v>
          </cell>
          <cell r="Q29">
            <v>18</v>
          </cell>
          <cell r="R29">
            <v>18</v>
          </cell>
          <cell r="S29">
            <v>18</v>
          </cell>
          <cell r="T29">
            <v>18</v>
          </cell>
          <cell r="W29" t="str">
            <v>mstag:incomeTaxPayable</v>
          </cell>
          <cell r="X29">
            <v>6</v>
          </cell>
          <cell r="Y29" t="str">
            <v>ISO4217:USD</v>
          </cell>
          <cell r="Z29" t="b">
            <v>0</v>
          </cell>
        </row>
        <row r="31">
          <cell r="A31" t="str">
            <v>Total current liabilities</v>
          </cell>
          <cell r="B31">
            <v>1931</v>
          </cell>
          <cell r="C31">
            <v>1972</v>
          </cell>
          <cell r="D31">
            <v>1995</v>
          </cell>
          <cell r="E31">
            <v>2013</v>
          </cell>
          <cell r="F31">
            <v>2216</v>
          </cell>
          <cell r="G31">
            <v>2031</v>
          </cell>
          <cell r="H31">
            <v>1369</v>
          </cell>
          <cell r="I31">
            <v>1607</v>
          </cell>
          <cell r="J31">
            <v>1542</v>
          </cell>
          <cell r="K31">
            <v>1385</v>
          </cell>
          <cell r="L31">
            <v>1355</v>
          </cell>
          <cell r="M31">
            <v>1545</v>
          </cell>
          <cell r="N31">
            <v>1576.6063033435403</v>
          </cell>
          <cell r="O31">
            <v>1613.6155960695517</v>
          </cell>
          <cell r="P31">
            <v>1699.2966102037021</v>
          </cell>
          <cell r="Q31">
            <v>1757.6976025685035</v>
          </cell>
          <cell r="R31">
            <v>1800.7622805385358</v>
          </cell>
          <cell r="S31">
            <v>1838.7311526027875</v>
          </cell>
          <cell r="T31">
            <v>1878.4699694949024</v>
          </cell>
        </row>
        <row r="33">
          <cell r="A33" t="str">
            <v>Long-term debt</v>
          </cell>
          <cell r="B33">
            <v>440</v>
          </cell>
          <cell r="C33">
            <v>489</v>
          </cell>
          <cell r="D33">
            <v>3243</v>
          </cell>
          <cell r="E33">
            <v>3282</v>
          </cell>
          <cell r="F33">
            <v>3189</v>
          </cell>
          <cell r="G33">
            <v>3284</v>
          </cell>
          <cell r="H33">
            <v>3300</v>
          </cell>
          <cell r="I33">
            <v>3259</v>
          </cell>
          <cell r="J33">
            <v>2990</v>
          </cell>
          <cell r="K33">
            <v>2873</v>
          </cell>
          <cell r="L33">
            <v>2930</v>
          </cell>
          <cell r="M33">
            <v>2887</v>
          </cell>
          <cell r="N33">
            <v>2587</v>
          </cell>
          <cell r="O33">
            <v>2287</v>
          </cell>
          <cell r="P33">
            <v>1987</v>
          </cell>
          <cell r="Q33">
            <v>1687</v>
          </cell>
          <cell r="R33">
            <v>1387</v>
          </cell>
          <cell r="S33">
            <v>1087</v>
          </cell>
          <cell r="T33">
            <v>787</v>
          </cell>
          <cell r="W33" t="str">
            <v>mstag:longTermDebt</v>
          </cell>
          <cell r="X33">
            <v>6</v>
          </cell>
          <cell r="Y33" t="str">
            <v>ISO4217:USD</v>
          </cell>
          <cell r="Z33" t="b">
            <v>0</v>
          </cell>
        </row>
        <row r="34">
          <cell r="A34" t="str">
            <v>LT Deferred Income taxes</v>
          </cell>
          <cell r="B34">
            <v>54</v>
          </cell>
          <cell r="C34">
            <v>99</v>
          </cell>
          <cell r="D34">
            <v>256</v>
          </cell>
          <cell r="E34">
            <v>285</v>
          </cell>
          <cell r="F34">
            <v>297</v>
          </cell>
          <cell r="G34">
            <v>265</v>
          </cell>
          <cell r="H34">
            <v>122</v>
          </cell>
          <cell r="I34">
            <v>137</v>
          </cell>
          <cell r="J34">
            <v>116</v>
          </cell>
          <cell r="K34">
            <v>92</v>
          </cell>
          <cell r="L34">
            <v>50</v>
          </cell>
          <cell r="M34">
            <v>225</v>
          </cell>
          <cell r="N34">
            <v>225</v>
          </cell>
          <cell r="O34">
            <v>225</v>
          </cell>
          <cell r="P34">
            <v>225</v>
          </cell>
          <cell r="Q34">
            <v>225</v>
          </cell>
          <cell r="R34">
            <v>225</v>
          </cell>
          <cell r="S34">
            <v>225</v>
          </cell>
          <cell r="T34">
            <v>225</v>
          </cell>
          <cell r="W34" t="str">
            <v>mstag:deferredTaxLiabilitiesNonCurrent</v>
          </cell>
          <cell r="X34">
            <v>6</v>
          </cell>
          <cell r="Y34" t="str">
            <v>ISO4217:USD</v>
          </cell>
          <cell r="Z34" t="b">
            <v>0</v>
          </cell>
        </row>
        <row r="35">
          <cell r="A35" t="str">
            <v>Uncertain tax positions</v>
          </cell>
          <cell r="B35">
            <v>0</v>
          </cell>
          <cell r="C35">
            <v>0</v>
          </cell>
          <cell r="D35">
            <v>0</v>
          </cell>
          <cell r="E35">
            <v>0</v>
          </cell>
          <cell r="F35">
            <v>0</v>
          </cell>
          <cell r="G35">
            <v>220</v>
          </cell>
          <cell r="H35">
            <v>218</v>
          </cell>
          <cell r="I35">
            <v>229</v>
          </cell>
          <cell r="J35">
            <v>273</v>
          </cell>
          <cell r="K35">
            <v>182</v>
          </cell>
          <cell r="L35">
            <v>181</v>
          </cell>
          <cell r="M35">
            <v>200</v>
          </cell>
          <cell r="N35">
            <v>200</v>
          </cell>
          <cell r="O35">
            <v>200</v>
          </cell>
          <cell r="P35">
            <v>200</v>
          </cell>
          <cell r="Q35">
            <v>200</v>
          </cell>
          <cell r="R35">
            <v>200</v>
          </cell>
          <cell r="S35">
            <v>200</v>
          </cell>
          <cell r="T35">
            <v>200</v>
          </cell>
          <cell r="W35" t="str">
            <v>mstag:otherLiabilitiesOperatingNonCurrent</v>
          </cell>
          <cell r="X35">
            <v>6</v>
          </cell>
          <cell r="Y35" t="str">
            <v>ISO4217:USD</v>
          </cell>
          <cell r="Z35" t="b">
            <v>0</v>
          </cell>
        </row>
        <row r="36">
          <cell r="A36" t="str">
            <v>Benefit obligations</v>
          </cell>
          <cell r="B36">
            <v>1271</v>
          </cell>
          <cell r="C36">
            <v>1165</v>
          </cell>
          <cell r="D36">
            <v>1000</v>
          </cell>
          <cell r="E36">
            <v>1126</v>
          </cell>
          <cell r="F36">
            <v>889</v>
          </cell>
          <cell r="G36">
            <v>696</v>
          </cell>
          <cell r="H36">
            <v>1167</v>
          </cell>
          <cell r="I36">
            <v>1288</v>
          </cell>
          <cell r="J36">
            <v>1359</v>
          </cell>
          <cell r="K36">
            <v>1492</v>
          </cell>
          <cell r="L36">
            <v>1602</v>
          </cell>
          <cell r="M36">
            <v>1175</v>
          </cell>
          <cell r="N36">
            <v>1156</v>
          </cell>
          <cell r="O36">
            <v>1161</v>
          </cell>
          <cell r="P36">
            <v>1166</v>
          </cell>
          <cell r="Q36">
            <v>1171</v>
          </cell>
          <cell r="R36">
            <v>1176</v>
          </cell>
          <cell r="S36">
            <v>1181</v>
          </cell>
          <cell r="T36">
            <v>1186</v>
          </cell>
          <cell r="W36" t="str">
            <v>mstag:pensionAndOtherPostRetirementObligations</v>
          </cell>
          <cell r="X36">
            <v>6</v>
          </cell>
          <cell r="Y36" t="str">
            <v>ISO4217:USD</v>
          </cell>
          <cell r="Z36" t="b">
            <v>0</v>
          </cell>
        </row>
        <row r="37">
          <cell r="A37" t="str">
            <v>Other liabilities</v>
          </cell>
          <cell r="B37">
            <v>612</v>
          </cell>
          <cell r="C37">
            <v>489</v>
          </cell>
          <cell r="D37">
            <v>510</v>
          </cell>
          <cell r="E37">
            <v>440</v>
          </cell>
          <cell r="F37">
            <v>443</v>
          </cell>
          <cell r="G37">
            <v>495</v>
          </cell>
          <cell r="H37">
            <v>806</v>
          </cell>
          <cell r="I37">
            <v>1306</v>
          </cell>
          <cell r="J37">
            <v>1075</v>
          </cell>
          <cell r="K37">
            <v>1153</v>
          </cell>
          <cell r="L37">
            <v>1152</v>
          </cell>
          <cell r="M37">
            <v>287</v>
          </cell>
          <cell r="N37">
            <v>287</v>
          </cell>
          <cell r="O37">
            <v>287</v>
          </cell>
          <cell r="P37">
            <v>287</v>
          </cell>
          <cell r="Q37">
            <v>287</v>
          </cell>
          <cell r="R37">
            <v>287</v>
          </cell>
          <cell r="S37">
            <v>287</v>
          </cell>
          <cell r="T37">
            <v>287</v>
          </cell>
          <cell r="W37" t="str">
            <v>mstag:otherLiabilitiesOperatingNonCurrent</v>
          </cell>
          <cell r="X37">
            <v>6</v>
          </cell>
          <cell r="Y37" t="str">
            <v>ISO4217:USD</v>
          </cell>
          <cell r="Z37" t="b">
            <v>0</v>
          </cell>
        </row>
        <row r="38">
          <cell r="A38" t="str">
            <v>Minority interest</v>
          </cell>
          <cell r="B38">
            <v>13</v>
          </cell>
          <cell r="C38">
            <v>18</v>
          </cell>
          <cell r="D38">
            <v>518</v>
          </cell>
          <cell r="E38">
            <v>64</v>
          </cell>
          <cell r="F38">
            <v>74</v>
          </cell>
          <cell r="G38">
            <v>5</v>
          </cell>
          <cell r="H38">
            <v>2</v>
          </cell>
          <cell r="I38">
            <v>0</v>
          </cell>
          <cell r="J38">
            <v>0</v>
          </cell>
          <cell r="K38">
            <v>0</v>
          </cell>
          <cell r="L38">
            <v>0</v>
          </cell>
          <cell r="M38">
            <v>0</v>
          </cell>
          <cell r="N38">
            <v>0</v>
          </cell>
          <cell r="O38">
            <v>0</v>
          </cell>
          <cell r="P38">
            <v>0</v>
          </cell>
          <cell r="Q38">
            <v>0</v>
          </cell>
          <cell r="R38">
            <v>0</v>
          </cell>
          <cell r="S38">
            <v>0</v>
          </cell>
          <cell r="T38">
            <v>0</v>
          </cell>
          <cell r="W38" t="str">
            <v>mstag:minorityInterestsInShareholdersEquity</v>
          </cell>
          <cell r="X38">
            <v>6</v>
          </cell>
          <cell r="Y38" t="str">
            <v>ISO4217:USD</v>
          </cell>
          <cell r="Z38" t="b">
            <v>0</v>
          </cell>
        </row>
        <row r="39">
          <cell r="A39" t="str">
            <v>Total liabilities</v>
          </cell>
          <cell r="B39">
            <v>4321</v>
          </cell>
          <cell r="C39">
            <v>4232</v>
          </cell>
          <cell r="D39">
            <v>7522</v>
          </cell>
          <cell r="E39">
            <v>7210</v>
          </cell>
          <cell r="F39">
            <v>7108</v>
          </cell>
          <cell r="G39">
            <v>6996</v>
          </cell>
          <cell r="H39">
            <v>6984</v>
          </cell>
          <cell r="I39">
            <v>7826</v>
          </cell>
          <cell r="J39">
            <v>7355</v>
          </cell>
          <cell r="K39">
            <v>7177</v>
          </cell>
          <cell r="L39">
            <v>7270</v>
          </cell>
          <cell r="M39">
            <v>6319</v>
          </cell>
          <cell r="N39">
            <v>6031.6063033435403</v>
          </cell>
          <cell r="O39">
            <v>5773.6155960695514</v>
          </cell>
          <cell r="P39">
            <v>5564.2966102037026</v>
          </cell>
          <cell r="Q39">
            <v>5327.6976025685035</v>
          </cell>
          <cell r="R39">
            <v>5075.7622805385363</v>
          </cell>
          <cell r="S39">
            <v>4818.7311526027879</v>
          </cell>
          <cell r="T39">
            <v>4563.4699694949022</v>
          </cell>
        </row>
        <row r="41">
          <cell r="A41" t="str">
            <v>Common stock</v>
          </cell>
          <cell r="B41">
            <v>150</v>
          </cell>
          <cell r="C41">
            <v>150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W41" t="str">
            <v>mstag:commonStock</v>
          </cell>
          <cell r="X41">
            <v>6</v>
          </cell>
          <cell r="Y41" t="str">
            <v>ISO4217:USD</v>
          </cell>
          <cell r="Z41" t="b">
            <v>0</v>
          </cell>
        </row>
        <row r="42">
          <cell r="A42" t="str">
            <v>Additional paid in capital</v>
          </cell>
          <cell r="B42">
            <v>2665</v>
          </cell>
          <cell r="C42">
            <v>2714</v>
          </cell>
          <cell r="D42">
            <v>158</v>
          </cell>
          <cell r="E42">
            <v>337</v>
          </cell>
          <cell r="F42">
            <v>362</v>
          </cell>
          <cell r="G42">
            <v>469</v>
          </cell>
          <cell r="H42">
            <v>495</v>
          </cell>
          <cell r="I42">
            <v>522</v>
          </cell>
          <cell r="J42">
            <v>574</v>
          </cell>
          <cell r="K42">
            <v>627</v>
          </cell>
          <cell r="L42">
            <v>731</v>
          </cell>
          <cell r="M42">
            <v>53</v>
          </cell>
          <cell r="N42">
            <v>53</v>
          </cell>
          <cell r="O42">
            <v>53</v>
          </cell>
          <cell r="P42">
            <v>53</v>
          </cell>
          <cell r="Q42">
            <v>53</v>
          </cell>
          <cell r="R42">
            <v>53</v>
          </cell>
          <cell r="S42">
            <v>53</v>
          </cell>
          <cell r="T42">
            <v>53</v>
          </cell>
          <cell r="W42" t="str">
            <v>mstag:additionalPaidInCapital</v>
          </cell>
          <cell r="X42">
            <v>6</v>
          </cell>
          <cell r="Y42" t="str">
            <v>ISO4217:USD</v>
          </cell>
          <cell r="Z42" t="b">
            <v>0</v>
          </cell>
        </row>
        <row r="43">
          <cell r="A43" t="str">
            <v>Retained earnings</v>
          </cell>
          <cell r="B43">
            <v>-98</v>
          </cell>
          <cell r="C43">
            <v>25</v>
          </cell>
          <cell r="D43">
            <v>-253</v>
          </cell>
          <cell r="E43">
            <v>24</v>
          </cell>
          <cell r="F43">
            <v>394</v>
          </cell>
          <cell r="G43">
            <v>799</v>
          </cell>
          <cell r="H43">
            <v>1047</v>
          </cell>
          <cell r="I43">
            <v>1505</v>
          </cell>
          <cell r="J43">
            <v>1851</v>
          </cell>
          <cell r="K43">
            <v>2424</v>
          </cell>
          <cell r="L43">
            <v>2986</v>
          </cell>
          <cell r="M43">
            <v>3011</v>
          </cell>
          <cell r="N43">
            <v>3648.8839739910964</v>
          </cell>
          <cell r="O43">
            <v>4393.0943521671361</v>
          </cell>
          <cell r="P43">
            <v>5092.2637088165811</v>
          </cell>
          <cell r="Q43">
            <v>5831.4172199256245</v>
          </cell>
          <cell r="R43">
            <v>6598.5041260557064</v>
          </cell>
          <cell r="S43">
            <v>7392.1264358024437</v>
          </cell>
          <cell r="T43">
            <v>8213.1770432352405</v>
          </cell>
          <cell r="W43" t="str">
            <v>mstag:retainedEarnings</v>
          </cell>
          <cell r="X43">
            <v>6</v>
          </cell>
          <cell r="Y43" t="str">
            <v>ISO4217:USD</v>
          </cell>
          <cell r="Z43" t="b">
            <v>0</v>
          </cell>
        </row>
        <row r="44">
          <cell r="A44" t="str">
            <v>Accumulated other comprehensive income/ (loss)</v>
          </cell>
          <cell r="B44">
            <v>-527</v>
          </cell>
          <cell r="C44">
            <v>-198</v>
          </cell>
          <cell r="D44">
            <v>-17</v>
          </cell>
          <cell r="E44">
            <v>-126</v>
          </cell>
          <cell r="F44">
            <v>31</v>
          </cell>
          <cell r="G44">
            <v>197</v>
          </cell>
          <cell r="H44">
            <v>-579</v>
          </cell>
          <cell r="I44">
            <v>-660</v>
          </cell>
          <cell r="J44">
            <v>-670</v>
          </cell>
          <cell r="K44">
            <v>-850</v>
          </cell>
          <cell r="L44">
            <v>-1082</v>
          </cell>
          <cell r="M44">
            <v>-4</v>
          </cell>
          <cell r="N44">
            <v>-4</v>
          </cell>
          <cell r="O44">
            <v>-4</v>
          </cell>
          <cell r="P44">
            <v>-4</v>
          </cell>
          <cell r="Q44">
            <v>-4</v>
          </cell>
          <cell r="R44">
            <v>-4</v>
          </cell>
          <cell r="S44">
            <v>-4</v>
          </cell>
          <cell r="T44">
            <v>-4</v>
          </cell>
          <cell r="W44" t="str">
            <v>mstag:accumulatedOtherComprehensiveIncomeLossAndReserves</v>
          </cell>
          <cell r="X44">
            <v>6</v>
          </cell>
          <cell r="Y44" t="str">
            <v>ISO4217:USD</v>
          </cell>
          <cell r="Z44" t="b">
            <v>0</v>
          </cell>
        </row>
        <row r="45">
          <cell r="A45" t="str">
            <v>Less: Treasury stock</v>
          </cell>
          <cell r="B45">
            <v>-94</v>
          </cell>
          <cell r="C45">
            <v>-109</v>
          </cell>
          <cell r="D45">
            <v>0</v>
          </cell>
          <cell r="E45">
            <v>0</v>
          </cell>
          <cell r="F45">
            <v>0</v>
          </cell>
          <cell r="G45">
            <v>-403</v>
          </cell>
          <cell r="H45">
            <v>-781</v>
          </cell>
          <cell r="I45">
            <v>-781</v>
          </cell>
          <cell r="J45">
            <v>-829</v>
          </cell>
          <cell r="K45">
            <v>-860</v>
          </cell>
          <cell r="L45">
            <v>-905</v>
          </cell>
          <cell r="M45">
            <v>-361</v>
          </cell>
          <cell r="N45">
            <v>-361</v>
          </cell>
          <cell r="O45">
            <v>-361</v>
          </cell>
          <cell r="P45">
            <v>-361</v>
          </cell>
          <cell r="Q45">
            <v>-361</v>
          </cell>
          <cell r="R45">
            <v>-361</v>
          </cell>
          <cell r="S45">
            <v>-361</v>
          </cell>
          <cell r="T45">
            <v>-361</v>
          </cell>
          <cell r="W45" t="str">
            <v>mstag:treasuryStockAndInvestmentInOwnShares</v>
          </cell>
          <cell r="X45">
            <v>6</v>
          </cell>
          <cell r="Y45" t="str">
            <v>ISO4217:USD</v>
          </cell>
          <cell r="Z45" t="b">
            <v>1</v>
          </cell>
        </row>
        <row r="47">
          <cell r="A47" t="str">
            <v>Total Shareholders equity</v>
          </cell>
          <cell r="B47">
            <v>2096</v>
          </cell>
          <cell r="C47">
            <v>2582</v>
          </cell>
          <cell r="D47">
            <v>-112</v>
          </cell>
          <cell r="E47">
            <v>235</v>
          </cell>
          <cell r="F47">
            <v>787</v>
          </cell>
          <cell r="G47">
            <v>1062</v>
          </cell>
          <cell r="H47">
            <v>182</v>
          </cell>
          <cell r="I47">
            <v>586</v>
          </cell>
          <cell r="J47">
            <v>926</v>
          </cell>
          <cell r="K47">
            <v>1341</v>
          </cell>
          <cell r="L47">
            <v>1730</v>
          </cell>
          <cell r="M47">
            <v>2699</v>
          </cell>
          <cell r="N47">
            <v>3336.8839739910964</v>
          </cell>
          <cell r="O47">
            <v>4081.0943521671361</v>
          </cell>
          <cell r="P47">
            <v>4780.2637088165811</v>
          </cell>
          <cell r="Q47">
            <v>5519.4172199256245</v>
          </cell>
          <cell r="R47">
            <v>6286.5041260557064</v>
          </cell>
          <cell r="S47">
            <v>7080.1264358024437</v>
          </cell>
          <cell r="T47">
            <v>7901.1770432352405</v>
          </cell>
        </row>
        <row r="48">
          <cell r="E48">
            <v>347</v>
          </cell>
        </row>
        <row r="49">
          <cell r="A49" t="str">
            <v>Total Liabilities and equity</v>
          </cell>
          <cell r="B49">
            <v>6417</v>
          </cell>
          <cell r="C49">
            <v>6814</v>
          </cell>
          <cell r="D49">
            <v>7410</v>
          </cell>
          <cell r="E49">
            <v>7445</v>
          </cell>
          <cell r="F49">
            <v>7895</v>
          </cell>
          <cell r="G49">
            <v>8058</v>
          </cell>
          <cell r="H49">
            <v>7166</v>
          </cell>
          <cell r="I49">
            <v>8412</v>
          </cell>
          <cell r="J49">
            <v>8281</v>
          </cell>
          <cell r="K49">
            <v>8518</v>
          </cell>
          <cell r="L49">
            <v>9000</v>
          </cell>
          <cell r="M49">
            <v>9018</v>
          </cell>
          <cell r="N49">
            <v>9368.4902773346366</v>
          </cell>
          <cell r="O49">
            <v>9855.8439521180881</v>
          </cell>
          <cell r="P49">
            <v>10345.739497872195</v>
          </cell>
          <cell r="Q49">
            <v>10848.304311884</v>
          </cell>
          <cell r="R49">
            <v>11363.466206522073</v>
          </cell>
          <cell r="S49">
            <v>11900.06769887102</v>
          </cell>
          <cell r="T49">
            <v>12465.867433733891</v>
          </cell>
        </row>
        <row r="51">
          <cell r="A51" t="str">
            <v>Check</v>
          </cell>
          <cell r="B51" t="str">
            <v>Good</v>
          </cell>
          <cell r="C51" t="str">
            <v>Good</v>
          </cell>
          <cell r="D51" t="str">
            <v>Good</v>
          </cell>
          <cell r="E51" t="str">
            <v>Good</v>
          </cell>
          <cell r="F51" t="str">
            <v>Good</v>
          </cell>
          <cell r="G51" t="str">
            <v>Good</v>
          </cell>
          <cell r="H51" t="str">
            <v>Good</v>
          </cell>
          <cell r="I51" t="str">
            <v>Good</v>
          </cell>
          <cell r="J51" t="str">
            <v>Good</v>
          </cell>
          <cell r="K51" t="str">
            <v>Good</v>
          </cell>
          <cell r="L51" t="str">
            <v>Good</v>
          </cell>
          <cell r="M51" t="str">
            <v>Good</v>
          </cell>
          <cell r="N51" t="str">
            <v>Good</v>
          </cell>
          <cell r="O51" t="str">
            <v>Good</v>
          </cell>
          <cell r="P51" t="str">
            <v>Good</v>
          </cell>
          <cell r="Q51" t="str">
            <v>Good</v>
          </cell>
          <cell r="R51" t="str">
            <v>Good</v>
          </cell>
          <cell r="S51" t="str">
            <v>Good</v>
          </cell>
          <cell r="T51" t="str">
            <v>Good</v>
          </cell>
        </row>
        <row r="54">
          <cell r="A54" t="str">
            <v>Balance sheet workings</v>
          </cell>
        </row>
        <row r="56">
          <cell r="A56" t="str">
            <v>Sales</v>
          </cell>
          <cell r="B56">
            <v>3836</v>
          </cell>
          <cell r="C56">
            <v>4485</v>
          </cell>
          <cell r="D56">
            <v>4927</v>
          </cell>
          <cell r="E56">
            <v>6033</v>
          </cell>
          <cell r="F56">
            <v>5778</v>
          </cell>
          <cell r="G56">
            <v>6444</v>
          </cell>
          <cell r="H56">
            <v>6823</v>
          </cell>
          <cell r="I56">
            <v>5082</v>
          </cell>
          <cell r="J56">
            <v>5918</v>
          </cell>
          <cell r="K56">
            <v>6763</v>
          </cell>
          <cell r="L56">
            <v>6418</v>
          </cell>
          <cell r="M56">
            <v>6510</v>
          </cell>
          <cell r="N56">
            <v>6863.9613156334472</v>
          </cell>
          <cell r="O56">
            <v>7152.1815308081123</v>
          </cell>
          <cell r="P56">
            <v>7618.741830649049</v>
          </cell>
          <cell r="Q56">
            <v>8011.6911516394021</v>
          </cell>
          <cell r="R56">
            <v>8281.359891516986</v>
          </cell>
          <cell r="S56">
            <v>8509.501103636052</v>
          </cell>
          <cell r="T56">
            <v>8747.4328262274994</v>
          </cell>
        </row>
        <row r="57">
          <cell r="A57" t="str">
            <v>Sales growth</v>
          </cell>
          <cell r="C57">
            <v>0.16918665276329503</v>
          </cell>
          <cell r="D57">
            <v>9.8550724637681109E-2</v>
          </cell>
          <cell r="E57">
            <v>0.22447736959610309</v>
          </cell>
          <cell r="F57">
            <v>-4.2267528592739967E-2</v>
          </cell>
          <cell r="G57">
            <v>0.11526479750778806</v>
          </cell>
          <cell r="H57">
            <v>5.8814400993171922E-2</v>
          </cell>
          <cell r="I57">
            <v>-0.25516634911329328</v>
          </cell>
          <cell r="J57">
            <v>0.16450216450216448</v>
          </cell>
          <cell r="K57">
            <v>0.14278472456911118</v>
          </cell>
          <cell r="L57">
            <v>-5.1012864113559098E-2</v>
          </cell>
          <cell r="M57">
            <v>1.4334683702087903E-2</v>
          </cell>
          <cell r="N57">
            <v>5.4371937885322241E-2</v>
          </cell>
          <cell r="O57">
            <v>4.199036123910127E-2</v>
          </cell>
          <cell r="P57">
            <v>6.5233285513129458E-2</v>
          </cell>
          <cell r="Q57">
            <v>5.1576668395505676E-2</v>
          </cell>
          <cell r="R57">
            <v>3.3659402836865748E-2</v>
          </cell>
          <cell r="S57">
            <v>2.7548761931329935E-2</v>
          </cell>
          <cell r="T57">
            <v>2.7960713524060932E-2</v>
          </cell>
        </row>
        <row r="59">
          <cell r="A59" t="str">
            <v>COGS</v>
          </cell>
          <cell r="B59">
            <v>-3171</v>
          </cell>
          <cell r="C59">
            <v>-3795</v>
          </cell>
          <cell r="D59">
            <v>-3975</v>
          </cell>
          <cell r="E59">
            <v>-4731</v>
          </cell>
          <cell r="F59">
            <v>-4469</v>
          </cell>
          <cell r="G59">
            <v>-4999</v>
          </cell>
          <cell r="H59">
            <v>-5567</v>
          </cell>
          <cell r="I59">
            <v>-4079</v>
          </cell>
          <cell r="J59">
            <v>-4738</v>
          </cell>
          <cell r="K59">
            <v>-5346</v>
          </cell>
          <cell r="L59">
            <v>-5237</v>
          </cell>
          <cell r="M59">
            <v>-5145</v>
          </cell>
          <cell r="N59">
            <v>-5348.5224414299319</v>
          </cell>
          <cell r="O59">
            <v>-5586.8363476568748</v>
          </cell>
          <cell r="P59">
            <v>-6084.8874917083604</v>
          </cell>
          <cell r="Q59">
            <v>-6401.6854919585439</v>
          </cell>
          <cell r="R59">
            <v>-6616.829509291988</v>
          </cell>
          <cell r="S59">
            <v>-6796.612237315856</v>
          </cell>
          <cell r="T59">
            <v>-6984.2729988381343</v>
          </cell>
        </row>
        <row r="60">
          <cell r="A60" t="str">
            <v>COGS growth</v>
          </cell>
          <cell r="C60">
            <v>0.19678334910122985</v>
          </cell>
          <cell r="D60">
            <v>4.743083003952564E-2</v>
          </cell>
          <cell r="E60">
            <v>0.19018867924528293</v>
          </cell>
          <cell r="F60">
            <v>-5.5379412386387661E-2</v>
          </cell>
          <cell r="G60">
            <v>0.11859476392929058</v>
          </cell>
          <cell r="H60">
            <v>0.11362272454490907</v>
          </cell>
          <cell r="I60">
            <v>-0.2672893838692294</v>
          </cell>
          <cell r="J60">
            <v>0.16155920568766846</v>
          </cell>
          <cell r="K60">
            <v>0.12832418742085272</v>
          </cell>
          <cell r="L60">
            <v>-2.0389075944631463E-2</v>
          </cell>
          <cell r="M60">
            <v>-1.7567309528355946E-2</v>
          </cell>
          <cell r="N60">
            <v>3.9557325836721446E-2</v>
          </cell>
          <cell r="O60">
            <v>4.4556961074137202E-2</v>
          </cell>
          <cell r="P60">
            <v>8.9147258494580495E-2</v>
          </cell>
          <cell r="Q60">
            <v>5.206308262591075E-2</v>
          </cell>
          <cell r="R60">
            <v>3.3607401926210922E-2</v>
          </cell>
          <cell r="S60">
            <v>2.7170524459093182E-2</v>
          </cell>
          <cell r="T60">
            <v>2.7610926586624007E-2</v>
          </cell>
        </row>
        <row r="63">
          <cell r="A63" t="str">
            <v>Working Capital</v>
          </cell>
        </row>
        <row r="65">
          <cell r="A65" t="str">
            <v>Trade working capital</v>
          </cell>
          <cell r="B65">
            <v>599</v>
          </cell>
          <cell r="C65">
            <v>641</v>
          </cell>
          <cell r="D65">
            <v>731</v>
          </cell>
          <cell r="E65">
            <v>758</v>
          </cell>
          <cell r="F65">
            <v>824</v>
          </cell>
          <cell r="G65">
            <v>827</v>
          </cell>
          <cell r="H65">
            <v>685</v>
          </cell>
          <cell r="I65">
            <v>594</v>
          </cell>
          <cell r="J65">
            <v>764</v>
          </cell>
          <cell r="K65">
            <v>910</v>
          </cell>
          <cell r="L65">
            <v>889</v>
          </cell>
          <cell r="M65">
            <v>872</v>
          </cell>
          <cell r="N65">
            <v>919.33825677575794</v>
          </cell>
          <cell r="O65">
            <v>957.95494291700243</v>
          </cell>
          <cell r="P65">
            <v>1027.3349019090851</v>
          </cell>
          <cell r="Q65">
            <v>1087.9514242172036</v>
          </cell>
          <cell r="R65">
            <v>1133.0058097848728</v>
          </cell>
          <cell r="S65">
            <v>1173.4714668974643</v>
          </cell>
          <cell r="T65">
            <v>1216.4355503747145</v>
          </cell>
        </row>
        <row r="66">
          <cell r="L66" t="str">
            <v xml:space="preserve"> </v>
          </cell>
        </row>
        <row r="67">
          <cell r="A67" t="str">
            <v>Inventories</v>
          </cell>
          <cell r="B67">
            <v>505</v>
          </cell>
          <cell r="C67">
            <v>509</v>
          </cell>
          <cell r="D67">
            <v>604</v>
          </cell>
          <cell r="E67">
            <v>650</v>
          </cell>
          <cell r="F67">
            <v>653</v>
          </cell>
          <cell r="G67">
            <v>636</v>
          </cell>
          <cell r="H67">
            <v>577</v>
          </cell>
          <cell r="I67">
            <v>522</v>
          </cell>
          <cell r="J67">
            <v>610</v>
          </cell>
          <cell r="K67">
            <v>712</v>
          </cell>
          <cell r="L67">
            <v>711</v>
          </cell>
          <cell r="M67">
            <v>804</v>
          </cell>
          <cell r="N67">
            <v>835.804089972724</v>
          </cell>
          <cell r="O67">
            <v>873.04498027524335</v>
          </cell>
          <cell r="P67">
            <v>965.96958167150842</v>
          </cell>
          <cell r="Q67">
            <v>1032.6542144245152</v>
          </cell>
          <cell r="R67">
            <v>1084.858869748105</v>
          </cell>
          <cell r="S67">
            <v>1132.9096153754504</v>
          </cell>
          <cell r="T67">
            <v>1183.9248347176595</v>
          </cell>
        </row>
        <row r="68">
          <cell r="A68" t="str">
            <v>Change in inventories</v>
          </cell>
          <cell r="C68">
            <v>-4</v>
          </cell>
          <cell r="D68">
            <v>-95</v>
          </cell>
          <cell r="E68">
            <v>-46</v>
          </cell>
          <cell r="F68">
            <v>-3</v>
          </cell>
          <cell r="G68">
            <v>17</v>
          </cell>
          <cell r="H68">
            <v>59</v>
          </cell>
          <cell r="I68">
            <v>55</v>
          </cell>
          <cell r="J68">
            <v>-88</v>
          </cell>
          <cell r="K68">
            <v>-102</v>
          </cell>
          <cell r="L68">
            <v>1</v>
          </cell>
          <cell r="M68">
            <v>-93</v>
          </cell>
          <cell r="N68">
            <v>-31.804089972724</v>
          </cell>
          <cell r="O68">
            <v>-37.240890302519347</v>
          </cell>
          <cell r="P68">
            <v>-92.924601396265075</v>
          </cell>
          <cell r="Q68">
            <v>-66.684632753006781</v>
          </cell>
          <cell r="R68">
            <v>-52.204655323589805</v>
          </cell>
          <cell r="S68">
            <v>-48.05074562734535</v>
          </cell>
          <cell r="T68">
            <v>-51.015219342209093</v>
          </cell>
        </row>
        <row r="69">
          <cell r="A69" t="str">
            <v>Inventory turnover (x)</v>
          </cell>
          <cell r="B69">
            <v>6.2792079207920795</v>
          </cell>
          <cell r="C69">
            <v>7.4557956777996068</v>
          </cell>
          <cell r="D69">
            <v>6.5811258278145699</v>
          </cell>
          <cell r="E69">
            <v>7.2784615384615385</v>
          </cell>
          <cell r="F69">
            <v>6.8437978560490045</v>
          </cell>
          <cell r="G69">
            <v>7.8600628930817606</v>
          </cell>
          <cell r="H69">
            <v>9.6481802426343162</v>
          </cell>
          <cell r="I69">
            <v>7.814176245210728</v>
          </cell>
          <cell r="J69">
            <v>7.7672131147540986</v>
          </cell>
          <cell r="K69">
            <v>7.5084269662921352</v>
          </cell>
          <cell r="L69">
            <v>7.3656821378340362</v>
          </cell>
          <cell r="M69">
            <v>6.3992537313432836</v>
          </cell>
          <cell r="N69">
            <v>6.3992537313432836</v>
          </cell>
          <cell r="O69">
            <v>6.3992537313432836</v>
          </cell>
          <cell r="P69">
            <v>6.2992537313432839</v>
          </cell>
          <cell r="Q69">
            <v>6.1992537313432843</v>
          </cell>
          <cell r="R69">
            <v>6.0992537313432846</v>
          </cell>
          <cell r="S69">
            <v>5.999253731343285</v>
          </cell>
          <cell r="T69">
            <v>5.8992537313432853</v>
          </cell>
        </row>
        <row r="70">
          <cell r="A70" t="str">
            <v>Inventory as % Sales</v>
          </cell>
          <cell r="B70">
            <v>0.13164754953076122</v>
          </cell>
          <cell r="C70">
            <v>0.11348940914158305</v>
          </cell>
          <cell r="D70">
            <v>0.12258981124416481</v>
          </cell>
          <cell r="E70">
            <v>0.10774075915796452</v>
          </cell>
          <cell r="F70">
            <v>0.11301488404292143</v>
          </cell>
          <cell r="G70">
            <v>9.8696461824953452E-2</v>
          </cell>
          <cell r="H70">
            <v>8.4566906053055835E-2</v>
          </cell>
          <cell r="I70">
            <v>0.10271546635182999</v>
          </cell>
          <cell r="J70">
            <v>0.10307536329841163</v>
          </cell>
          <cell r="K70">
            <v>0.10527872246044655</v>
          </cell>
          <cell r="L70">
            <v>0.11078217513244001</v>
          </cell>
          <cell r="M70">
            <v>0.12350230414746544</v>
          </cell>
          <cell r="N70">
            <v>0.12176701638295744</v>
          </cell>
          <cell r="O70">
            <v>0.12206694929576258</v>
          </cell>
          <cell r="P70">
            <v>0.12678859622012109</v>
          </cell>
          <cell r="Q70">
            <v>0.12889341274884356</v>
          </cell>
          <cell r="R70">
            <v>0.13100008742034996</v>
          </cell>
          <cell r="S70">
            <v>0.1331346693040989</v>
          </cell>
          <cell r="T70">
            <v>0.13534540455891103</v>
          </cell>
        </row>
        <row r="71">
          <cell r="A71" t="str">
            <v xml:space="preserve">Inventory Days </v>
          </cell>
          <cell r="B71">
            <v>58.128350678019551</v>
          </cell>
          <cell r="C71">
            <v>48.955204216073781</v>
          </cell>
          <cell r="D71">
            <v>55.461635220125778</v>
          </cell>
          <cell r="E71">
            <v>50.147960262101037</v>
          </cell>
          <cell r="F71">
            <v>53.332960393824123</v>
          </cell>
          <cell r="G71">
            <v>46.4372874574915</v>
          </cell>
          <cell r="H71">
            <v>37.830968205496674</v>
          </cell>
          <cell r="I71">
            <v>46.709977935768578</v>
          </cell>
          <cell r="J71">
            <v>46.992401857323763</v>
          </cell>
          <cell r="K71">
            <v>48.612046389824172</v>
          </cell>
          <cell r="L71">
            <v>49.554134046209668</v>
          </cell>
          <cell r="M71">
            <v>57.037900874635568</v>
          </cell>
          <cell r="N71">
            <v>57.037900874635568</v>
          </cell>
          <cell r="O71">
            <v>57.037900874635568</v>
          </cell>
          <cell r="P71">
            <v>57.943371638431458</v>
          </cell>
          <cell r="Q71">
            <v>58.878054652702531</v>
          </cell>
          <cell r="R71">
            <v>59.843386761287157</v>
          </cell>
          <cell r="S71">
            <v>60.840900609528539</v>
          </cell>
          <cell r="T71">
            <v>61.872232764073352</v>
          </cell>
        </row>
        <row r="72">
          <cell r="M72" t="str">
            <v xml:space="preserve"> </v>
          </cell>
        </row>
        <row r="73">
          <cell r="A73" t="str">
            <v>Trade receivable - net</v>
          </cell>
          <cell r="B73">
            <v>666</v>
          </cell>
          <cell r="C73">
            <v>722</v>
          </cell>
          <cell r="D73">
            <v>843</v>
          </cell>
          <cell r="E73">
            <v>919</v>
          </cell>
          <cell r="F73">
            <v>1001</v>
          </cell>
          <cell r="G73">
            <v>1009</v>
          </cell>
          <cell r="H73">
            <v>631</v>
          </cell>
          <cell r="I73">
            <v>721</v>
          </cell>
          <cell r="J73">
            <v>827</v>
          </cell>
          <cell r="K73">
            <v>871</v>
          </cell>
          <cell r="L73">
            <v>827</v>
          </cell>
          <cell r="M73">
            <v>867</v>
          </cell>
          <cell r="N73">
            <v>914.14047014657422</v>
          </cell>
          <cell r="O73">
            <v>952.52555871131074</v>
          </cell>
          <cell r="P73">
            <v>1014.6619304412787</v>
          </cell>
          <cell r="Q73">
            <v>1066.9948123611921</v>
          </cell>
          <cell r="R73">
            <v>1102.9092205753036</v>
          </cell>
          <cell r="S73">
            <v>1133.2930041248014</v>
          </cell>
          <cell r="T73">
            <v>1164.9806851519572</v>
          </cell>
        </row>
        <row r="74">
          <cell r="A74" t="str">
            <v>Change in Trade Receivables</v>
          </cell>
          <cell r="C74">
            <v>-56</v>
          </cell>
          <cell r="D74">
            <v>-121</v>
          </cell>
          <cell r="E74">
            <v>-76</v>
          </cell>
          <cell r="F74">
            <v>-82</v>
          </cell>
          <cell r="G74">
            <v>-8</v>
          </cell>
          <cell r="H74">
            <v>378</v>
          </cell>
          <cell r="I74">
            <v>-90</v>
          </cell>
          <cell r="J74">
            <v>-106</v>
          </cell>
          <cell r="K74">
            <v>-44</v>
          </cell>
          <cell r="L74">
            <v>44</v>
          </cell>
          <cell r="M74">
            <v>-40</v>
          </cell>
          <cell r="N74">
            <v>-47.140470146574216</v>
          </cell>
          <cell r="O74">
            <v>-38.38508856473652</v>
          </cell>
          <cell r="P74">
            <v>-62.136371729968005</v>
          </cell>
          <cell r="Q74">
            <v>-52.332881919913348</v>
          </cell>
          <cell r="R74">
            <v>-35.914408214111518</v>
          </cell>
          <cell r="S74">
            <v>-30.383783549497821</v>
          </cell>
          <cell r="T74">
            <v>-31.687681027155804</v>
          </cell>
        </row>
        <row r="75">
          <cell r="A75" t="str">
            <v>Trade Receivable days</v>
          </cell>
          <cell r="B75">
            <v>63.370698644421275</v>
          </cell>
          <cell r="C75">
            <v>58.758082497212932</v>
          </cell>
          <cell r="D75">
            <v>62.450781408565049</v>
          </cell>
          <cell r="E75">
            <v>55.600033151002819</v>
          </cell>
          <cell r="F75">
            <v>63.23381793007961</v>
          </cell>
          <cell r="G75">
            <v>57.151613904407199</v>
          </cell>
          <cell r="H75">
            <v>33.755679319947241</v>
          </cell>
          <cell r="I75">
            <v>51.783746556473822</v>
          </cell>
          <cell r="J75">
            <v>51.006252112200066</v>
          </cell>
          <cell r="K75">
            <v>47.007984622209079</v>
          </cell>
          <cell r="L75">
            <v>47.032564661888436</v>
          </cell>
          <cell r="M75">
            <v>48.610599078341011</v>
          </cell>
          <cell r="N75">
            <v>48.610599078341011</v>
          </cell>
          <cell r="O75">
            <v>48.610599078341011</v>
          </cell>
          <cell r="P75">
            <v>48.610599078341011</v>
          </cell>
          <cell r="Q75">
            <v>48.610599078341011</v>
          </cell>
          <cell r="R75">
            <v>48.610599078341011</v>
          </cell>
          <cell r="S75">
            <v>48.610599078341011</v>
          </cell>
          <cell r="T75">
            <v>48.610599078341011</v>
          </cell>
        </row>
        <row r="77">
          <cell r="A77" t="str">
            <v>Other receivables</v>
          </cell>
          <cell r="B77">
            <v>463</v>
          </cell>
          <cell r="C77">
            <v>589</v>
          </cell>
          <cell r="D77">
            <v>670</v>
          </cell>
          <cell r="E77">
            <v>481</v>
          </cell>
          <cell r="F77">
            <v>475</v>
          </cell>
          <cell r="G77">
            <v>437</v>
          </cell>
          <cell r="H77">
            <v>328</v>
          </cell>
          <cell r="I77">
            <v>262</v>
          </cell>
          <cell r="J77">
            <v>253</v>
          </cell>
          <cell r="K77">
            <v>235</v>
          </cell>
          <cell r="L77">
            <v>209</v>
          </cell>
          <cell r="M77">
            <v>343</v>
          </cell>
          <cell r="N77">
            <v>361.64957469466549</v>
          </cell>
          <cell r="O77">
            <v>376.8353709780618</v>
          </cell>
          <cell r="P77">
            <v>401.4175803245198</v>
          </cell>
          <cell r="Q77">
            <v>422.12136175304374</v>
          </cell>
          <cell r="R77">
            <v>436.32971471433581</v>
          </cell>
          <cell r="S77">
            <v>448.35005814856618</v>
          </cell>
          <cell r="T77">
            <v>460.88624568295427</v>
          </cell>
        </row>
        <row r="78">
          <cell r="A78" t="str">
            <v>Change in other receivables</v>
          </cell>
          <cell r="C78">
            <v>-126</v>
          </cell>
          <cell r="D78">
            <v>-81</v>
          </cell>
          <cell r="E78">
            <v>189</v>
          </cell>
          <cell r="F78">
            <v>6</v>
          </cell>
          <cell r="G78">
            <v>38</v>
          </cell>
          <cell r="H78">
            <v>109</v>
          </cell>
          <cell r="I78">
            <v>66</v>
          </cell>
          <cell r="J78">
            <v>9</v>
          </cell>
          <cell r="K78">
            <v>18</v>
          </cell>
          <cell r="L78">
            <v>26</v>
          </cell>
          <cell r="M78">
            <v>-134</v>
          </cell>
          <cell r="N78">
            <v>-18.649574694665489</v>
          </cell>
          <cell r="O78">
            <v>-15.185796283396314</v>
          </cell>
          <cell r="P78">
            <v>-24.582209346458001</v>
          </cell>
          <cell r="Q78">
            <v>-20.703781428523939</v>
          </cell>
          <cell r="R78">
            <v>-14.208352961292064</v>
          </cell>
          <cell r="S78">
            <v>-12.020343434230369</v>
          </cell>
          <cell r="T78">
            <v>-12.536187534388091</v>
          </cell>
        </row>
        <row r="79">
          <cell r="A79" t="str">
            <v>Other receivables as % Sales</v>
          </cell>
          <cell r="B79">
            <v>0.12069864442127216</v>
          </cell>
          <cell r="C79">
            <v>0.13132664437012262</v>
          </cell>
          <cell r="D79">
            <v>0.13598538664501725</v>
          </cell>
          <cell r="E79">
            <v>7.972816177689375E-2</v>
          </cell>
          <cell r="F79">
            <v>8.2208376600899968E-2</v>
          </cell>
          <cell r="G79">
            <v>6.7815021725636249E-2</v>
          </cell>
          <cell r="H79">
            <v>4.8072695295324638E-2</v>
          </cell>
          <cell r="I79">
            <v>5.1554506099960644E-2</v>
          </cell>
          <cell r="J79">
            <v>4.2750929368029739E-2</v>
          </cell>
          <cell r="K79">
            <v>3.4747892946917047E-2</v>
          </cell>
          <cell r="L79">
            <v>3.2564661888438769E-2</v>
          </cell>
          <cell r="M79">
            <v>5.2688172043010753E-2</v>
          </cell>
          <cell r="N79">
            <v>5.2688172043010753E-2</v>
          </cell>
          <cell r="O79">
            <v>5.2688172043010753E-2</v>
          </cell>
          <cell r="P79">
            <v>5.2688172043010753E-2</v>
          </cell>
          <cell r="Q79">
            <v>5.2688172043010753E-2</v>
          </cell>
          <cell r="R79">
            <v>5.2688172043010753E-2</v>
          </cell>
          <cell r="S79">
            <v>5.2688172043010753E-2</v>
          </cell>
          <cell r="T79">
            <v>5.2688172043010753E-2</v>
          </cell>
        </row>
        <row r="81">
          <cell r="A81" t="str">
            <v>Accounts payable</v>
          </cell>
          <cell r="B81">
            <v>572</v>
          </cell>
          <cell r="C81">
            <v>590</v>
          </cell>
          <cell r="D81">
            <v>716</v>
          </cell>
          <cell r="E81">
            <v>811</v>
          </cell>
          <cell r="F81">
            <v>830</v>
          </cell>
          <cell r="G81">
            <v>818</v>
          </cell>
          <cell r="H81">
            <v>523</v>
          </cell>
          <cell r="I81">
            <v>649</v>
          </cell>
          <cell r="J81">
            <v>673</v>
          </cell>
          <cell r="K81">
            <v>673</v>
          </cell>
          <cell r="L81">
            <v>649</v>
          </cell>
          <cell r="M81">
            <v>799</v>
          </cell>
          <cell r="N81">
            <v>830.60630334354039</v>
          </cell>
          <cell r="O81">
            <v>867.61559606955166</v>
          </cell>
          <cell r="P81">
            <v>953.29661020370224</v>
          </cell>
          <cell r="Q81">
            <v>1011.6976025685034</v>
          </cell>
          <cell r="R81">
            <v>1054.7622805385358</v>
          </cell>
          <cell r="S81">
            <v>1092.7311526027875</v>
          </cell>
          <cell r="T81">
            <v>1132.4699694949024</v>
          </cell>
        </row>
        <row r="82">
          <cell r="A82" t="str">
            <v>Change in accounts payable</v>
          </cell>
          <cell r="C82">
            <v>18</v>
          </cell>
          <cell r="D82">
            <v>126</v>
          </cell>
          <cell r="E82">
            <v>95</v>
          </cell>
          <cell r="F82">
            <v>19</v>
          </cell>
          <cell r="G82">
            <v>-12</v>
          </cell>
          <cell r="H82">
            <v>-295</v>
          </cell>
          <cell r="I82">
            <v>126</v>
          </cell>
          <cell r="J82">
            <v>24</v>
          </cell>
          <cell r="K82">
            <v>0</v>
          </cell>
          <cell r="L82">
            <v>-24</v>
          </cell>
          <cell r="M82">
            <v>150</v>
          </cell>
          <cell r="N82">
            <v>31.60630334354039</v>
          </cell>
          <cell r="O82">
            <v>37.009292726011267</v>
          </cell>
          <cell r="P82">
            <v>85.681014134150587</v>
          </cell>
          <cell r="Q82">
            <v>58.400992364801141</v>
          </cell>
          <cell r="R82">
            <v>43.064677970032449</v>
          </cell>
          <cell r="S82">
            <v>37.968872064251627</v>
          </cell>
          <cell r="T82">
            <v>39.738816892114983</v>
          </cell>
        </row>
        <row r="83">
          <cell r="A83" t="str">
            <v>Accounts payable days</v>
          </cell>
          <cell r="B83">
            <v>65.840428886786498</v>
          </cell>
          <cell r="C83">
            <v>56.745718050065882</v>
          </cell>
          <cell r="D83">
            <v>65.745911949685535</v>
          </cell>
          <cell r="E83">
            <v>62.56922426548298</v>
          </cell>
          <cell r="F83">
            <v>67.789214589393609</v>
          </cell>
          <cell r="G83">
            <v>59.725945189037802</v>
          </cell>
          <cell r="H83">
            <v>34.290461649003056</v>
          </cell>
          <cell r="I83">
            <v>58.074282912478552</v>
          </cell>
          <cell r="J83">
            <v>51.845715491768679</v>
          </cell>
          <cell r="K83">
            <v>45.949307893752341</v>
          </cell>
          <cell r="L83">
            <v>45.232957800267329</v>
          </cell>
          <cell r="M83">
            <v>56.683187560738581</v>
          </cell>
          <cell r="N83">
            <v>56.683187560738581</v>
          </cell>
          <cell r="O83">
            <v>56.683187560738581</v>
          </cell>
          <cell r="P83">
            <v>57.183187560738581</v>
          </cell>
          <cell r="Q83">
            <v>57.683187560738581</v>
          </cell>
          <cell r="R83">
            <v>58.183187560738581</v>
          </cell>
          <cell r="S83">
            <v>58.683187560738581</v>
          </cell>
          <cell r="T83">
            <v>59.183187560738581</v>
          </cell>
        </row>
        <row r="85">
          <cell r="A85" t="str">
            <v>Inventory/COGS*365</v>
          </cell>
          <cell r="B85">
            <v>58.128350678019551</v>
          </cell>
          <cell r="C85">
            <v>48.955204216073781</v>
          </cell>
          <cell r="D85">
            <v>55.461635220125793</v>
          </cell>
          <cell r="E85">
            <v>50.147960262101037</v>
          </cell>
          <cell r="F85">
            <v>53.332960393824123</v>
          </cell>
          <cell r="G85">
            <v>46.4372874574915</v>
          </cell>
          <cell r="H85">
            <v>37.830968205496674</v>
          </cell>
          <cell r="I85">
            <v>46.709977935768578</v>
          </cell>
          <cell r="J85">
            <v>46.992401857323763</v>
          </cell>
          <cell r="K85">
            <v>48.612046389824172</v>
          </cell>
          <cell r="L85">
            <v>49.554134046209668</v>
          </cell>
          <cell r="M85">
            <v>57.037900874635568</v>
          </cell>
          <cell r="N85">
            <v>57.037900874635561</v>
          </cell>
          <cell r="O85">
            <v>57.037900874635561</v>
          </cell>
          <cell r="P85">
            <v>57.943371638431458</v>
          </cell>
          <cell r="Q85">
            <v>58.878054652702531</v>
          </cell>
          <cell r="R85">
            <v>59.843386761287157</v>
          </cell>
          <cell r="S85">
            <v>60.840900609528539</v>
          </cell>
          <cell r="T85">
            <v>61.872232764073352</v>
          </cell>
        </row>
        <row r="86">
          <cell r="A86" t="str">
            <v>Receivables/sales*365</v>
          </cell>
          <cell r="B86">
            <v>63.370698644421275</v>
          </cell>
          <cell r="C86">
            <v>58.758082497212932</v>
          </cell>
          <cell r="D86">
            <v>62.450781408565049</v>
          </cell>
          <cell r="E86">
            <v>55.600033151002819</v>
          </cell>
          <cell r="F86">
            <v>63.23381793007961</v>
          </cell>
          <cell r="G86">
            <v>57.151613904407199</v>
          </cell>
          <cell r="H86">
            <v>33.755679319947241</v>
          </cell>
          <cell r="I86">
            <v>51.783746556473822</v>
          </cell>
          <cell r="J86">
            <v>51.006252112200066</v>
          </cell>
          <cell r="K86">
            <v>47.007984622209079</v>
          </cell>
          <cell r="L86">
            <v>47.032564661888436</v>
          </cell>
          <cell r="M86">
            <v>48.610599078341011</v>
          </cell>
          <cell r="N86">
            <v>48.610599078341011</v>
          </cell>
          <cell r="O86">
            <v>48.610599078341011</v>
          </cell>
          <cell r="P86">
            <v>48.610599078341011</v>
          </cell>
          <cell r="Q86">
            <v>48.610599078341004</v>
          </cell>
          <cell r="R86">
            <v>48.610599078341011</v>
          </cell>
          <cell r="S86">
            <v>48.610599078341011</v>
          </cell>
          <cell r="T86">
            <v>48.610599078341011</v>
          </cell>
        </row>
        <row r="87">
          <cell r="A87" t="str">
            <v>Payables/COGS*365</v>
          </cell>
          <cell r="B87">
            <v>65.840428886786498</v>
          </cell>
          <cell r="C87">
            <v>56.745718050065882</v>
          </cell>
          <cell r="D87">
            <v>65.745911949685535</v>
          </cell>
          <cell r="E87">
            <v>62.56922426548298</v>
          </cell>
          <cell r="F87">
            <v>67.789214589393609</v>
          </cell>
          <cell r="G87">
            <v>59.725945189037802</v>
          </cell>
          <cell r="H87">
            <v>34.290461649003056</v>
          </cell>
          <cell r="I87">
            <v>58.074282912478552</v>
          </cell>
          <cell r="J87">
            <v>51.845715491768679</v>
          </cell>
          <cell r="K87">
            <v>45.949307893752341</v>
          </cell>
          <cell r="L87">
            <v>45.232957800267329</v>
          </cell>
          <cell r="M87">
            <v>56.683187560738581</v>
          </cell>
          <cell r="N87">
            <v>56.683187560738581</v>
          </cell>
          <cell r="O87">
            <v>56.683187560738581</v>
          </cell>
          <cell r="P87">
            <v>57.183187560738581</v>
          </cell>
          <cell r="Q87">
            <v>57.683187560738588</v>
          </cell>
          <cell r="R87">
            <v>58.183187560738588</v>
          </cell>
          <cell r="S87">
            <v>58.683187560738574</v>
          </cell>
          <cell r="T87">
            <v>59.183187560738581</v>
          </cell>
        </row>
        <row r="88">
          <cell r="A88" t="str">
            <v>Cash Conversion Cycle</v>
          </cell>
          <cell r="B88">
            <v>55.658620435654328</v>
          </cell>
          <cell r="C88">
            <v>50.967568663220838</v>
          </cell>
          <cell r="D88">
            <v>52.1665046790053</v>
          </cell>
          <cell r="E88">
            <v>43.178769147620876</v>
          </cell>
          <cell r="F88">
            <v>48.777563734510125</v>
          </cell>
          <cell r="G88">
            <v>43.862956172860905</v>
          </cell>
          <cell r="H88">
            <v>37.296185876440852</v>
          </cell>
          <cell r="I88">
            <v>40.419441579763841</v>
          </cell>
          <cell r="J88">
            <v>46.15293847775515</v>
          </cell>
          <cell r="K88">
            <v>49.670723118280911</v>
          </cell>
          <cell r="L88">
            <v>51.353740907830783</v>
          </cell>
          <cell r="M88">
            <v>48.965312392237998</v>
          </cell>
          <cell r="N88">
            <v>48.965312392237998</v>
          </cell>
          <cell r="O88">
            <v>48.965312392237998</v>
          </cell>
          <cell r="P88">
            <v>49.370783156033887</v>
          </cell>
          <cell r="Q88">
            <v>49.805466170304953</v>
          </cell>
          <cell r="R88">
            <v>50.270798278889572</v>
          </cell>
          <cell r="S88">
            <v>50.768312127130983</v>
          </cell>
          <cell r="T88">
            <v>51.299644281675775</v>
          </cell>
        </row>
        <row r="90">
          <cell r="A90" t="str">
            <v>Net working Capital</v>
          </cell>
          <cell r="B90">
            <v>216</v>
          </cell>
          <cell r="C90">
            <v>322</v>
          </cell>
          <cell r="D90">
            <v>462</v>
          </cell>
          <cell r="E90">
            <v>320</v>
          </cell>
          <cell r="F90">
            <v>413</v>
          </cell>
          <cell r="G90">
            <v>433</v>
          </cell>
          <cell r="H90">
            <v>466</v>
          </cell>
          <cell r="I90">
            <v>234</v>
          </cell>
          <cell r="J90">
            <v>536</v>
          </cell>
          <cell r="K90">
            <v>716</v>
          </cell>
          <cell r="L90">
            <v>640</v>
          </cell>
          <cell r="M90">
            <v>789</v>
          </cell>
          <cell r="N90">
            <v>854.98783147042332</v>
          </cell>
          <cell r="O90">
            <v>910.53969876907922</v>
          </cell>
          <cell r="P90">
            <v>1004.5278694112385</v>
          </cell>
          <cell r="Q90">
            <v>1085.8571367793188</v>
          </cell>
          <cell r="R90">
            <v>1145.129470957017</v>
          </cell>
          <cell r="S90">
            <v>1197.6257307746723</v>
          </cell>
          <cell r="T90">
            <v>1253.1369584270076</v>
          </cell>
        </row>
        <row r="91">
          <cell r="A91" t="str">
            <v>Working capital as % revenues</v>
          </cell>
          <cell r="B91">
            <v>5.6308654848800835E-2</v>
          </cell>
          <cell r="C91">
            <v>7.179487179487179E-2</v>
          </cell>
          <cell r="D91">
            <v>9.3769027805967117E-2</v>
          </cell>
          <cell r="E91">
            <v>5.3041604508536386E-2</v>
          </cell>
          <cell r="F91">
            <v>7.1478020076150922E-2</v>
          </cell>
          <cell r="G91">
            <v>6.7194289261328366E-2</v>
          </cell>
          <cell r="H91">
            <v>6.8298402462260002E-2</v>
          </cell>
          <cell r="I91">
            <v>4.6044864226682407E-2</v>
          </cell>
          <cell r="J91">
            <v>9.0571138898276449E-2</v>
          </cell>
          <cell r="K91">
            <v>0.10587017595741535</v>
          </cell>
          <cell r="L91">
            <v>9.9719538797133064E-2</v>
          </cell>
          <cell r="M91">
            <v>0.12119815668202764</v>
          </cell>
          <cell r="N91">
            <v>0.12456186626854845</v>
          </cell>
          <cell r="O91">
            <v>0.1271427304138881</v>
          </cell>
          <cell r="P91">
            <v>0.1316859332073026</v>
          </cell>
          <cell r="Q91">
            <v>0.13537409977711515</v>
          </cell>
          <cell r="R91">
            <v>0.13812004660477306</v>
          </cell>
          <cell r="S91">
            <v>0.14058341815244327</v>
          </cell>
          <cell r="T91">
            <v>0.1431027996557038</v>
          </cell>
        </row>
        <row r="95">
          <cell r="A95" t="str">
            <v>Asset and depreciation schedule</v>
          </cell>
        </row>
        <row r="97">
          <cell r="A97" t="str">
            <v>Property plant and equipment</v>
          </cell>
        </row>
        <row r="99">
          <cell r="A99" t="str">
            <v>Gross balance at year start</v>
          </cell>
          <cell r="C99">
            <v>5796</v>
          </cell>
          <cell r="D99">
            <v>6220</v>
          </cell>
          <cell r="E99">
            <v>2136</v>
          </cell>
          <cell r="F99">
            <v>2506</v>
          </cell>
          <cell r="G99">
            <v>2842</v>
          </cell>
          <cell r="H99">
            <v>3200</v>
          </cell>
          <cell r="I99">
            <v>3613</v>
          </cell>
          <cell r="J99">
            <v>3927</v>
          </cell>
          <cell r="K99">
            <v>4148</v>
          </cell>
          <cell r="L99">
            <v>4585</v>
          </cell>
          <cell r="M99">
            <v>4856</v>
          </cell>
          <cell r="N99">
            <v>5097</v>
          </cell>
          <cell r="O99">
            <v>5518.2349002580004</v>
          </cell>
          <cell r="P99">
            <v>5929.0415459812029</v>
          </cell>
          <cell r="Q99">
            <v>6411.7107059395448</v>
          </cell>
          <cell r="R99">
            <v>6812.7754060044799</v>
          </cell>
          <cell r="S99">
            <v>7156.3140273518893</v>
          </cell>
          <cell r="T99">
            <v>7510.9153483215105</v>
          </cell>
        </row>
        <row r="100">
          <cell r="A100" t="str">
            <v>CAPEX</v>
          </cell>
          <cell r="C100">
            <v>211</v>
          </cell>
          <cell r="D100">
            <v>204</v>
          </cell>
          <cell r="E100">
            <v>212</v>
          </cell>
          <cell r="F100">
            <v>227</v>
          </cell>
          <cell r="G100">
            <v>276</v>
          </cell>
          <cell r="H100">
            <v>246</v>
          </cell>
          <cell r="I100">
            <v>175</v>
          </cell>
          <cell r="J100">
            <v>168</v>
          </cell>
          <cell r="K100">
            <v>342</v>
          </cell>
          <cell r="L100">
            <v>348</v>
          </cell>
          <cell r="M100">
            <v>355</v>
          </cell>
          <cell r="N100">
            <v>421.23490025800004</v>
          </cell>
          <cell r="O100">
            <v>410.80664572320268</v>
          </cell>
          <cell r="P100">
            <v>482.6691599583416</v>
          </cell>
          <cell r="Q100">
            <v>401.0647000649351</v>
          </cell>
          <cell r="R100">
            <v>343.53862134740905</v>
          </cell>
          <cell r="S100">
            <v>354.60132096962138</v>
          </cell>
          <cell r="T100">
            <v>366.13382324899999</v>
          </cell>
        </row>
        <row r="101">
          <cell r="A101" t="str">
            <v>Acquisitions, disposals, and exchange adjustments</v>
          </cell>
          <cell r="C101">
            <v>213</v>
          </cell>
          <cell r="D101">
            <v>-4288</v>
          </cell>
          <cell r="E101">
            <v>158</v>
          </cell>
          <cell r="F101">
            <v>109</v>
          </cell>
          <cell r="G101">
            <v>82</v>
          </cell>
          <cell r="H101">
            <v>167</v>
          </cell>
          <cell r="I101">
            <v>139</v>
          </cell>
          <cell r="J101">
            <v>53</v>
          </cell>
          <cell r="K101">
            <v>95</v>
          </cell>
          <cell r="L101">
            <v>-77</v>
          </cell>
          <cell r="M101">
            <v>-114</v>
          </cell>
          <cell r="N101">
            <v>0</v>
          </cell>
          <cell r="O101">
            <v>0</v>
          </cell>
          <cell r="P101">
            <v>0</v>
          </cell>
          <cell r="Q101">
            <v>0</v>
          </cell>
          <cell r="R101">
            <v>0</v>
          </cell>
          <cell r="S101">
            <v>0</v>
          </cell>
          <cell r="T101">
            <v>0</v>
          </cell>
        </row>
        <row r="102">
          <cell r="A102" t="str">
            <v>Gross balance at year end</v>
          </cell>
          <cell r="B102">
            <v>5796</v>
          </cell>
          <cell r="C102">
            <v>6220</v>
          </cell>
          <cell r="D102">
            <v>2136</v>
          </cell>
          <cell r="E102">
            <v>2506</v>
          </cell>
          <cell r="F102">
            <v>2842</v>
          </cell>
          <cell r="G102">
            <v>3200</v>
          </cell>
          <cell r="H102">
            <v>3613</v>
          </cell>
          <cell r="I102">
            <v>3927</v>
          </cell>
          <cell r="J102">
            <v>4148</v>
          </cell>
          <cell r="K102">
            <v>4585</v>
          </cell>
          <cell r="L102">
            <v>4856</v>
          </cell>
          <cell r="M102">
            <v>5097</v>
          </cell>
          <cell r="N102">
            <v>5518.2349002580004</v>
          </cell>
          <cell r="O102">
            <v>5929.0415459812029</v>
          </cell>
          <cell r="P102">
            <v>6411.7107059395448</v>
          </cell>
          <cell r="Q102">
            <v>6812.7754060044799</v>
          </cell>
          <cell r="R102">
            <v>7156.3140273518893</v>
          </cell>
          <cell r="S102">
            <v>7510.9153483215105</v>
          </cell>
          <cell r="T102">
            <v>7877.0491715705102</v>
          </cell>
        </row>
        <row r="103">
          <cell r="L103" t="str">
            <v xml:space="preserve"> </v>
          </cell>
        </row>
        <row r="104">
          <cell r="A104" t="str">
            <v>Accumulated depreciation at year start</v>
          </cell>
          <cell r="C104">
            <v>4203</v>
          </cell>
          <cell r="D104">
            <v>4510</v>
          </cell>
          <cell r="E104">
            <v>434</v>
          </cell>
          <cell r="F104">
            <v>475</v>
          </cell>
          <cell r="G104">
            <v>687</v>
          </cell>
          <cell r="H104">
            <v>838</v>
          </cell>
          <cell r="I104">
            <v>1141</v>
          </cell>
          <cell r="J104">
            <v>1130</v>
          </cell>
          <cell r="K104">
            <v>1131</v>
          </cell>
          <cell r="L104">
            <v>1316</v>
          </cell>
          <cell r="M104">
            <v>1506</v>
          </cell>
          <cell r="N104">
            <v>1672</v>
          </cell>
          <cell r="O104">
            <v>1919.9634716865714</v>
          </cell>
          <cell r="P104">
            <v>2185.5767604222101</v>
          </cell>
          <cell r="Q104">
            <v>2480.2204608372931</v>
          </cell>
          <cell r="R104">
            <v>2793.0206775498923</v>
          </cell>
          <cell r="S104">
            <v>3116.0166692889716</v>
          </cell>
          <cell r="T104">
            <v>3445.408067841428</v>
          </cell>
        </row>
        <row r="105">
          <cell r="A105" t="str">
            <v>Depreciation charge</v>
          </cell>
          <cell r="C105">
            <v>294</v>
          </cell>
          <cell r="D105">
            <v>251</v>
          </cell>
          <cell r="E105">
            <v>286</v>
          </cell>
          <cell r="F105">
            <v>252</v>
          </cell>
          <cell r="G105">
            <v>239</v>
          </cell>
          <cell r="H105">
            <v>284</v>
          </cell>
          <cell r="I105">
            <v>242</v>
          </cell>
          <cell r="J105">
            <v>239</v>
          </cell>
          <cell r="K105">
            <v>249</v>
          </cell>
          <cell r="L105">
            <v>274</v>
          </cell>
          <cell r="M105">
            <v>287</v>
          </cell>
          <cell r="N105">
            <v>247.96347168657144</v>
          </cell>
          <cell r="O105">
            <v>265.61328873563849</v>
          </cell>
          <cell r="P105">
            <v>294.64370041508278</v>
          </cell>
          <cell r="Q105">
            <v>312.80021671259919</v>
          </cell>
          <cell r="R105">
            <v>322.99599173907916</v>
          </cell>
          <cell r="S105">
            <v>329.39139855245628</v>
          </cell>
          <cell r="T105">
            <v>336.22405090523466</v>
          </cell>
        </row>
        <row r="106">
          <cell r="A106" t="str">
            <v>Acquisitions, disposals, and exchange adjustments</v>
          </cell>
          <cell r="C106">
            <v>13</v>
          </cell>
          <cell r="D106">
            <v>-4327</v>
          </cell>
          <cell r="E106">
            <v>-245</v>
          </cell>
          <cell r="F106">
            <v>-40</v>
          </cell>
          <cell r="G106">
            <v>-88</v>
          </cell>
          <cell r="H106">
            <v>19</v>
          </cell>
          <cell r="I106">
            <v>-253</v>
          </cell>
          <cell r="J106">
            <v>-238</v>
          </cell>
          <cell r="K106">
            <v>-64</v>
          </cell>
          <cell r="L106">
            <v>-84</v>
          </cell>
          <cell r="M106">
            <v>-121</v>
          </cell>
          <cell r="N106">
            <v>0</v>
          </cell>
          <cell r="O106">
            <v>0</v>
          </cell>
          <cell r="P106">
            <v>0</v>
          </cell>
          <cell r="Q106">
            <v>0</v>
          </cell>
          <cell r="R106">
            <v>0</v>
          </cell>
          <cell r="S106">
            <v>0</v>
          </cell>
          <cell r="T106">
            <v>0</v>
          </cell>
        </row>
        <row r="107">
          <cell r="A107" t="str">
            <v>Accumulated depreciation at year end</v>
          </cell>
          <cell r="B107">
            <v>4203</v>
          </cell>
          <cell r="C107">
            <v>4510</v>
          </cell>
          <cell r="D107">
            <v>434</v>
          </cell>
          <cell r="E107">
            <v>475</v>
          </cell>
          <cell r="F107">
            <v>687</v>
          </cell>
          <cell r="G107">
            <v>838</v>
          </cell>
          <cell r="H107">
            <v>1141</v>
          </cell>
          <cell r="I107">
            <v>1130</v>
          </cell>
          <cell r="J107">
            <v>1131</v>
          </cell>
          <cell r="K107">
            <v>1316</v>
          </cell>
          <cell r="L107">
            <v>1506</v>
          </cell>
          <cell r="M107">
            <v>1672</v>
          </cell>
          <cell r="N107">
            <v>1919.9634716865714</v>
          </cell>
          <cell r="O107">
            <v>2185.5767604222101</v>
          </cell>
          <cell r="P107">
            <v>2480.2204608372931</v>
          </cell>
          <cell r="Q107">
            <v>2793.0206775498923</v>
          </cell>
          <cell r="R107">
            <v>3116.0166692889716</v>
          </cell>
          <cell r="S107">
            <v>3445.408067841428</v>
          </cell>
          <cell r="T107">
            <v>3781.6321187466629</v>
          </cell>
        </row>
        <row r="109">
          <cell r="A109" t="str">
            <v>Net property, plant and equipment at year end</v>
          </cell>
          <cell r="B109">
            <v>1593</v>
          </cell>
          <cell r="C109">
            <v>1710</v>
          </cell>
          <cell r="D109">
            <v>1702</v>
          </cell>
          <cell r="E109">
            <v>2031</v>
          </cell>
          <cell r="F109">
            <v>2155</v>
          </cell>
          <cell r="G109">
            <v>2362</v>
          </cell>
          <cell r="H109">
            <v>2472</v>
          </cell>
          <cell r="I109">
            <v>2797</v>
          </cell>
          <cell r="J109">
            <v>3017</v>
          </cell>
          <cell r="K109">
            <v>3269</v>
          </cell>
          <cell r="L109">
            <v>3350</v>
          </cell>
          <cell r="M109">
            <v>3425</v>
          </cell>
          <cell r="N109">
            <v>3598.2714285714292</v>
          </cell>
          <cell r="O109">
            <v>3743.4647855589928</v>
          </cell>
          <cell r="P109">
            <v>3931.4902451022517</v>
          </cell>
          <cell r="Q109">
            <v>4019.7547284545876</v>
          </cell>
          <cell r="R109">
            <v>4040.2973580629177</v>
          </cell>
          <cell r="S109">
            <v>4065.5072804800825</v>
          </cell>
          <cell r="T109">
            <v>4095.4170528238474</v>
          </cell>
        </row>
        <row r="112">
          <cell r="A112" t="str">
            <v>Capex-to-sales (%)</v>
          </cell>
          <cell r="C112">
            <v>4.7045707915273134E-2</v>
          </cell>
          <cell r="D112">
            <v>4.1404505784453011E-2</v>
          </cell>
          <cell r="E112">
            <v>3.5140062986905356E-2</v>
          </cell>
          <cell r="F112">
            <v>3.928695050190377E-2</v>
          </cell>
          <cell r="G112">
            <v>4.2830540037243951E-2</v>
          </cell>
          <cell r="H112">
            <v>3.6054521471493475E-2</v>
          </cell>
          <cell r="I112">
            <v>3.4435261707988982E-2</v>
          </cell>
          <cell r="J112">
            <v>2.8387968908415006E-2</v>
          </cell>
          <cell r="K112">
            <v>5.056927399083247E-2</v>
          </cell>
          <cell r="L112">
            <v>5.4222499220941106E-2</v>
          </cell>
          <cell r="M112">
            <v>5.4531490015360985E-2</v>
          </cell>
          <cell r="N112">
            <v>6.1369066765948985E-2</v>
          </cell>
          <cell r="O112">
            <v>5.7437950079097945E-2</v>
          </cell>
          <cell r="P112">
            <v>6.3352869894690009E-2</v>
          </cell>
          <cell r="Q112">
            <v>5.0059930228696689E-2</v>
          </cell>
          <cell r="R112">
            <v>4.1483358512086038E-2</v>
          </cell>
          <cell r="S112">
            <v>4.1671223336242666E-2</v>
          </cell>
          <cell r="T112">
            <v>4.1856145742693557E-2</v>
          </cell>
        </row>
        <row r="113">
          <cell r="A113" t="str">
            <v>Capex-to-depreciation (x)</v>
          </cell>
          <cell r="C113">
            <v>0.71768707482993199</v>
          </cell>
          <cell r="D113">
            <v>0.8127490039840638</v>
          </cell>
          <cell r="E113">
            <v>0.74125874125874125</v>
          </cell>
          <cell r="F113">
            <v>0.90079365079365081</v>
          </cell>
          <cell r="G113">
            <v>1.1548117154811715</v>
          </cell>
          <cell r="H113">
            <v>0.86619718309859151</v>
          </cell>
          <cell r="I113">
            <v>0.72314049586776863</v>
          </cell>
          <cell r="J113">
            <v>0.70292887029288698</v>
          </cell>
          <cell r="K113">
            <v>1.3734939759036144</v>
          </cell>
          <cell r="L113">
            <v>1.2700729927007299</v>
          </cell>
          <cell r="M113">
            <v>1.2369337979094077</v>
          </cell>
          <cell r="N113">
            <v>1.698778039333332</v>
          </cell>
          <cell r="O113">
            <v>1.5466343859477349</v>
          </cell>
          <cell r="P113">
            <v>1.6381451878264348</v>
          </cell>
          <cell r="Q113">
            <v>1.2821752627922036</v>
          </cell>
          <cell r="R113">
            <v>1.0636002617175651</v>
          </cell>
          <cell r="S113">
            <v>1.0765348534538324</v>
          </cell>
          <cell r="T113">
            <v>1.0889578608765125</v>
          </cell>
        </row>
        <row r="114">
          <cell r="A114" t="str">
            <v>Average useful life</v>
          </cell>
          <cell r="C114">
            <v>19.714285714285715</v>
          </cell>
          <cell r="D114">
            <v>24.780876494023904</v>
          </cell>
          <cell r="E114">
            <v>7.4685314685314683</v>
          </cell>
          <cell r="F114">
            <v>9.9444444444444446</v>
          </cell>
          <cell r="G114">
            <v>11.891213389121338</v>
          </cell>
          <cell r="H114">
            <v>11.267605633802816</v>
          </cell>
          <cell r="I114">
            <v>14.929752066115702</v>
          </cell>
          <cell r="J114">
            <v>16.430962343096233</v>
          </cell>
          <cell r="K114">
            <v>16.658634538152612</v>
          </cell>
          <cell r="L114">
            <v>16.733576642335766</v>
          </cell>
          <cell r="M114">
            <v>16.919860627177702</v>
          </cell>
          <cell r="N114">
            <v>14</v>
          </cell>
          <cell r="O114">
            <v>14</v>
          </cell>
          <cell r="P114">
            <v>14</v>
          </cell>
          <cell r="Q114">
            <v>14</v>
          </cell>
          <cell r="R114">
            <v>14</v>
          </cell>
          <cell r="S114">
            <v>14</v>
          </cell>
          <cell r="T114">
            <v>14</v>
          </cell>
        </row>
        <row r="115">
          <cell r="M115" t="str">
            <v xml:space="preserve"> </v>
          </cell>
        </row>
        <row r="117">
          <cell r="A117" t="str">
            <v>Intangible assets</v>
          </cell>
        </row>
        <row r="119">
          <cell r="A119" t="str">
            <v>Gross balance at year start</v>
          </cell>
          <cell r="B119" t="str">
            <v>ND</v>
          </cell>
          <cell r="C119" t="str">
            <v>ND</v>
          </cell>
          <cell r="D119" t="str">
            <v>ND</v>
          </cell>
          <cell r="E119">
            <v>442</v>
          </cell>
          <cell r="F119">
            <v>570</v>
          </cell>
          <cell r="G119">
            <v>627</v>
          </cell>
          <cell r="H119">
            <v>671</v>
          </cell>
          <cell r="I119">
            <v>672</v>
          </cell>
          <cell r="J119">
            <v>689</v>
          </cell>
          <cell r="K119">
            <v>687</v>
          </cell>
          <cell r="L119">
            <v>680</v>
          </cell>
          <cell r="M119">
            <v>701</v>
          </cell>
          <cell r="N119">
            <v>729</v>
          </cell>
          <cell r="O119">
            <v>749</v>
          </cell>
          <cell r="P119">
            <v>769</v>
          </cell>
          <cell r="Q119">
            <v>789</v>
          </cell>
          <cell r="R119">
            <v>849</v>
          </cell>
          <cell r="S119">
            <v>909</v>
          </cell>
          <cell r="T119">
            <v>969</v>
          </cell>
        </row>
        <row r="120">
          <cell r="A120" t="str">
            <v>Additions</v>
          </cell>
          <cell r="B120">
            <v>0</v>
          </cell>
          <cell r="C120">
            <v>0</v>
          </cell>
          <cell r="D120">
            <v>0</v>
          </cell>
          <cell r="E120">
            <v>0</v>
          </cell>
          <cell r="F120">
            <v>17</v>
          </cell>
          <cell r="G120">
            <v>12</v>
          </cell>
          <cell r="H120">
            <v>28</v>
          </cell>
          <cell r="I120">
            <v>1</v>
          </cell>
          <cell r="J120">
            <v>33</v>
          </cell>
          <cell r="K120">
            <v>7</v>
          </cell>
          <cell r="L120">
            <v>13</v>
          </cell>
          <cell r="M120">
            <v>15</v>
          </cell>
          <cell r="N120">
            <v>20</v>
          </cell>
          <cell r="O120">
            <v>20</v>
          </cell>
          <cell r="P120">
            <v>20</v>
          </cell>
          <cell r="Q120">
            <v>60</v>
          </cell>
          <cell r="R120">
            <v>60</v>
          </cell>
          <cell r="S120">
            <v>60</v>
          </cell>
          <cell r="T120">
            <v>60</v>
          </cell>
        </row>
        <row r="121">
          <cell r="A121" t="str">
            <v>Divestitures</v>
          </cell>
          <cell r="B121">
            <v>0</v>
          </cell>
          <cell r="C121">
            <v>0</v>
          </cell>
          <cell r="D121">
            <v>0</v>
          </cell>
          <cell r="E121">
            <v>0</v>
          </cell>
          <cell r="F121">
            <v>-10</v>
          </cell>
          <cell r="G121">
            <v>-19</v>
          </cell>
          <cell r="H121">
            <v>0</v>
          </cell>
          <cell r="I121">
            <v>0</v>
          </cell>
          <cell r="J121">
            <v>0</v>
          </cell>
          <cell r="K121">
            <v>0</v>
          </cell>
          <cell r="L121">
            <v>0</v>
          </cell>
          <cell r="M121">
            <v>5</v>
          </cell>
          <cell r="N121">
            <v>0</v>
          </cell>
          <cell r="O121">
            <v>0</v>
          </cell>
          <cell r="P121">
            <v>0</v>
          </cell>
          <cell r="Q121">
            <v>0</v>
          </cell>
          <cell r="R121">
            <v>0</v>
          </cell>
          <cell r="S121">
            <v>0</v>
          </cell>
          <cell r="T121">
            <v>0</v>
          </cell>
        </row>
        <row r="122">
          <cell r="A122" t="str">
            <v>FX</v>
          </cell>
          <cell r="B122">
            <v>0</v>
          </cell>
          <cell r="C122">
            <v>0</v>
          </cell>
          <cell r="D122">
            <v>0</v>
          </cell>
          <cell r="E122">
            <v>0</v>
          </cell>
          <cell r="F122">
            <v>50</v>
          </cell>
          <cell r="G122">
            <v>51</v>
          </cell>
          <cell r="H122">
            <v>-27</v>
          </cell>
          <cell r="I122">
            <v>16</v>
          </cell>
          <cell r="J122">
            <v>-35</v>
          </cell>
          <cell r="K122">
            <v>-14</v>
          </cell>
          <cell r="L122">
            <v>8</v>
          </cell>
          <cell r="M122">
            <v>8</v>
          </cell>
          <cell r="N122">
            <v>0</v>
          </cell>
          <cell r="O122">
            <v>0</v>
          </cell>
          <cell r="P122">
            <v>0</v>
          </cell>
          <cell r="Q122">
            <v>0</v>
          </cell>
          <cell r="R122">
            <v>0</v>
          </cell>
          <cell r="S122">
            <v>0</v>
          </cell>
          <cell r="T122">
            <v>0</v>
          </cell>
        </row>
        <row r="123">
          <cell r="A123" t="str">
            <v>Gross balance at year end</v>
          </cell>
          <cell r="B123" t="str">
            <v>ND</v>
          </cell>
          <cell r="C123" t="str">
            <v>ND</v>
          </cell>
          <cell r="D123">
            <v>442</v>
          </cell>
          <cell r="E123">
            <v>570</v>
          </cell>
          <cell r="F123">
            <v>627</v>
          </cell>
          <cell r="G123">
            <v>671</v>
          </cell>
          <cell r="H123">
            <v>672</v>
          </cell>
          <cell r="I123">
            <v>689</v>
          </cell>
          <cell r="J123">
            <v>687</v>
          </cell>
          <cell r="K123">
            <v>680</v>
          </cell>
          <cell r="L123">
            <v>701</v>
          </cell>
          <cell r="M123">
            <v>729</v>
          </cell>
          <cell r="N123">
            <v>749</v>
          </cell>
          <cell r="O123">
            <v>769</v>
          </cell>
          <cell r="P123">
            <v>789</v>
          </cell>
          <cell r="Q123">
            <v>849</v>
          </cell>
          <cell r="R123">
            <v>909</v>
          </cell>
          <cell r="S123">
            <v>969</v>
          </cell>
          <cell r="T123">
            <v>1029</v>
          </cell>
        </row>
        <row r="125">
          <cell r="A125" t="str">
            <v>Accumulated amortization at year start</v>
          </cell>
          <cell r="B125" t="str">
            <v>ND</v>
          </cell>
          <cell r="C125" t="str">
            <v>ND</v>
          </cell>
          <cell r="D125" t="str">
            <v>ND</v>
          </cell>
          <cell r="E125">
            <v>42</v>
          </cell>
          <cell r="F125">
            <v>89</v>
          </cell>
          <cell r="G125">
            <v>164</v>
          </cell>
          <cell r="H125">
            <v>246</v>
          </cell>
          <cell r="I125">
            <v>308</v>
          </cell>
          <cell r="J125">
            <v>395</v>
          </cell>
          <cell r="K125">
            <v>435</v>
          </cell>
          <cell r="L125">
            <v>483</v>
          </cell>
          <cell r="M125">
            <v>536</v>
          </cell>
          <cell r="N125">
            <v>587</v>
          </cell>
          <cell r="O125">
            <v>639.07142857142856</v>
          </cell>
          <cell r="P125">
            <v>689.00476190476184</v>
          </cell>
          <cell r="Q125">
            <v>740.27142857142849</v>
          </cell>
          <cell r="R125">
            <v>792.87142857142851</v>
          </cell>
          <cell r="S125">
            <v>849.47142857142853</v>
          </cell>
          <cell r="T125">
            <v>910.07142857142856</v>
          </cell>
        </row>
        <row r="126">
          <cell r="A126" t="str">
            <v>Amortization charge</v>
          </cell>
          <cell r="B126">
            <v>0</v>
          </cell>
          <cell r="C126">
            <v>0</v>
          </cell>
          <cell r="D126">
            <v>0</v>
          </cell>
          <cell r="E126">
            <v>0</v>
          </cell>
          <cell r="F126">
            <v>71</v>
          </cell>
          <cell r="G126">
            <v>72</v>
          </cell>
          <cell r="H126">
            <v>76</v>
          </cell>
          <cell r="I126">
            <v>77</v>
          </cell>
          <cell r="J126">
            <v>61</v>
          </cell>
          <cell r="K126">
            <v>62</v>
          </cell>
          <cell r="L126">
            <v>46</v>
          </cell>
          <cell r="M126">
            <v>32</v>
          </cell>
          <cell r="N126">
            <v>52.071428571428569</v>
          </cell>
          <cell r="O126">
            <v>49.93333333333333</v>
          </cell>
          <cell r="P126">
            <v>51.266666666666666</v>
          </cell>
          <cell r="Q126">
            <v>52.6</v>
          </cell>
          <cell r="R126">
            <v>56.6</v>
          </cell>
          <cell r="S126">
            <v>60.6</v>
          </cell>
          <cell r="T126">
            <v>64.599999999999994</v>
          </cell>
        </row>
        <row r="127">
          <cell r="A127" t="str">
            <v>FX and other</v>
          </cell>
          <cell r="B127">
            <v>0</v>
          </cell>
          <cell r="C127">
            <v>0</v>
          </cell>
          <cell r="D127">
            <v>0</v>
          </cell>
          <cell r="E127">
            <v>0</v>
          </cell>
          <cell r="F127">
            <v>4</v>
          </cell>
          <cell r="G127">
            <v>10</v>
          </cell>
          <cell r="H127">
            <v>-14</v>
          </cell>
          <cell r="I127">
            <v>10</v>
          </cell>
          <cell r="J127">
            <v>-21</v>
          </cell>
          <cell r="K127">
            <v>-14</v>
          </cell>
          <cell r="L127">
            <v>7</v>
          </cell>
          <cell r="M127">
            <v>19</v>
          </cell>
          <cell r="N127">
            <v>0</v>
          </cell>
          <cell r="O127">
            <v>0</v>
          </cell>
          <cell r="P127">
            <v>0</v>
          </cell>
          <cell r="Q127">
            <v>0</v>
          </cell>
          <cell r="R127">
            <v>0</v>
          </cell>
          <cell r="S127">
            <v>0</v>
          </cell>
          <cell r="T127">
            <v>0</v>
          </cell>
        </row>
        <row r="128">
          <cell r="A128" t="str">
            <v>Accumulated amortization at year end</v>
          </cell>
          <cell r="B128" t="str">
            <v>ND</v>
          </cell>
          <cell r="C128" t="str">
            <v>ND</v>
          </cell>
          <cell r="D128">
            <v>42</v>
          </cell>
          <cell r="E128">
            <v>89</v>
          </cell>
          <cell r="F128">
            <v>164</v>
          </cell>
          <cell r="G128">
            <v>246</v>
          </cell>
          <cell r="H128">
            <v>308</v>
          </cell>
          <cell r="I128">
            <v>395</v>
          </cell>
          <cell r="J128">
            <v>435</v>
          </cell>
          <cell r="K128">
            <v>483</v>
          </cell>
          <cell r="L128">
            <v>536</v>
          </cell>
          <cell r="M128">
            <v>587</v>
          </cell>
          <cell r="N128">
            <v>639.07142857142856</v>
          </cell>
          <cell r="O128">
            <v>689.00476190476184</v>
          </cell>
          <cell r="P128">
            <v>740.27142857142849</v>
          </cell>
          <cell r="Q128">
            <v>792.87142857142851</v>
          </cell>
          <cell r="R128">
            <v>849.47142857142853</v>
          </cell>
          <cell r="S128">
            <v>910.07142857142856</v>
          </cell>
          <cell r="T128">
            <v>974.67142857142858</v>
          </cell>
        </row>
        <row r="130">
          <cell r="A130" t="str">
            <v>Net intangible assets at year end</v>
          </cell>
          <cell r="B130" t="str">
            <v>NM</v>
          </cell>
          <cell r="C130" t="str">
            <v>NM</v>
          </cell>
          <cell r="D130">
            <v>400</v>
          </cell>
          <cell r="E130">
            <v>481</v>
          </cell>
          <cell r="F130">
            <v>463</v>
          </cell>
          <cell r="G130">
            <v>425</v>
          </cell>
          <cell r="H130">
            <v>364</v>
          </cell>
          <cell r="I130">
            <v>294</v>
          </cell>
          <cell r="J130">
            <v>252</v>
          </cell>
          <cell r="K130">
            <v>197</v>
          </cell>
          <cell r="L130">
            <v>165</v>
          </cell>
          <cell r="M130">
            <v>142</v>
          </cell>
          <cell r="N130">
            <v>109.92857142857144</v>
          </cell>
          <cell r="O130">
            <v>79.995238095238165</v>
          </cell>
          <cell r="P130">
            <v>48.728571428571513</v>
          </cell>
          <cell r="Q130">
            <v>56.12857142857149</v>
          </cell>
          <cell r="R130">
            <v>59.528571428571468</v>
          </cell>
          <cell r="S130">
            <v>58.928571428571445</v>
          </cell>
          <cell r="T130">
            <v>54.328571428571422</v>
          </cell>
        </row>
        <row r="133">
          <cell r="A133" t="str">
            <v>Additions-to-sales (%)</v>
          </cell>
          <cell r="B133">
            <v>0</v>
          </cell>
          <cell r="C133">
            <v>0</v>
          </cell>
          <cell r="D133">
            <v>0</v>
          </cell>
          <cell r="E133">
            <v>0</v>
          </cell>
          <cell r="F133">
            <v>2.9421945309795776E-3</v>
          </cell>
          <cell r="G133">
            <v>1.8621973929236499E-3</v>
          </cell>
          <cell r="H133">
            <v>4.103766671552103E-3</v>
          </cell>
          <cell r="I133">
            <v>1.9677292404565131E-4</v>
          </cell>
          <cell r="J133">
            <v>5.5762081784386614E-3</v>
          </cell>
          <cell r="K133">
            <v>1.0350436196954014E-3</v>
          </cell>
          <cell r="L133">
            <v>2.0255531318167652E-3</v>
          </cell>
          <cell r="M133">
            <v>2.304147465437788E-3</v>
          </cell>
          <cell r="N133">
            <v>2.9137693352740408E-3</v>
          </cell>
          <cell r="O133">
            <v>2.7963496052008396E-3</v>
          </cell>
          <cell r="P133">
            <v>2.6251053578877051E-3</v>
          </cell>
          <cell r="Q133">
            <v>7.4890555395064661E-3</v>
          </cell>
          <cell r="R133">
            <v>7.2451868758247086E-3</v>
          </cell>
          <cell r="S133">
            <v>7.0509421491657606E-3</v>
          </cell>
          <cell r="T133">
            <v>6.859155273545115E-3</v>
          </cell>
        </row>
        <row r="134">
          <cell r="A134" t="str">
            <v>Additions-to-amortization (x)</v>
          </cell>
          <cell r="B134" t="str">
            <v>NM</v>
          </cell>
          <cell r="C134" t="str">
            <v>NM</v>
          </cell>
          <cell r="D134" t="str">
            <v>NM</v>
          </cell>
          <cell r="E134" t="str">
            <v>NM</v>
          </cell>
          <cell r="F134">
            <v>0.23943661971830985</v>
          </cell>
          <cell r="G134">
            <v>0.16666666666666666</v>
          </cell>
          <cell r="H134">
            <v>0.36842105263157893</v>
          </cell>
          <cell r="I134">
            <v>1.2987012987012988E-2</v>
          </cell>
          <cell r="J134">
            <v>0.54098360655737709</v>
          </cell>
          <cell r="K134">
            <v>0.11290322580645161</v>
          </cell>
          <cell r="L134">
            <v>0.28260869565217389</v>
          </cell>
          <cell r="M134">
            <v>0.46875</v>
          </cell>
          <cell r="N134">
            <v>0.38408779149519889</v>
          </cell>
          <cell r="O134">
            <v>0.40053404539385851</v>
          </cell>
          <cell r="P134">
            <v>0.39011703511053319</v>
          </cell>
          <cell r="Q134">
            <v>1.1406844106463878</v>
          </cell>
          <cell r="R134">
            <v>1.0600706713780919</v>
          </cell>
          <cell r="S134">
            <v>0.99009900990099009</v>
          </cell>
          <cell r="T134">
            <v>0.92879256965944279</v>
          </cell>
        </row>
        <row r="135">
          <cell r="A135" t="str">
            <v>Average useful life</v>
          </cell>
          <cell r="B135" t="str">
            <v>NM</v>
          </cell>
          <cell r="C135" t="str">
            <v>NM</v>
          </cell>
          <cell r="D135" t="str">
            <v>NM</v>
          </cell>
          <cell r="E135" t="str">
            <v>NM</v>
          </cell>
          <cell r="F135">
            <v>8.0281690140845079</v>
          </cell>
          <cell r="G135">
            <v>8.7083333333333339</v>
          </cell>
          <cell r="H135">
            <v>8.8289473684210531</v>
          </cell>
          <cell r="I135">
            <v>8.7272727272727266</v>
          </cell>
          <cell r="J135">
            <v>11.295081967213115</v>
          </cell>
          <cell r="K135">
            <v>11.080645161290322</v>
          </cell>
          <cell r="L135">
            <v>14.782608695652174</v>
          </cell>
          <cell r="M135">
            <v>21.90625</v>
          </cell>
          <cell r="N135">
            <v>14</v>
          </cell>
          <cell r="O135">
            <v>15</v>
          </cell>
          <cell r="P135">
            <v>15</v>
          </cell>
          <cell r="Q135">
            <v>15</v>
          </cell>
          <cell r="R135">
            <v>15</v>
          </cell>
          <cell r="S135">
            <v>15</v>
          </cell>
          <cell r="T135">
            <v>15</v>
          </cell>
        </row>
        <row r="136">
          <cell r="M136" t="str">
            <v xml:space="preserve"> </v>
          </cell>
        </row>
        <row r="138">
          <cell r="A138" t="str">
            <v>Goodwill</v>
          </cell>
        </row>
        <row r="139">
          <cell r="A139" t="str">
            <v>Balance at start of year</v>
          </cell>
          <cell r="B139">
            <v>1024</v>
          </cell>
          <cell r="C139">
            <v>1061</v>
          </cell>
          <cell r="D139">
            <v>1072</v>
          </cell>
          <cell r="E139">
            <v>747</v>
          </cell>
          <cell r="F139">
            <v>949</v>
          </cell>
          <cell r="G139">
            <v>875</v>
          </cell>
          <cell r="H139">
            <v>866</v>
          </cell>
          <cell r="I139">
            <v>779</v>
          </cell>
          <cell r="J139">
            <v>798</v>
          </cell>
          <cell r="K139">
            <v>774</v>
          </cell>
          <cell r="L139">
            <v>760</v>
          </cell>
          <cell r="M139">
            <v>777</v>
          </cell>
          <cell r="N139">
            <v>798</v>
          </cell>
          <cell r="O139">
            <v>798</v>
          </cell>
          <cell r="P139">
            <v>798</v>
          </cell>
          <cell r="Q139">
            <v>798</v>
          </cell>
          <cell r="R139">
            <v>798</v>
          </cell>
          <cell r="S139">
            <v>798</v>
          </cell>
          <cell r="T139">
            <v>798</v>
          </cell>
        </row>
        <row r="140">
          <cell r="A140" t="str">
            <v>Acquisitions</v>
          </cell>
          <cell r="B140">
            <v>35</v>
          </cell>
          <cell r="C140">
            <v>0</v>
          </cell>
          <cell r="D140">
            <v>0</v>
          </cell>
          <cell r="E140">
            <v>184</v>
          </cell>
          <cell r="F140">
            <v>-75</v>
          </cell>
          <cell r="G140">
            <v>23</v>
          </cell>
          <cell r="H140">
            <v>0</v>
          </cell>
          <cell r="I140">
            <v>0</v>
          </cell>
          <cell r="J140">
            <v>13</v>
          </cell>
          <cell r="K140">
            <v>1</v>
          </cell>
          <cell r="L140">
            <v>7</v>
          </cell>
          <cell r="M140">
            <v>0</v>
          </cell>
          <cell r="N140">
            <v>0</v>
          </cell>
          <cell r="O140">
            <v>0</v>
          </cell>
          <cell r="P140">
            <v>0</v>
          </cell>
          <cell r="Q140">
            <v>0</v>
          </cell>
          <cell r="R140">
            <v>0</v>
          </cell>
          <cell r="S140">
            <v>0</v>
          </cell>
          <cell r="T140">
            <v>0</v>
          </cell>
        </row>
        <row r="141">
          <cell r="A141" t="str">
            <v>Adjustments to preacquisition tax uncertainties</v>
          </cell>
          <cell r="B141">
            <v>0</v>
          </cell>
          <cell r="C141">
            <v>0</v>
          </cell>
          <cell r="D141">
            <v>0</v>
          </cell>
          <cell r="E141">
            <v>0</v>
          </cell>
          <cell r="F141">
            <v>0</v>
          </cell>
          <cell r="G141">
            <v>-41</v>
          </cell>
          <cell r="H141">
            <v>-49</v>
          </cell>
          <cell r="I141">
            <v>0</v>
          </cell>
          <cell r="J141">
            <v>0</v>
          </cell>
          <cell r="K141">
            <v>0</v>
          </cell>
          <cell r="L141">
            <v>0</v>
          </cell>
          <cell r="M141">
            <v>0</v>
          </cell>
          <cell r="N141">
            <v>0</v>
          </cell>
          <cell r="O141">
            <v>0</v>
          </cell>
          <cell r="P141">
            <v>0</v>
          </cell>
          <cell r="Q141">
            <v>0</v>
          </cell>
          <cell r="R141">
            <v>0</v>
          </cell>
          <cell r="S141">
            <v>0</v>
          </cell>
          <cell r="T141">
            <v>0</v>
          </cell>
        </row>
        <row r="142">
          <cell r="A142" t="str">
            <v>FX</v>
          </cell>
          <cell r="B142">
            <v>2</v>
          </cell>
          <cell r="C142">
            <v>35</v>
          </cell>
          <cell r="D142">
            <v>-3</v>
          </cell>
          <cell r="E142">
            <v>18</v>
          </cell>
          <cell r="F142">
            <v>1</v>
          </cell>
          <cell r="G142">
            <v>60</v>
          </cell>
          <cell r="H142">
            <v>-38</v>
          </cell>
          <cell r="I142">
            <v>19</v>
          </cell>
          <cell r="J142">
            <v>-37</v>
          </cell>
          <cell r="K142">
            <v>-15</v>
          </cell>
          <cell r="L142">
            <v>10</v>
          </cell>
          <cell r="M142">
            <v>21</v>
          </cell>
          <cell r="N142">
            <v>0</v>
          </cell>
          <cell r="O142">
            <v>0</v>
          </cell>
          <cell r="P142">
            <v>0</v>
          </cell>
          <cell r="Q142">
            <v>0</v>
          </cell>
          <cell r="R142">
            <v>0</v>
          </cell>
          <cell r="S142">
            <v>0</v>
          </cell>
          <cell r="T142">
            <v>0</v>
          </cell>
        </row>
        <row r="143">
          <cell r="A143" t="str">
            <v>Other</v>
          </cell>
          <cell r="B143">
            <v>0</v>
          </cell>
          <cell r="C143">
            <v>-24</v>
          </cell>
          <cell r="D143">
            <v>-322</v>
          </cell>
          <cell r="E143">
            <v>0</v>
          </cell>
          <cell r="F143">
            <v>0</v>
          </cell>
          <cell r="G143">
            <v>-51</v>
          </cell>
          <cell r="H143">
            <v>0</v>
          </cell>
          <cell r="I143">
            <v>0</v>
          </cell>
          <cell r="J143">
            <v>0</v>
          </cell>
          <cell r="K143">
            <v>0</v>
          </cell>
          <cell r="L143">
            <v>0</v>
          </cell>
          <cell r="M143">
            <v>0</v>
          </cell>
          <cell r="N143">
            <v>0</v>
          </cell>
          <cell r="O143">
            <v>0</v>
          </cell>
          <cell r="P143">
            <v>0</v>
          </cell>
          <cell r="Q143">
            <v>0</v>
          </cell>
          <cell r="R143">
            <v>0</v>
          </cell>
          <cell r="S143">
            <v>0</v>
          </cell>
          <cell r="T143">
            <v>0</v>
          </cell>
        </row>
        <row r="144">
          <cell r="A144" t="str">
            <v>Balance at end of year</v>
          </cell>
          <cell r="B144">
            <v>1061</v>
          </cell>
          <cell r="C144">
            <v>1072</v>
          </cell>
          <cell r="D144">
            <v>747</v>
          </cell>
          <cell r="E144">
            <v>949</v>
          </cell>
          <cell r="F144">
            <v>875</v>
          </cell>
          <cell r="G144">
            <v>866</v>
          </cell>
          <cell r="H144">
            <v>779</v>
          </cell>
          <cell r="I144">
            <v>798</v>
          </cell>
          <cell r="J144">
            <v>774</v>
          </cell>
          <cell r="K144">
            <v>760</v>
          </cell>
          <cell r="L144">
            <v>777</v>
          </cell>
          <cell r="M144">
            <v>798</v>
          </cell>
          <cell r="N144">
            <v>798</v>
          </cell>
          <cell r="O144">
            <v>798</v>
          </cell>
          <cell r="P144">
            <v>798</v>
          </cell>
          <cell r="Q144">
            <v>798</v>
          </cell>
          <cell r="R144">
            <v>798</v>
          </cell>
          <cell r="S144">
            <v>798</v>
          </cell>
          <cell r="T144">
            <v>798</v>
          </cell>
        </row>
        <row r="145">
          <cell r="M145" t="str">
            <v xml:space="preserve"> </v>
          </cell>
        </row>
        <row r="147">
          <cell r="A147" t="str">
            <v>Long term assets/ Liabilities</v>
          </cell>
        </row>
        <row r="149">
          <cell r="A149" t="str">
            <v>Other long term assets</v>
          </cell>
          <cell r="B149">
            <v>566</v>
          </cell>
          <cell r="C149">
            <v>535</v>
          </cell>
          <cell r="D149">
            <v>523</v>
          </cell>
          <cell r="E149">
            <v>502</v>
          </cell>
          <cell r="F149">
            <v>506</v>
          </cell>
          <cell r="G149">
            <v>309</v>
          </cell>
          <cell r="H149">
            <v>357</v>
          </cell>
          <cell r="I149">
            <v>311</v>
          </cell>
          <cell r="J149">
            <v>289</v>
          </cell>
          <cell r="K149">
            <v>344</v>
          </cell>
          <cell r="L149">
            <v>463</v>
          </cell>
          <cell r="M149">
            <v>341</v>
          </cell>
          <cell r="N149">
            <v>341</v>
          </cell>
          <cell r="O149">
            <v>341</v>
          </cell>
          <cell r="P149">
            <v>341</v>
          </cell>
          <cell r="Q149">
            <v>341</v>
          </cell>
          <cell r="R149">
            <v>341</v>
          </cell>
          <cell r="S149">
            <v>341</v>
          </cell>
          <cell r="T149">
            <v>341</v>
          </cell>
        </row>
        <row r="150">
          <cell r="A150" t="str">
            <v>Pension and post retirement</v>
          </cell>
          <cell r="B150">
            <v>0</v>
          </cell>
          <cell r="C150">
            <v>39</v>
          </cell>
          <cell r="D150">
            <v>0</v>
          </cell>
          <cell r="E150">
            <v>0</v>
          </cell>
          <cell r="F150">
            <v>4</v>
          </cell>
          <cell r="G150">
            <v>7</v>
          </cell>
          <cell r="H150">
            <v>8</v>
          </cell>
          <cell r="I150">
            <v>5</v>
          </cell>
          <cell r="J150">
            <v>5</v>
          </cell>
          <cell r="K150">
            <v>5</v>
          </cell>
          <cell r="L150">
            <v>5</v>
          </cell>
          <cell r="M150">
            <v>5</v>
          </cell>
          <cell r="N150">
            <v>5</v>
          </cell>
          <cell r="O150">
            <v>5</v>
          </cell>
          <cell r="P150">
            <v>5</v>
          </cell>
          <cell r="Q150">
            <v>5</v>
          </cell>
          <cell r="R150">
            <v>5</v>
          </cell>
          <cell r="S150">
            <v>5</v>
          </cell>
          <cell r="T150">
            <v>5</v>
          </cell>
        </row>
        <row r="151">
          <cell r="A151" t="str">
            <v>Other</v>
          </cell>
          <cell r="B151">
            <v>566</v>
          </cell>
          <cell r="C151">
            <v>496</v>
          </cell>
          <cell r="D151">
            <v>523</v>
          </cell>
          <cell r="E151">
            <v>502</v>
          </cell>
          <cell r="F151">
            <v>502</v>
          </cell>
          <cell r="G151">
            <v>302</v>
          </cell>
          <cell r="H151">
            <v>349</v>
          </cell>
          <cell r="I151">
            <v>306</v>
          </cell>
          <cell r="J151">
            <v>284</v>
          </cell>
          <cell r="K151">
            <v>339</v>
          </cell>
          <cell r="L151">
            <v>458</v>
          </cell>
          <cell r="M151">
            <v>336</v>
          </cell>
          <cell r="N151">
            <v>336</v>
          </cell>
          <cell r="O151">
            <v>336</v>
          </cell>
          <cell r="P151">
            <v>336</v>
          </cell>
          <cell r="Q151">
            <v>336</v>
          </cell>
          <cell r="R151">
            <v>336</v>
          </cell>
          <cell r="S151">
            <v>336</v>
          </cell>
          <cell r="T151">
            <v>336</v>
          </cell>
        </row>
        <row r="152">
          <cell r="A152" t="str">
            <v>Other as % of sales</v>
          </cell>
          <cell r="B152">
            <v>0.14754953076120958</v>
          </cell>
          <cell r="C152">
            <v>0.11059085841694537</v>
          </cell>
          <cell r="D152">
            <v>0.10614978688857317</v>
          </cell>
          <cell r="E152">
            <v>8.3209017072766456E-2</v>
          </cell>
          <cell r="F152">
            <v>8.6881273797161651E-2</v>
          </cell>
          <cell r="G152">
            <v>4.6865301055245188E-2</v>
          </cell>
          <cell r="H152">
            <v>5.1150520298988714E-2</v>
          </cell>
          <cell r="I152">
            <v>6.02125147579693E-2</v>
          </cell>
          <cell r="J152">
            <v>4.7989185535653935E-2</v>
          </cell>
          <cell r="K152">
            <v>5.0125683868105869E-2</v>
          </cell>
          <cell r="L152">
            <v>7.1361794951698351E-2</v>
          </cell>
          <cell r="M152">
            <v>5.1612903225806452E-2</v>
          </cell>
          <cell r="N152">
            <v>4.8951324832603886E-2</v>
          </cell>
          <cell r="O152">
            <v>4.6978673367374102E-2</v>
          </cell>
          <cell r="P152">
            <v>4.410177001251344E-2</v>
          </cell>
          <cell r="Q152">
            <v>4.1938711021236211E-2</v>
          </cell>
          <cell r="R152">
            <v>4.0573046504618369E-2</v>
          </cell>
          <cell r="S152">
            <v>3.9485276035328261E-2</v>
          </cell>
          <cell r="T152">
            <v>3.8411269531852643E-2</v>
          </cell>
        </row>
        <row r="153">
          <cell r="A153" t="str">
            <v>Change in long term assets</v>
          </cell>
          <cell r="C153">
            <v>31</v>
          </cell>
          <cell r="D153">
            <v>12</v>
          </cell>
          <cell r="E153">
            <v>21</v>
          </cell>
          <cell r="F153">
            <v>-4</v>
          </cell>
          <cell r="G153">
            <v>197</v>
          </cell>
          <cell r="H153">
            <v>-48</v>
          </cell>
          <cell r="I153">
            <v>46</v>
          </cell>
          <cell r="J153">
            <v>22</v>
          </cell>
          <cell r="K153">
            <v>-55</v>
          </cell>
          <cell r="L153">
            <v>-119</v>
          </cell>
          <cell r="M153">
            <v>122</v>
          </cell>
          <cell r="N153">
            <v>0</v>
          </cell>
          <cell r="O153">
            <v>0</v>
          </cell>
          <cell r="P153">
            <v>0</v>
          </cell>
          <cell r="Q153">
            <v>0</v>
          </cell>
          <cell r="R153">
            <v>0</v>
          </cell>
          <cell r="S153">
            <v>0</v>
          </cell>
          <cell r="T153">
            <v>0</v>
          </cell>
        </row>
        <row r="155">
          <cell r="A155" t="str">
            <v>Other long-term liabilities</v>
          </cell>
          <cell r="B155">
            <v>612</v>
          </cell>
          <cell r="C155">
            <v>489</v>
          </cell>
          <cell r="D155">
            <v>510</v>
          </cell>
          <cell r="E155">
            <v>440</v>
          </cell>
          <cell r="F155">
            <v>443</v>
          </cell>
          <cell r="G155">
            <v>495</v>
          </cell>
          <cell r="H155">
            <v>806</v>
          </cell>
          <cell r="I155">
            <v>1306</v>
          </cell>
          <cell r="J155">
            <v>1075</v>
          </cell>
          <cell r="K155">
            <v>1153</v>
          </cell>
          <cell r="L155">
            <v>1152</v>
          </cell>
          <cell r="M155">
            <v>287</v>
          </cell>
          <cell r="N155">
            <v>287</v>
          </cell>
          <cell r="O155">
            <v>287</v>
          </cell>
          <cell r="P155">
            <v>287</v>
          </cell>
          <cell r="Q155">
            <v>287</v>
          </cell>
          <cell r="R155">
            <v>287</v>
          </cell>
          <cell r="S155">
            <v>287</v>
          </cell>
          <cell r="T155">
            <v>287</v>
          </cell>
        </row>
        <row r="156">
          <cell r="A156" t="str">
            <v>Environmental</v>
          </cell>
          <cell r="B156">
            <v>173</v>
          </cell>
          <cell r="C156">
            <v>124</v>
          </cell>
          <cell r="D156">
            <v>118</v>
          </cell>
          <cell r="E156">
            <v>99</v>
          </cell>
          <cell r="F156">
            <v>88</v>
          </cell>
          <cell r="G156">
            <v>96</v>
          </cell>
          <cell r="H156">
            <v>79</v>
          </cell>
          <cell r="I156">
            <v>93</v>
          </cell>
          <cell r="J156">
            <v>85</v>
          </cell>
          <cell r="K156">
            <v>71</v>
          </cell>
          <cell r="L156">
            <v>78</v>
          </cell>
          <cell r="M156">
            <v>67</v>
          </cell>
        </row>
        <row r="157">
          <cell r="A157" t="str">
            <v>Insurance</v>
          </cell>
          <cell r="B157">
            <v>177</v>
          </cell>
          <cell r="C157">
            <v>171</v>
          </cell>
          <cell r="D157">
            <v>144</v>
          </cell>
          <cell r="E157">
            <v>87</v>
          </cell>
          <cell r="F157">
            <v>86</v>
          </cell>
          <cell r="G157">
            <v>78</v>
          </cell>
          <cell r="H157">
            <v>85</v>
          </cell>
          <cell r="I157">
            <v>85</v>
          </cell>
          <cell r="J157">
            <v>69</v>
          </cell>
          <cell r="K157">
            <v>64</v>
          </cell>
          <cell r="L157">
            <v>58</v>
          </cell>
          <cell r="M157">
            <v>50</v>
          </cell>
        </row>
        <row r="158">
          <cell r="A158" t="str">
            <v>Deferred revenue</v>
          </cell>
          <cell r="B158">
            <v>0</v>
          </cell>
          <cell r="C158">
            <v>0</v>
          </cell>
          <cell r="D158">
            <v>0</v>
          </cell>
          <cell r="E158">
            <v>0</v>
          </cell>
          <cell r="F158">
            <v>72</v>
          </cell>
          <cell r="G158">
            <v>71</v>
          </cell>
          <cell r="H158">
            <v>56</v>
          </cell>
          <cell r="I158">
            <v>49</v>
          </cell>
          <cell r="J158">
            <v>46</v>
          </cell>
          <cell r="K158">
            <v>40</v>
          </cell>
          <cell r="L158">
            <v>36</v>
          </cell>
          <cell r="M158">
            <v>28</v>
          </cell>
        </row>
        <row r="159">
          <cell r="A159" t="str">
            <v>Deferred proceeds</v>
          </cell>
          <cell r="B159">
            <v>0</v>
          </cell>
          <cell r="C159">
            <v>0</v>
          </cell>
          <cell r="D159">
            <v>0</v>
          </cell>
          <cell r="E159">
            <v>0</v>
          </cell>
          <cell r="F159">
            <v>26</v>
          </cell>
          <cell r="G159">
            <v>93</v>
          </cell>
          <cell r="H159">
            <v>370</v>
          </cell>
          <cell r="I159">
            <v>846</v>
          </cell>
          <cell r="J159">
            <v>781</v>
          </cell>
          <cell r="K159">
            <v>892</v>
          </cell>
          <cell r="L159">
            <v>909</v>
          </cell>
          <cell r="M159">
            <v>53</v>
          </cell>
        </row>
        <row r="160">
          <cell r="A160" t="str">
            <v>ARO</v>
          </cell>
          <cell r="B160">
            <v>0</v>
          </cell>
          <cell r="C160">
            <v>0</v>
          </cell>
          <cell r="D160">
            <v>0</v>
          </cell>
          <cell r="E160">
            <v>0</v>
          </cell>
          <cell r="F160">
            <v>47</v>
          </cell>
          <cell r="G160">
            <v>31</v>
          </cell>
          <cell r="H160">
            <v>40</v>
          </cell>
          <cell r="I160">
            <v>45</v>
          </cell>
          <cell r="J160">
            <v>46</v>
          </cell>
          <cell r="K160">
            <v>42</v>
          </cell>
          <cell r="L160">
            <v>26</v>
          </cell>
          <cell r="M160">
            <v>18</v>
          </cell>
        </row>
        <row r="161">
          <cell r="A161" t="str">
            <v>Derivatives</v>
          </cell>
          <cell r="B161">
            <v>0</v>
          </cell>
          <cell r="C161">
            <v>0</v>
          </cell>
          <cell r="D161">
            <v>0</v>
          </cell>
          <cell r="E161">
            <v>0</v>
          </cell>
          <cell r="F161">
            <v>34</v>
          </cell>
          <cell r="G161">
            <v>37</v>
          </cell>
          <cell r="H161">
            <v>76</v>
          </cell>
          <cell r="I161">
            <v>44</v>
          </cell>
          <cell r="J161">
            <v>14</v>
          </cell>
          <cell r="K161">
            <v>13</v>
          </cell>
          <cell r="L161">
            <v>8</v>
          </cell>
          <cell r="M161">
            <v>3</v>
          </cell>
        </row>
        <row r="162">
          <cell r="A162" t="str">
            <v>Other</v>
          </cell>
          <cell r="B162">
            <v>262</v>
          </cell>
          <cell r="C162">
            <v>194</v>
          </cell>
          <cell r="D162">
            <v>248</v>
          </cell>
          <cell r="E162">
            <v>254</v>
          </cell>
          <cell r="F162">
            <v>90</v>
          </cell>
          <cell r="G162">
            <v>89</v>
          </cell>
          <cell r="H162">
            <v>100</v>
          </cell>
          <cell r="I162">
            <v>144</v>
          </cell>
          <cell r="J162">
            <v>34</v>
          </cell>
          <cell r="K162">
            <v>31</v>
          </cell>
          <cell r="L162">
            <v>37</v>
          </cell>
          <cell r="M162">
            <v>68</v>
          </cell>
        </row>
        <row r="164">
          <cell r="A164" t="str">
            <v>Change in other long term liabilities</v>
          </cell>
          <cell r="C164">
            <v>-123</v>
          </cell>
          <cell r="D164">
            <v>21</v>
          </cell>
          <cell r="E164">
            <v>-70</v>
          </cell>
          <cell r="F164">
            <v>3</v>
          </cell>
          <cell r="G164">
            <v>52</v>
          </cell>
          <cell r="H164">
            <v>311</v>
          </cell>
          <cell r="I164">
            <v>500</v>
          </cell>
          <cell r="J164">
            <v>-231</v>
          </cell>
          <cell r="K164">
            <v>78</v>
          </cell>
          <cell r="L164">
            <v>-1</v>
          </cell>
          <cell r="M164">
            <v>-865</v>
          </cell>
          <cell r="N164">
            <v>0</v>
          </cell>
          <cell r="O164">
            <v>0</v>
          </cell>
          <cell r="P164">
            <v>0</v>
          </cell>
          <cell r="Q164">
            <v>0</v>
          </cell>
          <cell r="R164">
            <v>0</v>
          </cell>
          <cell r="S164">
            <v>0</v>
          </cell>
          <cell r="T164">
            <v>0</v>
          </cell>
        </row>
        <row r="168">
          <cell r="A168" t="str">
            <v>Pension Plan</v>
          </cell>
        </row>
        <row r="169">
          <cell r="A169" t="str">
            <v>PBO (at Jan 1)</v>
          </cell>
          <cell r="B169">
            <v>2350</v>
          </cell>
          <cell r="C169">
            <v>2558</v>
          </cell>
          <cell r="D169">
            <v>2808</v>
          </cell>
          <cell r="E169">
            <v>3122</v>
          </cell>
          <cell r="F169">
            <v>3407</v>
          </cell>
          <cell r="G169">
            <v>3343</v>
          </cell>
          <cell r="H169">
            <v>3264</v>
          </cell>
          <cell r="I169">
            <v>3073</v>
          </cell>
          <cell r="J169">
            <v>3342</v>
          </cell>
          <cell r="K169">
            <v>3533</v>
          </cell>
          <cell r="L169">
            <v>3761</v>
          </cell>
          <cell r="M169">
            <v>4199</v>
          </cell>
          <cell r="N169">
            <v>3799</v>
          </cell>
          <cell r="O169">
            <v>3899</v>
          </cell>
          <cell r="P169">
            <v>3999</v>
          </cell>
          <cell r="Q169">
            <v>4099</v>
          </cell>
          <cell r="R169">
            <v>4199</v>
          </cell>
          <cell r="S169">
            <v>4299</v>
          </cell>
          <cell r="T169">
            <v>4399</v>
          </cell>
        </row>
        <row r="170">
          <cell r="A170" t="str">
            <v>Change in PBO</v>
          </cell>
          <cell r="B170">
            <v>208</v>
          </cell>
          <cell r="C170">
            <v>250</v>
          </cell>
          <cell r="D170">
            <v>314</v>
          </cell>
          <cell r="E170">
            <v>285</v>
          </cell>
          <cell r="F170">
            <v>-64</v>
          </cell>
          <cell r="G170">
            <v>-79</v>
          </cell>
          <cell r="H170">
            <v>-191</v>
          </cell>
          <cell r="I170">
            <v>269</v>
          </cell>
          <cell r="J170">
            <v>191</v>
          </cell>
          <cell r="K170">
            <v>228</v>
          </cell>
          <cell r="L170">
            <v>438</v>
          </cell>
          <cell r="M170">
            <v>-400</v>
          </cell>
          <cell r="N170">
            <v>100</v>
          </cell>
          <cell r="O170">
            <v>100</v>
          </cell>
          <cell r="P170">
            <v>100</v>
          </cell>
          <cell r="Q170">
            <v>100</v>
          </cell>
          <cell r="R170">
            <v>100</v>
          </cell>
          <cell r="S170">
            <v>100</v>
          </cell>
          <cell r="T170">
            <v>100</v>
          </cell>
        </row>
        <row r="171">
          <cell r="A171" t="str">
            <v>PBO (at Dec 31)</v>
          </cell>
          <cell r="B171">
            <v>2558</v>
          </cell>
          <cell r="C171">
            <v>2808</v>
          </cell>
          <cell r="D171">
            <v>3122</v>
          </cell>
          <cell r="E171">
            <v>3407</v>
          </cell>
          <cell r="F171">
            <v>3343</v>
          </cell>
          <cell r="G171">
            <v>3264</v>
          </cell>
          <cell r="H171">
            <v>3073</v>
          </cell>
          <cell r="I171">
            <v>3342</v>
          </cell>
          <cell r="J171">
            <v>3533</v>
          </cell>
          <cell r="K171">
            <v>3761</v>
          </cell>
          <cell r="L171">
            <v>4199</v>
          </cell>
          <cell r="M171">
            <v>3799</v>
          </cell>
          <cell r="N171">
            <v>3899</v>
          </cell>
          <cell r="O171">
            <v>3999</v>
          </cell>
          <cell r="P171">
            <v>4099</v>
          </cell>
          <cell r="Q171">
            <v>4199</v>
          </cell>
          <cell r="R171">
            <v>4299</v>
          </cell>
          <cell r="S171">
            <v>4399</v>
          </cell>
          <cell r="T171">
            <v>4499</v>
          </cell>
        </row>
        <row r="172">
          <cell r="M172" t="str">
            <v xml:space="preserve"> </v>
          </cell>
        </row>
        <row r="173">
          <cell r="A173" t="str">
            <v>Plan Assets (at Jan 1)</v>
          </cell>
          <cell r="B173">
            <v>1534</v>
          </cell>
          <cell r="C173">
            <v>1574</v>
          </cell>
          <cell r="D173">
            <v>1929</v>
          </cell>
          <cell r="E173">
            <v>2486</v>
          </cell>
          <cell r="F173">
            <v>2603</v>
          </cell>
          <cell r="G173">
            <v>2802</v>
          </cell>
          <cell r="H173">
            <v>2875</v>
          </cell>
          <cell r="I173">
            <v>2170</v>
          </cell>
          <cell r="J173">
            <v>2329</v>
          </cell>
          <cell r="K173">
            <v>2460</v>
          </cell>
          <cell r="L173">
            <v>2562</v>
          </cell>
          <cell r="M173">
            <v>2896</v>
          </cell>
          <cell r="N173">
            <v>2709</v>
          </cell>
          <cell r="O173">
            <v>2809</v>
          </cell>
          <cell r="P173">
            <v>2909</v>
          </cell>
          <cell r="Q173">
            <v>3009</v>
          </cell>
          <cell r="R173">
            <v>3109</v>
          </cell>
          <cell r="S173">
            <v>3209</v>
          </cell>
          <cell r="T173">
            <v>3309</v>
          </cell>
        </row>
        <row r="174">
          <cell r="A174" t="str">
            <v>Change in plan assets</v>
          </cell>
          <cell r="B174">
            <v>40</v>
          </cell>
          <cell r="C174">
            <v>355</v>
          </cell>
          <cell r="D174">
            <v>557</v>
          </cell>
          <cell r="E174">
            <v>117</v>
          </cell>
          <cell r="F174">
            <v>199</v>
          </cell>
          <cell r="G174">
            <v>73</v>
          </cell>
          <cell r="H174">
            <v>-705</v>
          </cell>
          <cell r="I174">
            <v>159</v>
          </cell>
          <cell r="J174">
            <v>131</v>
          </cell>
          <cell r="K174">
            <v>102</v>
          </cell>
          <cell r="L174">
            <v>334</v>
          </cell>
          <cell r="M174">
            <v>-187</v>
          </cell>
          <cell r="N174">
            <v>100</v>
          </cell>
          <cell r="O174">
            <v>100</v>
          </cell>
          <cell r="P174">
            <v>100</v>
          </cell>
          <cell r="Q174">
            <v>100</v>
          </cell>
          <cell r="R174">
            <v>100</v>
          </cell>
          <cell r="S174">
            <v>100</v>
          </cell>
          <cell r="T174">
            <v>100</v>
          </cell>
        </row>
        <row r="175">
          <cell r="A175" t="str">
            <v>Plan Assets (at Dec 31)</v>
          </cell>
          <cell r="B175">
            <v>1574</v>
          </cell>
          <cell r="C175">
            <v>1929</v>
          </cell>
          <cell r="D175">
            <v>2486</v>
          </cell>
          <cell r="E175">
            <v>2603</v>
          </cell>
          <cell r="F175">
            <v>2802</v>
          </cell>
          <cell r="G175">
            <v>2875</v>
          </cell>
          <cell r="H175">
            <v>2170</v>
          </cell>
          <cell r="I175">
            <v>2329</v>
          </cell>
          <cell r="J175">
            <v>2460</v>
          </cell>
          <cell r="K175">
            <v>2562</v>
          </cell>
          <cell r="L175">
            <v>2896</v>
          </cell>
          <cell r="M175">
            <v>2709</v>
          </cell>
          <cell r="N175">
            <v>2809</v>
          </cell>
          <cell r="O175">
            <v>2909</v>
          </cell>
          <cell r="P175">
            <v>3009</v>
          </cell>
          <cell r="Q175">
            <v>3109</v>
          </cell>
          <cell r="R175">
            <v>3209</v>
          </cell>
          <cell r="S175">
            <v>3309</v>
          </cell>
          <cell r="T175">
            <v>3409</v>
          </cell>
        </row>
        <row r="176">
          <cell r="M176" t="str">
            <v xml:space="preserve"> </v>
          </cell>
        </row>
        <row r="177">
          <cell r="A177" t="str">
            <v>Funded status</v>
          </cell>
          <cell r="B177">
            <v>-984</v>
          </cell>
          <cell r="C177">
            <v>-879</v>
          </cell>
          <cell r="D177">
            <v>-636</v>
          </cell>
          <cell r="E177">
            <v>-804</v>
          </cell>
          <cell r="F177">
            <v>-541</v>
          </cell>
          <cell r="G177">
            <v>-389</v>
          </cell>
          <cell r="H177">
            <v>-903</v>
          </cell>
          <cell r="I177">
            <v>-1013</v>
          </cell>
          <cell r="J177">
            <v>-1073</v>
          </cell>
          <cell r="K177">
            <v>-1199</v>
          </cell>
          <cell r="L177">
            <v>-1303</v>
          </cell>
          <cell r="M177">
            <v>-1090</v>
          </cell>
          <cell r="N177">
            <v>-1090</v>
          </cell>
          <cell r="O177">
            <v>-1090</v>
          </cell>
          <cell r="P177">
            <v>-1090</v>
          </cell>
          <cell r="Q177">
            <v>-1090</v>
          </cell>
          <cell r="R177">
            <v>-1090</v>
          </cell>
          <cell r="S177">
            <v>-1090</v>
          </cell>
          <cell r="T177">
            <v>-1090</v>
          </cell>
        </row>
        <row r="179">
          <cell r="A179" t="str">
            <v>Included within noncurrent other assets</v>
          </cell>
          <cell r="B179" t="str">
            <v>ND</v>
          </cell>
          <cell r="C179">
            <v>39</v>
          </cell>
          <cell r="D179" t="str">
            <v>ND</v>
          </cell>
          <cell r="E179">
            <v>0</v>
          </cell>
          <cell r="F179">
            <v>4</v>
          </cell>
          <cell r="G179">
            <v>7</v>
          </cell>
          <cell r="H179">
            <v>8</v>
          </cell>
          <cell r="I179">
            <v>5</v>
          </cell>
          <cell r="J179">
            <v>18</v>
          </cell>
          <cell r="K179">
            <v>27</v>
          </cell>
          <cell r="L179">
            <v>26</v>
          </cell>
          <cell r="M179">
            <v>11</v>
          </cell>
          <cell r="N179">
            <v>11</v>
          </cell>
          <cell r="O179">
            <v>11</v>
          </cell>
          <cell r="P179">
            <v>11</v>
          </cell>
          <cell r="Q179">
            <v>11</v>
          </cell>
          <cell r="R179">
            <v>11</v>
          </cell>
          <cell r="S179">
            <v>11</v>
          </cell>
          <cell r="T179">
            <v>11</v>
          </cell>
        </row>
        <row r="180">
          <cell r="A180" t="str">
            <v>Included within current other liabilities</v>
          </cell>
          <cell r="B180" t="str">
            <v>ND</v>
          </cell>
          <cell r="C180">
            <v>-49</v>
          </cell>
          <cell r="D180" t="str">
            <v>ND</v>
          </cell>
          <cell r="E180">
            <v>0</v>
          </cell>
          <cell r="F180">
            <v>-22</v>
          </cell>
          <cell r="G180">
            <v>-21</v>
          </cell>
          <cell r="H180">
            <v>-22</v>
          </cell>
          <cell r="I180">
            <v>-22</v>
          </cell>
          <cell r="J180">
            <v>-22</v>
          </cell>
          <cell r="K180">
            <v>-22</v>
          </cell>
          <cell r="L180">
            <v>-23</v>
          </cell>
          <cell r="M180">
            <v>-23</v>
          </cell>
          <cell r="N180">
            <v>-23</v>
          </cell>
          <cell r="O180">
            <v>-23</v>
          </cell>
          <cell r="P180">
            <v>-23</v>
          </cell>
          <cell r="Q180">
            <v>-23</v>
          </cell>
          <cell r="R180">
            <v>-23</v>
          </cell>
          <cell r="S180">
            <v>-23</v>
          </cell>
          <cell r="T180">
            <v>-23</v>
          </cell>
        </row>
        <row r="181">
          <cell r="A181" t="str">
            <v>Included within pension obligations</v>
          </cell>
          <cell r="B181" t="str">
            <v>ND</v>
          </cell>
          <cell r="C181" t="str">
            <v>ND</v>
          </cell>
          <cell r="D181" t="str">
            <v>ND</v>
          </cell>
          <cell r="E181">
            <v>-660</v>
          </cell>
          <cell r="F181">
            <v>-523</v>
          </cell>
          <cell r="G181">
            <v>-375</v>
          </cell>
          <cell r="H181">
            <v>-889</v>
          </cell>
          <cell r="I181">
            <v>-996</v>
          </cell>
          <cell r="J181">
            <v>-1069</v>
          </cell>
          <cell r="K181">
            <v>-1204</v>
          </cell>
          <cell r="L181">
            <v>-1306</v>
          </cell>
          <cell r="M181">
            <v>-1078</v>
          </cell>
          <cell r="N181">
            <v>-1078</v>
          </cell>
          <cell r="O181">
            <v>-1078</v>
          </cell>
          <cell r="P181">
            <v>-1078</v>
          </cell>
          <cell r="Q181">
            <v>-1078</v>
          </cell>
          <cell r="R181">
            <v>-1078</v>
          </cell>
          <cell r="S181">
            <v>-1078</v>
          </cell>
          <cell r="T181">
            <v>-1078</v>
          </cell>
        </row>
        <row r="183">
          <cell r="A183" t="str">
            <v>Amounts recognized in accumluated other comp income/ (loss)</v>
          </cell>
        </row>
        <row r="184">
          <cell r="A184" t="str">
            <v>Net actuarial (gain) loss</v>
          </cell>
          <cell r="B184" t="str">
            <v>ND</v>
          </cell>
          <cell r="C184">
            <v>830</v>
          </cell>
          <cell r="D184">
            <v>153</v>
          </cell>
          <cell r="E184">
            <v>302</v>
          </cell>
          <cell r="F184">
            <v>64</v>
          </cell>
          <cell r="G184">
            <v>-53</v>
          </cell>
          <cell r="H184">
            <v>502</v>
          </cell>
          <cell r="I184">
            <v>630</v>
          </cell>
          <cell r="J184">
            <v>720</v>
          </cell>
          <cell r="K184">
            <v>994</v>
          </cell>
          <cell r="L184">
            <v>1326</v>
          </cell>
          <cell r="M184">
            <v>9</v>
          </cell>
        </row>
        <row r="185">
          <cell r="A185" t="str">
            <v>Prior service (benefit) cost</v>
          </cell>
          <cell r="C185">
            <v>39</v>
          </cell>
          <cell r="D185">
            <v>0</v>
          </cell>
          <cell r="E185">
            <v>-2</v>
          </cell>
          <cell r="F185">
            <v>-1</v>
          </cell>
          <cell r="G185">
            <v>3</v>
          </cell>
          <cell r="H185">
            <v>1</v>
          </cell>
          <cell r="I185">
            <v>6</v>
          </cell>
          <cell r="J185">
            <v>6</v>
          </cell>
          <cell r="K185">
            <v>7</v>
          </cell>
          <cell r="L185">
            <v>6</v>
          </cell>
          <cell r="M185">
            <v>-3</v>
          </cell>
        </row>
        <row r="186">
          <cell r="A186" t="str">
            <v>Total</v>
          </cell>
          <cell r="B186">
            <v>0</v>
          </cell>
          <cell r="C186">
            <v>869</v>
          </cell>
          <cell r="D186">
            <v>153</v>
          </cell>
          <cell r="E186">
            <v>300</v>
          </cell>
          <cell r="F186">
            <v>63</v>
          </cell>
          <cell r="G186">
            <v>-50</v>
          </cell>
          <cell r="H186">
            <v>503</v>
          </cell>
          <cell r="I186">
            <v>636</v>
          </cell>
          <cell r="J186">
            <v>726</v>
          </cell>
          <cell r="K186">
            <v>1001</v>
          </cell>
          <cell r="L186">
            <v>1332</v>
          </cell>
          <cell r="M186">
            <v>6</v>
          </cell>
        </row>
        <row r="187">
          <cell r="M187" t="str">
            <v xml:space="preserve"> </v>
          </cell>
        </row>
        <row r="188">
          <cell r="A188" t="str">
            <v>Other Post Employment benefit plans</v>
          </cell>
        </row>
        <row r="189">
          <cell r="A189" t="str">
            <v>Other post employment benefit (at Jan 1)</v>
          </cell>
          <cell r="B189">
            <v>454</v>
          </cell>
          <cell r="C189">
            <v>487</v>
          </cell>
          <cell r="D189">
            <v>424</v>
          </cell>
          <cell r="E189">
            <v>421</v>
          </cell>
          <cell r="F189">
            <v>377</v>
          </cell>
          <cell r="G189">
            <v>343</v>
          </cell>
          <cell r="H189">
            <v>306</v>
          </cell>
          <cell r="I189">
            <v>275</v>
          </cell>
          <cell r="J189">
            <v>281</v>
          </cell>
          <cell r="K189">
            <v>290</v>
          </cell>
          <cell r="L189">
            <v>288</v>
          </cell>
          <cell r="M189">
            <v>296</v>
          </cell>
          <cell r="N189">
            <v>97</v>
          </cell>
          <cell r="O189">
            <v>102</v>
          </cell>
          <cell r="P189">
            <v>107</v>
          </cell>
          <cell r="Q189">
            <v>112</v>
          </cell>
          <cell r="R189">
            <v>117</v>
          </cell>
          <cell r="S189">
            <v>122</v>
          </cell>
          <cell r="T189">
            <v>127</v>
          </cell>
        </row>
        <row r="190">
          <cell r="A190" t="str">
            <v>Change</v>
          </cell>
          <cell r="B190">
            <v>33</v>
          </cell>
          <cell r="C190">
            <v>-63</v>
          </cell>
          <cell r="D190">
            <v>-3</v>
          </cell>
          <cell r="E190">
            <v>-44</v>
          </cell>
          <cell r="F190">
            <v>-34</v>
          </cell>
          <cell r="G190">
            <v>-37</v>
          </cell>
          <cell r="H190">
            <v>-31</v>
          </cell>
          <cell r="I190">
            <v>6</v>
          </cell>
          <cell r="J190">
            <v>9</v>
          </cell>
          <cell r="K190">
            <v>-2</v>
          </cell>
          <cell r="L190">
            <v>8</v>
          </cell>
          <cell r="M190">
            <v>-199</v>
          </cell>
          <cell r="N190">
            <v>5</v>
          </cell>
          <cell r="O190">
            <v>5</v>
          </cell>
          <cell r="P190">
            <v>5</v>
          </cell>
          <cell r="Q190">
            <v>5</v>
          </cell>
          <cell r="R190">
            <v>5</v>
          </cell>
          <cell r="S190">
            <v>5</v>
          </cell>
          <cell r="T190">
            <v>5</v>
          </cell>
        </row>
        <row r="191">
          <cell r="A191" t="str">
            <v>Other post employment benefit (at Jan 1)</v>
          </cell>
          <cell r="B191">
            <v>487</v>
          </cell>
          <cell r="C191">
            <v>424</v>
          </cell>
          <cell r="D191">
            <v>421</v>
          </cell>
          <cell r="E191">
            <v>377</v>
          </cell>
          <cell r="F191">
            <v>343</v>
          </cell>
          <cell r="G191">
            <v>306</v>
          </cell>
          <cell r="H191">
            <v>275</v>
          </cell>
          <cell r="I191">
            <v>281</v>
          </cell>
          <cell r="J191">
            <v>290</v>
          </cell>
          <cell r="K191">
            <v>288</v>
          </cell>
          <cell r="L191">
            <v>296</v>
          </cell>
          <cell r="M191">
            <v>97</v>
          </cell>
          <cell r="N191">
            <v>102</v>
          </cell>
          <cell r="O191">
            <v>107</v>
          </cell>
          <cell r="P191">
            <v>112</v>
          </cell>
          <cell r="Q191">
            <v>117</v>
          </cell>
          <cell r="R191">
            <v>122</v>
          </cell>
          <cell r="S191">
            <v>127</v>
          </cell>
          <cell r="T191">
            <v>132</v>
          </cell>
        </row>
        <row r="192">
          <cell r="M192" t="str">
            <v xml:space="preserve"> </v>
          </cell>
        </row>
        <row r="193">
          <cell r="A193" t="str">
            <v>Included within noncurrent other assets</v>
          </cell>
          <cell r="B193" t="str">
            <v>ND</v>
          </cell>
          <cell r="C193">
            <v>0</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row>
        <row r="194">
          <cell r="A194" t="str">
            <v>Included within current other liabilities</v>
          </cell>
          <cell r="B194" t="str">
            <v>ND</v>
          </cell>
          <cell r="C194">
            <v>0</v>
          </cell>
          <cell r="D194">
            <v>0</v>
          </cell>
          <cell r="E194">
            <v>0</v>
          </cell>
          <cell r="F194">
            <v>-38</v>
          </cell>
          <cell r="G194">
            <v>-34</v>
          </cell>
          <cell r="H194">
            <v>-35</v>
          </cell>
          <cell r="I194">
            <v>-27</v>
          </cell>
          <cell r="J194">
            <v>-27</v>
          </cell>
          <cell r="K194">
            <v>-25</v>
          </cell>
          <cell r="L194">
            <v>-24</v>
          </cell>
          <cell r="M194">
            <v>-24</v>
          </cell>
          <cell r="N194">
            <v>-24</v>
          </cell>
          <cell r="O194">
            <v>-24</v>
          </cell>
          <cell r="P194">
            <v>-24</v>
          </cell>
          <cell r="Q194">
            <v>-24</v>
          </cell>
          <cell r="R194">
            <v>-24</v>
          </cell>
          <cell r="S194">
            <v>-24</v>
          </cell>
          <cell r="T194">
            <v>-24</v>
          </cell>
        </row>
        <row r="195">
          <cell r="A195" t="str">
            <v>Included within pension obligations</v>
          </cell>
          <cell r="B195" t="str">
            <v>ND</v>
          </cell>
          <cell r="C195">
            <v>-424</v>
          </cell>
          <cell r="D195">
            <v>-421</v>
          </cell>
          <cell r="E195">
            <v>-377</v>
          </cell>
          <cell r="F195">
            <v>-305</v>
          </cell>
          <cell r="G195">
            <v>-272</v>
          </cell>
          <cell r="H195">
            <v>-240</v>
          </cell>
          <cell r="I195">
            <v>-254</v>
          </cell>
          <cell r="J195">
            <v>-255</v>
          </cell>
          <cell r="K195">
            <v>-256</v>
          </cell>
          <cell r="L195">
            <v>-268</v>
          </cell>
          <cell r="M195">
            <v>-73</v>
          </cell>
          <cell r="N195">
            <v>-78</v>
          </cell>
          <cell r="O195">
            <v>-83</v>
          </cell>
          <cell r="P195">
            <v>-88</v>
          </cell>
          <cell r="Q195">
            <v>-93</v>
          </cell>
          <cell r="R195">
            <v>-98</v>
          </cell>
          <cell r="S195">
            <v>-103</v>
          </cell>
          <cell r="T195">
            <v>-108</v>
          </cell>
        </row>
        <row r="196">
          <cell r="A196" t="str">
            <v>Total</v>
          </cell>
          <cell r="B196" t="str">
            <v>ND</v>
          </cell>
          <cell r="C196">
            <v>-424</v>
          </cell>
          <cell r="D196">
            <v>-421</v>
          </cell>
          <cell r="E196">
            <v>-377</v>
          </cell>
          <cell r="F196">
            <v>-343</v>
          </cell>
          <cell r="G196">
            <v>-306</v>
          </cell>
          <cell r="H196">
            <v>-275</v>
          </cell>
          <cell r="I196">
            <v>-281</v>
          </cell>
          <cell r="J196">
            <v>-282</v>
          </cell>
          <cell r="K196">
            <v>-281</v>
          </cell>
          <cell r="L196">
            <v>-292</v>
          </cell>
          <cell r="M196">
            <v>-97</v>
          </cell>
          <cell r="N196">
            <v>-102</v>
          </cell>
          <cell r="O196">
            <v>-107</v>
          </cell>
          <cell r="P196">
            <v>-112</v>
          </cell>
          <cell r="Q196">
            <v>-117</v>
          </cell>
          <cell r="R196">
            <v>-122</v>
          </cell>
          <cell r="S196">
            <v>-127</v>
          </cell>
          <cell r="T196">
            <v>-132</v>
          </cell>
        </row>
        <row r="198">
          <cell r="A198" t="str">
            <v>Amounts recognized in accumluated other comp income/ (loss)</v>
          </cell>
        </row>
        <row r="199">
          <cell r="A199" t="str">
            <v>Net actuarial loss (gain)</v>
          </cell>
          <cell r="B199" t="str">
            <v>ND</v>
          </cell>
          <cell r="C199">
            <v>175</v>
          </cell>
          <cell r="D199">
            <v>15</v>
          </cell>
          <cell r="E199">
            <v>-31</v>
          </cell>
          <cell r="F199">
            <v>-44</v>
          </cell>
          <cell r="G199">
            <v>-71</v>
          </cell>
          <cell r="H199">
            <v>-80</v>
          </cell>
          <cell r="I199">
            <v>-63</v>
          </cell>
          <cell r="J199">
            <v>-50</v>
          </cell>
          <cell r="K199">
            <v>-35</v>
          </cell>
          <cell r="L199">
            <v>-21</v>
          </cell>
        </row>
        <row r="200">
          <cell r="A200" t="str">
            <v>Prior service cost (credit)</v>
          </cell>
          <cell r="B200" t="str">
            <v>ND</v>
          </cell>
          <cell r="C200">
            <v>-71</v>
          </cell>
          <cell r="D200">
            <v>0</v>
          </cell>
          <cell r="E200">
            <v>0</v>
          </cell>
          <cell r="F200">
            <v>-1</v>
          </cell>
          <cell r="G200">
            <v>-1</v>
          </cell>
          <cell r="H200">
            <v>1</v>
          </cell>
          <cell r="I200">
            <v>1</v>
          </cell>
          <cell r="J200">
            <v>1</v>
          </cell>
          <cell r="K200">
            <v>1</v>
          </cell>
          <cell r="L200">
            <v>4</v>
          </cell>
        </row>
        <row r="201">
          <cell r="A201" t="str">
            <v>Deferred tax benefit</v>
          </cell>
          <cell r="B201" t="str">
            <v>ND</v>
          </cell>
          <cell r="C201">
            <v>0</v>
          </cell>
          <cell r="D201">
            <v>0</v>
          </cell>
          <cell r="E201">
            <v>0</v>
          </cell>
          <cell r="F201">
            <v>0</v>
          </cell>
          <cell r="G201">
            <v>0</v>
          </cell>
          <cell r="H201">
            <v>0</v>
          </cell>
          <cell r="I201">
            <v>0</v>
          </cell>
        </row>
        <row r="202">
          <cell r="A202" t="str">
            <v>Total</v>
          </cell>
          <cell r="B202" t="str">
            <v>ND</v>
          </cell>
          <cell r="C202">
            <v>104</v>
          </cell>
          <cell r="D202">
            <v>15</v>
          </cell>
          <cell r="E202">
            <v>-31</v>
          </cell>
          <cell r="F202">
            <v>-45</v>
          </cell>
          <cell r="G202">
            <v>-72</v>
          </cell>
          <cell r="H202">
            <v>-79</v>
          </cell>
          <cell r="I202">
            <v>-62</v>
          </cell>
          <cell r="J202">
            <v>-49</v>
          </cell>
          <cell r="K202">
            <v>-34</v>
          </cell>
          <cell r="L202">
            <v>-17</v>
          </cell>
        </row>
        <row r="209">
          <cell r="A209" t="str">
            <v>Cash and debt</v>
          </cell>
        </row>
        <row r="211">
          <cell r="A211" t="str">
            <v>ST borrowings and current portion of LT debt</v>
          </cell>
        </row>
        <row r="212">
          <cell r="A212" t="str">
            <v>Beginning</v>
          </cell>
          <cell r="C212">
            <v>204</v>
          </cell>
          <cell r="D212">
            <v>148</v>
          </cell>
          <cell r="E212">
            <v>144</v>
          </cell>
          <cell r="F212">
            <v>155</v>
          </cell>
          <cell r="G212">
            <v>309</v>
          </cell>
          <cell r="H212">
            <v>272</v>
          </cell>
          <cell r="I212">
            <v>233</v>
          </cell>
          <cell r="J212">
            <v>242</v>
          </cell>
          <cell r="K212">
            <v>228</v>
          </cell>
          <cell r="L212">
            <v>144</v>
          </cell>
          <cell r="M212">
            <v>168</v>
          </cell>
          <cell r="N212">
            <v>177</v>
          </cell>
          <cell r="O212">
            <v>177</v>
          </cell>
          <cell r="P212">
            <v>177</v>
          </cell>
          <cell r="Q212">
            <v>177</v>
          </cell>
          <cell r="R212">
            <v>177</v>
          </cell>
          <cell r="S212">
            <v>177</v>
          </cell>
          <cell r="T212">
            <v>177</v>
          </cell>
        </row>
        <row r="213">
          <cell r="A213" t="str">
            <v>New Debt</v>
          </cell>
          <cell r="C213">
            <v>0</v>
          </cell>
          <cell r="D213">
            <v>20</v>
          </cell>
          <cell r="E213">
            <v>22</v>
          </cell>
          <cell r="F213">
            <v>13</v>
          </cell>
          <cell r="G213">
            <v>30</v>
          </cell>
          <cell r="H213">
            <v>0</v>
          </cell>
          <cell r="I213">
            <v>0</v>
          </cell>
          <cell r="J213">
            <v>0</v>
          </cell>
          <cell r="K213">
            <v>0</v>
          </cell>
          <cell r="L213">
            <v>2</v>
          </cell>
          <cell r="M213">
            <v>43</v>
          </cell>
          <cell r="N213">
            <v>0</v>
          </cell>
          <cell r="O213">
            <v>0</v>
          </cell>
          <cell r="P213">
            <v>0</v>
          </cell>
          <cell r="Q213">
            <v>0</v>
          </cell>
          <cell r="R213">
            <v>0</v>
          </cell>
          <cell r="S213">
            <v>0</v>
          </cell>
          <cell r="T213">
            <v>0</v>
          </cell>
        </row>
        <row r="214">
          <cell r="A214" t="str">
            <v>Repayments</v>
          </cell>
          <cell r="C214">
            <v>-20</v>
          </cell>
          <cell r="D214">
            <v>0</v>
          </cell>
          <cell r="E214">
            <v>0</v>
          </cell>
          <cell r="F214">
            <v>0</v>
          </cell>
          <cell r="G214">
            <v>0</v>
          </cell>
          <cell r="H214">
            <v>-64</v>
          </cell>
          <cell r="I214">
            <v>-9</v>
          </cell>
          <cell r="J214">
            <v>-16</v>
          </cell>
          <cell r="K214">
            <v>-16</v>
          </cell>
          <cell r="L214">
            <v>0</v>
          </cell>
          <cell r="M214">
            <v>0</v>
          </cell>
          <cell r="N214">
            <v>0</v>
          </cell>
          <cell r="O214">
            <v>0</v>
          </cell>
          <cell r="P214">
            <v>0</v>
          </cell>
          <cell r="Q214">
            <v>0</v>
          </cell>
          <cell r="R214">
            <v>0</v>
          </cell>
          <cell r="S214">
            <v>0</v>
          </cell>
          <cell r="T214">
            <v>0</v>
          </cell>
        </row>
        <row r="215">
          <cell r="A215" t="str">
            <v>Acquired</v>
          </cell>
          <cell r="C215">
            <v>-36</v>
          </cell>
          <cell r="D215">
            <v>-24</v>
          </cell>
          <cell r="E215">
            <v>-11</v>
          </cell>
          <cell r="F215">
            <v>141</v>
          </cell>
          <cell r="G215">
            <v>-67</v>
          </cell>
          <cell r="H215">
            <v>25</v>
          </cell>
          <cell r="I215">
            <v>18</v>
          </cell>
          <cell r="J215">
            <v>2</v>
          </cell>
          <cell r="K215">
            <v>-68</v>
          </cell>
          <cell r="L215">
            <v>22</v>
          </cell>
          <cell r="M215">
            <v>-34</v>
          </cell>
          <cell r="N215">
            <v>0</v>
          </cell>
          <cell r="O215">
            <v>0</v>
          </cell>
          <cell r="P215">
            <v>0</v>
          </cell>
          <cell r="Q215">
            <v>0</v>
          </cell>
          <cell r="R215">
            <v>0</v>
          </cell>
          <cell r="S215">
            <v>0</v>
          </cell>
          <cell r="T215">
            <v>0</v>
          </cell>
        </row>
        <row r="216">
          <cell r="A216" t="str">
            <v xml:space="preserve">End </v>
          </cell>
          <cell r="B216">
            <v>204</v>
          </cell>
          <cell r="C216">
            <v>148</v>
          </cell>
          <cell r="D216">
            <v>144</v>
          </cell>
          <cell r="E216">
            <v>155</v>
          </cell>
          <cell r="F216">
            <v>309</v>
          </cell>
          <cell r="G216">
            <v>272</v>
          </cell>
          <cell r="H216">
            <v>233</v>
          </cell>
          <cell r="I216">
            <v>242</v>
          </cell>
          <cell r="J216">
            <v>228</v>
          </cell>
          <cell r="K216">
            <v>144</v>
          </cell>
          <cell r="L216">
            <v>168</v>
          </cell>
          <cell r="M216">
            <v>177</v>
          </cell>
          <cell r="N216">
            <v>177</v>
          </cell>
          <cell r="O216">
            <v>177</v>
          </cell>
          <cell r="P216">
            <v>177</v>
          </cell>
          <cell r="Q216">
            <v>177</v>
          </cell>
          <cell r="R216">
            <v>177</v>
          </cell>
          <cell r="S216">
            <v>177</v>
          </cell>
          <cell r="T216">
            <v>177</v>
          </cell>
        </row>
        <row r="218">
          <cell r="A218" t="str">
            <v>Long Term Debt</v>
          </cell>
        </row>
        <row r="219">
          <cell r="A219" t="str">
            <v>Beginning</v>
          </cell>
          <cell r="C219">
            <v>440</v>
          </cell>
          <cell r="D219">
            <v>489</v>
          </cell>
          <cell r="E219">
            <v>3243</v>
          </cell>
          <cell r="F219">
            <v>3282</v>
          </cell>
          <cell r="G219">
            <v>3189</v>
          </cell>
          <cell r="H219">
            <v>3284</v>
          </cell>
          <cell r="I219">
            <v>3300</v>
          </cell>
          <cell r="J219">
            <v>3259</v>
          </cell>
          <cell r="K219">
            <v>2990</v>
          </cell>
          <cell r="L219">
            <v>2873</v>
          </cell>
          <cell r="M219">
            <v>2930</v>
          </cell>
          <cell r="N219">
            <v>2887</v>
          </cell>
          <cell r="O219">
            <v>2587</v>
          </cell>
          <cell r="P219">
            <v>2287</v>
          </cell>
          <cell r="Q219">
            <v>1987</v>
          </cell>
          <cell r="R219">
            <v>1687</v>
          </cell>
          <cell r="S219">
            <v>1387</v>
          </cell>
          <cell r="T219">
            <v>1087</v>
          </cell>
        </row>
        <row r="220">
          <cell r="A220" t="str">
            <v>New Debt</v>
          </cell>
          <cell r="C220">
            <v>0</v>
          </cell>
          <cell r="D220">
            <v>2665</v>
          </cell>
          <cell r="E220">
            <v>0</v>
          </cell>
          <cell r="F220">
            <v>0</v>
          </cell>
          <cell r="G220">
            <v>0</v>
          </cell>
          <cell r="H220">
            <v>0</v>
          </cell>
          <cell r="I220">
            <v>0</v>
          </cell>
          <cell r="J220">
            <v>0</v>
          </cell>
          <cell r="K220">
            <v>0</v>
          </cell>
          <cell r="L220">
            <v>61</v>
          </cell>
          <cell r="M220">
            <v>0</v>
          </cell>
          <cell r="N220">
            <v>0</v>
          </cell>
          <cell r="O220">
            <v>0</v>
          </cell>
          <cell r="P220">
            <v>0</v>
          </cell>
          <cell r="Q220">
            <v>0</v>
          </cell>
          <cell r="R220">
            <v>0</v>
          </cell>
          <cell r="S220">
            <v>0</v>
          </cell>
          <cell r="T220">
            <v>0</v>
          </cell>
        </row>
        <row r="221">
          <cell r="A221" t="str">
            <v>Repayments</v>
          </cell>
          <cell r="C221">
            <v>-48</v>
          </cell>
          <cell r="D221">
            <v>0</v>
          </cell>
          <cell r="E221">
            <v>-298</v>
          </cell>
          <cell r="F221">
            <v>-87</v>
          </cell>
          <cell r="G221">
            <v>-149</v>
          </cell>
          <cell r="H221">
            <v>-34</v>
          </cell>
          <cell r="I221">
            <v>-80</v>
          </cell>
          <cell r="J221">
            <v>-297</v>
          </cell>
          <cell r="K221">
            <v>-180</v>
          </cell>
          <cell r="L221">
            <v>0</v>
          </cell>
          <cell r="M221">
            <v>-124</v>
          </cell>
          <cell r="N221">
            <v>-300</v>
          </cell>
          <cell r="O221">
            <v>-300</v>
          </cell>
          <cell r="P221">
            <v>-300</v>
          </cell>
          <cell r="Q221">
            <v>-300</v>
          </cell>
          <cell r="R221">
            <v>-300</v>
          </cell>
          <cell r="S221">
            <v>-300</v>
          </cell>
          <cell r="T221">
            <v>-300</v>
          </cell>
        </row>
        <row r="222">
          <cell r="A222" t="str">
            <v>Transfer to current position</v>
          </cell>
          <cell r="C222">
            <v>48</v>
          </cell>
          <cell r="D222">
            <v>15</v>
          </cell>
          <cell r="E222">
            <v>20</v>
          </cell>
          <cell r="F222">
            <v>127</v>
          </cell>
          <cell r="G222">
            <v>44</v>
          </cell>
          <cell r="H222">
            <v>81</v>
          </cell>
          <cell r="I222">
            <v>102</v>
          </cell>
          <cell r="J222">
            <v>74</v>
          </cell>
          <cell r="K222">
            <v>38</v>
          </cell>
          <cell r="L222">
            <v>0</v>
          </cell>
          <cell r="M222">
            <v>0</v>
          </cell>
          <cell r="N222">
            <v>0</v>
          </cell>
          <cell r="O222">
            <v>0</v>
          </cell>
          <cell r="P222">
            <v>0</v>
          </cell>
          <cell r="Q222">
            <v>0</v>
          </cell>
          <cell r="R222">
            <v>0</v>
          </cell>
          <cell r="S222">
            <v>0</v>
          </cell>
          <cell r="T222">
            <v>0</v>
          </cell>
        </row>
        <row r="223">
          <cell r="A223" t="str">
            <v>Acquired</v>
          </cell>
          <cell r="C223">
            <v>49</v>
          </cell>
          <cell r="D223">
            <v>74</v>
          </cell>
          <cell r="E223">
            <v>317</v>
          </cell>
          <cell r="F223">
            <v>-133</v>
          </cell>
          <cell r="G223">
            <v>200</v>
          </cell>
          <cell r="H223">
            <v>-31</v>
          </cell>
          <cell r="I223">
            <v>-63</v>
          </cell>
          <cell r="J223">
            <v>-46</v>
          </cell>
          <cell r="K223">
            <v>25</v>
          </cell>
          <cell r="L223">
            <v>-4</v>
          </cell>
          <cell r="M223">
            <v>81</v>
          </cell>
          <cell r="N223">
            <v>0</v>
          </cell>
          <cell r="O223">
            <v>0</v>
          </cell>
          <cell r="P223">
            <v>0</v>
          </cell>
          <cell r="Q223">
            <v>0</v>
          </cell>
          <cell r="R223">
            <v>0</v>
          </cell>
          <cell r="S223">
            <v>0</v>
          </cell>
          <cell r="T223">
            <v>0</v>
          </cell>
        </row>
        <row r="224">
          <cell r="A224" t="str">
            <v xml:space="preserve">End </v>
          </cell>
          <cell r="B224">
            <v>440</v>
          </cell>
          <cell r="C224">
            <v>489</v>
          </cell>
          <cell r="D224">
            <v>3243</v>
          </cell>
          <cell r="E224">
            <v>3282</v>
          </cell>
          <cell r="F224">
            <v>3189</v>
          </cell>
          <cell r="G224">
            <v>3284</v>
          </cell>
          <cell r="H224">
            <v>3300</v>
          </cell>
          <cell r="I224">
            <v>3259</v>
          </cell>
          <cell r="J224">
            <v>2990</v>
          </cell>
          <cell r="K224">
            <v>2873</v>
          </cell>
          <cell r="L224">
            <v>2930</v>
          </cell>
          <cell r="M224">
            <v>2887</v>
          </cell>
          <cell r="N224">
            <v>2587</v>
          </cell>
          <cell r="O224">
            <v>2287</v>
          </cell>
          <cell r="P224">
            <v>1987</v>
          </cell>
          <cell r="Q224">
            <v>1687</v>
          </cell>
          <cell r="R224">
            <v>1387</v>
          </cell>
          <cell r="S224">
            <v>1087</v>
          </cell>
          <cell r="T224">
            <v>787</v>
          </cell>
        </row>
        <row r="226">
          <cell r="A226" t="str">
            <v>Total debt</v>
          </cell>
          <cell r="B226">
            <v>644</v>
          </cell>
          <cell r="C226">
            <v>637</v>
          </cell>
          <cell r="D226">
            <v>3387</v>
          </cell>
          <cell r="E226">
            <v>3437</v>
          </cell>
          <cell r="F226">
            <v>3498</v>
          </cell>
          <cell r="G226">
            <v>3556</v>
          </cell>
          <cell r="H226">
            <v>3533</v>
          </cell>
          <cell r="I226">
            <v>3501</v>
          </cell>
          <cell r="J226">
            <v>3218</v>
          </cell>
          <cell r="K226">
            <v>3017</v>
          </cell>
          <cell r="L226">
            <v>3098</v>
          </cell>
          <cell r="M226">
            <v>3064</v>
          </cell>
          <cell r="N226">
            <v>2764</v>
          </cell>
          <cell r="O226">
            <v>2464</v>
          </cell>
          <cell r="P226">
            <v>2164</v>
          </cell>
          <cell r="Q226">
            <v>1864</v>
          </cell>
          <cell r="R226">
            <v>1564</v>
          </cell>
          <cell r="S226">
            <v>1264</v>
          </cell>
          <cell r="T226">
            <v>964</v>
          </cell>
        </row>
        <row r="229">
          <cell r="A229" t="str">
            <v>Cash and cash equivalents at year start</v>
          </cell>
          <cell r="B229">
            <v>43</v>
          </cell>
          <cell r="C229">
            <v>124</v>
          </cell>
          <cell r="D229">
            <v>148</v>
          </cell>
          <cell r="E229">
            <v>838</v>
          </cell>
          <cell r="F229">
            <v>390</v>
          </cell>
          <cell r="G229">
            <v>791</v>
          </cell>
          <cell r="H229">
            <v>825</v>
          </cell>
          <cell r="I229">
            <v>676</v>
          </cell>
          <cell r="J229">
            <v>1254</v>
          </cell>
          <cell r="K229">
            <v>740</v>
          </cell>
          <cell r="L229">
            <v>682</v>
          </cell>
          <cell r="M229">
            <v>959</v>
          </cell>
          <cell r="N229">
            <v>984</v>
          </cell>
          <cell r="O229">
            <v>1095.6961425206732</v>
          </cell>
          <cell r="P229">
            <v>1374.0946297438256</v>
          </cell>
          <cell r="Q229">
            <v>1527.5170228745205</v>
          </cell>
          <cell r="R229">
            <v>1794.6767832631467</v>
          </cell>
          <cell r="S229">
            <v>2183.5487256072001</v>
          </cell>
          <cell r="T229">
            <v>2605.0648531191164</v>
          </cell>
        </row>
        <row r="230">
          <cell r="A230" t="str">
            <v>Cash and cash equivalents at year end</v>
          </cell>
          <cell r="B230">
            <v>124</v>
          </cell>
          <cell r="C230">
            <v>148</v>
          </cell>
          <cell r="D230">
            <v>838</v>
          </cell>
          <cell r="E230">
            <v>390</v>
          </cell>
          <cell r="F230">
            <v>791</v>
          </cell>
          <cell r="G230">
            <v>825</v>
          </cell>
          <cell r="H230">
            <v>676</v>
          </cell>
          <cell r="I230">
            <v>1254</v>
          </cell>
          <cell r="J230">
            <v>740</v>
          </cell>
          <cell r="K230">
            <v>682</v>
          </cell>
          <cell r="L230">
            <v>959</v>
          </cell>
          <cell r="M230">
            <v>984</v>
          </cell>
          <cell r="N230">
            <v>1095.6961425206732</v>
          </cell>
          <cell r="O230">
            <v>1374.0946297438256</v>
          </cell>
          <cell r="P230">
            <v>1527.5170228745205</v>
          </cell>
          <cell r="Q230">
            <v>1794.6767832631467</v>
          </cell>
          <cell r="R230">
            <v>2183.5487256072001</v>
          </cell>
          <cell r="S230">
            <v>2605.0648531191164</v>
          </cell>
          <cell r="T230">
            <v>3050.2944605558132</v>
          </cell>
        </row>
        <row r="232">
          <cell r="A232" t="str">
            <v>Interest rate on short term debt</v>
          </cell>
          <cell r="B232">
            <v>0</v>
          </cell>
          <cell r="C232">
            <v>0</v>
          </cell>
          <cell r="D232">
            <v>0</v>
          </cell>
          <cell r="E232">
            <v>0</v>
          </cell>
          <cell r="F232">
            <v>0</v>
          </cell>
          <cell r="G232">
            <v>0</v>
          </cell>
          <cell r="H232">
            <v>0</v>
          </cell>
          <cell r="I232">
            <v>0</v>
          </cell>
          <cell r="J232">
            <v>0</v>
          </cell>
          <cell r="K232">
            <v>0</v>
          </cell>
          <cell r="L232">
            <v>0</v>
          </cell>
        </row>
        <row r="233">
          <cell r="A233" t="str">
            <v>Interest rate on long term debt</v>
          </cell>
          <cell r="B233">
            <v>0</v>
          </cell>
          <cell r="C233">
            <v>0</v>
          </cell>
          <cell r="D233">
            <v>0</v>
          </cell>
          <cell r="E233">
            <v>0</v>
          </cell>
          <cell r="F233">
            <v>0</v>
          </cell>
          <cell r="G233">
            <v>0</v>
          </cell>
          <cell r="H233">
            <v>0</v>
          </cell>
          <cell r="I233">
            <v>0</v>
          </cell>
          <cell r="J233">
            <v>0</v>
          </cell>
          <cell r="K233">
            <v>0</v>
          </cell>
          <cell r="L233">
            <v>0</v>
          </cell>
        </row>
        <row r="234">
          <cell r="A234" t="str">
            <v>Interest rate on cash</v>
          </cell>
          <cell r="B234">
            <v>4.4699999999999997E-2</v>
          </cell>
          <cell r="C234">
            <v>0</v>
          </cell>
          <cell r="D234">
            <v>0</v>
          </cell>
          <cell r="E234">
            <v>0</v>
          </cell>
          <cell r="F234">
            <v>0</v>
          </cell>
          <cell r="G234">
            <v>0</v>
          </cell>
          <cell r="H234">
            <v>0</v>
          </cell>
          <cell r="I234">
            <v>0</v>
          </cell>
          <cell r="J234">
            <v>0</v>
          </cell>
          <cell r="K234">
            <v>0</v>
          </cell>
          <cell r="L234">
            <v>0</v>
          </cell>
        </row>
        <row r="236">
          <cell r="A236" t="str">
            <v>Interest paid on short term debt</v>
          </cell>
          <cell r="B236">
            <v>0</v>
          </cell>
          <cell r="C236">
            <v>0</v>
          </cell>
          <cell r="D236">
            <v>0</v>
          </cell>
          <cell r="E236">
            <v>0</v>
          </cell>
          <cell r="F236">
            <v>0</v>
          </cell>
          <cell r="G236">
            <v>0</v>
          </cell>
          <cell r="H236">
            <v>0</v>
          </cell>
          <cell r="I236">
            <v>0</v>
          </cell>
          <cell r="J236">
            <v>0</v>
          </cell>
          <cell r="K236">
            <v>0</v>
          </cell>
          <cell r="L236">
            <v>0</v>
          </cell>
        </row>
        <row r="237">
          <cell r="A237" t="str">
            <v>Interest paid on long term debt</v>
          </cell>
          <cell r="B237">
            <v>2.7124999999999999</v>
          </cell>
          <cell r="C237">
            <v>1.55</v>
          </cell>
          <cell r="D237">
            <v>0.19375000000000001</v>
          </cell>
          <cell r="E237">
            <v>0</v>
          </cell>
          <cell r="F237">
            <v>0</v>
          </cell>
          <cell r="G237">
            <v>0</v>
          </cell>
          <cell r="H237">
            <v>0</v>
          </cell>
          <cell r="I237">
            <v>0</v>
          </cell>
          <cell r="J237">
            <v>0</v>
          </cell>
          <cell r="K237">
            <v>0</v>
          </cell>
          <cell r="L237">
            <v>0</v>
          </cell>
        </row>
        <row r="238">
          <cell r="A238" t="str">
            <v>Interest received on cash</v>
          </cell>
          <cell r="B238">
            <v>0</v>
          </cell>
          <cell r="C238">
            <v>1.1625000000000001</v>
          </cell>
          <cell r="D238">
            <v>1.1625000000000001</v>
          </cell>
          <cell r="E238">
            <v>0</v>
          </cell>
          <cell r="F238">
            <v>0</v>
          </cell>
          <cell r="G238">
            <v>0</v>
          </cell>
          <cell r="H238">
            <v>0</v>
          </cell>
          <cell r="I238">
            <v>0</v>
          </cell>
          <cell r="J238">
            <v>0</v>
          </cell>
          <cell r="K238">
            <v>0</v>
          </cell>
          <cell r="L238">
            <v>0</v>
          </cell>
        </row>
        <row r="239">
          <cell r="A239" t="str">
            <v>Net interest received/ (paid)</v>
          </cell>
        </row>
        <row r="241">
          <cell r="A241" t="str">
            <v>Interest paid on short term debt</v>
          </cell>
        </row>
        <row r="242">
          <cell r="A242" t="str">
            <v>Interest paid on long term debt</v>
          </cell>
        </row>
        <row r="243">
          <cell r="A243" t="str">
            <v>Interest received on cash</v>
          </cell>
        </row>
        <row r="244">
          <cell r="A244" t="str">
            <v>Net interest received/ (paid)</v>
          </cell>
        </row>
        <row r="246">
          <cell r="A246" t="str">
            <v>Net Debt</v>
          </cell>
        </row>
        <row r="247">
          <cell r="A247" t="str">
            <v>(+) Long Term Debt</v>
          </cell>
          <cell r="B247">
            <v>440</v>
          </cell>
          <cell r="C247">
            <v>489</v>
          </cell>
          <cell r="D247">
            <v>3243</v>
          </cell>
          <cell r="E247">
            <v>3282</v>
          </cell>
          <cell r="F247">
            <v>3189</v>
          </cell>
          <cell r="G247">
            <v>3284</v>
          </cell>
          <cell r="H247">
            <v>3300</v>
          </cell>
          <cell r="I247">
            <v>3259</v>
          </cell>
          <cell r="J247">
            <v>2990</v>
          </cell>
          <cell r="K247">
            <v>2873</v>
          </cell>
          <cell r="L247">
            <v>2930</v>
          </cell>
          <cell r="M247">
            <v>2887</v>
          </cell>
          <cell r="N247">
            <v>2587</v>
          </cell>
          <cell r="O247">
            <v>2287</v>
          </cell>
          <cell r="P247">
            <v>1987</v>
          </cell>
          <cell r="Q247">
            <v>1687</v>
          </cell>
          <cell r="R247">
            <v>1387</v>
          </cell>
          <cell r="S247">
            <v>1087</v>
          </cell>
          <cell r="T247">
            <v>787</v>
          </cell>
        </row>
        <row r="248">
          <cell r="A248" t="str">
            <v>(+) Short Term Debt</v>
          </cell>
          <cell r="B248">
            <v>204</v>
          </cell>
          <cell r="C248">
            <v>148</v>
          </cell>
          <cell r="D248">
            <v>144</v>
          </cell>
          <cell r="E248">
            <v>155</v>
          </cell>
          <cell r="F248">
            <v>309</v>
          </cell>
          <cell r="G248">
            <v>272</v>
          </cell>
          <cell r="H248">
            <v>233</v>
          </cell>
          <cell r="I248">
            <v>242</v>
          </cell>
          <cell r="J248">
            <v>228</v>
          </cell>
          <cell r="K248">
            <v>144</v>
          </cell>
          <cell r="L248">
            <v>168</v>
          </cell>
          <cell r="M248">
            <v>177</v>
          </cell>
          <cell r="N248">
            <v>177</v>
          </cell>
          <cell r="O248">
            <v>177</v>
          </cell>
          <cell r="P248">
            <v>177</v>
          </cell>
          <cell r="Q248">
            <v>177</v>
          </cell>
          <cell r="R248">
            <v>177</v>
          </cell>
          <cell r="S248">
            <v>177</v>
          </cell>
          <cell r="T248">
            <v>177</v>
          </cell>
        </row>
        <row r="249">
          <cell r="A249" t="str">
            <v>(+) Pensions and other long term liabilities</v>
          </cell>
          <cell r="B249">
            <v>1271</v>
          </cell>
          <cell r="C249">
            <v>1165</v>
          </cell>
          <cell r="D249">
            <v>1000</v>
          </cell>
          <cell r="E249">
            <v>1126</v>
          </cell>
          <cell r="F249">
            <v>889</v>
          </cell>
          <cell r="G249">
            <v>696</v>
          </cell>
          <cell r="H249">
            <v>1167</v>
          </cell>
          <cell r="I249">
            <v>1288</v>
          </cell>
          <cell r="J249">
            <v>1359</v>
          </cell>
          <cell r="K249">
            <v>1492</v>
          </cell>
          <cell r="L249">
            <v>1602</v>
          </cell>
          <cell r="M249">
            <v>1175</v>
          </cell>
          <cell r="N249">
            <v>1156</v>
          </cell>
          <cell r="O249">
            <v>1161</v>
          </cell>
          <cell r="P249">
            <v>1166</v>
          </cell>
          <cell r="Q249">
            <v>1171</v>
          </cell>
          <cell r="R249">
            <v>1176</v>
          </cell>
          <cell r="S249">
            <v>1181</v>
          </cell>
          <cell r="T249">
            <v>1186</v>
          </cell>
        </row>
        <row r="250">
          <cell r="A250" t="str">
            <v>(-) Cash and Cash Equivalents</v>
          </cell>
          <cell r="B250">
            <v>124</v>
          </cell>
          <cell r="C250">
            <v>148</v>
          </cell>
          <cell r="D250">
            <v>838</v>
          </cell>
          <cell r="E250">
            <v>390</v>
          </cell>
          <cell r="F250">
            <v>791</v>
          </cell>
          <cell r="G250">
            <v>1080</v>
          </cell>
          <cell r="H250">
            <v>776</v>
          </cell>
          <cell r="I250">
            <v>1337</v>
          </cell>
          <cell r="J250">
            <v>818</v>
          </cell>
          <cell r="K250">
            <v>746</v>
          </cell>
          <cell r="L250">
            <v>1012</v>
          </cell>
          <cell r="M250">
            <v>1025</v>
          </cell>
          <cell r="N250">
            <v>1136.6961425206732</v>
          </cell>
          <cell r="O250">
            <v>1415.0946297438256</v>
          </cell>
          <cell r="P250">
            <v>1568.5170228745205</v>
          </cell>
          <cell r="Q250">
            <v>1835.6767832631467</v>
          </cell>
          <cell r="R250">
            <v>2224.5487256072001</v>
          </cell>
          <cell r="S250">
            <v>2646.0648531191164</v>
          </cell>
          <cell r="T250">
            <v>3091.2944605558132</v>
          </cell>
        </row>
        <row r="251">
          <cell r="A251" t="str">
            <v>(=) Net Debt Including BS Pension Liabilities</v>
          </cell>
          <cell r="B251">
            <v>1791</v>
          </cell>
          <cell r="C251">
            <v>1654</v>
          </cell>
          <cell r="D251">
            <v>3549</v>
          </cell>
          <cell r="E251">
            <v>4173</v>
          </cell>
          <cell r="F251">
            <v>3596</v>
          </cell>
          <cell r="G251">
            <v>3172</v>
          </cell>
          <cell r="H251">
            <v>3924</v>
          </cell>
          <cell r="I251">
            <v>3452</v>
          </cell>
          <cell r="J251">
            <v>3759</v>
          </cell>
          <cell r="K251">
            <v>3763</v>
          </cell>
          <cell r="L251">
            <v>3688</v>
          </cell>
          <cell r="M251">
            <v>3214</v>
          </cell>
          <cell r="N251">
            <v>2783.3038574793268</v>
          </cell>
          <cell r="O251">
            <v>2209.9053702561741</v>
          </cell>
          <cell r="P251">
            <v>1761.4829771254795</v>
          </cell>
          <cell r="Q251">
            <v>1199.3232167368533</v>
          </cell>
          <cell r="R251">
            <v>515.45127439279986</v>
          </cell>
          <cell r="S251">
            <v>-201.06485311911638</v>
          </cell>
          <cell r="T251">
            <v>-941.2944605558132</v>
          </cell>
        </row>
        <row r="252">
          <cell r="A252" t="str">
            <v>(=) Net Debt (Ex Pension Liabilities)</v>
          </cell>
          <cell r="B252">
            <v>520</v>
          </cell>
          <cell r="C252">
            <v>489</v>
          </cell>
          <cell r="D252">
            <v>2549</v>
          </cell>
          <cell r="E252">
            <v>3047</v>
          </cell>
          <cell r="F252">
            <v>2707</v>
          </cell>
          <cell r="G252">
            <v>2476</v>
          </cell>
          <cell r="H252">
            <v>2757</v>
          </cell>
          <cell r="I252">
            <v>2164</v>
          </cell>
          <cell r="J252">
            <v>2400</v>
          </cell>
          <cell r="K252">
            <v>2271</v>
          </cell>
          <cell r="L252">
            <v>2086</v>
          </cell>
          <cell r="M252">
            <v>2039</v>
          </cell>
          <cell r="N252">
            <v>1627.3038574793268</v>
          </cell>
          <cell r="O252">
            <v>1048.9053702561741</v>
          </cell>
          <cell r="P252">
            <v>595.48297712547947</v>
          </cell>
          <cell r="Q252">
            <v>28.323216736853283</v>
          </cell>
          <cell r="R252">
            <v>-660.54872560720014</v>
          </cell>
          <cell r="S252">
            <v>-1382.0648531191164</v>
          </cell>
          <cell r="T252">
            <v>-2127.2944605558132</v>
          </cell>
        </row>
        <row r="253">
          <cell r="A253" t="str">
            <v>Net Debt to EBITDA</v>
          </cell>
          <cell r="B253">
            <v>3.8599137931034484</v>
          </cell>
          <cell r="C253">
            <v>3.5116772823779194</v>
          </cell>
          <cell r="D253">
            <v>8.5724637681159415</v>
          </cell>
          <cell r="E253">
            <v>4.1398809523809526</v>
          </cell>
          <cell r="F253">
            <v>3.1433566433566433</v>
          </cell>
          <cell r="G253">
            <v>2.4513137557959817</v>
          </cell>
          <cell r="H253">
            <v>3.3711340206185567</v>
          </cell>
          <cell r="I253">
            <v>4.0280046674445744</v>
          </cell>
          <cell r="J253">
            <v>3.3443060498220643</v>
          </cell>
          <cell r="K253">
            <v>2.7327523602033406</v>
          </cell>
          <cell r="L253">
            <v>2.9223454833597464</v>
          </cell>
          <cell r="M253">
            <v>2.3667157584683358</v>
          </cell>
          <cell r="N253">
            <v>1.8995845533384066</v>
          </cell>
          <cell r="O253">
            <v>1.4615065219491832</v>
          </cell>
          <cell r="P253">
            <v>1.1648040217187148</v>
          </cell>
          <cell r="Q253">
            <v>0.76890987336039573</v>
          </cell>
          <cell r="R253">
            <v>0.32597663398103882</v>
          </cell>
          <cell r="S253">
            <v>-0.12597677391462886</v>
          </cell>
          <cell r="T253">
            <v>-0.57907247281819207</v>
          </cell>
        </row>
        <row r="255">
          <cell r="A255" t="str">
            <v>Equity and share repurchase</v>
          </cell>
        </row>
        <row r="257">
          <cell r="A257" t="str">
            <v>Operating Cash Flow</v>
          </cell>
          <cell r="B257">
            <v>363</v>
          </cell>
          <cell r="C257">
            <v>401</v>
          </cell>
          <cell r="D257">
            <v>-164</v>
          </cell>
          <cell r="E257">
            <v>701</v>
          </cell>
          <cell r="F257">
            <v>751</v>
          </cell>
          <cell r="G257">
            <v>566</v>
          </cell>
          <cell r="H257">
            <v>586</v>
          </cell>
          <cell r="I257">
            <v>596</v>
          </cell>
          <cell r="J257">
            <v>452</v>
          </cell>
          <cell r="K257">
            <v>458</v>
          </cell>
          <cell r="L257">
            <v>489</v>
          </cell>
          <cell r="M257">
            <v>554</v>
          </cell>
          <cell r="N257">
            <v>996.97604277867322</v>
          </cell>
          <cell r="O257">
            <v>1087.1033747255431</v>
          </cell>
          <cell r="P257">
            <v>1070.1085387870137</v>
          </cell>
          <cell r="Q257">
            <v>1149.886981380512</v>
          </cell>
          <cell r="R257">
            <v>1219.8904796643055</v>
          </cell>
          <cell r="S257">
            <v>1269.2582756083566</v>
          </cell>
          <cell r="T257">
            <v>1310.3360966045534</v>
          </cell>
        </row>
        <row r="258">
          <cell r="A258" t="str">
            <v>FCF</v>
          </cell>
          <cell r="B258">
            <v>160</v>
          </cell>
          <cell r="C258">
            <v>190</v>
          </cell>
          <cell r="D258">
            <v>-368</v>
          </cell>
          <cell r="E258">
            <v>489</v>
          </cell>
          <cell r="F258">
            <v>507</v>
          </cell>
          <cell r="G258">
            <v>278</v>
          </cell>
          <cell r="H258">
            <v>312</v>
          </cell>
          <cell r="I258">
            <v>420</v>
          </cell>
          <cell r="J258">
            <v>251</v>
          </cell>
          <cell r="K258">
            <v>109</v>
          </cell>
          <cell r="L258">
            <v>128</v>
          </cell>
          <cell r="M258">
            <v>184</v>
          </cell>
          <cell r="N258">
            <v>555.74114252067318</v>
          </cell>
          <cell r="O258">
            <v>656.29672900234038</v>
          </cell>
          <cell r="P258">
            <v>567.43937882867203</v>
          </cell>
          <cell r="Q258">
            <v>688.8222813155769</v>
          </cell>
          <cell r="R258">
            <v>816.35185831689648</v>
          </cell>
          <cell r="S258">
            <v>854.65695463873521</v>
          </cell>
          <cell r="T258">
            <v>884.20227335555342</v>
          </cell>
        </row>
        <row r="259">
          <cell r="A259" t="str">
            <v>Cash used in Share repurchase</v>
          </cell>
          <cell r="B259">
            <v>-6</v>
          </cell>
          <cell r="C259">
            <v>-15</v>
          </cell>
          <cell r="D259">
            <v>0</v>
          </cell>
          <cell r="E259">
            <v>0</v>
          </cell>
          <cell r="F259">
            <v>0</v>
          </cell>
          <cell r="G259">
            <v>-403</v>
          </cell>
          <cell r="H259">
            <v>-378</v>
          </cell>
          <cell r="I259">
            <v>0</v>
          </cell>
          <cell r="J259">
            <v>-48</v>
          </cell>
          <cell r="K259">
            <v>-31</v>
          </cell>
          <cell r="L259">
            <v>-45</v>
          </cell>
          <cell r="M259">
            <v>-164</v>
          </cell>
          <cell r="N259">
            <v>0</v>
          </cell>
          <cell r="O259">
            <v>0</v>
          </cell>
          <cell r="P259">
            <v>0</v>
          </cell>
          <cell r="Q259">
            <v>0</v>
          </cell>
          <cell r="R259">
            <v>0</v>
          </cell>
          <cell r="S259">
            <v>0</v>
          </cell>
          <cell r="T259">
            <v>0</v>
          </cell>
        </row>
        <row r="260">
          <cell r="A260" t="str">
            <v>% of FCF used for repurchase</v>
          </cell>
        </row>
        <row r="261">
          <cell r="A261" t="str">
            <v>Average Stock Repurchase Price ($)</v>
          </cell>
          <cell r="B261">
            <v>21.067563676711213</v>
          </cell>
          <cell r="C261">
            <v>20.00405415497541</v>
          </cell>
          <cell r="D261" t="str">
            <v>NM</v>
          </cell>
          <cell r="E261" t="str">
            <v>NM</v>
          </cell>
          <cell r="F261" t="str">
            <v>NM</v>
          </cell>
          <cell r="G261">
            <v>37.183982284554347</v>
          </cell>
          <cell r="H261">
            <v>38.717607292840313</v>
          </cell>
          <cell r="I261">
            <v>0</v>
          </cell>
          <cell r="J261">
            <v>34.741500000000002</v>
          </cell>
          <cell r="K261">
            <v>21.032774193548384</v>
          </cell>
          <cell r="L261">
            <v>23.549311111111113</v>
          </cell>
          <cell r="M261">
            <v>19.427926829268291</v>
          </cell>
          <cell r="N261">
            <v>28.095167881511113</v>
          </cell>
          <cell r="O261">
            <v>31.118882317400892</v>
          </cell>
          <cell r="P261">
            <v>34.466387961653524</v>
          </cell>
          <cell r="Q261">
            <v>38.172205911582665</v>
          </cell>
          <cell r="R261">
            <v>42.274523571881112</v>
          </cell>
          <cell r="S261">
            <v>46.815582705123404</v>
          </cell>
          <cell r="T261">
            <v>51.842108429295358</v>
          </cell>
        </row>
        <row r="262">
          <cell r="A262" t="str">
            <v>Theoretical Cost of equity (%)</v>
          </cell>
        </row>
        <row r="263">
          <cell r="A263" t="str">
            <v>No. Shares Repurchase</v>
          </cell>
          <cell r="B263">
            <v>-0.284798</v>
          </cell>
          <cell r="C263">
            <v>-0.74984799999999996</v>
          </cell>
          <cell r="D263">
            <v>0</v>
          </cell>
          <cell r="E263">
            <v>0</v>
          </cell>
          <cell r="F263">
            <v>0</v>
          </cell>
          <cell r="G263">
            <v>-10.837999999999999</v>
          </cell>
          <cell r="H263">
            <v>-9.7629999999999999</v>
          </cell>
          <cell r="I263">
            <v>0</v>
          </cell>
          <cell r="J263">
            <v>-1.381632917404257</v>
          </cell>
          <cell r="K263">
            <v>-1.4738902112831589</v>
          </cell>
          <cell r="L263">
            <v>-1.9108839230022296</v>
          </cell>
          <cell r="M263">
            <v>-8.4414565404340003</v>
          </cell>
          <cell r="N263">
            <v>0</v>
          </cell>
          <cell r="O263">
            <v>0</v>
          </cell>
          <cell r="P263">
            <v>0</v>
          </cell>
          <cell r="Q263">
            <v>0</v>
          </cell>
          <cell r="R263">
            <v>0</v>
          </cell>
          <cell r="S263">
            <v>0</v>
          </cell>
          <cell r="T263">
            <v>0</v>
          </cell>
        </row>
        <row r="265">
          <cell r="A265" t="str">
            <v>Share count (Series A common stock)</v>
          </cell>
        </row>
        <row r="266">
          <cell r="A266" t="str">
            <v>Opening Share Count</v>
          </cell>
          <cell r="B266">
            <v>50.334890999999999</v>
          </cell>
          <cell r="C266">
            <v>50.058475999999999</v>
          </cell>
          <cell r="D266">
            <v>49.321467999999996</v>
          </cell>
          <cell r="E266">
            <v>99.377883999999995</v>
          </cell>
          <cell r="F266">
            <v>158.56200000000001</v>
          </cell>
          <cell r="G266">
            <v>158.66850500000001</v>
          </cell>
          <cell r="H266">
            <v>152.095505</v>
          </cell>
          <cell r="I266">
            <v>143.50570500000001</v>
          </cell>
          <cell r="J266">
            <v>144.39406600000001</v>
          </cell>
          <cell r="K266">
            <v>155.67915608259577</v>
          </cell>
          <cell r="L266">
            <v>155.28704687131261</v>
          </cell>
          <cell r="M266">
            <v>154.4579439483104</v>
          </cell>
          <cell r="N266">
            <v>155.53972494831041</v>
          </cell>
          <cell r="O266">
            <v>156.62150594831041</v>
          </cell>
          <cell r="P266">
            <v>157.70328694831042</v>
          </cell>
          <cell r="Q266">
            <v>158.78506794831043</v>
          </cell>
          <cell r="R266">
            <v>159.86684894831043</v>
          </cell>
          <cell r="S266">
            <v>160.94862994831044</v>
          </cell>
          <cell r="T266">
            <v>162.03041094831045</v>
          </cell>
        </row>
        <row r="267">
          <cell r="A267" t="str">
            <v>Issued shares (mn)</v>
          </cell>
          <cell r="B267">
            <v>8.3829999999999998E-3</v>
          </cell>
          <cell r="C267">
            <v>1.2840000000000001E-2</v>
          </cell>
          <cell r="D267">
            <v>0</v>
          </cell>
          <cell r="E267">
            <v>151.06200000000001</v>
          </cell>
          <cell r="H267">
            <v>0</v>
          </cell>
          <cell r="I267">
            <v>0</v>
          </cell>
          <cell r="J267">
            <v>12.084942</v>
          </cell>
          <cell r="K267">
            <v>0</v>
          </cell>
          <cell r="L267">
            <v>0</v>
          </cell>
          <cell r="M267">
            <v>0</v>
          </cell>
          <cell r="N267">
            <v>0</v>
          </cell>
          <cell r="O267">
            <v>0</v>
          </cell>
          <cell r="P267">
            <v>0</v>
          </cell>
          <cell r="Q267">
            <v>0</v>
          </cell>
          <cell r="R267">
            <v>0</v>
          </cell>
          <cell r="S267">
            <v>0</v>
          </cell>
          <cell r="T267">
            <v>0</v>
          </cell>
        </row>
        <row r="268">
          <cell r="A268" t="str">
            <v>Stock option exercises</v>
          </cell>
          <cell r="B268">
            <v>0</v>
          </cell>
          <cell r="C268">
            <v>0</v>
          </cell>
          <cell r="D268">
            <v>0</v>
          </cell>
          <cell r="E268">
            <v>7.5</v>
          </cell>
          <cell r="F268">
            <v>0.106505</v>
          </cell>
          <cell r="G268">
            <v>4.2649999999999997</v>
          </cell>
          <cell r="H268">
            <v>1.056</v>
          </cell>
          <cell r="I268">
            <v>0.80657999999999996</v>
          </cell>
          <cell r="J268">
            <v>0.5</v>
          </cell>
          <cell r="K268">
            <v>1</v>
          </cell>
          <cell r="L268">
            <v>1</v>
          </cell>
          <cell r="M268">
            <v>1</v>
          </cell>
          <cell r="N268">
            <v>1</v>
          </cell>
          <cell r="O268">
            <v>1</v>
          </cell>
          <cell r="P268">
            <v>1</v>
          </cell>
          <cell r="Q268">
            <v>1</v>
          </cell>
          <cell r="R268">
            <v>1</v>
          </cell>
          <cell r="S268">
            <v>1</v>
          </cell>
          <cell r="T268">
            <v>1</v>
          </cell>
        </row>
        <row r="269">
          <cell r="A269" t="str">
            <v>Stock awards</v>
          </cell>
          <cell r="B269">
            <v>0</v>
          </cell>
          <cell r="C269">
            <v>0</v>
          </cell>
          <cell r="D269">
            <v>0</v>
          </cell>
          <cell r="E269">
            <v>-99.377883999999995</v>
          </cell>
          <cell r="F269">
            <v>0</v>
          </cell>
          <cell r="G269">
            <v>0</v>
          </cell>
          <cell r="H269">
            <v>0.1172</v>
          </cell>
          <cell r="I269">
            <v>8.1781000000000006E-2</v>
          </cell>
          <cell r="J269">
            <v>8.1781000000000006E-2</v>
          </cell>
          <cell r="K269">
            <v>8.1781000000000006E-2</v>
          </cell>
          <cell r="L269">
            <v>8.1781000000000006E-2</v>
          </cell>
          <cell r="M269">
            <v>8.1781000000000006E-2</v>
          </cell>
          <cell r="N269">
            <v>8.1781000000000006E-2</v>
          </cell>
          <cell r="O269">
            <v>8.1781000000000006E-2</v>
          </cell>
          <cell r="P269">
            <v>8.1781000000000006E-2</v>
          </cell>
          <cell r="Q269">
            <v>8.1781000000000006E-2</v>
          </cell>
          <cell r="R269">
            <v>8.1781000000000006E-2</v>
          </cell>
          <cell r="S269">
            <v>8.1781000000000006E-2</v>
          </cell>
          <cell r="T269">
            <v>8.1781000000000006E-2</v>
          </cell>
        </row>
        <row r="270">
          <cell r="A270" t="str">
            <v>Repurchased shares (mn)</v>
          </cell>
          <cell r="B270">
            <v>-0.284798</v>
          </cell>
          <cell r="C270">
            <v>-0.74984799999999996</v>
          </cell>
          <cell r="D270">
            <v>0</v>
          </cell>
          <cell r="E270">
            <v>0</v>
          </cell>
          <cell r="F270">
            <v>0</v>
          </cell>
          <cell r="G270">
            <v>-10.837999999999999</v>
          </cell>
          <cell r="H270">
            <v>-9.7629999999999999</v>
          </cell>
          <cell r="I270">
            <v>0</v>
          </cell>
          <cell r="J270">
            <v>-1.381632917404257</v>
          </cell>
          <cell r="K270">
            <v>-1.4738902112831589</v>
          </cell>
          <cell r="L270">
            <v>-1.9108839230022296</v>
          </cell>
          <cell r="M270">
            <v>-8.4414565404340003</v>
          </cell>
          <cell r="N270">
            <v>0</v>
          </cell>
          <cell r="O270">
            <v>0</v>
          </cell>
          <cell r="P270">
            <v>0</v>
          </cell>
          <cell r="Q270">
            <v>0</v>
          </cell>
          <cell r="R270">
            <v>0</v>
          </cell>
          <cell r="S270">
            <v>0</v>
          </cell>
          <cell r="T270">
            <v>0</v>
          </cell>
        </row>
        <row r="271">
          <cell r="A271" t="str">
            <v>Closing Share Count</v>
          </cell>
          <cell r="B271">
            <v>50.058475999999999</v>
          </cell>
          <cell r="C271">
            <v>49.321467999999996</v>
          </cell>
          <cell r="D271">
            <v>99.377883999999995</v>
          </cell>
          <cell r="E271">
            <v>158.56200000000001</v>
          </cell>
          <cell r="F271">
            <v>158.66850500000001</v>
          </cell>
          <cell r="G271">
            <v>152.095505</v>
          </cell>
          <cell r="H271">
            <v>143.50570500000001</v>
          </cell>
          <cell r="I271">
            <v>144.39406600000001</v>
          </cell>
          <cell r="J271">
            <v>155.67915608259577</v>
          </cell>
          <cell r="K271">
            <v>155.28704687131261</v>
          </cell>
          <cell r="L271">
            <v>154.4579439483104</v>
          </cell>
          <cell r="M271">
            <v>155.53972494831041</v>
          </cell>
          <cell r="N271">
            <v>156.62150594831041</v>
          </cell>
          <cell r="O271">
            <v>157.70328694831042</v>
          </cell>
          <cell r="P271">
            <v>158.78506794831043</v>
          </cell>
          <cell r="Q271">
            <v>159.86684894831043</v>
          </cell>
          <cell r="R271">
            <v>160.94862994831044</v>
          </cell>
          <cell r="S271">
            <v>162.03041094831045</v>
          </cell>
          <cell r="T271">
            <v>163.11219194831045</v>
          </cell>
          <cell r="W271" t="str">
            <v>mstag:periodEndBasicSharesOutstanding</v>
          </cell>
          <cell r="X271">
            <v>6</v>
          </cell>
          <cell r="Y271" t="str">
            <v>ms_eqr_gcim_Decimal:ms_eqr_gcim_decimal</v>
          </cell>
          <cell r="Z271" t="b">
            <v>0</v>
          </cell>
        </row>
        <row r="272">
          <cell r="A272" t="str">
            <v>Average share count</v>
          </cell>
          <cell r="B272">
            <v>50.329346000000001</v>
          </cell>
          <cell r="C272">
            <v>49.445957999999997</v>
          </cell>
          <cell r="D272">
            <v>148.699352</v>
          </cell>
          <cell r="E272">
            <v>154.40257500000001</v>
          </cell>
          <cell r="F272">
            <v>158.59742399999999</v>
          </cell>
          <cell r="G272">
            <v>154.47502</v>
          </cell>
          <cell r="H272">
            <v>148.4</v>
          </cell>
          <cell r="I272">
            <v>143.688749</v>
          </cell>
          <cell r="J272">
            <v>154.56413599999999</v>
          </cell>
          <cell r="K272">
            <v>156.20407700000001</v>
          </cell>
          <cell r="L272">
            <v>158.30000000000001</v>
          </cell>
          <cell r="M272">
            <v>159.17500000000001</v>
          </cell>
          <cell r="N272">
            <v>156.08061544831043</v>
          </cell>
          <cell r="O272">
            <v>157.1623964483104</v>
          </cell>
          <cell r="P272">
            <v>158.24417744831044</v>
          </cell>
          <cell r="Q272">
            <v>159.32595844831042</v>
          </cell>
          <cell r="R272">
            <v>160.40773944831045</v>
          </cell>
          <cell r="S272">
            <v>161.48952044831043</v>
          </cell>
          <cell r="T272">
            <v>162.57130144831046</v>
          </cell>
        </row>
        <row r="273">
          <cell r="M273" t="str">
            <v xml:space="preserve"> </v>
          </cell>
        </row>
        <row r="274">
          <cell r="A274" t="str">
            <v>Diluted Average Share Count</v>
          </cell>
          <cell r="B274">
            <v>50.329346000000001</v>
          </cell>
          <cell r="C274">
            <v>49.457144999999997</v>
          </cell>
          <cell r="D274">
            <v>149.090305</v>
          </cell>
          <cell r="E274">
            <v>166.20004800000001</v>
          </cell>
          <cell r="F274">
            <v>171.80759900000001</v>
          </cell>
          <cell r="G274">
            <v>171.22799699999999</v>
          </cell>
          <cell r="H274">
            <v>163.47187299999999</v>
          </cell>
          <cell r="I274">
            <v>157.115521</v>
          </cell>
          <cell r="J274">
            <v>158.37219200000001</v>
          </cell>
          <cell r="K274">
            <v>158.947834</v>
          </cell>
          <cell r="L274">
            <v>159.77499999999998</v>
          </cell>
          <cell r="M274">
            <v>159.67500000000001</v>
          </cell>
          <cell r="N274">
            <v>162.01304039930559</v>
          </cell>
          <cell r="O274">
            <v>163.13206059895842</v>
          </cell>
          <cell r="P274">
            <v>164.25108079861121</v>
          </cell>
          <cell r="Q274">
            <v>165.37010099826404</v>
          </cell>
          <cell r="R274">
            <v>166.48912119791686</v>
          </cell>
          <cell r="S274">
            <v>167.60814139756965</v>
          </cell>
          <cell r="T274">
            <v>168.72716159722248</v>
          </cell>
        </row>
        <row r="275">
          <cell r="A275" t="str">
            <v>Period End Diluted Share Count</v>
          </cell>
          <cell r="B275">
            <v>50.058475999999999</v>
          </cell>
          <cell r="C275">
            <v>49.332654999999995</v>
          </cell>
          <cell r="D275">
            <v>99.768836999999991</v>
          </cell>
          <cell r="E275">
            <v>170.35947300000001</v>
          </cell>
          <cell r="F275">
            <v>171.87868000000003</v>
          </cell>
          <cell r="G275">
            <v>168.84848199999999</v>
          </cell>
          <cell r="H275">
            <v>158.57757799999999</v>
          </cell>
          <cell r="I275">
            <v>157.82083800000001</v>
          </cell>
          <cell r="J275">
            <v>159.48721208259579</v>
          </cell>
          <cell r="K275">
            <v>158.0308038713126</v>
          </cell>
          <cell r="L275">
            <v>155.93294394831037</v>
          </cell>
          <cell r="M275">
            <v>155.93294394831037</v>
          </cell>
          <cell r="N275">
            <v>161.45353029947921</v>
          </cell>
          <cell r="O275">
            <v>162.57255049913201</v>
          </cell>
          <cell r="P275">
            <v>163.6915706987848</v>
          </cell>
          <cell r="Q275">
            <v>164.81059089843762</v>
          </cell>
          <cell r="R275">
            <v>165.92961109809045</v>
          </cell>
          <cell r="S275">
            <v>167.04863129774327</v>
          </cell>
          <cell r="T275">
            <v>168.16765149739606</v>
          </cell>
        </row>
        <row r="276">
          <cell r="M276" t="str">
            <v xml:space="preserve"> </v>
          </cell>
        </row>
        <row r="277">
          <cell r="A277" t="str">
            <v>Treasury stock</v>
          </cell>
        </row>
        <row r="278">
          <cell r="A278" t="str">
            <v>Treasury stock at Jan 1</v>
          </cell>
          <cell r="B278">
            <v>-113</v>
          </cell>
          <cell r="C278">
            <v>-94</v>
          </cell>
          <cell r="D278">
            <v>0</v>
          </cell>
          <cell r="E278">
            <v>0</v>
          </cell>
          <cell r="F278">
            <v>0</v>
          </cell>
          <cell r="G278">
            <v>0</v>
          </cell>
          <cell r="H278">
            <v>-403</v>
          </cell>
          <cell r="I278">
            <v>-781</v>
          </cell>
          <cell r="J278">
            <v>-781</v>
          </cell>
          <cell r="K278">
            <v>-829</v>
          </cell>
          <cell r="L278">
            <v>-860</v>
          </cell>
          <cell r="M278">
            <v>-905</v>
          </cell>
          <cell r="N278">
            <v>-1069</v>
          </cell>
          <cell r="O278">
            <v>-1069</v>
          </cell>
          <cell r="P278">
            <v>-1069</v>
          </cell>
          <cell r="Q278">
            <v>-1069</v>
          </cell>
          <cell r="R278">
            <v>-1069</v>
          </cell>
          <cell r="S278">
            <v>-1069</v>
          </cell>
          <cell r="T278">
            <v>-1069</v>
          </cell>
        </row>
        <row r="279">
          <cell r="A279" t="str">
            <v>Purchases of common stock</v>
          </cell>
          <cell r="B279">
            <v>19</v>
          </cell>
          <cell r="C279">
            <v>-15</v>
          </cell>
          <cell r="D279">
            <v>0</v>
          </cell>
          <cell r="E279">
            <v>0</v>
          </cell>
          <cell r="F279">
            <v>0</v>
          </cell>
          <cell r="G279">
            <v>-403</v>
          </cell>
          <cell r="H279">
            <v>-378</v>
          </cell>
          <cell r="I279">
            <v>0</v>
          </cell>
          <cell r="J279">
            <v>-48</v>
          </cell>
          <cell r="K279">
            <v>-31</v>
          </cell>
          <cell r="L279">
            <v>-45</v>
          </cell>
          <cell r="M279">
            <v>-164</v>
          </cell>
          <cell r="N279">
            <v>0</v>
          </cell>
          <cell r="O279">
            <v>0</v>
          </cell>
          <cell r="P279">
            <v>0</v>
          </cell>
          <cell r="Q279">
            <v>0</v>
          </cell>
          <cell r="R279">
            <v>0</v>
          </cell>
          <cell r="S279">
            <v>0</v>
          </cell>
          <cell r="T279">
            <v>0</v>
          </cell>
        </row>
        <row r="280">
          <cell r="A280" t="str">
            <v>Treasury stock at Dec 31</v>
          </cell>
          <cell r="B280">
            <v>-94</v>
          </cell>
          <cell r="C280">
            <v>-109</v>
          </cell>
          <cell r="D280">
            <v>0</v>
          </cell>
          <cell r="E280">
            <v>0</v>
          </cell>
          <cell r="F280">
            <v>0</v>
          </cell>
          <cell r="G280">
            <v>-403</v>
          </cell>
          <cell r="H280">
            <v>-781</v>
          </cell>
          <cell r="I280">
            <v>-781</v>
          </cell>
          <cell r="J280">
            <v>-829</v>
          </cell>
          <cell r="K280">
            <v>-860</v>
          </cell>
          <cell r="L280">
            <v>-905</v>
          </cell>
          <cell r="M280">
            <v>-1069</v>
          </cell>
          <cell r="N280">
            <v>-1069</v>
          </cell>
          <cell r="O280">
            <v>-1069</v>
          </cell>
          <cell r="P280">
            <v>-1069</v>
          </cell>
          <cell r="Q280">
            <v>-1069</v>
          </cell>
          <cell r="R280">
            <v>-1069</v>
          </cell>
          <cell r="S280">
            <v>-1069</v>
          </cell>
          <cell r="T280">
            <v>-1069</v>
          </cell>
        </row>
        <row r="282">
          <cell r="A282" t="str">
            <v>Retained earnings</v>
          </cell>
        </row>
        <row r="283">
          <cell r="A283" t="str">
            <v>Balance BOP</v>
          </cell>
          <cell r="B283">
            <v>-266</v>
          </cell>
          <cell r="C283">
            <v>-98</v>
          </cell>
          <cell r="D283">
            <v>0</v>
          </cell>
          <cell r="E283">
            <v>-253</v>
          </cell>
          <cell r="F283">
            <v>24</v>
          </cell>
          <cell r="G283">
            <v>394</v>
          </cell>
          <cell r="H283">
            <v>799</v>
          </cell>
          <cell r="I283">
            <v>1040</v>
          </cell>
          <cell r="J283">
            <v>1505</v>
          </cell>
          <cell r="K283">
            <v>1851</v>
          </cell>
          <cell r="L283">
            <v>2244</v>
          </cell>
          <cell r="M283">
            <v>2573</v>
          </cell>
          <cell r="N283">
            <v>3383</v>
          </cell>
          <cell r="O283">
            <v>4164.9289739910964</v>
          </cell>
          <cell r="P283">
            <v>4985.2882090723087</v>
          </cell>
          <cell r="Q283">
            <v>5798.448549116114</v>
          </cell>
          <cell r="R283">
            <v>6659.2556175206701</v>
          </cell>
          <cell r="S283">
            <v>7553.8128439748571</v>
          </cell>
          <cell r="T283">
            <v>8480.5657215775791</v>
          </cell>
        </row>
        <row r="284">
          <cell r="A284" t="str">
            <v>Net Income</v>
          </cell>
          <cell r="B284">
            <v>168</v>
          </cell>
          <cell r="C284">
            <v>148</v>
          </cell>
          <cell r="D284">
            <v>-253</v>
          </cell>
          <cell r="E284">
            <v>277</v>
          </cell>
          <cell r="F284">
            <v>406</v>
          </cell>
          <cell r="G284">
            <v>426</v>
          </cell>
          <cell r="H284">
            <v>282</v>
          </cell>
          <cell r="I284">
            <v>498</v>
          </cell>
          <cell r="J284">
            <v>377</v>
          </cell>
          <cell r="K284">
            <v>427</v>
          </cell>
          <cell r="L284">
            <v>372</v>
          </cell>
          <cell r="M284">
            <v>893</v>
          </cell>
          <cell r="N284">
            <v>781.92897399109665</v>
          </cell>
          <cell r="O284">
            <v>820.35923508121209</v>
          </cell>
          <cell r="P284">
            <v>813.16034004380481</v>
          </cell>
          <cell r="Q284">
            <v>860.80706840455571</v>
          </cell>
          <cell r="R284">
            <v>894.55722645418723</v>
          </cell>
          <cell r="S284">
            <v>926.75287760272226</v>
          </cell>
          <cell r="T284">
            <v>960.01231671095672</v>
          </cell>
        </row>
        <row r="285">
          <cell r="A285" t="str">
            <v>Series A common stock dividends</v>
          </cell>
          <cell r="B285">
            <v>0</v>
          </cell>
          <cell r="C285">
            <v>0</v>
          </cell>
          <cell r="D285">
            <v>0</v>
          </cell>
          <cell r="E285">
            <v>0</v>
          </cell>
          <cell r="F285">
            <v>-26</v>
          </cell>
          <cell r="G285">
            <v>-25</v>
          </cell>
          <cell r="H285">
            <v>-24</v>
          </cell>
          <cell r="I285">
            <v>-23</v>
          </cell>
          <cell r="J285">
            <v>-28</v>
          </cell>
          <cell r="K285">
            <v>-34</v>
          </cell>
          <cell r="L285">
            <v>-43</v>
          </cell>
          <cell r="M285">
            <v>-83</v>
          </cell>
          <cell r="N285">
            <v>-144.04500000000002</v>
          </cell>
          <cell r="O285">
            <v>-116.08418018389418</v>
          </cell>
          <cell r="P285">
            <v>-116.0217702953594</v>
          </cell>
          <cell r="Q285">
            <v>-123.63558637581285</v>
          </cell>
          <cell r="R285">
            <v>-129.32595777210517</v>
          </cell>
          <cell r="S285">
            <v>-134.85532369178878</v>
          </cell>
          <cell r="T285">
            <v>-140.61068457292657</v>
          </cell>
        </row>
        <row r="286">
          <cell r="A286" t="str">
            <v>Preferred stock dividends</v>
          </cell>
          <cell r="B286">
            <v>0</v>
          </cell>
          <cell r="C286">
            <v>-25</v>
          </cell>
          <cell r="D286">
            <v>0</v>
          </cell>
          <cell r="E286">
            <v>0</v>
          </cell>
          <cell r="F286">
            <v>-10</v>
          </cell>
          <cell r="G286">
            <v>-10</v>
          </cell>
          <cell r="H286">
            <v>-10</v>
          </cell>
          <cell r="I286">
            <v>-10</v>
          </cell>
          <cell r="J286">
            <v>-3</v>
          </cell>
          <cell r="K286">
            <v>0</v>
          </cell>
          <cell r="L286">
            <v>0</v>
          </cell>
          <cell r="M286">
            <v>0</v>
          </cell>
          <cell r="N286">
            <v>0</v>
          </cell>
          <cell r="O286">
            <v>0</v>
          </cell>
          <cell r="P286">
            <v>0</v>
          </cell>
          <cell r="Q286">
            <v>0</v>
          </cell>
          <cell r="R286">
            <v>0</v>
          </cell>
          <cell r="S286">
            <v>0</v>
          </cell>
          <cell r="T286">
            <v>0</v>
          </cell>
        </row>
        <row r="287">
          <cell r="A287" t="str">
            <v>Other</v>
          </cell>
          <cell r="B287">
            <v>0</v>
          </cell>
          <cell r="C287">
            <v>0</v>
          </cell>
          <cell r="D287">
            <v>0</v>
          </cell>
          <cell r="E287">
            <v>0</v>
          </cell>
          <cell r="F287">
            <v>0</v>
          </cell>
          <cell r="G287">
            <v>14</v>
          </cell>
          <cell r="H287">
            <v>0</v>
          </cell>
          <cell r="J287">
            <v>0</v>
          </cell>
          <cell r="K287">
            <v>0</v>
          </cell>
          <cell r="L287">
            <v>0</v>
          </cell>
          <cell r="M287">
            <v>0</v>
          </cell>
          <cell r="N287">
            <v>0</v>
          </cell>
          <cell r="O287">
            <v>0</v>
          </cell>
          <cell r="P287">
            <v>0</v>
          </cell>
          <cell r="Q287">
            <v>0</v>
          </cell>
          <cell r="R287">
            <v>0</v>
          </cell>
          <cell r="S287">
            <v>0</v>
          </cell>
          <cell r="T287">
            <v>0</v>
          </cell>
        </row>
        <row r="288">
          <cell r="A288" t="str">
            <v>Retained Earnings at Dec 31</v>
          </cell>
          <cell r="B288">
            <v>-98</v>
          </cell>
          <cell r="C288">
            <v>25</v>
          </cell>
          <cell r="D288">
            <v>-253</v>
          </cell>
          <cell r="E288">
            <v>24</v>
          </cell>
          <cell r="F288">
            <v>394</v>
          </cell>
          <cell r="G288">
            <v>799</v>
          </cell>
          <cell r="H288">
            <v>1047</v>
          </cell>
          <cell r="I288">
            <v>1505</v>
          </cell>
          <cell r="J288">
            <v>1851</v>
          </cell>
          <cell r="K288">
            <v>2244</v>
          </cell>
          <cell r="L288">
            <v>2573</v>
          </cell>
          <cell r="M288">
            <v>3383</v>
          </cell>
          <cell r="N288">
            <v>4164.9289739910964</v>
          </cell>
          <cell r="O288">
            <v>4985.2882090723087</v>
          </cell>
          <cell r="P288">
            <v>5798.448549116114</v>
          </cell>
          <cell r="Q288">
            <v>6659.2556175206701</v>
          </cell>
          <cell r="R288">
            <v>7553.8128439748571</v>
          </cell>
          <cell r="S288">
            <v>8480.5657215775791</v>
          </cell>
          <cell r="T288">
            <v>9440.578038288535</v>
          </cell>
        </row>
        <row r="289">
          <cell r="M289" t="str">
            <v xml:space="preserve"> </v>
          </cell>
        </row>
        <row r="290">
          <cell r="A290" t="str">
            <v>Accumulated other comprehensive income/ (loss)</v>
          </cell>
        </row>
        <row r="291">
          <cell r="A291" t="str">
            <v>Balance BOP</v>
          </cell>
          <cell r="B291">
            <v>-497</v>
          </cell>
          <cell r="C291">
            <v>-527</v>
          </cell>
          <cell r="D291">
            <v>0</v>
          </cell>
          <cell r="E291">
            <v>-17</v>
          </cell>
          <cell r="F291">
            <v>-126</v>
          </cell>
          <cell r="G291">
            <v>31</v>
          </cell>
          <cell r="H291">
            <v>196</v>
          </cell>
          <cell r="I291">
            <v>-580</v>
          </cell>
          <cell r="J291">
            <v>-660</v>
          </cell>
          <cell r="K291">
            <v>-670</v>
          </cell>
          <cell r="L291">
            <v>-850</v>
          </cell>
        </row>
        <row r="292">
          <cell r="A292" t="str">
            <v>Unrealized gain (loss) on securities</v>
          </cell>
          <cell r="B292">
            <v>3</v>
          </cell>
          <cell r="C292">
            <v>4</v>
          </cell>
          <cell r="D292">
            <v>-7</v>
          </cell>
          <cell r="E292">
            <v>3</v>
          </cell>
          <cell r="F292">
            <v>13</v>
          </cell>
          <cell r="G292">
            <v>17</v>
          </cell>
          <cell r="H292">
            <v>-23</v>
          </cell>
          <cell r="I292">
            <v>-3</v>
          </cell>
          <cell r="J292">
            <v>-1</v>
          </cell>
          <cell r="K292">
            <v>0</v>
          </cell>
          <cell r="L292">
            <v>0</v>
          </cell>
        </row>
        <row r="293">
          <cell r="A293" t="str">
            <v>FX Translation</v>
          </cell>
          <cell r="B293">
            <v>192</v>
          </cell>
          <cell r="C293">
            <v>307</v>
          </cell>
          <cell r="D293">
            <v>7</v>
          </cell>
          <cell r="E293">
            <v>5</v>
          </cell>
          <cell r="F293">
            <v>5</v>
          </cell>
          <cell r="G293">
            <v>70</v>
          </cell>
          <cell r="H293">
            <v>-130</v>
          </cell>
          <cell r="I293">
            <v>5</v>
          </cell>
          <cell r="J293">
            <v>37</v>
          </cell>
          <cell r="K293">
            <v>-27</v>
          </cell>
          <cell r="L293">
            <v>5</v>
          </cell>
        </row>
        <row r="294">
          <cell r="A294" t="str">
            <v>Unrealized gain (loss) on interest rate swaps</v>
          </cell>
          <cell r="B294">
            <v>-5</v>
          </cell>
          <cell r="C294">
            <v>6</v>
          </cell>
          <cell r="D294">
            <v>2</v>
          </cell>
          <cell r="E294">
            <v>0</v>
          </cell>
          <cell r="F294">
            <v>2</v>
          </cell>
          <cell r="G294">
            <v>-41</v>
          </cell>
          <cell r="H294">
            <v>-79</v>
          </cell>
          <cell r="I294">
            <v>15</v>
          </cell>
          <cell r="J294">
            <v>17</v>
          </cell>
          <cell r="K294">
            <v>27</v>
          </cell>
          <cell r="L294">
            <v>7</v>
          </cell>
        </row>
        <row r="295">
          <cell r="A295" t="str">
            <v>Pension and postretirement benefits</v>
          </cell>
          <cell r="B295">
            <v>-220</v>
          </cell>
          <cell r="C295">
            <v>12</v>
          </cell>
          <cell r="D295">
            <v>-19</v>
          </cell>
          <cell r="E295">
            <v>-117</v>
          </cell>
          <cell r="F295">
            <v>269</v>
          </cell>
          <cell r="G295">
            <v>120</v>
          </cell>
          <cell r="H295">
            <v>-544</v>
          </cell>
          <cell r="I295">
            <v>-97</v>
          </cell>
          <cell r="J295">
            <v>-63</v>
          </cell>
          <cell r="K295">
            <v>-180</v>
          </cell>
          <cell r="L295">
            <v>-244</v>
          </cell>
        </row>
        <row r="296">
          <cell r="A296" t="str">
            <v>Others</v>
          </cell>
          <cell r="B296">
            <v>0</v>
          </cell>
          <cell r="C296">
            <v>0</v>
          </cell>
          <cell r="E296">
            <v>0</v>
          </cell>
          <cell r="F296">
            <v>-132</v>
          </cell>
          <cell r="G296">
            <v>0</v>
          </cell>
          <cell r="H296">
            <v>0</v>
          </cell>
          <cell r="I296">
            <v>0</v>
          </cell>
          <cell r="J296">
            <v>0</v>
          </cell>
          <cell r="K296">
            <v>0</v>
          </cell>
          <cell r="L296">
            <v>0</v>
          </cell>
        </row>
        <row r="297">
          <cell r="A297" t="str">
            <v>Balance EOP</v>
          </cell>
          <cell r="B297">
            <v>-527</v>
          </cell>
          <cell r="C297">
            <v>-198</v>
          </cell>
          <cell r="D297">
            <v>-17</v>
          </cell>
          <cell r="E297">
            <v>-126</v>
          </cell>
          <cell r="F297">
            <v>31</v>
          </cell>
          <cell r="G297">
            <v>197</v>
          </cell>
          <cell r="H297">
            <v>-580</v>
          </cell>
          <cell r="I297">
            <v>-660</v>
          </cell>
          <cell r="J297">
            <v>-670</v>
          </cell>
          <cell r="K297">
            <v>-850</v>
          </cell>
          <cell r="L297">
            <v>-1082</v>
          </cell>
        </row>
        <row r="299">
          <cell r="A299" t="str">
            <v>Additional paid-in capital</v>
          </cell>
        </row>
        <row r="300">
          <cell r="A300" t="str">
            <v>Balance BOP</v>
          </cell>
          <cell r="B300">
            <v>2677</v>
          </cell>
          <cell r="C300">
            <v>2665</v>
          </cell>
          <cell r="D300">
            <v>641</v>
          </cell>
          <cell r="E300">
            <v>158</v>
          </cell>
          <cell r="F300">
            <v>337</v>
          </cell>
          <cell r="G300">
            <v>362</v>
          </cell>
          <cell r="H300">
            <v>469</v>
          </cell>
          <cell r="I300">
            <v>495</v>
          </cell>
          <cell r="J300">
            <v>522</v>
          </cell>
          <cell r="K300">
            <v>574</v>
          </cell>
          <cell r="L300">
            <v>627</v>
          </cell>
        </row>
        <row r="301">
          <cell r="A301" t="str">
            <v>Indemnification of demerger liability</v>
          </cell>
          <cell r="B301">
            <v>7</v>
          </cell>
          <cell r="C301">
            <v>44</v>
          </cell>
          <cell r="D301">
            <v>3</v>
          </cell>
          <cell r="E301">
            <v>5</v>
          </cell>
          <cell r="F301">
            <v>3</v>
          </cell>
          <cell r="G301">
            <v>4</v>
          </cell>
          <cell r="H301">
            <v>2</v>
          </cell>
          <cell r="I301">
            <v>0</v>
          </cell>
          <cell r="J301">
            <v>0</v>
          </cell>
          <cell r="K301">
            <v>0</v>
          </cell>
          <cell r="L301">
            <v>0</v>
          </cell>
        </row>
        <row r="302">
          <cell r="A302" t="str">
            <v>Stock-based compensation</v>
          </cell>
          <cell r="B302">
            <v>3</v>
          </cell>
          <cell r="C302">
            <v>5</v>
          </cell>
          <cell r="E302">
            <v>2</v>
          </cell>
          <cell r="F302">
            <v>20</v>
          </cell>
          <cell r="G302">
            <v>15</v>
          </cell>
          <cell r="H302">
            <v>15</v>
          </cell>
          <cell r="I302">
            <v>13</v>
          </cell>
          <cell r="J302">
            <v>19</v>
          </cell>
          <cell r="K302">
            <v>17</v>
          </cell>
          <cell r="L302">
            <v>12</v>
          </cell>
        </row>
        <row r="303">
          <cell r="A303" t="str">
            <v>Stock option exercises</v>
          </cell>
          <cell r="B303">
            <v>-22</v>
          </cell>
          <cell r="C303">
            <v>0</v>
          </cell>
          <cell r="E303">
            <v>172</v>
          </cell>
          <cell r="F303">
            <v>2</v>
          </cell>
          <cell r="G303">
            <v>88</v>
          </cell>
          <cell r="H303">
            <v>10</v>
          </cell>
          <cell r="I303">
            <v>14</v>
          </cell>
          <cell r="J303">
            <v>33</v>
          </cell>
          <cell r="K303">
            <v>36</v>
          </cell>
          <cell r="L303">
            <v>92</v>
          </cell>
        </row>
        <row r="304">
          <cell r="A304" t="str">
            <v>Restricted stock unit withholding</v>
          </cell>
          <cell r="B304">
            <v>0</v>
          </cell>
          <cell r="C304">
            <v>0</v>
          </cell>
          <cell r="D304">
            <v>-486</v>
          </cell>
          <cell r="E304">
            <v>0</v>
          </cell>
          <cell r="F304">
            <v>0</v>
          </cell>
          <cell r="G304">
            <v>0</v>
          </cell>
          <cell r="H304">
            <v>-1</v>
          </cell>
          <cell r="I304">
            <v>0</v>
          </cell>
          <cell r="J304">
            <v>0</v>
          </cell>
          <cell r="K304">
            <v>0</v>
          </cell>
        </row>
        <row r="305">
          <cell r="A305" t="str">
            <v>Balance EOP</v>
          </cell>
          <cell r="B305">
            <v>2665</v>
          </cell>
          <cell r="C305">
            <v>2714</v>
          </cell>
          <cell r="D305">
            <v>158</v>
          </cell>
          <cell r="E305">
            <v>337</v>
          </cell>
          <cell r="F305">
            <v>362</v>
          </cell>
          <cell r="G305">
            <v>469</v>
          </cell>
          <cell r="H305">
            <v>495</v>
          </cell>
          <cell r="I305">
            <v>522</v>
          </cell>
          <cell r="J305">
            <v>574</v>
          </cell>
          <cell r="K305">
            <v>627</v>
          </cell>
          <cell r="L305">
            <v>731</v>
          </cell>
        </row>
        <row r="309">
          <cell r="A309" t="str">
            <v>Modelware Changes requirements</v>
          </cell>
        </row>
        <row r="310">
          <cell r="A310" t="str">
            <v>Unrecorded goodwill</v>
          </cell>
          <cell r="B310" t="str">
            <v>ND</v>
          </cell>
          <cell r="C310" t="str">
            <v>ND</v>
          </cell>
          <cell r="D310" t="str">
            <v>ND</v>
          </cell>
          <cell r="E310" t="str">
            <v>ND</v>
          </cell>
          <cell r="F310" t="str">
            <v>ND</v>
          </cell>
          <cell r="G310" t="str">
            <v>ND</v>
          </cell>
          <cell r="H310" t="str">
            <v>ND</v>
          </cell>
          <cell r="I310" t="str">
            <v>ND</v>
          </cell>
          <cell r="J310" t="str">
            <v>ND</v>
          </cell>
          <cell r="K310" t="str">
            <v>ND</v>
          </cell>
          <cell r="L310" t="str">
            <v>ND</v>
          </cell>
          <cell r="M310" t="str">
            <v>ND</v>
          </cell>
          <cell r="N310" t="str">
            <v>ND</v>
          </cell>
          <cell r="O310" t="str">
            <v>ND</v>
          </cell>
          <cell r="P310" t="str">
            <v>ND</v>
          </cell>
          <cell r="Q310" t="str">
            <v>ND</v>
          </cell>
          <cell r="R310" t="str">
            <v>ND</v>
          </cell>
          <cell r="S310" t="str">
            <v>ND</v>
          </cell>
          <cell r="T310" t="str">
            <v>ND</v>
          </cell>
          <cell r="W310" t="str">
            <v>mstag:unrecordedGoodwillFromPoolingAndAmortizedOrWrittenOffGoodwill</v>
          </cell>
          <cell r="X310">
            <v>6</v>
          </cell>
          <cell r="Y310" t="str">
            <v>ISO4217:USD</v>
          </cell>
          <cell r="Z310" t="b">
            <v>0</v>
          </cell>
        </row>
        <row r="311">
          <cell r="A311" t="str">
            <v>Statutory Tax Rate</v>
          </cell>
          <cell r="B311">
            <v>0.28888888888888886</v>
          </cell>
          <cell r="C311">
            <v>0.22674418604651161</v>
          </cell>
          <cell r="D311">
            <v>0.83185840707964598</v>
          </cell>
          <cell r="E311">
            <v>0.28342245989304815</v>
          </cell>
          <cell r="F311">
            <v>0.26375404530744334</v>
          </cell>
          <cell r="G311">
            <v>0.27969348659003829</v>
          </cell>
          <cell r="H311">
            <v>0.25785123966942147</v>
          </cell>
          <cell r="I311">
            <v>0.24728260869565216</v>
          </cell>
          <cell r="J311">
            <v>0.19880418535127056</v>
          </cell>
          <cell r="K311">
            <v>0.18057142857142858</v>
          </cell>
          <cell r="L311">
            <v>0.16964285714285715</v>
          </cell>
          <cell r="M311">
            <v>0.18961625282167044</v>
          </cell>
          <cell r="N311">
            <v>0.20977107189759064</v>
          </cell>
          <cell r="O311">
            <v>0.222</v>
          </cell>
          <cell r="P311">
            <v>0.22</v>
          </cell>
          <cell r="Q311">
            <v>0.21</v>
          </cell>
          <cell r="R311">
            <v>0.2</v>
          </cell>
          <cell r="S311">
            <v>0.19033</v>
          </cell>
          <cell r="T311">
            <v>0.18990000000000001</v>
          </cell>
          <cell r="W311" t="str">
            <v>mstag:statutoryTaxRate</v>
          </cell>
          <cell r="X311">
            <v>0</v>
          </cell>
          <cell r="Y311" t="str">
            <v>ms_eqr_gcim_Decimal:ms_eqr_gcim_decimal</v>
          </cell>
          <cell r="Z311" t="b">
            <v>0</v>
          </cell>
        </row>
        <row r="313">
          <cell r="A313" t="str">
            <v>Change in Shareholders' Equity</v>
          </cell>
        </row>
        <row r="314">
          <cell r="A314" t="str">
            <v>Shareholders' Equity (BOP)</v>
          </cell>
          <cell r="C314">
            <v>2096</v>
          </cell>
          <cell r="D314">
            <v>2582</v>
          </cell>
          <cell r="E314">
            <v>-112</v>
          </cell>
          <cell r="F314">
            <v>235</v>
          </cell>
          <cell r="G314">
            <v>787</v>
          </cell>
          <cell r="H314">
            <v>1062</v>
          </cell>
          <cell r="I314">
            <v>182</v>
          </cell>
          <cell r="J314">
            <v>586</v>
          </cell>
          <cell r="K314">
            <v>926</v>
          </cell>
          <cell r="L314">
            <v>1341</v>
          </cell>
          <cell r="M314">
            <v>1730</v>
          </cell>
          <cell r="N314">
            <v>2699</v>
          </cell>
          <cell r="O314">
            <v>3336.8839739910964</v>
          </cell>
          <cell r="P314">
            <v>4081.0943521671365</v>
          </cell>
          <cell r="Q314">
            <v>4780.263708816582</v>
          </cell>
          <cell r="R314">
            <v>5519.4172199256254</v>
          </cell>
          <cell r="S314">
            <v>6286.5041260557073</v>
          </cell>
          <cell r="T314">
            <v>7080.1264358024446</v>
          </cell>
        </row>
        <row r="315">
          <cell r="A315" t="str">
            <v>Net Income Reported</v>
          </cell>
          <cell r="C315">
            <v>148</v>
          </cell>
          <cell r="D315">
            <v>-175</v>
          </cell>
          <cell r="E315">
            <v>267</v>
          </cell>
          <cell r="F315">
            <v>396</v>
          </cell>
          <cell r="G315">
            <v>416</v>
          </cell>
          <cell r="H315">
            <v>272</v>
          </cell>
          <cell r="I315">
            <v>488</v>
          </cell>
          <cell r="J315">
            <v>374</v>
          </cell>
          <cell r="K315">
            <v>427</v>
          </cell>
          <cell r="L315">
            <v>372</v>
          </cell>
          <cell r="M315">
            <v>893</v>
          </cell>
          <cell r="N315">
            <v>781.92897399109665</v>
          </cell>
          <cell r="O315">
            <v>820.35923508121209</v>
          </cell>
          <cell r="P315">
            <v>813.16034004380481</v>
          </cell>
          <cell r="Q315">
            <v>860.80706840455571</v>
          </cell>
          <cell r="R315">
            <v>894.55722645418723</v>
          </cell>
          <cell r="S315">
            <v>926.75287760272226</v>
          </cell>
          <cell r="T315">
            <v>960.01231671095672</v>
          </cell>
        </row>
        <row r="316">
          <cell r="A316" t="str">
            <v>Dividends</v>
          </cell>
          <cell r="C316">
            <v>0</v>
          </cell>
          <cell r="D316">
            <v>0</v>
          </cell>
          <cell r="E316">
            <v>0</v>
          </cell>
          <cell r="F316">
            <v>0</v>
          </cell>
          <cell r="G316">
            <v>-26</v>
          </cell>
          <cell r="H316">
            <v>-25</v>
          </cell>
          <cell r="I316">
            <v>-24</v>
          </cell>
          <cell r="J316">
            <v>-23</v>
          </cell>
          <cell r="K316">
            <v>-28</v>
          </cell>
          <cell r="L316">
            <v>-34</v>
          </cell>
          <cell r="M316">
            <v>-43</v>
          </cell>
          <cell r="N316">
            <v>-83</v>
          </cell>
          <cell r="O316">
            <v>-144.04500000000002</v>
          </cell>
          <cell r="P316">
            <v>-116.08418018389418</v>
          </cell>
          <cell r="Q316">
            <v>-116.0217702953594</v>
          </cell>
          <cell r="R316">
            <v>-123.63558637581285</v>
          </cell>
          <cell r="S316">
            <v>-129.32595777210517</v>
          </cell>
          <cell r="T316">
            <v>-134.85532369178878</v>
          </cell>
          <cell r="W316" t="str">
            <v>mstag:commonDividends</v>
          </cell>
          <cell r="X316">
            <v>6</v>
          </cell>
          <cell r="Y316" t="str">
            <v>ISO4217:USD</v>
          </cell>
          <cell r="Z316" t="b">
            <v>1</v>
          </cell>
        </row>
        <row r="317">
          <cell r="A317" t="str">
            <v>Change in Share Capital</v>
          </cell>
          <cell r="C317">
            <v>34</v>
          </cell>
          <cell r="D317">
            <v>-2597</v>
          </cell>
          <cell r="E317">
            <v>179</v>
          </cell>
          <cell r="F317">
            <v>25</v>
          </cell>
          <cell r="G317">
            <v>-296</v>
          </cell>
          <cell r="H317">
            <v>-352</v>
          </cell>
          <cell r="I317">
            <v>27</v>
          </cell>
          <cell r="J317">
            <v>4</v>
          </cell>
          <cell r="K317">
            <v>22</v>
          </cell>
          <cell r="L317">
            <v>59</v>
          </cell>
          <cell r="M317">
            <v>-134</v>
          </cell>
          <cell r="N317">
            <v>0</v>
          </cell>
          <cell r="O317">
            <v>0</v>
          </cell>
          <cell r="P317">
            <v>0</v>
          </cell>
          <cell r="Q317">
            <v>0</v>
          </cell>
          <cell r="R317">
            <v>0</v>
          </cell>
          <cell r="S317">
            <v>0</v>
          </cell>
          <cell r="T317">
            <v>0</v>
          </cell>
          <cell r="W317" t="str">
            <v>mstag:netIssuanceRepurchaseOfCommonStock</v>
          </cell>
          <cell r="X317">
            <v>6</v>
          </cell>
          <cell r="Y317" t="str">
            <v>ISO4217:USD</v>
          </cell>
          <cell r="Z317" t="b">
            <v>0</v>
          </cell>
        </row>
        <row r="318">
          <cell r="A318" t="str">
            <v>Change in AOCI</v>
          </cell>
          <cell r="C318">
            <v>329</v>
          </cell>
          <cell r="D318">
            <v>181</v>
          </cell>
          <cell r="E318">
            <v>-109</v>
          </cell>
          <cell r="F318">
            <v>157</v>
          </cell>
          <cell r="G318">
            <v>166</v>
          </cell>
          <cell r="H318">
            <v>-776</v>
          </cell>
          <cell r="I318">
            <v>-81</v>
          </cell>
          <cell r="J318">
            <v>-10</v>
          </cell>
          <cell r="K318">
            <v>-180</v>
          </cell>
          <cell r="L318">
            <v>-232</v>
          </cell>
          <cell r="M318">
            <v>1078</v>
          </cell>
          <cell r="N318">
            <v>0</v>
          </cell>
          <cell r="O318">
            <v>0</v>
          </cell>
          <cell r="P318">
            <v>0</v>
          </cell>
          <cell r="Q318">
            <v>0</v>
          </cell>
          <cell r="R318">
            <v>0</v>
          </cell>
          <cell r="S318">
            <v>0</v>
          </cell>
          <cell r="T318">
            <v>0</v>
          </cell>
          <cell r="W318" t="str">
            <v>mstag:changeInAccumulatedOtherComprehensiveIncomeLossOrOtherReserves</v>
          </cell>
          <cell r="X318">
            <v>6</v>
          </cell>
          <cell r="Y318" t="str">
            <v>ISO4217:USD</v>
          </cell>
          <cell r="Z318" t="b">
            <v>0</v>
          </cell>
        </row>
        <row r="319">
          <cell r="A319" t="str">
            <v>Other changes</v>
          </cell>
          <cell r="C319">
            <v>-25</v>
          </cell>
          <cell r="D319">
            <v>-103</v>
          </cell>
          <cell r="E319">
            <v>10</v>
          </cell>
          <cell r="F319">
            <v>-26</v>
          </cell>
          <cell r="G319">
            <v>15</v>
          </cell>
          <cell r="H319">
            <v>1</v>
          </cell>
          <cell r="I319">
            <v>-6</v>
          </cell>
          <cell r="J319">
            <v>-5</v>
          </cell>
          <cell r="K319">
            <v>174</v>
          </cell>
          <cell r="L319">
            <v>224</v>
          </cell>
          <cell r="M319">
            <v>-825</v>
          </cell>
          <cell r="N319">
            <v>-61.045000000000073</v>
          </cell>
          <cell r="O319">
            <v>-4.4841801838938409</v>
          </cell>
          <cell r="P319">
            <v>6.2409888534602942E-2</v>
          </cell>
          <cell r="Q319">
            <v>-7.6138160804530344</v>
          </cell>
          <cell r="R319">
            <v>-5.6903713962929032</v>
          </cell>
          <cell r="S319">
            <v>-5.5293659196831868</v>
          </cell>
          <cell r="T319">
            <v>-5.7553608811376762</v>
          </cell>
          <cell r="W319" t="str">
            <v>mstag:changeInAccumulatedOtherComprehensiveIncomeLossOrOtherReserves</v>
          </cell>
          <cell r="X319">
            <v>6</v>
          </cell>
          <cell r="Y319" t="str">
            <v>ISO4217:USD</v>
          </cell>
          <cell r="Z319" t="b">
            <v>0</v>
          </cell>
        </row>
        <row r="320">
          <cell r="A320" t="str">
            <v>Total Change in Shareholders' Equity</v>
          </cell>
          <cell r="B320">
            <v>2096</v>
          </cell>
          <cell r="C320">
            <v>2582</v>
          </cell>
          <cell r="D320">
            <v>-112</v>
          </cell>
          <cell r="E320">
            <v>235</v>
          </cell>
          <cell r="F320">
            <v>787</v>
          </cell>
          <cell r="G320">
            <v>1062</v>
          </cell>
          <cell r="H320">
            <v>182</v>
          </cell>
          <cell r="I320">
            <v>586</v>
          </cell>
          <cell r="J320">
            <v>926</v>
          </cell>
          <cell r="K320">
            <v>1341</v>
          </cell>
          <cell r="L320">
            <v>1730</v>
          </cell>
          <cell r="M320">
            <v>2699</v>
          </cell>
          <cell r="N320">
            <v>3336.8839739910964</v>
          </cell>
          <cell r="O320">
            <v>4081.0943521671365</v>
          </cell>
          <cell r="P320">
            <v>4780.263708816582</v>
          </cell>
          <cell r="Q320">
            <v>5519.4172199256254</v>
          </cell>
          <cell r="R320">
            <v>6286.5041260557073</v>
          </cell>
          <cell r="S320">
            <v>7080.1264358024446</v>
          </cell>
          <cell r="T320">
            <v>7901.1770432352423</v>
          </cell>
        </row>
        <row r="321">
          <cell r="A321" t="str">
            <v>Check</v>
          </cell>
          <cell r="B321">
            <v>0</v>
          </cell>
          <cell r="C321">
            <v>0</v>
          </cell>
          <cell r="D321">
            <v>0</v>
          </cell>
          <cell r="E321">
            <v>0</v>
          </cell>
          <cell r="F321">
            <v>0</v>
          </cell>
          <cell r="G321">
            <v>0</v>
          </cell>
          <cell r="H321">
            <v>0</v>
          </cell>
          <cell r="I321">
            <v>0</v>
          </cell>
          <cell r="J321">
            <v>0</v>
          </cell>
          <cell r="K321">
            <v>0</v>
          </cell>
          <cell r="L321">
            <v>0</v>
          </cell>
          <cell r="M321">
            <v>0</v>
          </cell>
          <cell r="N321">
            <v>0</v>
          </cell>
          <cell r="O321">
            <v>0</v>
          </cell>
          <cell r="P321">
            <v>0</v>
          </cell>
          <cell r="Q321">
            <v>0</v>
          </cell>
          <cell r="R321">
            <v>0</v>
          </cell>
          <cell r="S321">
            <v>0</v>
          </cell>
          <cell r="T321">
            <v>0</v>
          </cell>
        </row>
        <row r="323">
          <cell r="B323" t="str">
            <v>2002-FY</v>
          </cell>
          <cell r="C323" t="str">
            <v>2003-FY</v>
          </cell>
          <cell r="D323" t="str">
            <v>2004-FY</v>
          </cell>
          <cell r="E323" t="str">
            <v>2005-FY</v>
          </cell>
          <cell r="F323" t="str">
            <v>2006-FY</v>
          </cell>
          <cell r="G323" t="str">
            <v>2007-FY</v>
          </cell>
          <cell r="H323" t="str">
            <v>2008-FY</v>
          </cell>
          <cell r="I323" t="str">
            <v>2009-FY</v>
          </cell>
          <cell r="J323" t="str">
            <v>2010-FY</v>
          </cell>
          <cell r="K323" t="str">
            <v>2011-FY</v>
          </cell>
          <cell r="L323" t="str">
            <v>2012-FY</v>
          </cell>
          <cell r="M323" t="str">
            <v>2013-FY</v>
          </cell>
          <cell r="N323" t="str">
            <v>2014-FY</v>
          </cell>
          <cell r="O323" t="str">
            <v>2015-FY</v>
          </cell>
          <cell r="P323" t="str">
            <v>2016-FY</v>
          </cell>
          <cell r="Q323" t="str">
            <v>2017-FY</v>
          </cell>
          <cell r="R323" t="str">
            <v>2018-FY</v>
          </cell>
          <cell r="S323" t="str">
            <v>2019-FY</v>
          </cell>
          <cell r="T323" t="str">
            <v>2020-FY</v>
          </cell>
        </row>
      </sheetData>
      <sheetData sheetId="4" refreshError="1">
        <row r="1">
          <cell r="A1" t="str">
            <v>Celanese</v>
          </cell>
          <cell r="W1" t="str">
            <v>ElementName</v>
          </cell>
          <cell r="X1" t="str">
            <v>ScaleOverride</v>
          </cell>
          <cell r="Y1" t="str">
            <v>UnitOverride</v>
          </cell>
          <cell r="Z1" t="str">
            <v>ReverseSign</v>
          </cell>
          <cell r="AA1" t="str">
            <v>IsDrivingAssumption</v>
          </cell>
          <cell r="AB1" t="str">
            <v>SegmentID</v>
          </cell>
        </row>
        <row r="3">
          <cell r="A3" t="str">
            <v>In US$ millions (except per share data)</v>
          </cell>
          <cell r="B3">
            <v>2002</v>
          </cell>
          <cell r="C3">
            <v>2003</v>
          </cell>
          <cell r="D3">
            <v>2004</v>
          </cell>
          <cell r="E3">
            <v>2005</v>
          </cell>
          <cell r="F3">
            <v>2006</v>
          </cell>
          <cell r="G3">
            <v>2007</v>
          </cell>
          <cell r="H3">
            <v>2008</v>
          </cell>
          <cell r="I3">
            <v>2009</v>
          </cell>
          <cell r="J3">
            <v>2010</v>
          </cell>
          <cell r="K3">
            <v>2011</v>
          </cell>
          <cell r="L3">
            <v>2012</v>
          </cell>
          <cell r="M3" t="str">
            <v>2013e</v>
          </cell>
          <cell r="N3" t="str">
            <v>2014e</v>
          </cell>
          <cell r="O3" t="str">
            <v>2015e</v>
          </cell>
          <cell r="P3" t="str">
            <v>2016e</v>
          </cell>
          <cell r="Q3" t="str">
            <v>2017e</v>
          </cell>
          <cell r="R3" t="str">
            <v>2018e</v>
          </cell>
          <cell r="S3" t="str">
            <v>2019e</v>
          </cell>
          <cell r="T3" t="str">
            <v>2020e</v>
          </cell>
        </row>
        <row r="5">
          <cell r="A5" t="str">
            <v>Net Income (as reported)</v>
          </cell>
          <cell r="B5">
            <v>168</v>
          </cell>
          <cell r="C5">
            <v>148</v>
          </cell>
          <cell r="D5">
            <v>-175</v>
          </cell>
          <cell r="E5">
            <v>277</v>
          </cell>
          <cell r="F5">
            <v>406</v>
          </cell>
          <cell r="G5">
            <v>426</v>
          </cell>
          <cell r="H5">
            <v>282</v>
          </cell>
          <cell r="I5">
            <v>498</v>
          </cell>
          <cell r="J5">
            <v>377</v>
          </cell>
          <cell r="K5">
            <v>427</v>
          </cell>
          <cell r="L5">
            <v>372</v>
          </cell>
          <cell r="M5">
            <v>893</v>
          </cell>
          <cell r="N5">
            <v>781.92897399109665</v>
          </cell>
          <cell r="O5">
            <v>820.35923508121209</v>
          </cell>
          <cell r="P5">
            <v>813.16034004380481</v>
          </cell>
          <cell r="Q5">
            <v>860.80706840455571</v>
          </cell>
          <cell r="R5">
            <v>894.55722645418723</v>
          </cell>
          <cell r="S5">
            <v>926.75287760272226</v>
          </cell>
          <cell r="T5">
            <v>960.01231671095672</v>
          </cell>
          <cell r="W5" t="str">
            <v>mstag:netIncomeReported</v>
          </cell>
          <cell r="X5">
            <v>6</v>
          </cell>
          <cell r="Y5" t="str">
            <v>ISO4217:USD</v>
          </cell>
          <cell r="Z5" t="b">
            <v>0</v>
          </cell>
        </row>
        <row r="7">
          <cell r="A7" t="str">
            <v>Other charges (gains), net of amounts used</v>
          </cell>
          <cell r="B7">
            <v>-60</v>
          </cell>
          <cell r="C7">
            <v>91</v>
          </cell>
          <cell r="D7">
            <v>67</v>
          </cell>
          <cell r="E7">
            <v>30</v>
          </cell>
          <cell r="F7">
            <v>-34</v>
          </cell>
          <cell r="G7">
            <v>30</v>
          </cell>
          <cell r="H7">
            <v>111</v>
          </cell>
          <cell r="I7">
            <v>73</v>
          </cell>
          <cell r="J7">
            <v>-5</v>
          </cell>
          <cell r="K7">
            <v>-6</v>
          </cell>
          <cell r="L7">
            <v>-12</v>
          </cell>
          <cell r="M7">
            <v>122</v>
          </cell>
          <cell r="N7">
            <v>0</v>
          </cell>
          <cell r="O7">
            <v>0</v>
          </cell>
          <cell r="P7">
            <v>0</v>
          </cell>
          <cell r="Q7">
            <v>0</v>
          </cell>
          <cell r="R7">
            <v>0</v>
          </cell>
          <cell r="S7">
            <v>0</v>
          </cell>
          <cell r="T7">
            <v>0</v>
          </cell>
          <cell r="W7" t="str">
            <v>mstag:otherCashFlow</v>
          </cell>
          <cell r="X7">
            <v>6</v>
          </cell>
          <cell r="Y7" t="str">
            <v>ISO4217:USD</v>
          </cell>
          <cell r="Z7" t="b">
            <v>0</v>
          </cell>
        </row>
        <row r="8">
          <cell r="A8" t="str">
            <v>D&amp;A</v>
          </cell>
          <cell r="B8">
            <v>247</v>
          </cell>
          <cell r="C8">
            <v>294</v>
          </cell>
          <cell r="D8">
            <v>251</v>
          </cell>
          <cell r="E8">
            <v>286</v>
          </cell>
          <cell r="F8">
            <v>323</v>
          </cell>
          <cell r="G8">
            <v>311</v>
          </cell>
          <cell r="H8">
            <v>360</v>
          </cell>
          <cell r="I8">
            <v>319</v>
          </cell>
          <cell r="J8">
            <v>300</v>
          </cell>
          <cell r="K8">
            <v>311</v>
          </cell>
          <cell r="L8">
            <v>320</v>
          </cell>
          <cell r="M8">
            <v>319</v>
          </cell>
          <cell r="N8">
            <v>300.03490025799999</v>
          </cell>
          <cell r="O8">
            <v>315.54662206897183</v>
          </cell>
          <cell r="P8">
            <v>345.91036708174943</v>
          </cell>
          <cell r="Q8">
            <v>365.40021671259922</v>
          </cell>
          <cell r="R8">
            <v>379.59599173907918</v>
          </cell>
          <cell r="S8">
            <v>389.9913985524563</v>
          </cell>
          <cell r="T8">
            <v>400.82405090523469</v>
          </cell>
          <cell r="W8" t="str">
            <v>mstag:depreciation</v>
          </cell>
          <cell r="X8">
            <v>6</v>
          </cell>
          <cell r="Y8" t="str">
            <v>ISO4217:USD</v>
          </cell>
          <cell r="Z8" t="b">
            <v>0</v>
          </cell>
        </row>
        <row r="9">
          <cell r="A9" t="str">
            <v>Deferred income taxes</v>
          </cell>
          <cell r="B9">
            <v>2</v>
          </cell>
          <cell r="C9">
            <v>79</v>
          </cell>
          <cell r="D9">
            <v>5</v>
          </cell>
          <cell r="E9">
            <v>-85</v>
          </cell>
          <cell r="F9">
            <v>125</v>
          </cell>
          <cell r="G9">
            <v>23</v>
          </cell>
          <cell r="H9">
            <v>-69</v>
          </cell>
          <cell r="I9">
            <v>-402</v>
          </cell>
          <cell r="J9">
            <v>15</v>
          </cell>
          <cell r="K9">
            <v>93</v>
          </cell>
          <cell r="L9">
            <v>-73</v>
          </cell>
          <cell r="M9">
            <v>344</v>
          </cell>
          <cell r="N9">
            <v>0</v>
          </cell>
          <cell r="O9">
            <v>0</v>
          </cell>
          <cell r="P9">
            <v>0</v>
          </cell>
          <cell r="Q9">
            <v>0</v>
          </cell>
          <cell r="R9">
            <v>0</v>
          </cell>
          <cell r="S9">
            <v>0</v>
          </cell>
          <cell r="T9">
            <v>0</v>
          </cell>
          <cell r="W9" t="str">
            <v>mstag:deferredTax</v>
          </cell>
          <cell r="X9">
            <v>6</v>
          </cell>
          <cell r="Y9" t="str">
            <v>ISO4217:USD</v>
          </cell>
          <cell r="Z9" t="b">
            <v>0</v>
          </cell>
        </row>
        <row r="10">
          <cell r="A10" t="str">
            <v>(Gain) loss on sale of assets, net</v>
          </cell>
          <cell r="B10">
            <v>-11</v>
          </cell>
          <cell r="C10">
            <v>-9</v>
          </cell>
          <cell r="D10">
            <v>-3</v>
          </cell>
          <cell r="E10">
            <v>7</v>
          </cell>
          <cell r="F10">
            <v>-8</v>
          </cell>
          <cell r="G10">
            <v>-74</v>
          </cell>
          <cell r="H10">
            <v>1</v>
          </cell>
          <cell r="I10">
            <v>-40</v>
          </cell>
          <cell r="J10">
            <v>-8</v>
          </cell>
          <cell r="K10">
            <v>1</v>
          </cell>
          <cell r="L10">
            <v>3</v>
          </cell>
          <cell r="M10">
            <v>-737</v>
          </cell>
          <cell r="N10">
            <v>0</v>
          </cell>
          <cell r="O10">
            <v>0</v>
          </cell>
          <cell r="P10">
            <v>0</v>
          </cell>
          <cell r="Q10">
            <v>0</v>
          </cell>
          <cell r="R10">
            <v>0</v>
          </cell>
          <cell r="S10">
            <v>0</v>
          </cell>
          <cell r="T10">
            <v>0</v>
          </cell>
          <cell r="W10" t="str">
            <v>mstag:gainsLossesFromSaleOfOperatingAssetsRecurring</v>
          </cell>
          <cell r="X10">
            <v>6</v>
          </cell>
          <cell r="Y10" t="str">
            <v>ISO4217:USD</v>
          </cell>
          <cell r="Z10" t="b">
            <v>1</v>
          </cell>
        </row>
        <row r="11">
          <cell r="A11" t="str">
            <v>Refinancing expense</v>
          </cell>
          <cell r="B11">
            <v>0</v>
          </cell>
          <cell r="C11">
            <v>0</v>
          </cell>
          <cell r="D11">
            <v>0</v>
          </cell>
          <cell r="E11">
            <v>0</v>
          </cell>
          <cell r="F11">
            <v>0</v>
          </cell>
          <cell r="G11">
            <v>256</v>
          </cell>
          <cell r="H11">
            <v>0</v>
          </cell>
          <cell r="I11">
            <v>0</v>
          </cell>
          <cell r="J11">
            <v>16</v>
          </cell>
          <cell r="K11">
            <v>3</v>
          </cell>
          <cell r="L11">
            <v>3</v>
          </cell>
          <cell r="M11">
            <v>1</v>
          </cell>
          <cell r="N11">
            <v>0</v>
          </cell>
          <cell r="O11">
            <v>0</v>
          </cell>
          <cell r="P11">
            <v>0</v>
          </cell>
          <cell r="Q11">
            <v>0</v>
          </cell>
          <cell r="R11">
            <v>0</v>
          </cell>
          <cell r="S11">
            <v>0</v>
          </cell>
          <cell r="T11">
            <v>0</v>
          </cell>
          <cell r="W11" t="str">
            <v>mstag:otherCashFlow</v>
          </cell>
          <cell r="X11">
            <v>6</v>
          </cell>
          <cell r="Y11" t="str">
            <v>ISO4217:USD</v>
          </cell>
          <cell r="Z11" t="b">
            <v>0</v>
          </cell>
        </row>
        <row r="12">
          <cell r="A12" t="str">
            <v>Other, net</v>
          </cell>
          <cell r="B12">
            <v>181</v>
          </cell>
          <cell r="C12">
            <v>212</v>
          </cell>
          <cell r="D12">
            <v>133</v>
          </cell>
          <cell r="E12">
            <v>197</v>
          </cell>
          <cell r="F12">
            <v>61</v>
          </cell>
          <cell r="G12">
            <v>-1</v>
          </cell>
          <cell r="H12">
            <v>35</v>
          </cell>
          <cell r="I12">
            <v>12</v>
          </cell>
          <cell r="J12">
            <v>11</v>
          </cell>
          <cell r="K12">
            <v>56</v>
          </cell>
          <cell r="L12">
            <v>53</v>
          </cell>
          <cell r="M12">
            <v>-291</v>
          </cell>
          <cell r="N12">
            <v>-19</v>
          </cell>
          <cell r="O12">
            <v>5</v>
          </cell>
          <cell r="P12">
            <v>5</v>
          </cell>
          <cell r="Q12">
            <v>5</v>
          </cell>
          <cell r="R12">
            <v>5</v>
          </cell>
          <cell r="S12">
            <v>5</v>
          </cell>
          <cell r="T12">
            <v>5</v>
          </cell>
          <cell r="W12" t="str">
            <v>mstag:otherCashFlow</v>
          </cell>
          <cell r="X12">
            <v>6</v>
          </cell>
          <cell r="Y12" t="str">
            <v>ISO4217:USD</v>
          </cell>
          <cell r="Z12" t="b">
            <v>0</v>
          </cell>
        </row>
        <row r="13">
          <cell r="A13" t="str">
            <v>Operating cash provided by (used in) discontinued ops</v>
          </cell>
          <cell r="B13">
            <v>-45</v>
          </cell>
          <cell r="C13">
            <v>-5</v>
          </cell>
          <cell r="D13">
            <v>-143</v>
          </cell>
          <cell r="E13">
            <v>-2</v>
          </cell>
          <cell r="F13">
            <v>10</v>
          </cell>
          <cell r="G13">
            <v>-84</v>
          </cell>
          <cell r="H13">
            <v>3</v>
          </cell>
          <cell r="I13">
            <v>-2</v>
          </cell>
          <cell r="J13">
            <v>8</v>
          </cell>
          <cell r="K13">
            <v>-9</v>
          </cell>
          <cell r="L13">
            <v>2</v>
          </cell>
          <cell r="M13">
            <v>-3</v>
          </cell>
          <cell r="N13">
            <v>0</v>
          </cell>
          <cell r="O13">
            <v>0</v>
          </cell>
          <cell r="P13">
            <v>0</v>
          </cell>
          <cell r="Q13">
            <v>0</v>
          </cell>
          <cell r="R13">
            <v>0</v>
          </cell>
          <cell r="S13">
            <v>0</v>
          </cell>
          <cell r="T13">
            <v>0</v>
          </cell>
          <cell r="W13" t="str">
            <v>mstag:netCashFlowFromDiscontinuedOperations</v>
          </cell>
          <cell r="X13">
            <v>6</v>
          </cell>
          <cell r="Y13" t="str">
            <v>ISO4217:USD</v>
          </cell>
          <cell r="Z13" t="b">
            <v>0</v>
          </cell>
        </row>
        <row r="14">
          <cell r="M14" t="str">
            <v xml:space="preserve"> </v>
          </cell>
        </row>
        <row r="15">
          <cell r="A15" t="str">
            <v>Working capital</v>
          </cell>
          <cell r="B15">
            <v>-119</v>
          </cell>
          <cell r="C15">
            <v>-409</v>
          </cell>
          <cell r="D15">
            <v>-299</v>
          </cell>
          <cell r="E15">
            <v>-9</v>
          </cell>
          <cell r="F15">
            <v>-132</v>
          </cell>
          <cell r="G15">
            <v>-321</v>
          </cell>
          <cell r="H15">
            <v>-137</v>
          </cell>
          <cell r="I15">
            <v>138</v>
          </cell>
          <cell r="J15">
            <v>-262</v>
          </cell>
          <cell r="K15">
            <v>-418</v>
          </cell>
          <cell r="L15">
            <v>-179</v>
          </cell>
          <cell r="M15">
            <v>-94</v>
          </cell>
          <cell r="N15">
            <v>-65.987831470423316</v>
          </cell>
          <cell r="O15">
            <v>-53.802482424640914</v>
          </cell>
          <cell r="P15">
            <v>-93.962168338540494</v>
          </cell>
          <cell r="Q15">
            <v>-81.320303736642927</v>
          </cell>
          <cell r="R15">
            <v>-59.262738528960938</v>
          </cell>
          <cell r="S15">
            <v>-52.486000546821913</v>
          </cell>
          <cell r="T15">
            <v>-55.500271011638006</v>
          </cell>
        </row>
        <row r="16">
          <cell r="A16" t="str">
            <v>Trade receivables</v>
          </cell>
          <cell r="B16">
            <v>-108</v>
          </cell>
          <cell r="C16">
            <v>22</v>
          </cell>
          <cell r="D16">
            <v>-38</v>
          </cell>
          <cell r="E16">
            <v>43</v>
          </cell>
          <cell r="F16">
            <v>-9</v>
          </cell>
          <cell r="G16">
            <v>-69</v>
          </cell>
          <cell r="H16">
            <v>339</v>
          </cell>
          <cell r="I16">
            <v>-79</v>
          </cell>
          <cell r="J16">
            <v>-90</v>
          </cell>
          <cell r="K16">
            <v>-83</v>
          </cell>
          <cell r="L16">
            <v>50</v>
          </cell>
          <cell r="M16">
            <v>-23</v>
          </cell>
          <cell r="N16">
            <v>-47.140470146574216</v>
          </cell>
          <cell r="O16">
            <v>-38.38508856473652</v>
          </cell>
          <cell r="P16">
            <v>-62.136371729968005</v>
          </cell>
          <cell r="Q16">
            <v>-52.332881919913348</v>
          </cell>
          <cell r="R16">
            <v>-35.914408214111518</v>
          </cell>
          <cell r="S16">
            <v>-30.383783549497821</v>
          </cell>
          <cell r="T16">
            <v>-31.687681027155804</v>
          </cell>
          <cell r="W16" t="str">
            <v>mstag:netDecreaseInTradeReceivables</v>
          </cell>
          <cell r="X16">
            <v>6</v>
          </cell>
          <cell r="Y16" t="str">
            <v>ISO4217:USD</v>
          </cell>
          <cell r="Z16" t="b">
            <v>0</v>
          </cell>
        </row>
        <row r="17">
          <cell r="A17" t="str">
            <v>Inventories</v>
          </cell>
          <cell r="B17">
            <v>11</v>
          </cell>
          <cell r="C17">
            <v>-11</v>
          </cell>
          <cell r="D17">
            <v>-32</v>
          </cell>
          <cell r="E17">
            <v>17</v>
          </cell>
          <cell r="F17">
            <v>19</v>
          </cell>
          <cell r="G17">
            <v>-27</v>
          </cell>
          <cell r="H17">
            <v>21</v>
          </cell>
          <cell r="I17">
            <v>30</v>
          </cell>
          <cell r="J17">
            <v>-98</v>
          </cell>
          <cell r="K17">
            <v>-112</v>
          </cell>
          <cell r="L17">
            <v>6</v>
          </cell>
          <cell r="M17">
            <v>-81</v>
          </cell>
          <cell r="N17">
            <v>-31.804089972724</v>
          </cell>
          <cell r="O17">
            <v>-37.240890302519347</v>
          </cell>
          <cell r="P17">
            <v>-92.924601396265075</v>
          </cell>
          <cell r="Q17">
            <v>-66.684632753006781</v>
          </cell>
          <cell r="R17">
            <v>-52.204655323589805</v>
          </cell>
          <cell r="S17">
            <v>-48.05074562734535</v>
          </cell>
          <cell r="T17">
            <v>-51.015219342209093</v>
          </cell>
          <cell r="W17" t="str">
            <v>mstag:netDecreaseInInventories</v>
          </cell>
          <cell r="X17">
            <v>6</v>
          </cell>
          <cell r="Y17" t="str">
            <v>ISO4217:USD</v>
          </cell>
          <cell r="Z17" t="b">
            <v>0</v>
          </cell>
        </row>
        <row r="18">
          <cell r="A18" t="str">
            <v>Other assets</v>
          </cell>
          <cell r="B18">
            <v>0</v>
          </cell>
          <cell r="C18">
            <v>-50</v>
          </cell>
          <cell r="D18">
            <v>6</v>
          </cell>
          <cell r="E18">
            <v>-57</v>
          </cell>
          <cell r="F18">
            <v>-5</v>
          </cell>
          <cell r="G18">
            <v>66</v>
          </cell>
          <cell r="H18">
            <v>53</v>
          </cell>
          <cell r="I18">
            <v>9</v>
          </cell>
          <cell r="J18">
            <v>9</v>
          </cell>
          <cell r="K18">
            <v>17</v>
          </cell>
          <cell r="L18">
            <v>9</v>
          </cell>
          <cell r="M18">
            <v>-110</v>
          </cell>
          <cell r="N18">
            <v>-18.649574694665489</v>
          </cell>
          <cell r="O18">
            <v>-15.185796283396314</v>
          </cell>
          <cell r="P18">
            <v>-24.582209346458001</v>
          </cell>
          <cell r="Q18">
            <v>-20.703781428523939</v>
          </cell>
          <cell r="R18">
            <v>-14.208352961292064</v>
          </cell>
          <cell r="S18">
            <v>-12.020343434230369</v>
          </cell>
          <cell r="T18">
            <v>-12.536187534388091</v>
          </cell>
          <cell r="W18" t="str">
            <v>mstag:netDecreaseInOtherAssets</v>
          </cell>
          <cell r="X18">
            <v>6</v>
          </cell>
          <cell r="Y18" t="str">
            <v>ISO4217:USD</v>
          </cell>
          <cell r="Z18" t="b">
            <v>0</v>
          </cell>
        </row>
        <row r="19">
          <cell r="A19" t="str">
            <v>Trade payables</v>
          </cell>
          <cell r="B19">
            <v>7</v>
          </cell>
          <cell r="C19">
            <v>-41</v>
          </cell>
          <cell r="D19">
            <v>89</v>
          </cell>
          <cell r="E19">
            <v>17</v>
          </cell>
          <cell r="F19">
            <v>-22</v>
          </cell>
          <cell r="G19">
            <v>-11</v>
          </cell>
          <cell r="H19">
            <v>-265</v>
          </cell>
          <cell r="I19">
            <v>104</v>
          </cell>
          <cell r="J19">
            <v>19</v>
          </cell>
          <cell r="K19">
            <v>22</v>
          </cell>
          <cell r="L19">
            <v>5</v>
          </cell>
          <cell r="M19">
            <v>108</v>
          </cell>
          <cell r="N19">
            <v>31.60630334354039</v>
          </cell>
          <cell r="O19">
            <v>37.009292726011267</v>
          </cell>
          <cell r="P19">
            <v>85.681014134150587</v>
          </cell>
          <cell r="Q19">
            <v>58.400992364801141</v>
          </cell>
          <cell r="R19">
            <v>43.064677970032449</v>
          </cell>
          <cell r="S19">
            <v>37.968872064251627</v>
          </cell>
          <cell r="T19">
            <v>39.738816892114983</v>
          </cell>
          <cell r="W19" t="str">
            <v>mstag:netIncreaseInTradeAndOtherPayables</v>
          </cell>
          <cell r="X19">
            <v>6</v>
          </cell>
          <cell r="Y19" t="str">
            <v>ISO4217:USD</v>
          </cell>
          <cell r="Z19" t="b">
            <v>0</v>
          </cell>
        </row>
        <row r="20">
          <cell r="A20" t="str">
            <v>Other liabilities</v>
          </cell>
          <cell r="B20">
            <v>-29</v>
          </cell>
          <cell r="C20">
            <v>-329</v>
          </cell>
          <cell r="D20">
            <v>-324</v>
          </cell>
          <cell r="E20">
            <v>-29</v>
          </cell>
          <cell r="F20">
            <v>-115</v>
          </cell>
          <cell r="G20">
            <v>-280</v>
          </cell>
          <cell r="H20">
            <v>-285</v>
          </cell>
          <cell r="I20">
            <v>74</v>
          </cell>
          <cell r="J20">
            <v>-102</v>
          </cell>
          <cell r="K20">
            <v>-262</v>
          </cell>
          <cell r="L20">
            <v>-249</v>
          </cell>
          <cell r="M20">
            <v>12</v>
          </cell>
          <cell r="N20">
            <v>0</v>
          </cell>
          <cell r="O20">
            <v>0</v>
          </cell>
          <cell r="P20">
            <v>0</v>
          </cell>
          <cell r="Q20">
            <v>0</v>
          </cell>
          <cell r="R20">
            <v>0</v>
          </cell>
          <cell r="S20">
            <v>0</v>
          </cell>
          <cell r="T20">
            <v>0</v>
          </cell>
          <cell r="W20" t="str">
            <v>mstag:netIncreaseInOtherLiabilitiesOperating</v>
          </cell>
          <cell r="X20">
            <v>6</v>
          </cell>
          <cell r="Y20" t="str">
            <v>ISO4217:USD</v>
          </cell>
          <cell r="Z20" t="b">
            <v>0</v>
          </cell>
        </row>
        <row r="22">
          <cell r="A22" t="str">
            <v>Net cash from operating activities</v>
          </cell>
          <cell r="B22">
            <v>363</v>
          </cell>
          <cell r="C22">
            <v>401</v>
          </cell>
          <cell r="D22">
            <v>-164</v>
          </cell>
          <cell r="E22">
            <v>701</v>
          </cell>
          <cell r="F22">
            <v>751</v>
          </cell>
          <cell r="G22">
            <v>566</v>
          </cell>
          <cell r="H22">
            <v>586</v>
          </cell>
          <cell r="I22">
            <v>596</v>
          </cell>
          <cell r="J22">
            <v>452</v>
          </cell>
          <cell r="K22">
            <v>458</v>
          </cell>
          <cell r="L22">
            <v>489</v>
          </cell>
          <cell r="M22">
            <v>554</v>
          </cell>
          <cell r="N22">
            <v>996.97604277867322</v>
          </cell>
          <cell r="O22">
            <v>1087.1033747255431</v>
          </cell>
          <cell r="P22">
            <v>1070.1085387870137</v>
          </cell>
          <cell r="Q22">
            <v>1149.886981380512</v>
          </cell>
          <cell r="R22">
            <v>1219.8904796643055</v>
          </cell>
          <cell r="S22">
            <v>1269.2582756083566</v>
          </cell>
          <cell r="T22">
            <v>1310.3360966045534</v>
          </cell>
        </row>
        <row r="24">
          <cell r="A24" t="str">
            <v>Capital expenditure</v>
          </cell>
          <cell r="B24">
            <v>-203</v>
          </cell>
          <cell r="C24">
            <v>-211</v>
          </cell>
          <cell r="D24">
            <v>-204</v>
          </cell>
          <cell r="E24">
            <v>-212</v>
          </cell>
          <cell r="F24">
            <v>-244</v>
          </cell>
          <cell r="G24">
            <v>-288</v>
          </cell>
          <cell r="H24">
            <v>-274</v>
          </cell>
          <cell r="I24">
            <v>-176</v>
          </cell>
          <cell r="J24">
            <v>-201</v>
          </cell>
          <cell r="K24">
            <v>-349</v>
          </cell>
          <cell r="L24">
            <v>-361</v>
          </cell>
          <cell r="M24">
            <v>-370</v>
          </cell>
          <cell r="N24">
            <v>-441.23490025800004</v>
          </cell>
          <cell r="O24">
            <v>-430.80664572320268</v>
          </cell>
          <cell r="P24">
            <v>-502.6691599583416</v>
          </cell>
          <cell r="Q24">
            <v>-461.0647000649351</v>
          </cell>
          <cell r="R24">
            <v>-403.53862134740905</v>
          </cell>
          <cell r="S24">
            <v>-414.60132096962138</v>
          </cell>
          <cell r="T24">
            <v>-426.13382324899999</v>
          </cell>
        </row>
        <row r="25">
          <cell r="A25" t="str">
            <v>Capital expenditure - Maintenance</v>
          </cell>
          <cell r="B25">
            <v>-150</v>
          </cell>
          <cell r="C25">
            <v>-150</v>
          </cell>
          <cell r="D25">
            <v>-150</v>
          </cell>
          <cell r="E25">
            <v>-150</v>
          </cell>
          <cell r="F25">
            <v>-150</v>
          </cell>
          <cell r="G25">
            <v>-150</v>
          </cell>
          <cell r="H25">
            <v>-150</v>
          </cell>
          <cell r="I25">
            <v>-150</v>
          </cell>
          <cell r="J25">
            <v>-150</v>
          </cell>
          <cell r="K25">
            <v>-154.5</v>
          </cell>
          <cell r="L25">
            <v>-159.13499999999999</v>
          </cell>
          <cell r="M25">
            <v>-163.90905000000001</v>
          </cell>
          <cell r="N25">
            <v>-168.82632150000001</v>
          </cell>
          <cell r="O25">
            <v>-173.891111145</v>
          </cell>
          <cell r="P25">
            <v>-179.10784447935001</v>
          </cell>
          <cell r="Q25">
            <v>-184.4810798137305</v>
          </cell>
          <cell r="R25">
            <v>-190.01551220814241</v>
          </cell>
          <cell r="S25">
            <v>-195.7159775743867</v>
          </cell>
          <cell r="T25">
            <v>-201.58745690161831</v>
          </cell>
          <cell r="W25" t="str">
            <v>mstag:capitalExpendituresMaintenance</v>
          </cell>
          <cell r="X25">
            <v>6</v>
          </cell>
          <cell r="Y25" t="str">
            <v>ISO4217:USD</v>
          </cell>
          <cell r="Z25" t="b">
            <v>1</v>
          </cell>
        </row>
        <row r="26">
          <cell r="A26" t="str">
            <v>Capital expenditure - Growth</v>
          </cell>
          <cell r="B26">
            <v>-53</v>
          </cell>
          <cell r="C26">
            <v>-61</v>
          </cell>
          <cell r="D26">
            <v>-54</v>
          </cell>
          <cell r="E26">
            <v>-62</v>
          </cell>
          <cell r="F26">
            <v>-94</v>
          </cell>
          <cell r="G26">
            <v>-138</v>
          </cell>
          <cell r="H26">
            <v>-124</v>
          </cell>
          <cell r="I26">
            <v>-26</v>
          </cell>
          <cell r="J26">
            <v>-51</v>
          </cell>
          <cell r="K26">
            <v>-194.5</v>
          </cell>
          <cell r="L26">
            <v>-201.86500000000001</v>
          </cell>
          <cell r="M26">
            <v>-206.09094999999999</v>
          </cell>
          <cell r="N26">
            <v>-272.40857875800003</v>
          </cell>
          <cell r="O26">
            <v>-256.91553457820271</v>
          </cell>
          <cell r="P26">
            <v>-323.56131547899156</v>
          </cell>
          <cell r="Q26">
            <v>-276.58362025120459</v>
          </cell>
          <cell r="R26">
            <v>-213.52310913926664</v>
          </cell>
          <cell r="S26">
            <v>-218.88534339523468</v>
          </cell>
          <cell r="T26">
            <v>-224.54636634738168</v>
          </cell>
          <cell r="W26" t="str">
            <v>mstag:capitalExpendituresGrowth</v>
          </cell>
          <cell r="X26">
            <v>6</v>
          </cell>
          <cell r="Y26" t="str">
            <v>ISO4217:USD</v>
          </cell>
          <cell r="Z26" t="b">
            <v>1</v>
          </cell>
        </row>
        <row r="27">
          <cell r="A27" t="str">
            <v>Acquisitions and related fees</v>
          </cell>
          <cell r="B27">
            <v>-131</v>
          </cell>
          <cell r="C27">
            <v>-18</v>
          </cell>
          <cell r="D27">
            <v>-1633</v>
          </cell>
          <cell r="E27">
            <v>-918</v>
          </cell>
          <cell r="F27">
            <v>0</v>
          </cell>
          <cell r="G27">
            <v>-269</v>
          </cell>
          <cell r="H27">
            <v>0</v>
          </cell>
          <cell r="I27">
            <v>-9</v>
          </cell>
          <cell r="J27">
            <v>-46</v>
          </cell>
          <cell r="K27">
            <v>-8</v>
          </cell>
          <cell r="L27">
            <v>-23</v>
          </cell>
          <cell r="M27">
            <v>0</v>
          </cell>
          <cell r="N27">
            <v>0</v>
          </cell>
          <cell r="O27">
            <v>0</v>
          </cell>
          <cell r="P27">
            <v>0</v>
          </cell>
          <cell r="Q27">
            <v>0</v>
          </cell>
          <cell r="R27">
            <v>0</v>
          </cell>
          <cell r="S27">
            <v>0</v>
          </cell>
          <cell r="T27">
            <v>0</v>
          </cell>
          <cell r="W27" t="str">
            <v>mstag:netDisposalsAcquisitions</v>
          </cell>
          <cell r="X27">
            <v>6</v>
          </cell>
          <cell r="Y27" t="str">
            <v>ISO4217:USD</v>
          </cell>
          <cell r="Z27" t="b">
            <v>0</v>
          </cell>
        </row>
        <row r="28">
          <cell r="A28" t="str">
            <v>Proceeds from asset sales</v>
          </cell>
          <cell r="B28">
            <v>0</v>
          </cell>
          <cell r="C28">
            <v>10</v>
          </cell>
          <cell r="D28">
            <v>31</v>
          </cell>
          <cell r="E28">
            <v>48</v>
          </cell>
          <cell r="F28">
            <v>23</v>
          </cell>
          <cell r="G28">
            <v>715</v>
          </cell>
          <cell r="H28">
            <v>9</v>
          </cell>
          <cell r="I28">
            <v>171</v>
          </cell>
          <cell r="J28">
            <v>26</v>
          </cell>
          <cell r="K28">
            <v>6</v>
          </cell>
          <cell r="L28">
            <v>1</v>
          </cell>
          <cell r="M28">
            <v>13</v>
          </cell>
          <cell r="N28">
            <v>0</v>
          </cell>
          <cell r="O28">
            <v>0</v>
          </cell>
          <cell r="P28">
            <v>0</v>
          </cell>
          <cell r="Q28">
            <v>0</v>
          </cell>
          <cell r="R28">
            <v>0</v>
          </cell>
          <cell r="S28">
            <v>0</v>
          </cell>
          <cell r="T28">
            <v>0</v>
          </cell>
          <cell r="W28" t="str">
            <v>mstag:proceedsFromSaleOfPpeAndIntangibleAssets</v>
          </cell>
          <cell r="X28">
            <v>6</v>
          </cell>
          <cell r="Y28" t="str">
            <v>ISO4217:USD</v>
          </cell>
          <cell r="Z28" t="b">
            <v>0</v>
          </cell>
        </row>
        <row r="29">
          <cell r="A29" t="str">
            <v>Proceeds from Ticona Kelsterbach plant relocation</v>
          </cell>
          <cell r="B29">
            <v>0</v>
          </cell>
          <cell r="C29">
            <v>0</v>
          </cell>
          <cell r="D29">
            <v>0</v>
          </cell>
          <cell r="E29">
            <v>0</v>
          </cell>
          <cell r="F29">
            <v>26</v>
          </cell>
          <cell r="G29">
            <v>0</v>
          </cell>
          <cell r="H29">
            <v>311</v>
          </cell>
          <cell r="I29">
            <v>412</v>
          </cell>
          <cell r="J29">
            <v>0</v>
          </cell>
          <cell r="K29">
            <v>159</v>
          </cell>
          <cell r="L29">
            <v>0</v>
          </cell>
          <cell r="M29">
            <v>-7</v>
          </cell>
          <cell r="N29">
            <v>0</v>
          </cell>
          <cell r="O29">
            <v>0</v>
          </cell>
          <cell r="P29">
            <v>0</v>
          </cell>
          <cell r="Q29">
            <v>0</v>
          </cell>
          <cell r="R29">
            <v>0</v>
          </cell>
          <cell r="S29">
            <v>0</v>
          </cell>
          <cell r="T29">
            <v>0</v>
          </cell>
          <cell r="W29" t="str">
            <v>mstag:proceedsFromSaleOfPpeAndIntangibleAssets</v>
          </cell>
          <cell r="X29">
            <v>6</v>
          </cell>
          <cell r="Y29" t="str">
            <v>ISO4217:USD</v>
          </cell>
          <cell r="Z29" t="b">
            <v>0</v>
          </cell>
        </row>
        <row r="30">
          <cell r="A30" t="str">
            <v>CapEx related to Ticona</v>
          </cell>
          <cell r="B30">
            <v>0</v>
          </cell>
          <cell r="C30">
            <v>0</v>
          </cell>
          <cell r="D30">
            <v>0</v>
          </cell>
          <cell r="E30">
            <v>0</v>
          </cell>
          <cell r="F30">
            <v>0</v>
          </cell>
          <cell r="G30">
            <v>-21</v>
          </cell>
          <cell r="H30">
            <v>-185</v>
          </cell>
          <cell r="I30">
            <v>-351</v>
          </cell>
          <cell r="J30">
            <v>-312</v>
          </cell>
          <cell r="K30">
            <v>-204</v>
          </cell>
          <cell r="L30">
            <v>-49</v>
          </cell>
          <cell r="M30">
            <v>0</v>
          </cell>
          <cell r="N30">
            <v>0</v>
          </cell>
          <cell r="O30">
            <v>0</v>
          </cell>
          <cell r="P30">
            <v>0</v>
          </cell>
          <cell r="Q30">
            <v>0</v>
          </cell>
          <cell r="R30">
            <v>0</v>
          </cell>
          <cell r="S30">
            <v>0</v>
          </cell>
          <cell r="T30">
            <v>0</v>
          </cell>
          <cell r="W30" t="str">
            <v>mstag:capitalExpendituresGrowth</v>
          </cell>
          <cell r="X30">
            <v>6</v>
          </cell>
          <cell r="Y30" t="str">
            <v>ISO4217:USD</v>
          </cell>
          <cell r="Z30" t="b">
            <v>1</v>
          </cell>
        </row>
        <row r="31">
          <cell r="A31" t="str">
            <v>Net change in marketable securities</v>
          </cell>
          <cell r="B31">
            <v>-22</v>
          </cell>
          <cell r="C31">
            <v>-63</v>
          </cell>
          <cell r="D31">
            <v>-41</v>
          </cell>
          <cell r="E31">
            <v>72</v>
          </cell>
          <cell r="F31">
            <v>30</v>
          </cell>
          <cell r="G31">
            <v>10</v>
          </cell>
          <cell r="H31">
            <v>111</v>
          </cell>
          <cell r="I31">
            <v>15</v>
          </cell>
          <cell r="J31">
            <v>0</v>
          </cell>
          <cell r="K31">
            <v>0</v>
          </cell>
          <cell r="L31">
            <v>0</v>
          </cell>
          <cell r="M31">
            <v>12</v>
          </cell>
          <cell r="N31">
            <v>0</v>
          </cell>
          <cell r="O31">
            <v>0</v>
          </cell>
          <cell r="P31">
            <v>0</v>
          </cell>
          <cell r="Q31">
            <v>0</v>
          </cell>
          <cell r="R31">
            <v>0</v>
          </cell>
          <cell r="S31">
            <v>0</v>
          </cell>
          <cell r="T31">
            <v>0</v>
          </cell>
          <cell r="W31" t="str">
            <v>mstag:proceedsFromSaleOfFundsUsedTopurchaseSecuritiesAndOtherInvestments</v>
          </cell>
          <cell r="X31">
            <v>6</v>
          </cell>
          <cell r="Y31" t="str">
            <v>ISO4217:USD</v>
          </cell>
          <cell r="Z31" t="b">
            <v>0</v>
          </cell>
        </row>
        <row r="32">
          <cell r="A32" t="str">
            <v>Changes in restricted cash</v>
          </cell>
          <cell r="B32">
            <v>0</v>
          </cell>
          <cell r="C32">
            <v>0</v>
          </cell>
          <cell r="D32">
            <v>-6</v>
          </cell>
          <cell r="E32">
            <v>0</v>
          </cell>
          <cell r="F32">
            <v>-42</v>
          </cell>
          <cell r="G32">
            <v>46</v>
          </cell>
          <cell r="H32">
            <v>0</v>
          </cell>
          <cell r="I32">
            <v>0</v>
          </cell>
          <cell r="J32">
            <v>0</v>
          </cell>
          <cell r="K32">
            <v>0</v>
          </cell>
          <cell r="L32">
            <v>0</v>
          </cell>
          <cell r="M32">
            <v>0</v>
          </cell>
          <cell r="N32">
            <v>0</v>
          </cell>
          <cell r="O32">
            <v>0</v>
          </cell>
          <cell r="P32">
            <v>0</v>
          </cell>
          <cell r="Q32">
            <v>0</v>
          </cell>
          <cell r="R32">
            <v>0</v>
          </cell>
          <cell r="S32">
            <v>0</v>
          </cell>
          <cell r="T32">
            <v>0</v>
          </cell>
          <cell r="W32" t="str">
            <v>mstag:proceedsFromSaleOfFundsUsedTopurchaseSecuritiesAndOtherInvestments</v>
          </cell>
          <cell r="X32">
            <v>6</v>
          </cell>
          <cell r="Y32" t="str">
            <v>ISO4217:USD</v>
          </cell>
          <cell r="Z32" t="b">
            <v>0</v>
          </cell>
        </row>
        <row r="33">
          <cell r="A33" t="str">
            <v>Settlement of cross currency swap</v>
          </cell>
          <cell r="B33">
            <v>0</v>
          </cell>
          <cell r="C33">
            <v>0</v>
          </cell>
          <cell r="D33">
            <v>0</v>
          </cell>
          <cell r="E33">
            <v>0</v>
          </cell>
          <cell r="F33">
            <v>0</v>
          </cell>
          <cell r="G33">
            <v>0</v>
          </cell>
          <cell r="H33">
            <v>-93</v>
          </cell>
          <cell r="I33">
            <v>0</v>
          </cell>
          <cell r="J33">
            <v>0</v>
          </cell>
          <cell r="K33">
            <v>0</v>
          </cell>
          <cell r="L33">
            <v>0</v>
          </cell>
          <cell r="M33">
            <v>0</v>
          </cell>
          <cell r="N33">
            <v>0</v>
          </cell>
          <cell r="O33">
            <v>0</v>
          </cell>
          <cell r="P33">
            <v>0</v>
          </cell>
          <cell r="Q33">
            <v>0</v>
          </cell>
          <cell r="R33">
            <v>0</v>
          </cell>
          <cell r="S33">
            <v>0</v>
          </cell>
          <cell r="T33">
            <v>0</v>
          </cell>
          <cell r="W33" t="str">
            <v>mstag:netDecreaseInInvestmentsNonOperating</v>
          </cell>
          <cell r="X33">
            <v>6</v>
          </cell>
          <cell r="Y33" t="str">
            <v>ISO4217:USD</v>
          </cell>
          <cell r="Z33" t="b">
            <v>0</v>
          </cell>
        </row>
        <row r="34">
          <cell r="A34" t="str">
            <v>Investing cash provided by (used in) disc. Ops</v>
          </cell>
          <cell r="B34">
            <v>206</v>
          </cell>
          <cell r="C34">
            <v>0</v>
          </cell>
          <cell r="D34">
            <v>0</v>
          </cell>
          <cell r="E34">
            <v>75</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W34" t="str">
            <v>mstag:netCashFlowFromDiscontinuedOperations</v>
          </cell>
          <cell r="X34">
            <v>6</v>
          </cell>
          <cell r="Y34" t="str">
            <v>ISO4217:USD</v>
          </cell>
          <cell r="Z34" t="b">
            <v>0</v>
          </cell>
        </row>
        <row r="35">
          <cell r="A35" t="str">
            <v>Other</v>
          </cell>
          <cell r="B35">
            <v>11</v>
          </cell>
          <cell r="C35">
            <v>7</v>
          </cell>
          <cell r="D35">
            <v>133</v>
          </cell>
          <cell r="E35">
            <v>28</v>
          </cell>
          <cell r="F35">
            <v>-61</v>
          </cell>
          <cell r="G35">
            <v>-50</v>
          </cell>
          <cell r="H35">
            <v>-80</v>
          </cell>
          <cell r="I35">
            <v>-31</v>
          </cell>
          <cell r="J35">
            <v>-27</v>
          </cell>
          <cell r="K35">
            <v>-45</v>
          </cell>
          <cell r="L35">
            <v>-68</v>
          </cell>
          <cell r="M35">
            <v>-58</v>
          </cell>
          <cell r="N35">
            <v>0</v>
          </cell>
          <cell r="O35">
            <v>0</v>
          </cell>
          <cell r="P35">
            <v>0</v>
          </cell>
          <cell r="Q35">
            <v>0</v>
          </cell>
          <cell r="R35">
            <v>0</v>
          </cell>
          <cell r="S35">
            <v>0</v>
          </cell>
          <cell r="T35">
            <v>0</v>
          </cell>
          <cell r="W35" t="str">
            <v>mstag:netDecreaseInInvestmentsNonOperating</v>
          </cell>
          <cell r="X35">
            <v>6</v>
          </cell>
          <cell r="Y35" t="str">
            <v>ISO4217:USD</v>
          </cell>
          <cell r="Z35" t="b">
            <v>0</v>
          </cell>
        </row>
        <row r="36">
          <cell r="A36" t="str">
            <v>Net cash used for investing activities</v>
          </cell>
          <cell r="B36">
            <v>-139</v>
          </cell>
          <cell r="C36">
            <v>-275</v>
          </cell>
          <cell r="D36">
            <v>-1720</v>
          </cell>
          <cell r="E36">
            <v>-907</v>
          </cell>
          <cell r="F36">
            <v>-268</v>
          </cell>
          <cell r="G36">
            <v>143</v>
          </cell>
          <cell r="H36">
            <v>-201</v>
          </cell>
          <cell r="I36">
            <v>31</v>
          </cell>
          <cell r="J36">
            <v>-560</v>
          </cell>
          <cell r="K36">
            <v>-441</v>
          </cell>
          <cell r="L36">
            <v>-500</v>
          </cell>
          <cell r="M36">
            <v>-410</v>
          </cell>
          <cell r="N36">
            <v>-441.23490025800004</v>
          </cell>
          <cell r="O36">
            <v>-430.80664572320268</v>
          </cell>
          <cell r="P36">
            <v>-502.6691599583416</v>
          </cell>
          <cell r="Q36">
            <v>-461.0647000649351</v>
          </cell>
          <cell r="R36">
            <v>-403.53862134740905</v>
          </cell>
          <cell r="S36">
            <v>-414.60132096962138</v>
          </cell>
          <cell r="T36">
            <v>-426.13382324899999</v>
          </cell>
        </row>
        <row r="38">
          <cell r="A38" t="str">
            <v>Short term debt borrowings/ (repayments) - net</v>
          </cell>
          <cell r="B38">
            <v>-141</v>
          </cell>
          <cell r="C38">
            <v>-20</v>
          </cell>
          <cell r="D38">
            <v>20</v>
          </cell>
          <cell r="E38">
            <v>22</v>
          </cell>
          <cell r="F38">
            <v>13</v>
          </cell>
          <cell r="G38">
            <v>30</v>
          </cell>
          <cell r="H38">
            <v>-64</v>
          </cell>
          <cell r="I38">
            <v>-9</v>
          </cell>
          <cell r="J38">
            <v>-16</v>
          </cell>
          <cell r="K38">
            <v>-16</v>
          </cell>
          <cell r="L38">
            <v>2</v>
          </cell>
          <cell r="M38">
            <v>43</v>
          </cell>
          <cell r="N38">
            <v>0</v>
          </cell>
          <cell r="O38">
            <v>0</v>
          </cell>
          <cell r="P38">
            <v>0</v>
          </cell>
          <cell r="Q38">
            <v>0</v>
          </cell>
          <cell r="R38">
            <v>0</v>
          </cell>
          <cell r="S38">
            <v>0</v>
          </cell>
          <cell r="T38">
            <v>0</v>
          </cell>
          <cell r="W38" t="str">
            <v>mstag:proceedsFromIssuanceAndCashUsedToRepayShortTermBorrowings</v>
          </cell>
          <cell r="X38">
            <v>6</v>
          </cell>
          <cell r="Y38" t="str">
            <v>ISO4217:USD</v>
          </cell>
          <cell r="Z38" t="b">
            <v>0</v>
          </cell>
        </row>
        <row r="39">
          <cell r="A39" t="str">
            <v>Net changes in Long Term debt</v>
          </cell>
          <cell r="B39">
            <v>-3</v>
          </cell>
          <cell r="C39">
            <v>-48</v>
          </cell>
          <cell r="D39">
            <v>2665</v>
          </cell>
          <cell r="E39">
            <v>-298</v>
          </cell>
          <cell r="F39">
            <v>-87</v>
          </cell>
          <cell r="G39">
            <v>-149</v>
          </cell>
          <cell r="H39">
            <v>-34</v>
          </cell>
          <cell r="I39">
            <v>-80</v>
          </cell>
          <cell r="J39">
            <v>-297</v>
          </cell>
          <cell r="K39">
            <v>-180</v>
          </cell>
          <cell r="L39">
            <v>61</v>
          </cell>
          <cell r="M39">
            <v>-124</v>
          </cell>
          <cell r="N39">
            <v>-300</v>
          </cell>
          <cell r="O39">
            <v>-300</v>
          </cell>
          <cell r="P39">
            <v>-300</v>
          </cell>
          <cell r="Q39">
            <v>-300</v>
          </cell>
          <cell r="R39">
            <v>-300</v>
          </cell>
          <cell r="S39">
            <v>-300</v>
          </cell>
          <cell r="T39">
            <v>-300</v>
          </cell>
          <cell r="W39" t="str">
            <v>mstag:proceedsFromIssuanceAndCashUsedToRepayLongTermDebt</v>
          </cell>
          <cell r="X39">
            <v>6</v>
          </cell>
          <cell r="Y39" t="str">
            <v>ISO4217:USD</v>
          </cell>
          <cell r="Z39" t="b">
            <v>0</v>
          </cell>
        </row>
        <row r="40">
          <cell r="A40" t="str">
            <v>Refinancing costs</v>
          </cell>
          <cell r="B40">
            <v>0</v>
          </cell>
          <cell r="C40">
            <v>0</v>
          </cell>
          <cell r="D40">
            <v>0</v>
          </cell>
          <cell r="E40">
            <v>-9</v>
          </cell>
          <cell r="F40">
            <v>0</v>
          </cell>
          <cell r="G40">
            <v>-240</v>
          </cell>
          <cell r="H40">
            <v>0</v>
          </cell>
          <cell r="I40">
            <v>-3</v>
          </cell>
          <cell r="J40">
            <v>-24</v>
          </cell>
          <cell r="K40">
            <v>-8</v>
          </cell>
          <cell r="L40">
            <v>-9</v>
          </cell>
          <cell r="M40">
            <v>-2</v>
          </cell>
          <cell r="N40">
            <v>0</v>
          </cell>
          <cell r="O40">
            <v>0</v>
          </cell>
          <cell r="P40">
            <v>0</v>
          </cell>
          <cell r="Q40">
            <v>0</v>
          </cell>
          <cell r="R40">
            <v>0</v>
          </cell>
          <cell r="S40">
            <v>0</v>
          </cell>
          <cell r="T40">
            <v>0</v>
          </cell>
          <cell r="W40" t="str">
            <v>mstag:otherCashFlowsFromUsedInFinancingActivities</v>
          </cell>
          <cell r="X40">
            <v>6</v>
          </cell>
          <cell r="Y40" t="str">
            <v>ISO4217:USD</v>
          </cell>
          <cell r="Z40" t="b">
            <v>0</v>
          </cell>
        </row>
        <row r="41">
          <cell r="A41" t="str">
            <v>Common stock issuance</v>
          </cell>
          <cell r="B41">
            <v>0</v>
          </cell>
          <cell r="C41">
            <v>0</v>
          </cell>
          <cell r="D41">
            <v>0</v>
          </cell>
          <cell r="E41">
            <v>764</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W41" t="str">
            <v>mstag:proceedsFromIssuanceOfCommonStock</v>
          </cell>
          <cell r="X41">
            <v>6</v>
          </cell>
          <cell r="Y41" t="str">
            <v>ISO4217:USD</v>
          </cell>
          <cell r="Z41" t="b">
            <v>0</v>
          </cell>
        </row>
        <row r="42">
          <cell r="A42" t="str">
            <v>Purchases of treasury stock</v>
          </cell>
          <cell r="B42">
            <v>-6</v>
          </cell>
          <cell r="C42">
            <v>-15</v>
          </cell>
          <cell r="D42">
            <v>0</v>
          </cell>
          <cell r="F42">
            <v>0</v>
          </cell>
          <cell r="G42">
            <v>-403</v>
          </cell>
          <cell r="H42">
            <v>-378</v>
          </cell>
          <cell r="I42">
            <v>0</v>
          </cell>
          <cell r="J42">
            <v>-48</v>
          </cell>
          <cell r="K42">
            <v>-31</v>
          </cell>
          <cell r="L42">
            <v>-45</v>
          </cell>
          <cell r="M42">
            <v>-164</v>
          </cell>
          <cell r="N42">
            <v>0</v>
          </cell>
          <cell r="O42">
            <v>0</v>
          </cell>
          <cell r="P42">
            <v>0</v>
          </cell>
          <cell r="Q42">
            <v>0</v>
          </cell>
          <cell r="R42">
            <v>0</v>
          </cell>
          <cell r="S42">
            <v>0</v>
          </cell>
          <cell r="T42">
            <v>0</v>
          </cell>
          <cell r="W42" t="str">
            <v>mstag:fundsUsedToRepurchaseCommonStock</v>
          </cell>
          <cell r="X42">
            <v>6</v>
          </cell>
          <cell r="Y42" t="str">
            <v>ISO4217:USD</v>
          </cell>
          <cell r="Z42" t="b">
            <v>1</v>
          </cell>
        </row>
        <row r="43">
          <cell r="A43" t="str">
            <v>Stock option exercises</v>
          </cell>
          <cell r="B43">
            <v>0</v>
          </cell>
          <cell r="C43">
            <v>0</v>
          </cell>
          <cell r="D43">
            <v>0</v>
          </cell>
          <cell r="E43">
            <v>0</v>
          </cell>
          <cell r="F43">
            <v>2</v>
          </cell>
          <cell r="G43">
            <v>69</v>
          </cell>
          <cell r="H43">
            <v>18</v>
          </cell>
          <cell r="I43">
            <v>14</v>
          </cell>
          <cell r="J43">
            <v>14</v>
          </cell>
          <cell r="K43">
            <v>20</v>
          </cell>
          <cell r="L43">
            <v>62</v>
          </cell>
          <cell r="M43">
            <v>9</v>
          </cell>
          <cell r="N43">
            <v>0</v>
          </cell>
          <cell r="O43">
            <v>0</v>
          </cell>
          <cell r="P43">
            <v>0</v>
          </cell>
          <cell r="Q43">
            <v>0</v>
          </cell>
          <cell r="R43">
            <v>0</v>
          </cell>
          <cell r="S43">
            <v>0</v>
          </cell>
          <cell r="T43">
            <v>0</v>
          </cell>
          <cell r="W43" t="str">
            <v>mstag:proceedsFromExerciseOfStockOptions</v>
          </cell>
          <cell r="X43">
            <v>6</v>
          </cell>
          <cell r="Y43" t="str">
            <v>ISO4217:USD</v>
          </cell>
          <cell r="Z43" t="b">
            <v>0</v>
          </cell>
        </row>
        <row r="44">
          <cell r="A44" t="str">
            <v>Series A common stock div.</v>
          </cell>
          <cell r="B44">
            <v>0</v>
          </cell>
          <cell r="C44">
            <v>0</v>
          </cell>
          <cell r="D44">
            <v>0</v>
          </cell>
          <cell r="E44">
            <v>0</v>
          </cell>
          <cell r="F44">
            <v>-26</v>
          </cell>
          <cell r="G44">
            <v>-25</v>
          </cell>
          <cell r="H44">
            <v>-24</v>
          </cell>
          <cell r="I44">
            <v>-23</v>
          </cell>
          <cell r="J44">
            <v>-28</v>
          </cell>
          <cell r="K44">
            <v>-34</v>
          </cell>
          <cell r="L44">
            <v>-43</v>
          </cell>
          <cell r="M44">
            <v>-83</v>
          </cell>
          <cell r="N44">
            <v>-144.04500000000002</v>
          </cell>
          <cell r="O44">
            <v>-116.08418018389418</v>
          </cell>
          <cell r="P44">
            <v>-116.0217702953594</v>
          </cell>
          <cell r="Q44">
            <v>-123.63558637581285</v>
          </cell>
          <cell r="R44">
            <v>-129.32595777210517</v>
          </cell>
          <cell r="S44">
            <v>-134.85532369178878</v>
          </cell>
          <cell r="T44">
            <v>-140.61068457292657</v>
          </cell>
          <cell r="W44" t="str">
            <v>mstag:cashDividendsPaidcommon</v>
          </cell>
          <cell r="X44">
            <v>6</v>
          </cell>
          <cell r="Y44" t="str">
            <v>ISO4217:USD</v>
          </cell>
          <cell r="Z44" t="b">
            <v>1</v>
          </cell>
        </row>
        <row r="45">
          <cell r="A45" t="str">
            <v>Preferred stock div.</v>
          </cell>
          <cell r="B45">
            <v>0</v>
          </cell>
          <cell r="C45">
            <v>-25</v>
          </cell>
          <cell r="D45">
            <v>0</v>
          </cell>
          <cell r="E45">
            <v>0</v>
          </cell>
          <cell r="F45">
            <v>-10</v>
          </cell>
          <cell r="G45">
            <v>-10</v>
          </cell>
          <cell r="H45">
            <v>-10</v>
          </cell>
          <cell r="I45">
            <v>-10</v>
          </cell>
          <cell r="J45">
            <v>-3</v>
          </cell>
          <cell r="K45">
            <v>0</v>
          </cell>
          <cell r="L45">
            <v>0</v>
          </cell>
          <cell r="M45">
            <v>0</v>
          </cell>
          <cell r="N45">
            <v>0</v>
          </cell>
          <cell r="O45">
            <v>0</v>
          </cell>
          <cell r="P45">
            <v>0</v>
          </cell>
          <cell r="Q45">
            <v>0</v>
          </cell>
          <cell r="R45">
            <v>0</v>
          </cell>
          <cell r="S45">
            <v>0</v>
          </cell>
          <cell r="T45">
            <v>0</v>
          </cell>
          <cell r="W45" t="str">
            <v>mstag:cashDividendsPaidPreferred</v>
          </cell>
          <cell r="X45">
            <v>6</v>
          </cell>
          <cell r="Y45" t="str">
            <v>ISO4217:USD</v>
          </cell>
          <cell r="Z45" t="b">
            <v>1</v>
          </cell>
        </row>
        <row r="46">
          <cell r="A46" t="str">
            <v>Other</v>
          </cell>
          <cell r="B46">
            <v>0</v>
          </cell>
          <cell r="C46">
            <v>0</v>
          </cell>
          <cell r="D46">
            <v>-135</v>
          </cell>
          <cell r="E46">
            <v>-623</v>
          </cell>
          <cell r="F46">
            <v>0</v>
          </cell>
          <cell r="G46">
            <v>14</v>
          </cell>
          <cell r="H46">
            <v>-7</v>
          </cell>
          <cell r="I46">
            <v>-1</v>
          </cell>
          <cell r="J46">
            <v>14</v>
          </cell>
          <cell r="K46">
            <v>176</v>
          </cell>
          <cell r="L46">
            <v>254</v>
          </cell>
          <cell r="M46">
            <v>191</v>
          </cell>
          <cell r="N46">
            <v>0</v>
          </cell>
          <cell r="O46">
            <v>0</v>
          </cell>
          <cell r="P46">
            <v>0</v>
          </cell>
          <cell r="Q46">
            <v>0</v>
          </cell>
          <cell r="R46">
            <v>0</v>
          </cell>
          <cell r="S46">
            <v>0</v>
          </cell>
          <cell r="T46">
            <v>0</v>
          </cell>
          <cell r="W46" t="str">
            <v>mstag:otherCashFlowsFromUsedInFinancingActivities</v>
          </cell>
          <cell r="X46">
            <v>6</v>
          </cell>
          <cell r="Y46" t="str">
            <v>ISO4217:USD</v>
          </cell>
          <cell r="Z46" t="b">
            <v>0</v>
          </cell>
        </row>
        <row r="47">
          <cell r="A47" t="str">
            <v>Net cash used for financing activities</v>
          </cell>
          <cell r="B47">
            <v>-150</v>
          </cell>
          <cell r="C47">
            <v>-108</v>
          </cell>
          <cell r="D47">
            <v>2550</v>
          </cell>
          <cell r="E47">
            <v>-144</v>
          </cell>
          <cell r="F47">
            <v>-108</v>
          </cell>
          <cell r="G47">
            <v>-714</v>
          </cell>
          <cell r="H47">
            <v>-499</v>
          </cell>
          <cell r="I47">
            <v>-112</v>
          </cell>
          <cell r="J47">
            <v>-388</v>
          </cell>
          <cell r="K47">
            <v>-73</v>
          </cell>
          <cell r="L47">
            <v>282</v>
          </cell>
          <cell r="M47">
            <v>-130</v>
          </cell>
          <cell r="N47">
            <v>-444.04500000000002</v>
          </cell>
          <cell r="O47">
            <v>-416.0841801838942</v>
          </cell>
          <cell r="P47">
            <v>-416.02177029535937</v>
          </cell>
          <cell r="Q47">
            <v>-423.63558637581286</v>
          </cell>
          <cell r="R47">
            <v>-429.3259577721052</v>
          </cell>
          <cell r="S47">
            <v>-434.85532369178878</v>
          </cell>
          <cell r="T47">
            <v>-440.61068457292657</v>
          </cell>
        </row>
        <row r="49">
          <cell r="A49" t="str">
            <v>Effect of exchange rate changes</v>
          </cell>
          <cell r="B49">
            <v>7</v>
          </cell>
          <cell r="C49">
            <v>6</v>
          </cell>
          <cell r="D49">
            <v>24</v>
          </cell>
          <cell r="E49">
            <v>-98</v>
          </cell>
          <cell r="F49">
            <v>26</v>
          </cell>
          <cell r="G49">
            <v>39</v>
          </cell>
          <cell r="H49">
            <v>-35</v>
          </cell>
          <cell r="I49">
            <v>63</v>
          </cell>
          <cell r="J49">
            <v>-18</v>
          </cell>
          <cell r="K49">
            <v>-2</v>
          </cell>
          <cell r="L49">
            <v>6</v>
          </cell>
          <cell r="M49">
            <v>11</v>
          </cell>
          <cell r="N49">
            <v>0</v>
          </cell>
          <cell r="O49">
            <v>0</v>
          </cell>
          <cell r="P49">
            <v>0</v>
          </cell>
          <cell r="Q49">
            <v>0</v>
          </cell>
          <cell r="R49">
            <v>0</v>
          </cell>
          <cell r="S49">
            <v>0</v>
          </cell>
          <cell r="T49">
            <v>0</v>
          </cell>
          <cell r="W49" t="str">
            <v>mstag:effectOfForeignExchangeRatesOnCash</v>
          </cell>
          <cell r="X49">
            <v>6</v>
          </cell>
          <cell r="Y49" t="str">
            <v>ISO4217:USD</v>
          </cell>
          <cell r="Z49" t="b">
            <v>0</v>
          </cell>
        </row>
        <row r="51">
          <cell r="A51" t="str">
            <v>Change in cash and cash equivalents</v>
          </cell>
          <cell r="B51">
            <v>81</v>
          </cell>
          <cell r="C51">
            <v>24</v>
          </cell>
          <cell r="D51">
            <v>690</v>
          </cell>
          <cell r="E51">
            <v>-448</v>
          </cell>
          <cell r="F51">
            <v>401</v>
          </cell>
          <cell r="G51">
            <v>34</v>
          </cell>
          <cell r="H51">
            <v>-149</v>
          </cell>
          <cell r="I51">
            <v>578</v>
          </cell>
          <cell r="J51">
            <v>-514</v>
          </cell>
          <cell r="K51">
            <v>-58</v>
          </cell>
          <cell r="L51">
            <v>277</v>
          </cell>
          <cell r="M51">
            <v>25</v>
          </cell>
          <cell r="N51">
            <v>111.69614252067316</v>
          </cell>
          <cell r="O51">
            <v>241.06243159440123</v>
          </cell>
          <cell r="P51">
            <v>153.4223931306949</v>
          </cell>
          <cell r="Q51">
            <v>267.1597603886263</v>
          </cell>
          <cell r="R51">
            <v>388.87194234405354</v>
          </cell>
          <cell r="S51">
            <v>421.5161275119163</v>
          </cell>
          <cell r="T51">
            <v>445.22960743669688</v>
          </cell>
        </row>
        <row r="53">
          <cell r="A53" t="str">
            <v>Cash and cash equivalents at year start</v>
          </cell>
          <cell r="B53">
            <v>43</v>
          </cell>
          <cell r="C53">
            <v>124</v>
          </cell>
          <cell r="D53">
            <v>148</v>
          </cell>
          <cell r="E53">
            <v>838</v>
          </cell>
          <cell r="F53">
            <v>390</v>
          </cell>
          <cell r="G53">
            <v>791</v>
          </cell>
          <cell r="H53">
            <v>825</v>
          </cell>
          <cell r="I53">
            <v>676</v>
          </cell>
          <cell r="J53">
            <v>1254</v>
          </cell>
          <cell r="K53">
            <v>740</v>
          </cell>
          <cell r="L53">
            <v>682</v>
          </cell>
          <cell r="M53">
            <v>959</v>
          </cell>
          <cell r="N53">
            <v>984</v>
          </cell>
          <cell r="O53">
            <v>1095.6961425206732</v>
          </cell>
          <cell r="P53">
            <v>1374.0946297438256</v>
          </cell>
          <cell r="Q53">
            <v>1527.5170228745205</v>
          </cell>
          <cell r="R53">
            <v>1794.6767832631467</v>
          </cell>
          <cell r="S53">
            <v>2183.5487256072001</v>
          </cell>
          <cell r="T53">
            <v>2605.0648531191164</v>
          </cell>
        </row>
        <row r="54">
          <cell r="A54" t="str">
            <v>Cash and cash equivalents at year end</v>
          </cell>
          <cell r="B54">
            <v>124</v>
          </cell>
          <cell r="C54">
            <v>148</v>
          </cell>
          <cell r="D54">
            <v>838</v>
          </cell>
          <cell r="E54">
            <v>390</v>
          </cell>
          <cell r="F54">
            <v>791</v>
          </cell>
          <cell r="G54">
            <v>825</v>
          </cell>
          <cell r="H54">
            <v>676</v>
          </cell>
          <cell r="I54">
            <v>1254</v>
          </cell>
          <cell r="J54">
            <v>740</v>
          </cell>
          <cell r="K54">
            <v>682</v>
          </cell>
          <cell r="L54">
            <v>959</v>
          </cell>
          <cell r="M54">
            <v>984</v>
          </cell>
          <cell r="N54">
            <v>1095.6961425206732</v>
          </cell>
          <cell r="O54">
            <v>1374.0946297438256</v>
          </cell>
          <cell r="P54">
            <v>1527.5170228745205</v>
          </cell>
          <cell r="Q54">
            <v>1794.6767832631467</v>
          </cell>
          <cell r="R54">
            <v>2183.5487256072001</v>
          </cell>
          <cell r="S54">
            <v>2605.0648531191164</v>
          </cell>
          <cell r="T54">
            <v>3050.2944605558132</v>
          </cell>
        </row>
        <row r="57">
          <cell r="B57" t="str">
            <v>2002-FY</v>
          </cell>
          <cell r="C57" t="str">
            <v>2003-FY</v>
          </cell>
          <cell r="D57" t="str">
            <v>2004-FY</v>
          </cell>
          <cell r="E57" t="str">
            <v>2005-FY</v>
          </cell>
          <cell r="F57" t="str">
            <v>2006-FY</v>
          </cell>
          <cell r="G57" t="str">
            <v>2007-FY</v>
          </cell>
          <cell r="H57" t="str">
            <v>2008-FY</v>
          </cell>
          <cell r="I57" t="str">
            <v>2009-FY</v>
          </cell>
          <cell r="J57" t="str">
            <v>2010-FY</v>
          </cell>
          <cell r="K57" t="str">
            <v>2011-FY</v>
          </cell>
          <cell r="L57" t="str">
            <v>2012-FY</v>
          </cell>
          <cell r="M57" t="str">
            <v>2013-FY</v>
          </cell>
          <cell r="N57" t="str">
            <v>2014-FY</v>
          </cell>
          <cell r="O57" t="str">
            <v>2015-FY</v>
          </cell>
          <cell r="P57" t="str">
            <v>2016-FY</v>
          </cell>
          <cell r="Q57" t="str">
            <v>2017-FY</v>
          </cell>
          <cell r="R57" t="str">
            <v>2018-FY</v>
          </cell>
          <cell r="S57" t="str">
            <v>2019-FY</v>
          </cell>
          <cell r="T57" t="str">
            <v>2020-FY</v>
          </cell>
        </row>
      </sheetData>
      <sheetData sheetId="5" refreshError="1">
        <row r="1">
          <cell r="A1" t="str">
            <v>Celanese</v>
          </cell>
          <cell r="W1" t="str">
            <v>Celanese</v>
          </cell>
          <cell r="BG1">
            <v>0.13059058562582737</v>
          </cell>
          <cell r="BH1">
            <v>5.0876576353162228</v>
          </cell>
          <cell r="BI1" t="str">
            <v>UnitOverride</v>
          </cell>
          <cell r="BJ1" t="str">
            <v>ReverseSign</v>
          </cell>
          <cell r="BK1" t="str">
            <v>ElementName</v>
          </cell>
          <cell r="BL1" t="str">
            <v>ScaleOverride</v>
          </cell>
          <cell r="BM1" t="str">
            <v>UnitOverride</v>
          </cell>
          <cell r="BN1" t="str">
            <v>ReverseSign</v>
          </cell>
          <cell r="BO1" t="str">
            <v>IsDrivingAssumption</v>
          </cell>
          <cell r="BP1" t="str">
            <v>SegmentID</v>
          </cell>
        </row>
        <row r="2">
          <cell r="X2">
            <v>2006</v>
          </cell>
          <cell r="AB2">
            <v>2007</v>
          </cell>
          <cell r="AG2">
            <v>2008</v>
          </cell>
          <cell r="AJ2">
            <v>2009</v>
          </cell>
          <cell r="AO2">
            <v>2010</v>
          </cell>
          <cell r="AR2">
            <v>2011</v>
          </cell>
          <cell r="AV2" t="str">
            <v>2012e</v>
          </cell>
          <cell r="AZ2" t="str">
            <v>2013e</v>
          </cell>
          <cell r="BA2" t="str">
            <v>2013e</v>
          </cell>
          <cell r="BE2" t="str">
            <v>2014e</v>
          </cell>
        </row>
        <row r="3">
          <cell r="A3" t="str">
            <v>In US$ millions (except per share data)</v>
          </cell>
          <cell r="B3">
            <v>2002</v>
          </cell>
          <cell r="C3">
            <v>2003</v>
          </cell>
          <cell r="D3">
            <v>2004</v>
          </cell>
          <cell r="E3">
            <v>2005</v>
          </cell>
          <cell r="F3">
            <v>2006</v>
          </cell>
          <cell r="G3">
            <v>2007</v>
          </cell>
          <cell r="H3">
            <v>2008</v>
          </cell>
          <cell r="I3">
            <v>2009</v>
          </cell>
          <cell r="J3">
            <v>2010</v>
          </cell>
          <cell r="K3">
            <v>2011</v>
          </cell>
          <cell r="L3" t="str">
            <v>2012e</v>
          </cell>
          <cell r="M3" t="str">
            <v>2013e</v>
          </cell>
          <cell r="N3" t="str">
            <v>2014e</v>
          </cell>
          <cell r="O3" t="str">
            <v>2015e</v>
          </cell>
          <cell r="P3" t="str">
            <v>2016e</v>
          </cell>
          <cell r="Q3" t="str">
            <v>2017e</v>
          </cell>
          <cell r="R3" t="str">
            <v>2018e</v>
          </cell>
          <cell r="S3" t="str">
            <v>2019e</v>
          </cell>
          <cell r="T3" t="str">
            <v>2020e</v>
          </cell>
          <cell r="W3" t="str">
            <v>In US$ millions (except per share data)</v>
          </cell>
          <cell r="X3" t="str">
            <v>Q1</v>
          </cell>
          <cell r="Y3" t="str">
            <v>Q2</v>
          </cell>
          <cell r="Z3" t="str">
            <v>Q3</v>
          </cell>
          <cell r="AA3" t="str">
            <v>Q4</v>
          </cell>
          <cell r="AB3" t="str">
            <v>Q1</v>
          </cell>
          <cell r="AC3" t="str">
            <v>Q2</v>
          </cell>
          <cell r="AD3" t="str">
            <v>Q3</v>
          </cell>
          <cell r="AE3" t="str">
            <v>Q4</v>
          </cell>
          <cell r="AF3" t="str">
            <v>Q1</v>
          </cell>
          <cell r="AG3" t="str">
            <v>Q2</v>
          </cell>
          <cell r="AH3" t="str">
            <v>Q3</v>
          </cell>
          <cell r="AI3" t="str">
            <v>Q4</v>
          </cell>
          <cell r="AJ3" t="str">
            <v>Q1</v>
          </cell>
          <cell r="AK3" t="str">
            <v>Q2</v>
          </cell>
          <cell r="AL3" t="str">
            <v>Q3</v>
          </cell>
          <cell r="AM3" t="str">
            <v>Q4</v>
          </cell>
          <cell r="AN3" t="str">
            <v>Q1</v>
          </cell>
          <cell r="AO3" t="str">
            <v>Q2</v>
          </cell>
          <cell r="AP3" t="str">
            <v>Q3</v>
          </cell>
          <cell r="AQ3" t="str">
            <v>Q4</v>
          </cell>
          <cell r="AR3" t="str">
            <v>Q1</v>
          </cell>
          <cell r="AS3" t="str">
            <v>Q2</v>
          </cell>
          <cell r="AT3" t="str">
            <v>Q3</v>
          </cell>
          <cell r="AU3" t="str">
            <v>Q4</v>
          </cell>
          <cell r="AV3" t="str">
            <v>Q1</v>
          </cell>
          <cell r="AW3" t="str">
            <v>Q2</v>
          </cell>
          <cell r="AX3" t="str">
            <v>Q3</v>
          </cell>
          <cell r="AY3" t="str">
            <v>Q4</v>
          </cell>
          <cell r="AZ3" t="str">
            <v>Q1</v>
          </cell>
          <cell r="BA3" t="str">
            <v>Q2</v>
          </cell>
          <cell r="BB3" t="str">
            <v>Q3</v>
          </cell>
          <cell r="BC3" t="str">
            <v>Q4</v>
          </cell>
          <cell r="BD3" t="str">
            <v>Q1</v>
          </cell>
          <cell r="BE3" t="str">
            <v>Q2</v>
          </cell>
          <cell r="BF3" t="str">
            <v>Q3</v>
          </cell>
          <cell r="BG3" t="str">
            <v>Q4</v>
          </cell>
        </row>
        <row r="5">
          <cell r="A5" t="str">
            <v>Revenues</v>
          </cell>
          <cell r="B5">
            <v>3836</v>
          </cell>
          <cell r="C5">
            <v>4485</v>
          </cell>
          <cell r="D5">
            <v>4927</v>
          </cell>
          <cell r="E5">
            <v>6033</v>
          </cell>
          <cell r="F5">
            <v>5778</v>
          </cell>
          <cell r="G5">
            <v>6444</v>
          </cell>
          <cell r="H5">
            <v>6823</v>
          </cell>
          <cell r="I5">
            <v>5082</v>
          </cell>
          <cell r="J5">
            <v>5918</v>
          </cell>
          <cell r="K5">
            <v>6763</v>
          </cell>
          <cell r="L5">
            <v>6418</v>
          </cell>
          <cell r="M5">
            <v>6510</v>
          </cell>
          <cell r="N5">
            <v>6863.9613156334472</v>
          </cell>
          <cell r="O5">
            <v>7152.1815308081123</v>
          </cell>
          <cell r="P5">
            <v>7618.741830649049</v>
          </cell>
          <cell r="Q5">
            <v>8011.6911516394021</v>
          </cell>
          <cell r="R5">
            <v>8281.359891516986</v>
          </cell>
          <cell r="S5">
            <v>8509.501103636052</v>
          </cell>
          <cell r="T5">
            <v>8747.4328262274994</v>
          </cell>
          <cell r="W5" t="str">
            <v>Revenues</v>
          </cell>
          <cell r="X5">
            <v>1498</v>
          </cell>
          <cell r="Y5">
            <v>1457</v>
          </cell>
          <cell r="Z5">
            <v>1471</v>
          </cell>
          <cell r="AA5">
            <v>1352</v>
          </cell>
          <cell r="AB5">
            <v>1555</v>
          </cell>
          <cell r="AC5">
            <v>1556</v>
          </cell>
          <cell r="AD5">
            <v>1573</v>
          </cell>
          <cell r="AE5">
            <v>1760</v>
          </cell>
          <cell r="AF5">
            <v>1846</v>
          </cell>
          <cell r="AG5">
            <v>1868</v>
          </cell>
          <cell r="AH5">
            <v>1823</v>
          </cell>
          <cell r="AI5">
            <v>1286</v>
          </cell>
          <cell r="AJ5">
            <v>1146</v>
          </cell>
          <cell r="AK5">
            <v>1244</v>
          </cell>
          <cell r="AL5">
            <v>1304</v>
          </cell>
          <cell r="AM5">
            <v>1388</v>
          </cell>
          <cell r="AN5">
            <v>1388</v>
          </cell>
          <cell r="AO5">
            <v>1517</v>
          </cell>
          <cell r="AP5">
            <v>1506</v>
          </cell>
          <cell r="AQ5">
            <v>1507</v>
          </cell>
          <cell r="AR5">
            <v>1589</v>
          </cell>
          <cell r="AS5">
            <v>1753</v>
          </cell>
          <cell r="AT5">
            <v>1807</v>
          </cell>
          <cell r="AU5">
            <v>1614</v>
          </cell>
          <cell r="AV5">
            <v>1633</v>
          </cell>
          <cell r="AW5">
            <v>1675</v>
          </cell>
          <cell r="AX5">
            <v>1609</v>
          </cell>
          <cell r="AY5">
            <v>1501</v>
          </cell>
          <cell r="AZ5">
            <v>1605</v>
          </cell>
          <cell r="BA5">
            <v>1653</v>
          </cell>
          <cell r="BB5">
            <v>1636</v>
          </cell>
          <cell r="BC5">
            <v>1616</v>
          </cell>
          <cell r="BD5">
            <v>1705</v>
          </cell>
          <cell r="BE5">
            <v>1757.7391462031524</v>
          </cell>
          <cell r="BF5">
            <v>1717.7146897074176</v>
          </cell>
          <cell r="BG5">
            <v>1683.5074797228774</v>
          </cell>
          <cell r="BH5">
            <v>6</v>
          </cell>
          <cell r="BI5" t="str">
            <v>ISO4217:USD</v>
          </cell>
          <cell r="BJ5" t="b">
            <v>0</v>
          </cell>
          <cell r="BK5" t="str">
            <v>mstag:revenueNet</v>
          </cell>
          <cell r="BL5">
            <v>6</v>
          </cell>
          <cell r="BM5" t="str">
            <v>ISO4217:USD</v>
          </cell>
          <cell r="BN5" t="b">
            <v>0</v>
          </cell>
        </row>
        <row r="6">
          <cell r="A6" t="str">
            <v>Growth (%)</v>
          </cell>
          <cell r="C6">
            <v>0.16918665276329503</v>
          </cell>
          <cell r="D6">
            <v>9.8550724637681109E-2</v>
          </cell>
          <cell r="E6">
            <v>0.22447736959610309</v>
          </cell>
          <cell r="F6">
            <v>-4.2267528592739967E-2</v>
          </cell>
          <cell r="G6">
            <v>0.11526479750778806</v>
          </cell>
          <cell r="H6">
            <v>5.8814400993171922E-2</v>
          </cell>
          <cell r="I6">
            <v>-0.25516634911329328</v>
          </cell>
          <cell r="J6">
            <v>0.16450216450216448</v>
          </cell>
          <cell r="K6">
            <v>0.14278472456911118</v>
          </cell>
          <cell r="L6">
            <v>-5.1012864113559098E-2</v>
          </cell>
          <cell r="M6">
            <v>1.4334683702087903E-2</v>
          </cell>
          <cell r="N6">
            <v>5.4371937885322241E-2</v>
          </cell>
          <cell r="O6">
            <v>4.199036123910127E-2</v>
          </cell>
          <cell r="P6">
            <v>6.5233285513129458E-2</v>
          </cell>
          <cell r="Q6">
            <v>5.1576668395505676E-2</v>
          </cell>
          <cell r="R6">
            <v>3.3659402836865748E-2</v>
          </cell>
          <cell r="S6">
            <v>2.7548761931329935E-2</v>
          </cell>
          <cell r="T6">
            <v>2.7960713524060932E-2</v>
          </cell>
          <cell r="W6" t="str">
            <v>Growth (%)</v>
          </cell>
          <cell r="AB6">
            <v>3.8050734312416568E-2</v>
          </cell>
          <cell r="AC6">
            <v>6.7947838023335594E-2</v>
          </cell>
          <cell r="AD6">
            <v>6.9340584636301772E-2</v>
          </cell>
          <cell r="AE6">
            <v>0.30177514792899407</v>
          </cell>
          <cell r="AF6">
            <v>0.18713826366559494</v>
          </cell>
          <cell r="AG6">
            <v>0.2005141388174807</v>
          </cell>
          <cell r="AH6">
            <v>0.15893197711379536</v>
          </cell>
          <cell r="AI6">
            <v>-0.26931818181818179</v>
          </cell>
          <cell r="AJ6">
            <v>-0.37919826652221023</v>
          </cell>
          <cell r="AK6">
            <v>-0.33404710920770875</v>
          </cell>
          <cell r="AL6">
            <v>-0.2846955567745475</v>
          </cell>
          <cell r="AM6">
            <v>7.9315707620528864E-2</v>
          </cell>
          <cell r="AN6">
            <v>0.21116928446771377</v>
          </cell>
          <cell r="AO6">
            <v>0.21945337620578775</v>
          </cell>
          <cell r="AP6">
            <v>0.1549079754601228</v>
          </cell>
          <cell r="AQ6">
            <v>8.5734870317002887E-2</v>
          </cell>
          <cell r="AR6">
            <v>0.14481268011527382</v>
          </cell>
          <cell r="AS6">
            <v>0.15557020435069213</v>
          </cell>
          <cell r="AT6">
            <v>0.19986719787516605</v>
          </cell>
          <cell r="AU6">
            <v>7.1001990710019891E-2</v>
          </cell>
          <cell r="AV6">
            <v>2.7690371302706129E-2</v>
          </cell>
          <cell r="AW6">
            <v>-4.4495151169423819E-2</v>
          </cell>
          <cell r="AX6">
            <v>-0.10957387935805207</v>
          </cell>
          <cell r="AY6">
            <v>-7.0012391573729849E-2</v>
          </cell>
          <cell r="AZ6">
            <v>-1.7146356399265206E-2</v>
          </cell>
          <cell r="BA6">
            <v>-1.3134328358208935E-2</v>
          </cell>
          <cell r="BB6">
            <v>1.6780609073959063E-2</v>
          </cell>
          <cell r="BC6">
            <v>7.6615589606928713E-2</v>
          </cell>
          <cell r="BD6">
            <v>6.230529595015577E-2</v>
          </cell>
          <cell r="BE6">
            <v>6.3363064853691586E-2</v>
          </cell>
          <cell r="BF6">
            <v>4.9947854344387199E-2</v>
          </cell>
          <cell r="BG6">
            <v>4.1774430521582584E-2</v>
          </cell>
        </row>
        <row r="7">
          <cell r="BD7" t="str">
            <v xml:space="preserve"> </v>
          </cell>
        </row>
        <row r="8">
          <cell r="A8" t="str">
            <v>Cost of sales</v>
          </cell>
          <cell r="B8">
            <v>-3171</v>
          </cell>
          <cell r="C8">
            <v>-3795</v>
          </cell>
          <cell r="D8">
            <v>-3975</v>
          </cell>
          <cell r="E8">
            <v>-4731</v>
          </cell>
          <cell r="F8">
            <v>-4469</v>
          </cell>
          <cell r="G8">
            <v>-4999</v>
          </cell>
          <cell r="H8">
            <v>-5567</v>
          </cell>
          <cell r="I8">
            <v>-4079</v>
          </cell>
          <cell r="J8">
            <v>-4738</v>
          </cell>
          <cell r="K8">
            <v>-5346</v>
          </cell>
          <cell r="L8">
            <v>-5237</v>
          </cell>
          <cell r="M8">
            <v>-5145</v>
          </cell>
          <cell r="N8">
            <v>-5348.5224414299319</v>
          </cell>
          <cell r="O8">
            <v>-5586.8363476568748</v>
          </cell>
          <cell r="P8">
            <v>-6084.8874917083604</v>
          </cell>
          <cell r="Q8">
            <v>-6401.6854919585439</v>
          </cell>
          <cell r="R8">
            <v>-6616.829509291988</v>
          </cell>
          <cell r="S8">
            <v>-6796.612237315856</v>
          </cell>
          <cell r="T8">
            <v>-6984.2729988381343</v>
          </cell>
          <cell r="W8" t="str">
            <v>Cost of sales</v>
          </cell>
          <cell r="X8">
            <v>-1160</v>
          </cell>
          <cell r="Y8">
            <v>-1121</v>
          </cell>
          <cell r="Z8">
            <v>-1133</v>
          </cell>
          <cell r="AA8">
            <v>-1055</v>
          </cell>
          <cell r="AB8">
            <v>-1196</v>
          </cell>
          <cell r="AC8">
            <v>-1219</v>
          </cell>
          <cell r="AD8">
            <v>-1236</v>
          </cell>
          <cell r="AE8">
            <v>-1348</v>
          </cell>
          <cell r="AF8">
            <v>-1428</v>
          </cell>
          <cell r="AG8">
            <v>-1472</v>
          </cell>
          <cell r="AH8">
            <v>-1490</v>
          </cell>
          <cell r="AI8">
            <v>-1177</v>
          </cell>
          <cell r="AJ8">
            <v>-946</v>
          </cell>
          <cell r="AK8">
            <v>-996</v>
          </cell>
          <cell r="AL8">
            <v>-1038</v>
          </cell>
          <cell r="AM8">
            <v>-1099</v>
          </cell>
          <cell r="AN8">
            <v>-1170</v>
          </cell>
          <cell r="AO8">
            <v>-1214</v>
          </cell>
          <cell r="AP8">
            <v>-1160</v>
          </cell>
          <cell r="AQ8">
            <v>-1194</v>
          </cell>
          <cell r="AR8">
            <v>-1235</v>
          </cell>
          <cell r="AS8">
            <v>-1342</v>
          </cell>
          <cell r="AT8">
            <v>-1404</v>
          </cell>
          <cell r="AU8">
            <v>-1365</v>
          </cell>
          <cell r="AV8">
            <v>-1359</v>
          </cell>
          <cell r="AW8">
            <v>-1340</v>
          </cell>
          <cell r="AX8">
            <v>-1281</v>
          </cell>
          <cell r="AY8">
            <v>-1257</v>
          </cell>
          <cell r="AZ8">
            <v>-1272</v>
          </cell>
          <cell r="BA8">
            <v>-1334</v>
          </cell>
          <cell r="BB8">
            <v>-1290</v>
          </cell>
          <cell r="BC8">
            <v>-1249</v>
          </cell>
          <cell r="BD8">
            <v>-1327</v>
          </cell>
          <cell r="BE8">
            <v>-1368.6526837903825</v>
          </cell>
          <cell r="BF8">
            <v>-1339.0744930662618</v>
          </cell>
          <cell r="BG8">
            <v>-1313.7952645732878</v>
          </cell>
        </row>
        <row r="9">
          <cell r="A9" t="str">
            <v>as % of revenues</v>
          </cell>
          <cell r="B9">
            <v>0.82664233576642332</v>
          </cell>
          <cell r="C9">
            <v>0.84615384615384615</v>
          </cell>
          <cell r="D9">
            <v>0.80677897300588597</v>
          </cell>
          <cell r="E9">
            <v>0.78418697165589257</v>
          </cell>
          <cell r="F9">
            <v>0.77345102111457253</v>
          </cell>
          <cell r="G9">
            <v>0.7757603972687771</v>
          </cell>
          <cell r="H9">
            <v>0.8159167521618057</v>
          </cell>
          <cell r="I9">
            <v>0.80263675718221172</v>
          </cell>
          <cell r="J9">
            <v>0.80060831361946605</v>
          </cell>
          <cell r="K9">
            <v>0.7904775986988023</v>
          </cell>
          <cell r="L9">
            <v>0.81598628856341537</v>
          </cell>
          <cell r="M9">
            <v>0.79032258064516125</v>
          </cell>
          <cell r="N9">
            <v>0.77921803394317912</v>
          </cell>
          <cell r="O9">
            <v>0.78113738075460004</v>
          </cell>
          <cell r="P9">
            <v>0.79867353783137474</v>
          </cell>
          <cell r="Q9">
            <v>0.7990429699288385</v>
          </cell>
          <cell r="R9">
            <v>0.79900277200486602</v>
          </cell>
          <cell r="S9">
            <v>0.79870866159376952</v>
          </cell>
          <cell r="T9">
            <v>0.79843688286432235</v>
          </cell>
          <cell r="W9" t="str">
            <v>Margin</v>
          </cell>
          <cell r="X9">
            <v>0.77436582109479302</v>
          </cell>
          <cell r="Y9">
            <v>0.76938915579958822</v>
          </cell>
          <cell r="Z9">
            <v>0.77022433718558803</v>
          </cell>
          <cell r="AA9">
            <v>0.78032544378698221</v>
          </cell>
          <cell r="AB9">
            <v>0.76913183279742769</v>
          </cell>
          <cell r="AC9">
            <v>0.78341902313624678</v>
          </cell>
          <cell r="AD9">
            <v>0.78575969485060393</v>
          </cell>
          <cell r="AE9">
            <v>0.76590909090909087</v>
          </cell>
          <cell r="AF9">
            <v>0.77356446370530874</v>
          </cell>
          <cell r="AG9">
            <v>0.78800856531049246</v>
          </cell>
          <cell r="AH9">
            <v>0.81733406472846959</v>
          </cell>
          <cell r="AI9">
            <v>0.9152410575427683</v>
          </cell>
          <cell r="AJ9">
            <v>0.82547993019197208</v>
          </cell>
          <cell r="AK9">
            <v>0.80064308681672025</v>
          </cell>
          <cell r="AL9">
            <v>0.79601226993865026</v>
          </cell>
          <cell r="AM9">
            <v>0.7917867435158501</v>
          </cell>
          <cell r="AN9">
            <v>0.84293948126801155</v>
          </cell>
          <cell r="AO9">
            <v>0.80026367831245881</v>
          </cell>
          <cell r="AP9">
            <v>0.77025232403718458</v>
          </cell>
          <cell r="AQ9">
            <v>0.79230258792302588</v>
          </cell>
          <cell r="AR9">
            <v>0.77721837633731905</v>
          </cell>
          <cell r="AS9">
            <v>0.76554478037649742</v>
          </cell>
          <cell r="AT9">
            <v>0.7769784172661871</v>
          </cell>
          <cell r="AU9">
            <v>0.84572490706319703</v>
          </cell>
          <cell r="AV9">
            <v>0.83221065523576243</v>
          </cell>
          <cell r="AW9">
            <v>0.8</v>
          </cell>
          <cell r="AX9">
            <v>0.7961466749533872</v>
          </cell>
          <cell r="AY9">
            <v>0.83744170552964692</v>
          </cell>
          <cell r="AZ9">
            <v>0.79252336448598126</v>
          </cell>
          <cell r="BA9">
            <v>0.80701754385964908</v>
          </cell>
          <cell r="BB9">
            <v>0.78850855745721271</v>
          </cell>
          <cell r="BC9">
            <v>0.77289603960396036</v>
          </cell>
          <cell r="BD9">
            <v>0.77829912023460412</v>
          </cell>
          <cell r="BE9">
            <v>0.77864379748654655</v>
          </cell>
          <cell r="BF9">
            <v>0.77956746896910423</v>
          </cell>
          <cell r="BG9">
            <v>0.78039170030272276</v>
          </cell>
        </row>
        <row r="11">
          <cell r="A11" t="str">
            <v>Cost of sales (ex-depreciation)</v>
          </cell>
          <cell r="B11">
            <v>-2924</v>
          </cell>
          <cell r="C11">
            <v>-3501</v>
          </cell>
          <cell r="D11">
            <v>-3767</v>
          </cell>
          <cell r="E11">
            <v>-4497</v>
          </cell>
          <cell r="F11">
            <v>-4266</v>
          </cell>
          <cell r="G11">
            <v>-4780</v>
          </cell>
          <cell r="H11">
            <v>-5314</v>
          </cell>
          <cell r="I11">
            <v>-3866</v>
          </cell>
          <cell r="J11">
            <v>-4541</v>
          </cell>
          <cell r="K11">
            <v>-5121</v>
          </cell>
          <cell r="L11">
            <v>-4988</v>
          </cell>
          <cell r="M11">
            <v>-4875</v>
          </cell>
          <cell r="N11">
            <v>-5072.4875411719322</v>
          </cell>
          <cell r="O11">
            <v>-5321.2230589212359</v>
          </cell>
          <cell r="P11">
            <v>-5790.2437912932774</v>
          </cell>
          <cell r="Q11">
            <v>-6088.8852752459452</v>
          </cell>
          <cell r="R11">
            <v>-6293.8335175529091</v>
          </cell>
          <cell r="S11">
            <v>-6467.2208387634</v>
          </cell>
          <cell r="T11">
            <v>-6648.0489479328999</v>
          </cell>
          <cell r="W11" t="str">
            <v>Cost of sales (ex-depreciation)</v>
          </cell>
          <cell r="X11">
            <v>-1104.5</v>
          </cell>
          <cell r="Y11">
            <v>-1069.5</v>
          </cell>
          <cell r="Z11">
            <v>-1084</v>
          </cell>
          <cell r="AA11">
            <v>-1008</v>
          </cell>
          <cell r="AB11">
            <v>-1146</v>
          </cell>
          <cell r="AC11">
            <v>-1163</v>
          </cell>
          <cell r="AD11">
            <v>-1177</v>
          </cell>
          <cell r="AE11">
            <v>-1294</v>
          </cell>
          <cell r="AF11">
            <v>-1364</v>
          </cell>
          <cell r="AG11">
            <v>-1410</v>
          </cell>
          <cell r="AH11">
            <v>-1424</v>
          </cell>
          <cell r="AI11">
            <v>-1116</v>
          </cell>
          <cell r="AJ11">
            <v>-892</v>
          </cell>
          <cell r="AK11">
            <v>-945</v>
          </cell>
          <cell r="AL11">
            <v>-985</v>
          </cell>
          <cell r="AM11">
            <v>-1044</v>
          </cell>
          <cell r="AN11">
            <v>-1119</v>
          </cell>
          <cell r="AO11">
            <v>-1166</v>
          </cell>
          <cell r="AP11">
            <v>-1111</v>
          </cell>
          <cell r="AQ11">
            <v>-1145</v>
          </cell>
          <cell r="AR11">
            <v>-1185</v>
          </cell>
          <cell r="AS11">
            <v>-1291</v>
          </cell>
          <cell r="AT11">
            <v>-1344</v>
          </cell>
          <cell r="AU11">
            <v>-1301</v>
          </cell>
          <cell r="AV11">
            <v>-1300</v>
          </cell>
          <cell r="AW11">
            <v>-1279</v>
          </cell>
          <cell r="AX11">
            <v>-1218</v>
          </cell>
          <cell r="AY11">
            <v>-1191</v>
          </cell>
          <cell r="AZ11">
            <v>-1207</v>
          </cell>
          <cell r="BA11">
            <v>-1268</v>
          </cell>
          <cell r="BB11">
            <v>-1220</v>
          </cell>
          <cell r="BC11">
            <v>-1180</v>
          </cell>
          <cell r="BD11">
            <v>-1260</v>
          </cell>
          <cell r="BE11">
            <v>-1298.9743837043825</v>
          </cell>
          <cell r="BF11">
            <v>-1269.3961929802617</v>
          </cell>
          <cell r="BG11">
            <v>-1244.1169644872878</v>
          </cell>
          <cell r="BH11">
            <v>6</v>
          </cell>
          <cell r="BI11" t="str">
            <v>ISO4217:USD</v>
          </cell>
          <cell r="BJ11" t="b">
            <v>1</v>
          </cell>
          <cell r="BK11" t="str">
            <v>mstag:costOfSalesWithoutDepreciation</v>
          </cell>
          <cell r="BL11">
            <v>6</v>
          </cell>
          <cell r="BM11" t="str">
            <v>ISO4217:USD</v>
          </cell>
          <cell r="BN11" t="b">
            <v>1</v>
          </cell>
        </row>
        <row r="12">
          <cell r="A12" t="str">
            <v>COGS as % of revenues</v>
          </cell>
          <cell r="B12">
            <v>0.76225234619395199</v>
          </cell>
          <cell r="C12">
            <v>0.78060200668896318</v>
          </cell>
          <cell r="D12">
            <v>0.7645626141668358</v>
          </cell>
          <cell r="E12">
            <v>0.74540029835902533</v>
          </cell>
          <cell r="F12">
            <v>0.73831775700934577</v>
          </cell>
          <cell r="G12">
            <v>0.7417752948479206</v>
          </cell>
          <cell r="H12">
            <v>0.77883628902242419</v>
          </cell>
          <cell r="I12">
            <v>0.76072412436048797</v>
          </cell>
          <cell r="J12">
            <v>0.7673200405542413</v>
          </cell>
          <cell r="K12">
            <v>0.75720833949430721</v>
          </cell>
          <cell r="L12">
            <v>0.77718915550015577</v>
          </cell>
          <cell r="M12">
            <v>0.74884792626728114</v>
          </cell>
          <cell r="N12">
            <v>0.73900293255131977</v>
          </cell>
          <cell r="O12">
            <v>0.74399999999999999</v>
          </cell>
          <cell r="P12">
            <v>0.76</v>
          </cell>
          <cell r="Q12">
            <v>0.76</v>
          </cell>
          <cell r="R12">
            <v>0.76</v>
          </cell>
          <cell r="S12">
            <v>0.76</v>
          </cell>
          <cell r="T12">
            <v>0.76</v>
          </cell>
          <cell r="W12" t="str">
            <v>COGS as % of revenues</v>
          </cell>
          <cell r="X12">
            <v>0.73731642189586111</v>
          </cell>
          <cell r="Y12">
            <v>0.73404255319148937</v>
          </cell>
          <cell r="Z12">
            <v>0.73691366417403126</v>
          </cell>
          <cell r="AA12">
            <v>0.74556213017751483</v>
          </cell>
          <cell r="AB12">
            <v>0.73697749196141482</v>
          </cell>
          <cell r="AC12">
            <v>0.74742930591259638</v>
          </cell>
          <cell r="AD12">
            <v>0.74825174825174823</v>
          </cell>
          <cell r="AE12">
            <v>0.73522727272727273</v>
          </cell>
          <cell r="AF12">
            <v>0.73889490790899237</v>
          </cell>
          <cell r="AG12">
            <v>0.7548179871520343</v>
          </cell>
          <cell r="AH12">
            <v>0.78113000548546352</v>
          </cell>
          <cell r="AI12">
            <v>0.86780715396578534</v>
          </cell>
          <cell r="AJ12">
            <v>0.77835951134380454</v>
          </cell>
          <cell r="AK12">
            <v>0.75964630225080387</v>
          </cell>
          <cell r="AL12">
            <v>0.75536809815950923</v>
          </cell>
          <cell r="AM12">
            <v>0.75216138328530258</v>
          </cell>
          <cell r="AN12">
            <v>0.80619596541786742</v>
          </cell>
          <cell r="AO12">
            <v>0.7686222808174028</v>
          </cell>
          <cell r="AP12">
            <v>0.73771580345285526</v>
          </cell>
          <cell r="AQ12">
            <v>0.75978765759787659</v>
          </cell>
          <cell r="AR12">
            <v>0.74575204531151673</v>
          </cell>
          <cell r="AS12">
            <v>0.73645179691956641</v>
          </cell>
          <cell r="AT12">
            <v>0.74377421140011069</v>
          </cell>
          <cell r="AU12">
            <v>0.80607187112763323</v>
          </cell>
          <cell r="AV12">
            <v>0.79608083282302511</v>
          </cell>
          <cell r="AW12">
            <v>0.76358208955223883</v>
          </cell>
          <cell r="AX12">
            <v>0.75699192044748287</v>
          </cell>
          <cell r="AY12">
            <v>0.79347101932045305</v>
          </cell>
          <cell r="AZ12">
            <v>0.75202492211838001</v>
          </cell>
          <cell r="BA12">
            <v>0.76709013914095581</v>
          </cell>
          <cell r="BB12">
            <v>0.74572127139364308</v>
          </cell>
          <cell r="BC12">
            <v>0.73019801980198018</v>
          </cell>
          <cell r="BD12">
            <v>0.73900293255131966</v>
          </cell>
          <cell r="BE12">
            <v>0.73900293255131966</v>
          </cell>
          <cell r="BF12">
            <v>0.73900293255131966</v>
          </cell>
          <cell r="BG12">
            <v>0.73900293255131966</v>
          </cell>
        </row>
        <row r="14">
          <cell r="A14" t="str">
            <v>Gross Profit (reported)</v>
          </cell>
          <cell r="B14">
            <v>665</v>
          </cell>
          <cell r="C14">
            <v>690</v>
          </cell>
          <cell r="D14">
            <v>952</v>
          </cell>
          <cell r="E14">
            <v>1302</v>
          </cell>
          <cell r="F14">
            <v>1309</v>
          </cell>
          <cell r="G14">
            <v>1445</v>
          </cell>
          <cell r="H14">
            <v>1256</v>
          </cell>
          <cell r="I14">
            <v>1003</v>
          </cell>
          <cell r="J14">
            <v>1180</v>
          </cell>
          <cell r="K14">
            <v>1417</v>
          </cell>
          <cell r="L14">
            <v>1181</v>
          </cell>
          <cell r="M14">
            <v>1365</v>
          </cell>
          <cell r="N14">
            <v>1515.4388742035153</v>
          </cell>
          <cell r="O14">
            <v>1565.3451831512375</v>
          </cell>
          <cell r="P14">
            <v>1533.8543389406886</v>
          </cell>
          <cell r="Q14">
            <v>1610.0056596808581</v>
          </cell>
          <cell r="R14">
            <v>1664.530382224998</v>
          </cell>
          <cell r="S14">
            <v>1712.888866320196</v>
          </cell>
          <cell r="T14">
            <v>1763.1598273893651</v>
          </cell>
          <cell r="W14" t="str">
            <v>Gross Profit (reported)</v>
          </cell>
          <cell r="X14">
            <v>338</v>
          </cell>
          <cell r="Y14">
            <v>336</v>
          </cell>
          <cell r="Z14">
            <v>338</v>
          </cell>
          <cell r="AA14">
            <v>297</v>
          </cell>
          <cell r="AB14">
            <v>359</v>
          </cell>
          <cell r="AC14">
            <v>337</v>
          </cell>
          <cell r="AD14">
            <v>337</v>
          </cell>
          <cell r="AE14">
            <v>412</v>
          </cell>
          <cell r="AF14">
            <v>418</v>
          </cell>
          <cell r="AG14">
            <v>396</v>
          </cell>
          <cell r="AH14">
            <v>333</v>
          </cell>
          <cell r="AI14">
            <v>109</v>
          </cell>
          <cell r="AJ14">
            <v>200</v>
          </cell>
          <cell r="AK14">
            <v>248</v>
          </cell>
          <cell r="AL14">
            <v>266</v>
          </cell>
          <cell r="AM14">
            <v>289</v>
          </cell>
          <cell r="AN14">
            <v>218</v>
          </cell>
          <cell r="AO14">
            <v>303</v>
          </cell>
          <cell r="AP14">
            <v>346</v>
          </cell>
          <cell r="AQ14">
            <v>313</v>
          </cell>
          <cell r="AR14">
            <v>354</v>
          </cell>
          <cell r="AS14">
            <v>411</v>
          </cell>
          <cell r="AT14">
            <v>403</v>
          </cell>
          <cell r="AU14">
            <v>249</v>
          </cell>
          <cell r="AV14">
            <v>274</v>
          </cell>
          <cell r="AW14">
            <v>335</v>
          </cell>
          <cell r="AX14">
            <v>328</v>
          </cell>
          <cell r="AY14">
            <v>244</v>
          </cell>
          <cell r="AZ14">
            <v>333</v>
          </cell>
          <cell r="BA14">
            <v>319</v>
          </cell>
          <cell r="BB14">
            <v>346</v>
          </cell>
          <cell r="BC14">
            <v>367</v>
          </cell>
          <cell r="BD14">
            <v>378</v>
          </cell>
          <cell r="BE14">
            <v>389.08646241276983</v>
          </cell>
          <cell r="BF14">
            <v>378.64019664115585</v>
          </cell>
          <cell r="BG14">
            <v>369.71221514958961</v>
          </cell>
        </row>
        <row r="15">
          <cell r="A15" t="str">
            <v>Gross Margin (%)</v>
          </cell>
          <cell r="B15">
            <v>0.17335766423357665</v>
          </cell>
          <cell r="C15">
            <v>0.15384615384615385</v>
          </cell>
          <cell r="D15">
            <v>0.19322102699411406</v>
          </cell>
          <cell r="E15">
            <v>0.2158130283441074</v>
          </cell>
          <cell r="F15">
            <v>0.22654897888542749</v>
          </cell>
          <cell r="G15">
            <v>0.22423960273122284</v>
          </cell>
          <cell r="H15">
            <v>0.18408324783819435</v>
          </cell>
          <cell r="I15">
            <v>0.19736324281778828</v>
          </cell>
          <cell r="J15">
            <v>0.19939168638053398</v>
          </cell>
          <cell r="K15">
            <v>0.2095224013011977</v>
          </cell>
          <cell r="L15">
            <v>0.1840137114365846</v>
          </cell>
          <cell r="M15">
            <v>0.20967741935483872</v>
          </cell>
          <cell r="N15">
            <v>0.22078196605682088</v>
          </cell>
          <cell r="O15">
            <v>0.21886261924539993</v>
          </cell>
          <cell r="P15">
            <v>0.20132646216862526</v>
          </cell>
          <cell r="Q15">
            <v>0.20095703007116153</v>
          </cell>
          <cell r="R15">
            <v>0.20099722799513403</v>
          </cell>
          <cell r="S15">
            <v>0.20129133840623045</v>
          </cell>
          <cell r="T15">
            <v>0.20156311713567762</v>
          </cell>
          <cell r="W15" t="str">
            <v>Gross Margin (%)</v>
          </cell>
          <cell r="X15">
            <v>0.22563417890520696</v>
          </cell>
          <cell r="Y15">
            <v>0.23061084420041181</v>
          </cell>
          <cell r="Z15">
            <v>0.22977566281441197</v>
          </cell>
          <cell r="AA15">
            <v>0.21967455621301776</v>
          </cell>
          <cell r="AB15">
            <v>0.23086816720257236</v>
          </cell>
          <cell r="AC15">
            <v>0.21658097686375322</v>
          </cell>
          <cell r="AD15">
            <v>0.21424030514939607</v>
          </cell>
          <cell r="AE15">
            <v>0.2340909090909091</v>
          </cell>
          <cell r="AF15">
            <v>0.22643553629469124</v>
          </cell>
          <cell r="AG15">
            <v>0.21199143468950749</v>
          </cell>
          <cell r="AH15">
            <v>0.18266593527153044</v>
          </cell>
          <cell r="AI15">
            <v>8.4758942457231728E-2</v>
          </cell>
          <cell r="AJ15">
            <v>0.17452006980802792</v>
          </cell>
          <cell r="AK15">
            <v>0.19935691318327975</v>
          </cell>
          <cell r="AL15">
            <v>0.20398773006134968</v>
          </cell>
          <cell r="AM15">
            <v>0.20821325648414984</v>
          </cell>
          <cell r="AN15">
            <v>0.15706051873198848</v>
          </cell>
          <cell r="AO15">
            <v>0.19973632168754121</v>
          </cell>
          <cell r="AP15">
            <v>0.2297476759628154</v>
          </cell>
          <cell r="AQ15">
            <v>0.20769741207697412</v>
          </cell>
          <cell r="AR15">
            <v>0.22278162366268092</v>
          </cell>
          <cell r="AS15">
            <v>0.23445521962350258</v>
          </cell>
          <cell r="AT15">
            <v>0.22302158273381295</v>
          </cell>
          <cell r="AU15">
            <v>0.15427509293680297</v>
          </cell>
          <cell r="AV15">
            <v>0.1677893447642376</v>
          </cell>
          <cell r="AW15">
            <v>0.2</v>
          </cell>
          <cell r="AX15">
            <v>0.2038533250466128</v>
          </cell>
          <cell r="AY15">
            <v>0.16255829447035311</v>
          </cell>
          <cell r="AZ15">
            <v>0.20747663551401868</v>
          </cell>
          <cell r="BA15">
            <v>0.19298245614035087</v>
          </cell>
          <cell r="BB15">
            <v>0.21149144254278729</v>
          </cell>
          <cell r="BC15">
            <v>0.22710396039603961</v>
          </cell>
          <cell r="BD15">
            <v>0.2217008797653959</v>
          </cell>
          <cell r="BE15">
            <v>0.2213562025134535</v>
          </cell>
          <cell r="BF15">
            <v>0.22043253103089577</v>
          </cell>
          <cell r="BG15">
            <v>0.21960829969727727</v>
          </cell>
        </row>
        <row r="17">
          <cell r="A17" t="str">
            <v>SG&amp;A (reported)</v>
          </cell>
          <cell r="B17">
            <v>-446</v>
          </cell>
          <cell r="C17">
            <v>-504</v>
          </cell>
          <cell r="D17">
            <v>-590</v>
          </cell>
          <cell r="E17">
            <v>-511</v>
          </cell>
          <cell r="F17">
            <v>-536</v>
          </cell>
          <cell r="G17">
            <v>-516</v>
          </cell>
          <cell r="H17">
            <v>-540</v>
          </cell>
          <cell r="I17">
            <v>-471</v>
          </cell>
          <cell r="J17">
            <v>-505</v>
          </cell>
          <cell r="K17">
            <v>-805</v>
          </cell>
          <cell r="L17">
            <v>-830</v>
          </cell>
          <cell r="M17">
            <v>-311</v>
          </cell>
          <cell r="N17">
            <v>-516.71690525067584</v>
          </cell>
          <cell r="O17">
            <v>-572.17452246464904</v>
          </cell>
          <cell r="P17">
            <v>-609.49934645192388</v>
          </cell>
          <cell r="Q17">
            <v>-640.93529213115221</v>
          </cell>
          <cell r="R17">
            <v>-662.5087913213589</v>
          </cell>
          <cell r="S17">
            <v>-680.76008829088414</v>
          </cell>
          <cell r="T17">
            <v>-699.79462609819996</v>
          </cell>
          <cell r="W17" t="str">
            <v>SG&amp;A (reported)</v>
          </cell>
          <cell r="X17">
            <v>-138</v>
          </cell>
          <cell r="Y17">
            <v>-136</v>
          </cell>
          <cell r="Z17">
            <v>-129</v>
          </cell>
          <cell r="AA17">
            <v>-133</v>
          </cell>
          <cell r="AB17">
            <v>-116</v>
          </cell>
          <cell r="AC17">
            <v>-122</v>
          </cell>
          <cell r="AD17">
            <v>-133</v>
          </cell>
          <cell r="AE17">
            <v>-145</v>
          </cell>
          <cell r="AF17">
            <v>-136</v>
          </cell>
          <cell r="AG17">
            <v>-138</v>
          </cell>
          <cell r="AH17">
            <v>-142</v>
          </cell>
          <cell r="AI17">
            <v>-124</v>
          </cell>
          <cell r="AJ17">
            <v>-114</v>
          </cell>
          <cell r="AK17">
            <v>-114</v>
          </cell>
          <cell r="AL17">
            <v>-110</v>
          </cell>
          <cell r="AM17">
            <v>-133</v>
          </cell>
          <cell r="AN17">
            <v>-124</v>
          </cell>
          <cell r="AO17">
            <v>-124</v>
          </cell>
          <cell r="AP17">
            <v>-125</v>
          </cell>
          <cell r="AQ17">
            <v>-132</v>
          </cell>
          <cell r="AR17">
            <v>-126</v>
          </cell>
          <cell r="AS17">
            <v>-138</v>
          </cell>
          <cell r="AT17">
            <v>-138</v>
          </cell>
          <cell r="AU17">
            <v>-403</v>
          </cell>
          <cell r="AV17">
            <v>-126</v>
          </cell>
          <cell r="AW17">
            <v>-115</v>
          </cell>
          <cell r="AX17">
            <v>-113</v>
          </cell>
          <cell r="AY17">
            <v>-476</v>
          </cell>
          <cell r="AZ17">
            <v>-106</v>
          </cell>
          <cell r="BA17">
            <v>-113</v>
          </cell>
          <cell r="BB17">
            <v>-97</v>
          </cell>
          <cell r="BC17">
            <v>5</v>
          </cell>
          <cell r="BD17">
            <v>-104</v>
          </cell>
          <cell r="BE17">
            <v>-140.6191316962522</v>
          </cell>
          <cell r="BF17">
            <v>-137.41717517659342</v>
          </cell>
          <cell r="BG17">
            <v>-134.68059837783019</v>
          </cell>
          <cell r="BH17">
            <v>6</v>
          </cell>
          <cell r="BI17" t="str">
            <v>ISO4217:USD</v>
          </cell>
          <cell r="BJ17" t="b">
            <v>1</v>
          </cell>
          <cell r="BK17" t="str">
            <v>mstag:sellingGeneralAndAdministrativeExpenses</v>
          </cell>
          <cell r="BL17">
            <v>6</v>
          </cell>
          <cell r="BM17" t="str">
            <v>ISO4217:USD</v>
          </cell>
          <cell r="BN17" t="b">
            <v>1</v>
          </cell>
        </row>
        <row r="18">
          <cell r="A18" t="str">
            <v>SG&amp;A as % Revenues</v>
          </cell>
          <cell r="B18">
            <v>0.11626694473409802</v>
          </cell>
          <cell r="C18">
            <v>0.11237458193979934</v>
          </cell>
          <cell r="D18">
            <v>0.11974832555307489</v>
          </cell>
          <cell r="E18">
            <v>8.4700812199569042E-2</v>
          </cell>
          <cell r="F18">
            <v>9.2765662859120801E-2</v>
          </cell>
          <cell r="G18">
            <v>8.0074487895716945E-2</v>
          </cell>
          <cell r="H18">
            <v>7.9144071522790557E-2</v>
          </cell>
          <cell r="I18">
            <v>9.2680047225501772E-2</v>
          </cell>
          <cell r="J18">
            <v>8.5332882730652246E-2</v>
          </cell>
          <cell r="K18">
            <v>0.11903001626497117</v>
          </cell>
          <cell r="L18">
            <v>0.12932377687753194</v>
          </cell>
          <cell r="M18">
            <v>4.7772657450076805E-2</v>
          </cell>
          <cell r="N18">
            <v>7.5279693676856066E-2</v>
          </cell>
          <cell r="O18">
            <v>0.08</v>
          </cell>
          <cell r="P18">
            <v>0.08</v>
          </cell>
          <cell r="Q18">
            <v>0.08</v>
          </cell>
          <cell r="R18">
            <v>0.08</v>
          </cell>
          <cell r="S18">
            <v>0.08</v>
          </cell>
          <cell r="T18">
            <v>0.08</v>
          </cell>
          <cell r="W18" t="str">
            <v>SG&amp;A as % Revenues</v>
          </cell>
          <cell r="X18">
            <v>9.2122830440587444E-2</v>
          </cell>
          <cell r="Y18">
            <v>9.3342484557309535E-2</v>
          </cell>
          <cell r="Z18">
            <v>8.7695445275322914E-2</v>
          </cell>
          <cell r="AA18">
            <v>9.837278106508876E-2</v>
          </cell>
          <cell r="AB18">
            <v>7.459807073954984E-2</v>
          </cell>
          <cell r="AC18">
            <v>7.8406169665809766E-2</v>
          </cell>
          <cell r="AD18">
            <v>8.4551811824539094E-2</v>
          </cell>
          <cell r="AE18">
            <v>8.2386363636363633E-2</v>
          </cell>
          <cell r="AF18">
            <v>7.3672806067172261E-2</v>
          </cell>
          <cell r="AG18">
            <v>7.3875802997858675E-2</v>
          </cell>
          <cell r="AH18">
            <v>7.7893582007679651E-2</v>
          </cell>
          <cell r="AI18">
            <v>9.6423017107309481E-2</v>
          </cell>
          <cell r="AJ18">
            <v>9.947643979057591E-2</v>
          </cell>
          <cell r="AK18">
            <v>9.1639871382636656E-2</v>
          </cell>
          <cell r="AL18">
            <v>8.4355828220858894E-2</v>
          </cell>
          <cell r="AM18">
            <v>9.5821325648414987E-2</v>
          </cell>
          <cell r="AN18">
            <v>8.9337175792507204E-2</v>
          </cell>
          <cell r="AO18">
            <v>8.1740276862228081E-2</v>
          </cell>
          <cell r="AP18">
            <v>8.3001328021248336E-2</v>
          </cell>
          <cell r="AQ18">
            <v>8.7591240875912413E-2</v>
          </cell>
          <cell r="AR18">
            <v>7.9295154185022032E-2</v>
          </cell>
          <cell r="AS18">
            <v>7.8722190530519112E-2</v>
          </cell>
          <cell r="AT18">
            <v>7.6369673491975654E-2</v>
          </cell>
          <cell r="AU18">
            <v>0.2496902106567534</v>
          </cell>
          <cell r="AV18">
            <v>7.7158603796693204E-2</v>
          </cell>
          <cell r="AW18">
            <v>6.8656716417910449E-2</v>
          </cell>
          <cell r="AX18">
            <v>7.0229956494717222E-2</v>
          </cell>
          <cell r="AY18">
            <v>0.31712191872085277</v>
          </cell>
          <cell r="AZ18">
            <v>6.6043613707165105E-2</v>
          </cell>
          <cell r="BA18">
            <v>6.8360556563823352E-2</v>
          </cell>
          <cell r="BB18">
            <v>5.9290953545232276E-2</v>
          </cell>
          <cell r="BC18">
            <v>-3.0940594059405942E-3</v>
          </cell>
          <cell r="BD18">
            <v>6.0997067448680352E-2</v>
          </cell>
          <cell r="BE18">
            <v>0.08</v>
          </cell>
          <cell r="BF18">
            <v>0.08</v>
          </cell>
          <cell r="BG18">
            <v>0.08</v>
          </cell>
        </row>
        <row r="20">
          <cell r="A20" t="str">
            <v>Amortization of intangibles</v>
          </cell>
          <cell r="B20">
            <v>0</v>
          </cell>
          <cell r="C20">
            <v>0</v>
          </cell>
          <cell r="D20">
            <v>-43</v>
          </cell>
          <cell r="E20">
            <v>-51</v>
          </cell>
          <cell r="F20">
            <v>-66</v>
          </cell>
          <cell r="G20">
            <v>-72</v>
          </cell>
          <cell r="H20">
            <v>-76</v>
          </cell>
          <cell r="I20">
            <v>-77</v>
          </cell>
          <cell r="J20">
            <v>-61</v>
          </cell>
          <cell r="K20">
            <v>-62</v>
          </cell>
          <cell r="L20">
            <v>-51</v>
          </cell>
          <cell r="M20">
            <v>-32</v>
          </cell>
          <cell r="N20">
            <v>-24</v>
          </cell>
          <cell r="O20">
            <v>-49.93333333333333</v>
          </cell>
          <cell r="P20">
            <v>-51.266666666666666</v>
          </cell>
          <cell r="Q20">
            <v>-52.6</v>
          </cell>
          <cell r="R20">
            <v>-56.6</v>
          </cell>
          <cell r="S20">
            <v>-60.6</v>
          </cell>
          <cell r="T20">
            <v>-64.599999999999994</v>
          </cell>
          <cell r="W20" t="str">
            <v>Amortization of intangibles</v>
          </cell>
          <cell r="X20">
            <v>-14</v>
          </cell>
          <cell r="Y20">
            <v>-18</v>
          </cell>
          <cell r="Z20">
            <v>-17</v>
          </cell>
          <cell r="AA20">
            <v>-17</v>
          </cell>
          <cell r="AB20">
            <v>-18</v>
          </cell>
          <cell r="AC20">
            <v>-17</v>
          </cell>
          <cell r="AD20">
            <v>-18</v>
          </cell>
          <cell r="AE20">
            <v>-19</v>
          </cell>
          <cell r="AF20">
            <v>-19</v>
          </cell>
          <cell r="AG20">
            <v>-20</v>
          </cell>
          <cell r="AH20">
            <v>-19</v>
          </cell>
          <cell r="AI20">
            <v>-18</v>
          </cell>
          <cell r="AJ20">
            <v>-17</v>
          </cell>
          <cell r="AK20">
            <v>-21</v>
          </cell>
          <cell r="AL20">
            <v>-20</v>
          </cell>
          <cell r="AM20">
            <v>-19</v>
          </cell>
          <cell r="AN20">
            <v>-15</v>
          </cell>
          <cell r="AO20">
            <v>-15</v>
          </cell>
          <cell r="AP20">
            <v>-15</v>
          </cell>
          <cell r="AQ20">
            <v>-16</v>
          </cell>
          <cell r="AR20">
            <v>-16</v>
          </cell>
          <cell r="AS20">
            <v>-17</v>
          </cell>
          <cell r="AT20">
            <v>-17</v>
          </cell>
          <cell r="AU20">
            <v>-12</v>
          </cell>
          <cell r="AV20">
            <v>-13</v>
          </cell>
          <cell r="AW20">
            <v>-13</v>
          </cell>
          <cell r="AX20">
            <v>-12</v>
          </cell>
          <cell r="AY20">
            <v>-13</v>
          </cell>
          <cell r="AZ20">
            <v>-11</v>
          </cell>
          <cell r="BA20">
            <v>-9</v>
          </cell>
          <cell r="BB20">
            <v>-6</v>
          </cell>
          <cell r="BC20">
            <v>-6</v>
          </cell>
          <cell r="BD20">
            <v>-6</v>
          </cell>
          <cell r="BE20">
            <v>-6</v>
          </cell>
          <cell r="BF20">
            <v>-6</v>
          </cell>
          <cell r="BG20">
            <v>-6</v>
          </cell>
        </row>
        <row r="22">
          <cell r="A22" t="str">
            <v>R&amp;D</v>
          </cell>
          <cell r="B22">
            <v>-65</v>
          </cell>
          <cell r="C22">
            <v>-89</v>
          </cell>
          <cell r="D22">
            <v>-90</v>
          </cell>
          <cell r="E22">
            <v>-91</v>
          </cell>
          <cell r="F22">
            <v>-65</v>
          </cell>
          <cell r="G22">
            <v>-73</v>
          </cell>
          <cell r="H22">
            <v>-80</v>
          </cell>
          <cell r="I22">
            <v>-73</v>
          </cell>
          <cell r="J22">
            <v>-70</v>
          </cell>
          <cell r="K22">
            <v>-98</v>
          </cell>
          <cell r="L22">
            <v>-104</v>
          </cell>
          <cell r="M22">
            <v>-85</v>
          </cell>
          <cell r="N22">
            <v>-82.886737670068314</v>
          </cell>
          <cell r="O22">
            <v>-93.122579335931079</v>
          </cell>
          <cell r="P22">
            <v>-94.047634486172328</v>
          </cell>
          <cell r="Q22">
            <v>-101.7085720766331</v>
          </cell>
          <cell r="R22">
            <v>-109.31407232914978</v>
          </cell>
          <cell r="S22">
            <v>-116.57009706318634</v>
          </cell>
          <cell r="T22">
            <v>-122.32024587857208</v>
          </cell>
          <cell r="W22" t="str">
            <v>R&amp;D</v>
          </cell>
          <cell r="X22">
            <v>-17</v>
          </cell>
          <cell r="Y22">
            <v>-16</v>
          </cell>
          <cell r="Z22">
            <v>-15</v>
          </cell>
          <cell r="AA22">
            <v>-17</v>
          </cell>
          <cell r="AB22">
            <v>-17</v>
          </cell>
          <cell r="AC22">
            <v>-19</v>
          </cell>
          <cell r="AD22">
            <v>-18</v>
          </cell>
          <cell r="AE22">
            <v>-19</v>
          </cell>
          <cell r="AF22">
            <v>-23</v>
          </cell>
          <cell r="AG22">
            <v>-18</v>
          </cell>
          <cell r="AH22">
            <v>-18</v>
          </cell>
          <cell r="AI22">
            <v>-21</v>
          </cell>
          <cell r="AJ22">
            <v>-20</v>
          </cell>
          <cell r="AK22">
            <v>-18</v>
          </cell>
          <cell r="AL22">
            <v>-18</v>
          </cell>
          <cell r="AM22">
            <v>-17</v>
          </cell>
          <cell r="AN22">
            <v>-18</v>
          </cell>
          <cell r="AO22">
            <v>-17</v>
          </cell>
          <cell r="AP22">
            <v>-17</v>
          </cell>
          <cell r="AQ22">
            <v>-18</v>
          </cell>
          <cell r="AR22">
            <v>-23</v>
          </cell>
          <cell r="AS22">
            <v>-24</v>
          </cell>
          <cell r="AT22">
            <v>-23</v>
          </cell>
          <cell r="AU22">
            <v>-28</v>
          </cell>
          <cell r="AV22">
            <v>-25</v>
          </cell>
          <cell r="AW22">
            <v>-25</v>
          </cell>
          <cell r="AX22">
            <v>-23</v>
          </cell>
          <cell r="AY22">
            <v>-31</v>
          </cell>
          <cell r="AZ22">
            <v>-26</v>
          </cell>
          <cell r="BA22">
            <v>-23</v>
          </cell>
          <cell r="BB22">
            <v>-24</v>
          </cell>
          <cell r="BC22">
            <v>-12</v>
          </cell>
          <cell r="BD22">
            <v>-22</v>
          </cell>
          <cell r="BE22">
            <v>-17</v>
          </cell>
          <cell r="BF22">
            <v>-22.164060512353775</v>
          </cell>
          <cell r="BG22">
            <v>-21.722677157714546</v>
          </cell>
          <cell r="BH22">
            <v>6</v>
          </cell>
          <cell r="BI22" t="str">
            <v>ISO4217:USD</v>
          </cell>
          <cell r="BJ22" t="b">
            <v>1</v>
          </cell>
          <cell r="BK22" t="str">
            <v>mstag:researchAndDevelopment</v>
          </cell>
          <cell r="BL22">
            <v>6</v>
          </cell>
          <cell r="BM22" t="str">
            <v>ISO4217:USD</v>
          </cell>
          <cell r="BN22" t="b">
            <v>1</v>
          </cell>
        </row>
        <row r="23">
          <cell r="A23" t="str">
            <v>R&amp;D as % Revenues</v>
          </cell>
          <cell r="B23">
            <v>1.694473409801877E-2</v>
          </cell>
          <cell r="C23">
            <v>1.9843924191750278E-2</v>
          </cell>
          <cell r="D23">
            <v>1.8266693728435153E-2</v>
          </cell>
          <cell r="E23">
            <v>1.5083706282115033E-2</v>
          </cell>
          <cell r="F23">
            <v>1.124956732433368E-2</v>
          </cell>
          <cell r="G23">
            <v>1.132836747361887E-2</v>
          </cell>
          <cell r="H23">
            <v>1.1725047633006009E-2</v>
          </cell>
          <cell r="I23">
            <v>1.4364423455332545E-2</v>
          </cell>
          <cell r="J23">
            <v>1.1828320378506252E-2</v>
          </cell>
          <cell r="K23">
            <v>1.4490610675735619E-2</v>
          </cell>
          <cell r="L23">
            <v>1.6204425054534122E-2</v>
          </cell>
          <cell r="M23">
            <v>1.3056835637480798E-2</v>
          </cell>
          <cell r="N23">
            <v>1.2075641726197437E-2</v>
          </cell>
          <cell r="O23">
            <v>1.3020164398065736E-2</v>
          </cell>
          <cell r="P23">
            <v>1.2344247459315774E-2</v>
          </cell>
          <cell r="Q23">
            <v>1.2695019085430029E-2</v>
          </cell>
          <cell r="R23">
            <v>1.3200014703035149E-2</v>
          </cell>
          <cell r="S23">
            <v>1.369881684525274E-2</v>
          </cell>
          <cell r="T23">
            <v>1.398355932632238E-2</v>
          </cell>
          <cell r="W23" t="str">
            <v>R&amp;D as % Revenues</v>
          </cell>
          <cell r="X23">
            <v>1.1348464619492658E-2</v>
          </cell>
          <cell r="Y23">
            <v>1.0981468771448181E-2</v>
          </cell>
          <cell r="Z23">
            <v>1.0197144799456152E-2</v>
          </cell>
          <cell r="AA23">
            <v>1.257396449704142E-2</v>
          </cell>
          <cell r="AB23">
            <v>1.0932475884244373E-2</v>
          </cell>
          <cell r="AC23">
            <v>1.2210796915167094E-2</v>
          </cell>
          <cell r="AD23">
            <v>1.1443102352193261E-2</v>
          </cell>
          <cell r="AE23">
            <v>1.0795454545454546E-2</v>
          </cell>
          <cell r="AF23">
            <v>1.2459371614301192E-2</v>
          </cell>
          <cell r="AG23">
            <v>9.6359743040685224E-3</v>
          </cell>
          <cell r="AH23">
            <v>9.8738343390016459E-3</v>
          </cell>
          <cell r="AI23">
            <v>1.6329704510108865E-2</v>
          </cell>
          <cell r="AJ23">
            <v>1.7452006980802792E-2</v>
          </cell>
          <cell r="AK23">
            <v>1.4469453376205787E-2</v>
          </cell>
          <cell r="AL23">
            <v>1.3803680981595092E-2</v>
          </cell>
          <cell r="AM23">
            <v>1.2247838616714697E-2</v>
          </cell>
          <cell r="AN23">
            <v>1.2968299711815562E-2</v>
          </cell>
          <cell r="AO23">
            <v>1.1206328279499011E-2</v>
          </cell>
          <cell r="AP23">
            <v>1.1288180610889775E-2</v>
          </cell>
          <cell r="AQ23">
            <v>1.1944260119442602E-2</v>
          </cell>
          <cell r="AR23">
            <v>1.44745122718691E-2</v>
          </cell>
          <cell r="AS23">
            <v>1.3690815744438107E-2</v>
          </cell>
          <cell r="AT23">
            <v>1.2728278915329275E-2</v>
          </cell>
          <cell r="AU23">
            <v>1.7348203221809171E-2</v>
          </cell>
          <cell r="AV23">
            <v>1.5309246785058175E-2</v>
          </cell>
          <cell r="AW23">
            <v>1.4925373134328358E-2</v>
          </cell>
          <cell r="AX23">
            <v>1.4294592914853946E-2</v>
          </cell>
          <cell r="AY23">
            <v>2.0652898067954697E-2</v>
          </cell>
          <cell r="AZ23">
            <v>1.61993769470405E-2</v>
          </cell>
          <cell r="BA23">
            <v>1.3914095583787053E-2</v>
          </cell>
          <cell r="BB23">
            <v>1.4669926650366748E-2</v>
          </cell>
          <cell r="BC23">
            <v>7.4257425742574254E-3</v>
          </cell>
          <cell r="BD23">
            <v>1.2903225806451613E-2</v>
          </cell>
          <cell r="BE23">
            <v>1.2903225806451613E-2</v>
          </cell>
          <cell r="BF23">
            <v>1.2903225806451613E-2</v>
          </cell>
          <cell r="BG23">
            <v>1.2903225806451613E-2</v>
          </cell>
        </row>
        <row r="24">
          <cell r="BD24" t="str">
            <v xml:space="preserve"> </v>
          </cell>
        </row>
        <row r="25">
          <cell r="A25" t="str">
            <v>Other Charges (total)</v>
          </cell>
          <cell r="B25">
            <v>19</v>
          </cell>
          <cell r="C25">
            <v>-3</v>
          </cell>
          <cell r="D25">
            <v>-111</v>
          </cell>
          <cell r="E25">
            <v>-76</v>
          </cell>
          <cell r="F25">
            <v>-22</v>
          </cell>
          <cell r="G25">
            <v>-36</v>
          </cell>
          <cell r="H25">
            <v>-120</v>
          </cell>
          <cell r="I25">
            <v>-92</v>
          </cell>
          <cell r="J25">
            <v>-41</v>
          </cell>
          <cell r="K25">
            <v>-50</v>
          </cell>
          <cell r="L25">
            <v>-21</v>
          </cell>
          <cell r="M25">
            <v>571</v>
          </cell>
          <cell r="N25">
            <v>-16.152985724421178</v>
          </cell>
          <cell r="O25">
            <v>-3.530962423309262</v>
          </cell>
          <cell r="P25">
            <v>28.912263834246346</v>
          </cell>
          <cell r="Q25">
            <v>10.211963989109975</v>
          </cell>
          <cell r="R25">
            <v>-15.311663037528689</v>
          </cell>
          <cell r="S25">
            <v>-41.809560645300579</v>
          </cell>
          <cell r="T25">
            <v>-57.407074646566969</v>
          </cell>
          <cell r="W25" t="str">
            <v>Other Charges (total)</v>
          </cell>
          <cell r="X25">
            <v>0</v>
          </cell>
          <cell r="Y25">
            <v>-14</v>
          </cell>
          <cell r="Z25">
            <v>-5</v>
          </cell>
          <cell r="AA25">
            <v>-3</v>
          </cell>
          <cell r="AB25">
            <v>-2</v>
          </cell>
          <cell r="AC25">
            <v>-108</v>
          </cell>
          <cell r="AD25">
            <v>-21</v>
          </cell>
          <cell r="AE25">
            <v>95</v>
          </cell>
          <cell r="AF25">
            <v>-6</v>
          </cell>
          <cell r="AG25">
            <v>-13</v>
          </cell>
          <cell r="AH25">
            <v>-3</v>
          </cell>
          <cell r="AI25">
            <v>-98</v>
          </cell>
          <cell r="AJ25">
            <v>-22</v>
          </cell>
          <cell r="AK25">
            <v>-6</v>
          </cell>
          <cell r="AL25">
            <v>-53</v>
          </cell>
          <cell r="AM25">
            <v>-11</v>
          </cell>
          <cell r="AN25">
            <v>-75</v>
          </cell>
          <cell r="AO25">
            <v>9</v>
          </cell>
          <cell r="AP25">
            <v>32</v>
          </cell>
          <cell r="AQ25">
            <v>-7</v>
          </cell>
          <cell r="AR25">
            <v>4</v>
          </cell>
          <cell r="AS25">
            <v>-19</v>
          </cell>
          <cell r="AT25">
            <v>-24</v>
          </cell>
          <cell r="AU25">
            <v>-11</v>
          </cell>
          <cell r="AV25">
            <v>1</v>
          </cell>
          <cell r="AW25">
            <v>-4</v>
          </cell>
          <cell r="AX25">
            <v>-4</v>
          </cell>
          <cell r="AY25">
            <v>-14</v>
          </cell>
          <cell r="AZ25">
            <v>-6</v>
          </cell>
          <cell r="BA25">
            <v>-5</v>
          </cell>
          <cell r="BB25">
            <v>-8</v>
          </cell>
          <cell r="BC25">
            <v>590</v>
          </cell>
          <cell r="BD25">
            <v>-2</v>
          </cell>
          <cell r="BE25">
            <v>-23.241364224788271</v>
          </cell>
          <cell r="BF25">
            <v>18.783694122147597</v>
          </cell>
          <cell r="BG25">
            <v>-9.6953156217805052</v>
          </cell>
        </row>
        <row r="26">
          <cell r="A26" t="str">
            <v>Other (charges) gains, net</v>
          </cell>
          <cell r="B26">
            <v>5</v>
          </cell>
          <cell r="C26">
            <v>-5</v>
          </cell>
          <cell r="D26">
            <v>-110</v>
          </cell>
          <cell r="E26">
            <v>-66</v>
          </cell>
          <cell r="F26">
            <v>-10</v>
          </cell>
          <cell r="G26">
            <v>-58</v>
          </cell>
          <cell r="H26">
            <v>-108</v>
          </cell>
          <cell r="I26">
            <v>-136</v>
          </cell>
          <cell r="J26">
            <v>-46</v>
          </cell>
          <cell r="K26">
            <v>-48</v>
          </cell>
          <cell r="L26">
            <v>-14</v>
          </cell>
          <cell r="M26">
            <v>-158</v>
          </cell>
          <cell r="N26">
            <v>-12.152985724421178</v>
          </cell>
          <cell r="O26">
            <v>0.46903757669073798</v>
          </cell>
          <cell r="P26">
            <v>32.912263834246346</v>
          </cell>
          <cell r="Q26">
            <v>14.211963989109975</v>
          </cell>
          <cell r="R26">
            <v>-11.311663037528689</v>
          </cell>
          <cell r="S26">
            <v>-37.809560645300579</v>
          </cell>
          <cell r="T26">
            <v>-53.407074646566969</v>
          </cell>
          <cell r="W26" t="str">
            <v>Other (charges) gains, net</v>
          </cell>
          <cell r="X26">
            <v>0</v>
          </cell>
          <cell r="Y26">
            <v>-12</v>
          </cell>
          <cell r="Z26">
            <v>0</v>
          </cell>
          <cell r="AA26">
            <v>2</v>
          </cell>
          <cell r="AB26">
            <v>-1</v>
          </cell>
          <cell r="AC26">
            <v>-105</v>
          </cell>
          <cell r="AD26">
            <v>-12</v>
          </cell>
          <cell r="AE26">
            <v>60</v>
          </cell>
          <cell r="AF26">
            <v>-16</v>
          </cell>
          <cell r="AG26">
            <v>-7</v>
          </cell>
          <cell r="AH26">
            <v>-1</v>
          </cell>
          <cell r="AI26">
            <v>-84</v>
          </cell>
          <cell r="AJ26">
            <v>-21</v>
          </cell>
          <cell r="AK26">
            <v>-6</v>
          </cell>
          <cell r="AL26">
            <v>-96</v>
          </cell>
          <cell r="AM26">
            <v>-13</v>
          </cell>
          <cell r="AN26">
            <v>-77</v>
          </cell>
          <cell r="AO26">
            <v>-6</v>
          </cell>
          <cell r="AP26">
            <v>36</v>
          </cell>
          <cell r="AQ26">
            <v>1</v>
          </cell>
          <cell r="AR26">
            <v>3</v>
          </cell>
          <cell r="AS26">
            <v>-18</v>
          </cell>
          <cell r="AT26">
            <v>-24</v>
          </cell>
          <cell r="AU26">
            <v>-9</v>
          </cell>
          <cell r="AV26">
            <v>0</v>
          </cell>
          <cell r="AW26">
            <v>-3</v>
          </cell>
          <cell r="AX26">
            <v>2</v>
          </cell>
          <cell r="AY26">
            <v>-13</v>
          </cell>
          <cell r="AZ26">
            <v>-4</v>
          </cell>
          <cell r="BA26">
            <v>-3</v>
          </cell>
          <cell r="BB26">
            <v>-4</v>
          </cell>
          <cell r="BC26">
            <v>-147</v>
          </cell>
          <cell r="BD26">
            <v>-1</v>
          </cell>
          <cell r="BE26">
            <v>-22.241364224788271</v>
          </cell>
          <cell r="BF26">
            <v>19.783694122147597</v>
          </cell>
          <cell r="BG26">
            <v>-8.6953156217805052</v>
          </cell>
          <cell r="BH26">
            <v>6</v>
          </cell>
          <cell r="BI26" t="str">
            <v>ISO4217:USD</v>
          </cell>
          <cell r="BJ26" t="b">
            <v>1</v>
          </cell>
          <cell r="BK26" t="str">
            <v>mstag:otherOperatingExpense</v>
          </cell>
          <cell r="BL26">
            <v>6</v>
          </cell>
          <cell r="BM26" t="str">
            <v>ISO4217:USD</v>
          </cell>
          <cell r="BN26" t="b">
            <v>1</v>
          </cell>
        </row>
        <row r="27">
          <cell r="A27" t="str">
            <v>FX Gain (loss)</v>
          </cell>
          <cell r="B27">
            <v>3</v>
          </cell>
          <cell r="C27">
            <v>-4</v>
          </cell>
          <cell r="D27">
            <v>-3</v>
          </cell>
          <cell r="E27">
            <v>0</v>
          </cell>
          <cell r="F27">
            <v>-3</v>
          </cell>
          <cell r="G27">
            <v>2</v>
          </cell>
          <cell r="H27">
            <v>-4</v>
          </cell>
          <cell r="I27">
            <v>2</v>
          </cell>
          <cell r="J27">
            <v>-3</v>
          </cell>
          <cell r="K27">
            <v>0</v>
          </cell>
          <cell r="L27">
            <v>-4</v>
          </cell>
          <cell r="M27">
            <v>-6</v>
          </cell>
          <cell r="N27">
            <v>-3.25</v>
          </cell>
          <cell r="O27">
            <v>-3.25</v>
          </cell>
          <cell r="P27">
            <v>-3.25</v>
          </cell>
          <cell r="Q27">
            <v>-3.25</v>
          </cell>
          <cell r="R27">
            <v>-3.25</v>
          </cell>
          <cell r="S27">
            <v>-3.25</v>
          </cell>
          <cell r="T27">
            <v>-3.25</v>
          </cell>
          <cell r="W27" t="str">
            <v>FX Gain (loss)</v>
          </cell>
          <cell r="X27">
            <v>0</v>
          </cell>
          <cell r="Y27">
            <v>-1</v>
          </cell>
          <cell r="Z27">
            <v>-2</v>
          </cell>
          <cell r="AA27">
            <v>0</v>
          </cell>
          <cell r="AB27">
            <v>0</v>
          </cell>
          <cell r="AC27">
            <v>0</v>
          </cell>
          <cell r="AD27">
            <v>0</v>
          </cell>
          <cell r="AE27">
            <v>2</v>
          </cell>
          <cell r="AF27">
            <v>7</v>
          </cell>
          <cell r="AG27">
            <v>-3</v>
          </cell>
          <cell r="AH27">
            <v>-1</v>
          </cell>
          <cell r="AI27">
            <v>-7</v>
          </cell>
          <cell r="AJ27">
            <v>2</v>
          </cell>
          <cell r="AK27">
            <v>1</v>
          </cell>
          <cell r="AL27">
            <v>-2</v>
          </cell>
          <cell r="AM27">
            <v>1</v>
          </cell>
          <cell r="AN27">
            <v>2</v>
          </cell>
          <cell r="AO27">
            <v>0</v>
          </cell>
          <cell r="AP27">
            <v>-1</v>
          </cell>
          <cell r="AQ27">
            <v>-4</v>
          </cell>
          <cell r="AR27">
            <v>1</v>
          </cell>
          <cell r="AS27">
            <v>-1</v>
          </cell>
          <cell r="AT27">
            <v>1</v>
          </cell>
          <cell r="AU27">
            <v>-1</v>
          </cell>
          <cell r="AV27">
            <v>1</v>
          </cell>
          <cell r="AW27">
            <v>-1</v>
          </cell>
          <cell r="AX27">
            <v>-4</v>
          </cell>
          <cell r="AY27">
            <v>0</v>
          </cell>
          <cell r="AZ27">
            <v>-1</v>
          </cell>
          <cell r="BA27">
            <v>-2</v>
          </cell>
          <cell r="BB27">
            <v>-2</v>
          </cell>
          <cell r="BC27">
            <v>-1</v>
          </cell>
          <cell r="BD27">
            <v>-1</v>
          </cell>
          <cell r="BE27">
            <v>-0.75</v>
          </cell>
          <cell r="BF27">
            <v>-0.75</v>
          </cell>
          <cell r="BG27">
            <v>-0.75</v>
          </cell>
          <cell r="BH27">
            <v>6</v>
          </cell>
          <cell r="BI27" t="str">
            <v>ISO4217:USD</v>
          </cell>
          <cell r="BJ27" t="b">
            <v>0</v>
          </cell>
          <cell r="BK27" t="str">
            <v>mstag:foreignCurrencyExchangeGainsLosses</v>
          </cell>
          <cell r="BL27">
            <v>6</v>
          </cell>
          <cell r="BM27" t="str">
            <v>ISO4217:USD</v>
          </cell>
          <cell r="BN27" t="b">
            <v>0</v>
          </cell>
        </row>
        <row r="28">
          <cell r="A28" t="str">
            <v>Gain (loss) on disposition of assets (reported)</v>
          </cell>
          <cell r="B28">
            <v>11</v>
          </cell>
          <cell r="C28">
            <v>6</v>
          </cell>
          <cell r="D28">
            <v>2</v>
          </cell>
          <cell r="E28">
            <v>-10</v>
          </cell>
          <cell r="F28">
            <v>-9</v>
          </cell>
          <cell r="G28">
            <v>20</v>
          </cell>
          <cell r="H28">
            <v>-8</v>
          </cell>
          <cell r="I28">
            <v>42</v>
          </cell>
          <cell r="J28">
            <v>8</v>
          </cell>
          <cell r="K28">
            <v>-2</v>
          </cell>
          <cell r="L28">
            <v>-3</v>
          </cell>
          <cell r="M28">
            <v>735</v>
          </cell>
          <cell r="N28">
            <v>-0.75</v>
          </cell>
          <cell r="O28">
            <v>-0.75</v>
          </cell>
          <cell r="P28">
            <v>-0.75</v>
          </cell>
          <cell r="Q28">
            <v>-0.75</v>
          </cell>
          <cell r="R28">
            <v>-0.75</v>
          </cell>
          <cell r="S28">
            <v>-0.75</v>
          </cell>
          <cell r="T28">
            <v>-0.75</v>
          </cell>
          <cell r="W28" t="str">
            <v>Gain (loss) on disposition of assets</v>
          </cell>
          <cell r="X28">
            <v>0</v>
          </cell>
          <cell r="Y28">
            <v>-1</v>
          </cell>
          <cell r="Z28">
            <v>-3</v>
          </cell>
          <cell r="AA28">
            <v>-5</v>
          </cell>
          <cell r="AB28">
            <v>-1</v>
          </cell>
          <cell r="AC28">
            <v>-3</v>
          </cell>
          <cell r="AD28">
            <v>-9</v>
          </cell>
          <cell r="AE28">
            <v>33</v>
          </cell>
          <cell r="AF28">
            <v>3</v>
          </cell>
          <cell r="AG28">
            <v>-3</v>
          </cell>
          <cell r="AH28">
            <v>-1</v>
          </cell>
          <cell r="AI28">
            <v>-7</v>
          </cell>
          <cell r="AJ28">
            <v>-3</v>
          </cell>
          <cell r="AK28">
            <v>-1</v>
          </cell>
          <cell r="AL28">
            <v>45</v>
          </cell>
          <cell r="AM28">
            <v>1</v>
          </cell>
          <cell r="AN28">
            <v>0</v>
          </cell>
          <cell r="AO28">
            <v>15</v>
          </cell>
          <cell r="AP28">
            <v>-3</v>
          </cell>
          <cell r="AQ28">
            <v>-4</v>
          </cell>
          <cell r="AR28">
            <v>0</v>
          </cell>
          <cell r="AS28">
            <v>0</v>
          </cell>
          <cell r="AT28">
            <v>-1</v>
          </cell>
          <cell r="AU28">
            <v>-1</v>
          </cell>
          <cell r="AV28">
            <v>0</v>
          </cell>
          <cell r="AW28">
            <v>0</v>
          </cell>
          <cell r="AX28">
            <v>-2</v>
          </cell>
          <cell r="AY28">
            <v>-1</v>
          </cell>
          <cell r="AZ28">
            <v>-1</v>
          </cell>
          <cell r="BA28">
            <v>0</v>
          </cell>
          <cell r="BB28">
            <v>-2</v>
          </cell>
          <cell r="BC28">
            <v>738</v>
          </cell>
          <cell r="BD28">
            <v>0</v>
          </cell>
          <cell r="BE28">
            <v>-0.25</v>
          </cell>
          <cell r="BF28">
            <v>-0.25</v>
          </cell>
          <cell r="BG28">
            <v>-0.25</v>
          </cell>
          <cell r="BH28">
            <v>6</v>
          </cell>
          <cell r="BI28" t="str">
            <v>ISO4217:USD</v>
          </cell>
          <cell r="BJ28" t="b">
            <v>0</v>
          </cell>
          <cell r="BK28" t="str">
            <v>mstag:gainsLossesFromSaleOfOperatingAssetsRecurringIncomeStatement</v>
          </cell>
          <cell r="BL28">
            <v>6</v>
          </cell>
          <cell r="BM28" t="str">
            <v>ISO4217:USD</v>
          </cell>
          <cell r="BN28" t="b">
            <v>0</v>
          </cell>
        </row>
        <row r="30">
          <cell r="A30" t="str">
            <v>GAAP Operating Profit (excluding equity earnings)</v>
          </cell>
          <cell r="B30">
            <v>173</v>
          </cell>
          <cell r="C30">
            <v>94</v>
          </cell>
          <cell r="D30">
            <v>118</v>
          </cell>
          <cell r="E30">
            <v>573</v>
          </cell>
          <cell r="F30">
            <v>620</v>
          </cell>
          <cell r="G30">
            <v>748</v>
          </cell>
          <cell r="H30">
            <v>440</v>
          </cell>
          <cell r="I30">
            <v>290</v>
          </cell>
          <cell r="J30">
            <v>503</v>
          </cell>
          <cell r="K30">
            <v>402</v>
          </cell>
          <cell r="L30">
            <v>175</v>
          </cell>
          <cell r="M30">
            <v>1508</v>
          </cell>
          <cell r="N30">
            <v>875.68224555835002</v>
          </cell>
          <cell r="O30">
            <v>846.58378559401478</v>
          </cell>
          <cell r="P30">
            <v>807.95295517017212</v>
          </cell>
          <cell r="Q30">
            <v>824.97375946218278</v>
          </cell>
          <cell r="R30">
            <v>820.79585553696063</v>
          </cell>
          <cell r="S30">
            <v>813.14912032082498</v>
          </cell>
          <cell r="T30">
            <v>819.03788076602609</v>
          </cell>
          <cell r="W30" t="str">
            <v>GAAP Operating Profit (excluding equity earnings)</v>
          </cell>
          <cell r="X30">
            <v>169</v>
          </cell>
          <cell r="Y30">
            <v>152</v>
          </cell>
          <cell r="Z30">
            <v>172</v>
          </cell>
          <cell r="AA30">
            <v>127</v>
          </cell>
          <cell r="AB30">
            <v>206</v>
          </cell>
          <cell r="AC30">
            <v>71</v>
          </cell>
          <cell r="AD30">
            <v>147</v>
          </cell>
          <cell r="AE30">
            <v>324</v>
          </cell>
          <cell r="AF30">
            <v>234</v>
          </cell>
          <cell r="AG30">
            <v>207</v>
          </cell>
          <cell r="AH30">
            <v>151</v>
          </cell>
          <cell r="AI30">
            <v>-152</v>
          </cell>
          <cell r="AJ30">
            <v>27</v>
          </cell>
          <cell r="AK30">
            <v>89</v>
          </cell>
          <cell r="AL30">
            <v>65</v>
          </cell>
          <cell r="AM30">
            <v>109</v>
          </cell>
          <cell r="AN30">
            <v>-14</v>
          </cell>
          <cell r="AO30">
            <v>156</v>
          </cell>
          <cell r="AP30">
            <v>221</v>
          </cell>
          <cell r="AQ30">
            <v>140</v>
          </cell>
          <cell r="AR30">
            <v>193</v>
          </cell>
          <cell r="AS30">
            <v>213</v>
          </cell>
          <cell r="AT30">
            <v>201</v>
          </cell>
          <cell r="AU30">
            <v>-205</v>
          </cell>
          <cell r="AV30">
            <v>111</v>
          </cell>
          <cell r="AW30">
            <v>178</v>
          </cell>
          <cell r="AX30">
            <v>176</v>
          </cell>
          <cell r="AY30">
            <v>-290</v>
          </cell>
          <cell r="AZ30">
            <v>184</v>
          </cell>
          <cell r="BA30">
            <v>169</v>
          </cell>
          <cell r="BB30">
            <v>211</v>
          </cell>
          <cell r="BC30">
            <v>944</v>
          </cell>
          <cell r="BD30">
            <v>244</v>
          </cell>
          <cell r="BE30">
            <v>202.22596649172937</v>
          </cell>
          <cell r="BF30">
            <v>231.84265507435626</v>
          </cell>
          <cell r="BG30">
            <v>197.61362399226437</v>
          </cell>
        </row>
        <row r="32">
          <cell r="A32" t="str">
            <v>Equity income, dividend income and other expense</v>
          </cell>
          <cell r="B32">
            <v>44</v>
          </cell>
          <cell r="C32">
            <v>83</v>
          </cell>
          <cell r="D32">
            <v>45</v>
          </cell>
          <cell r="E32">
            <v>150</v>
          </cell>
          <cell r="F32">
            <v>163</v>
          </cell>
          <cell r="G32">
            <v>173</v>
          </cell>
          <cell r="H32">
            <v>224</v>
          </cell>
          <cell r="I32">
            <v>160</v>
          </cell>
          <cell r="J32">
            <v>248</v>
          </cell>
          <cell r="K32">
            <v>286</v>
          </cell>
          <cell r="L32">
            <v>332</v>
          </cell>
          <cell r="M32">
            <v>273</v>
          </cell>
          <cell r="N32">
            <v>300.5</v>
          </cell>
          <cell r="O32">
            <v>348.47812678125001</v>
          </cell>
          <cell r="P32">
            <v>355.45869087656251</v>
          </cell>
          <cell r="Q32">
            <v>366.55662542039067</v>
          </cell>
          <cell r="R32">
            <v>378.2094566914102</v>
          </cell>
          <cell r="S32">
            <v>390.44492952598074</v>
          </cell>
          <cell r="T32">
            <v>403.2921760022798</v>
          </cell>
          <cell r="W32" t="str">
            <v>Equity income, dividend income and other expense</v>
          </cell>
          <cell r="X32">
            <v>24</v>
          </cell>
          <cell r="Y32">
            <v>47</v>
          </cell>
          <cell r="Z32">
            <v>42</v>
          </cell>
          <cell r="AA32">
            <v>50</v>
          </cell>
          <cell r="AB32">
            <v>23</v>
          </cell>
          <cell r="AC32">
            <v>67</v>
          </cell>
          <cell r="AD32">
            <v>38</v>
          </cell>
          <cell r="AE32">
            <v>45</v>
          </cell>
          <cell r="AF32">
            <v>42</v>
          </cell>
          <cell r="AG32">
            <v>93</v>
          </cell>
          <cell r="AH32">
            <v>58</v>
          </cell>
          <cell r="AI32">
            <v>31</v>
          </cell>
          <cell r="AJ32">
            <v>10</v>
          </cell>
          <cell r="AK32">
            <v>90</v>
          </cell>
          <cell r="AL32">
            <v>32</v>
          </cell>
          <cell r="AM32">
            <v>28</v>
          </cell>
          <cell r="AN32">
            <v>55</v>
          </cell>
          <cell r="AO32">
            <v>116</v>
          </cell>
          <cell r="AP32">
            <v>34</v>
          </cell>
          <cell r="AQ32">
            <v>43</v>
          </cell>
          <cell r="AR32">
            <v>46</v>
          </cell>
          <cell r="AS32">
            <v>131</v>
          </cell>
          <cell r="AT32">
            <v>58</v>
          </cell>
          <cell r="AU32">
            <v>51</v>
          </cell>
          <cell r="AV32">
            <v>53</v>
          </cell>
          <cell r="AW32">
            <v>145</v>
          </cell>
          <cell r="AX32">
            <v>54</v>
          </cell>
          <cell r="AY32">
            <v>80</v>
          </cell>
          <cell r="AZ32">
            <v>77</v>
          </cell>
          <cell r="BA32">
            <v>82</v>
          </cell>
          <cell r="BB32">
            <v>61</v>
          </cell>
          <cell r="BC32">
            <v>53</v>
          </cell>
          <cell r="BD32">
            <v>69</v>
          </cell>
          <cell r="BE32">
            <v>70.5</v>
          </cell>
          <cell r="BF32">
            <v>80.5</v>
          </cell>
          <cell r="BG32">
            <v>80.5</v>
          </cell>
          <cell r="BH32">
            <v>6</v>
          </cell>
          <cell r="BI32" t="str">
            <v>ISO4217:USD</v>
          </cell>
          <cell r="BJ32" t="b">
            <v>0</v>
          </cell>
          <cell r="BK32" t="str">
            <v>mstag:incomeLossFromInvestmentsAccountedForUnderTheEquityMethodOperatingIncomeStatement</v>
          </cell>
          <cell r="BL32">
            <v>6</v>
          </cell>
          <cell r="BM32" t="str">
            <v>ISO4217:USD</v>
          </cell>
          <cell r="BN32" t="b">
            <v>0</v>
          </cell>
        </row>
        <row r="34">
          <cell r="A34" t="str">
            <v>One-time items added back</v>
          </cell>
          <cell r="F34">
            <v>92</v>
          </cell>
          <cell r="G34">
            <v>82</v>
          </cell>
          <cell r="H34">
            <v>171</v>
          </cell>
          <cell r="I34">
            <v>117</v>
          </cell>
          <cell r="J34">
            <v>115</v>
          </cell>
          <cell r="K34">
            <v>402</v>
          </cell>
          <cell r="L34">
            <v>455</v>
          </cell>
          <cell r="M34">
            <v>-725</v>
          </cell>
          <cell r="N34">
            <v>-11</v>
          </cell>
          <cell r="O34">
            <v>0</v>
          </cell>
          <cell r="P34">
            <v>0</v>
          </cell>
          <cell r="Q34">
            <v>0</v>
          </cell>
          <cell r="R34">
            <v>0</v>
          </cell>
          <cell r="S34">
            <v>0</v>
          </cell>
          <cell r="T34">
            <v>0</v>
          </cell>
          <cell r="W34" t="str">
            <v>One-time items adjustment</v>
          </cell>
          <cell r="X34">
            <v>24</v>
          </cell>
          <cell r="Y34">
            <v>37</v>
          </cell>
          <cell r="Z34">
            <v>16</v>
          </cell>
          <cell r="AA34">
            <v>15</v>
          </cell>
          <cell r="AB34">
            <v>18</v>
          </cell>
          <cell r="AC34">
            <v>117</v>
          </cell>
          <cell r="AD34">
            <v>40</v>
          </cell>
          <cell r="AE34">
            <v>-93</v>
          </cell>
          <cell r="AF34">
            <v>22</v>
          </cell>
          <cell r="AG34">
            <v>24</v>
          </cell>
          <cell r="AH34">
            <v>20</v>
          </cell>
          <cell r="AI34">
            <v>105</v>
          </cell>
          <cell r="AJ34">
            <v>33</v>
          </cell>
          <cell r="AK34">
            <v>-3</v>
          </cell>
          <cell r="AL34">
            <v>70</v>
          </cell>
          <cell r="AM34">
            <v>17</v>
          </cell>
          <cell r="AN34">
            <v>135</v>
          </cell>
          <cell r="AO34">
            <v>-3</v>
          </cell>
          <cell r="AP34">
            <v>-33</v>
          </cell>
          <cell r="AQ34">
            <v>16</v>
          </cell>
          <cell r="AR34">
            <v>4</v>
          </cell>
          <cell r="AS34">
            <v>30</v>
          </cell>
          <cell r="AT34">
            <v>43</v>
          </cell>
          <cell r="AU34">
            <v>325</v>
          </cell>
          <cell r="AV34">
            <v>32</v>
          </cell>
          <cell r="AW34">
            <v>19</v>
          </cell>
          <cell r="AX34">
            <v>6</v>
          </cell>
          <cell r="AY34">
            <v>398</v>
          </cell>
          <cell r="AZ34">
            <v>8</v>
          </cell>
          <cell r="BA34">
            <v>13</v>
          </cell>
          <cell r="BB34">
            <v>7</v>
          </cell>
          <cell r="BC34">
            <v>-753</v>
          </cell>
          <cell r="BD34">
            <v>-11</v>
          </cell>
          <cell r="BE34">
            <v>0</v>
          </cell>
          <cell r="BF34">
            <v>0</v>
          </cell>
          <cell r="BG34">
            <v>0</v>
          </cell>
          <cell r="BH34">
            <v>6</v>
          </cell>
          <cell r="BI34" t="str">
            <v>ISO4217:USD</v>
          </cell>
          <cell r="BJ34" t="b">
            <v>0</v>
          </cell>
          <cell r="BK34" t="str">
            <v>mstag:oneTimeItemsNotAllocatedToOtherExpenseIncomeItemsGrossOfTax</v>
          </cell>
          <cell r="BL34">
            <v>6</v>
          </cell>
          <cell r="BM34" t="str">
            <v>ISO4217:USD</v>
          </cell>
          <cell r="BN34" t="b">
            <v>0</v>
          </cell>
        </row>
        <row r="36">
          <cell r="A36" t="str">
            <v>D&amp;A</v>
          </cell>
          <cell r="B36">
            <v>247</v>
          </cell>
          <cell r="C36">
            <v>294</v>
          </cell>
          <cell r="D36">
            <v>251</v>
          </cell>
          <cell r="E36">
            <v>285</v>
          </cell>
          <cell r="F36">
            <v>269</v>
          </cell>
          <cell r="G36">
            <v>291</v>
          </cell>
          <cell r="H36">
            <v>329</v>
          </cell>
          <cell r="I36">
            <v>290</v>
          </cell>
          <cell r="J36">
            <v>258</v>
          </cell>
          <cell r="K36">
            <v>287</v>
          </cell>
          <cell r="L36">
            <v>300</v>
          </cell>
          <cell r="M36">
            <v>302</v>
          </cell>
          <cell r="N36">
            <v>300.03490025799999</v>
          </cell>
          <cell r="O36">
            <v>315.54662206897183</v>
          </cell>
          <cell r="P36">
            <v>345.91036708174943</v>
          </cell>
          <cell r="Q36">
            <v>365.40021671259922</v>
          </cell>
          <cell r="R36">
            <v>379.59599173907918</v>
          </cell>
          <cell r="S36">
            <v>389.9913985524563</v>
          </cell>
          <cell r="T36">
            <v>400.82405090523469</v>
          </cell>
          <cell r="W36" t="str">
            <v>D&amp;A</v>
          </cell>
          <cell r="X36">
            <v>69.5</v>
          </cell>
          <cell r="Y36">
            <v>69.5</v>
          </cell>
          <cell r="Z36">
            <v>66</v>
          </cell>
          <cell r="AA36">
            <v>64</v>
          </cell>
          <cell r="AB36">
            <v>68</v>
          </cell>
          <cell r="AC36">
            <v>73</v>
          </cell>
          <cell r="AD36">
            <v>77</v>
          </cell>
          <cell r="AE36">
            <v>73</v>
          </cell>
          <cell r="AF36">
            <v>83</v>
          </cell>
          <cell r="AG36">
            <v>82</v>
          </cell>
          <cell r="AH36">
            <v>85</v>
          </cell>
          <cell r="AI36">
            <v>79</v>
          </cell>
          <cell r="AJ36">
            <v>71</v>
          </cell>
          <cell r="AK36">
            <v>72</v>
          </cell>
          <cell r="AL36">
            <v>73</v>
          </cell>
          <cell r="AM36">
            <v>74</v>
          </cell>
          <cell r="AN36">
            <v>66</v>
          </cell>
          <cell r="AO36">
            <v>63</v>
          </cell>
          <cell r="AP36">
            <v>64</v>
          </cell>
          <cell r="AQ36">
            <v>65</v>
          </cell>
          <cell r="AR36">
            <v>66</v>
          </cell>
          <cell r="AS36">
            <v>68</v>
          </cell>
          <cell r="AT36">
            <v>77</v>
          </cell>
          <cell r="AU36">
            <v>76</v>
          </cell>
          <cell r="AV36">
            <v>72</v>
          </cell>
          <cell r="AW36">
            <v>74</v>
          </cell>
          <cell r="AX36">
            <v>75</v>
          </cell>
          <cell r="AY36">
            <v>79</v>
          </cell>
          <cell r="AZ36">
            <v>76</v>
          </cell>
          <cell r="BA36">
            <v>75</v>
          </cell>
          <cell r="BB36">
            <v>76</v>
          </cell>
          <cell r="BC36">
            <v>75</v>
          </cell>
          <cell r="BD36">
            <v>73</v>
          </cell>
          <cell r="BE36">
            <v>75.678300086000007</v>
          </cell>
          <cell r="BF36">
            <v>75.678300086000007</v>
          </cell>
          <cell r="BG36">
            <v>75.678300086000007</v>
          </cell>
          <cell r="BH36">
            <v>6</v>
          </cell>
          <cell r="BI36" t="str">
            <v>ISO4217:USD</v>
          </cell>
          <cell r="BJ36" t="b">
            <v>0</v>
          </cell>
          <cell r="BK36" t="str">
            <v>mstag:depreciationInIncomeStatement</v>
          </cell>
          <cell r="BL36">
            <v>6</v>
          </cell>
          <cell r="BM36" t="str">
            <v>ISO4217:USD</v>
          </cell>
          <cell r="BN36" t="b">
            <v>0</v>
          </cell>
        </row>
        <row r="38">
          <cell r="A38" t="str">
            <v>Operating EBITDA</v>
          </cell>
          <cell r="B38">
            <v>464</v>
          </cell>
          <cell r="C38">
            <v>471</v>
          </cell>
          <cell r="D38">
            <v>414</v>
          </cell>
          <cell r="E38">
            <v>1008</v>
          </cell>
          <cell r="F38">
            <v>1144</v>
          </cell>
          <cell r="G38">
            <v>1294</v>
          </cell>
          <cell r="H38">
            <v>1164</v>
          </cell>
          <cell r="I38">
            <v>857</v>
          </cell>
          <cell r="J38">
            <v>1124</v>
          </cell>
          <cell r="K38">
            <v>1377</v>
          </cell>
          <cell r="L38">
            <v>1262</v>
          </cell>
          <cell r="M38">
            <v>1358</v>
          </cell>
          <cell r="N38">
            <v>1465.2171458163502</v>
          </cell>
          <cell r="O38">
            <v>1510.6085344442367</v>
          </cell>
          <cell r="P38">
            <v>1509.3220131284841</v>
          </cell>
          <cell r="Q38">
            <v>1556.9306015951724</v>
          </cell>
          <cell r="R38">
            <v>1578.6013039674499</v>
          </cell>
          <cell r="S38">
            <v>1593.5854483992621</v>
          </cell>
          <cell r="T38">
            <v>1623.1541076735407</v>
          </cell>
          <cell r="W38" t="str">
            <v>Operating EBITDA</v>
          </cell>
          <cell r="Z38">
            <v>296</v>
          </cell>
          <cell r="AA38">
            <v>256</v>
          </cell>
          <cell r="AB38">
            <v>315</v>
          </cell>
          <cell r="AC38">
            <v>328</v>
          </cell>
          <cell r="AD38">
            <v>302</v>
          </cell>
          <cell r="AE38">
            <v>349</v>
          </cell>
          <cell r="AF38">
            <v>381</v>
          </cell>
          <cell r="AG38">
            <v>406</v>
          </cell>
          <cell r="AH38">
            <v>314</v>
          </cell>
          <cell r="AI38">
            <v>63</v>
          </cell>
          <cell r="AJ38">
            <v>141</v>
          </cell>
          <cell r="AK38">
            <v>248</v>
          </cell>
          <cell r="AL38">
            <v>240</v>
          </cell>
          <cell r="AM38">
            <v>228</v>
          </cell>
          <cell r="AN38">
            <v>242</v>
          </cell>
          <cell r="AO38">
            <v>332</v>
          </cell>
          <cell r="AP38">
            <v>286</v>
          </cell>
          <cell r="AQ38">
            <v>264</v>
          </cell>
          <cell r="AR38">
            <v>309</v>
          </cell>
          <cell r="AS38">
            <v>442</v>
          </cell>
          <cell r="AT38">
            <v>379</v>
          </cell>
          <cell r="AU38">
            <v>247</v>
          </cell>
          <cell r="AV38">
            <v>268</v>
          </cell>
          <cell r="AW38">
            <v>416</v>
          </cell>
          <cell r="AX38">
            <v>311</v>
          </cell>
          <cell r="AY38">
            <v>267</v>
          </cell>
          <cell r="AZ38">
            <v>345</v>
          </cell>
          <cell r="BA38">
            <v>339</v>
          </cell>
          <cell r="BB38">
            <v>355</v>
          </cell>
          <cell r="BC38">
            <v>319</v>
          </cell>
          <cell r="BD38">
            <v>375</v>
          </cell>
          <cell r="BE38">
            <v>348.40426657772935</v>
          </cell>
          <cell r="BF38">
            <v>388.02095516035627</v>
          </cell>
          <cell r="BG38">
            <v>353.7919240782644</v>
          </cell>
        </row>
        <row r="39">
          <cell r="A39" t="str">
            <v>EBITDA Margin (%)</v>
          </cell>
          <cell r="B39">
            <v>0.12095933263816476</v>
          </cell>
          <cell r="C39">
            <v>0.10501672240802676</v>
          </cell>
          <cell r="D39">
            <v>8.4026791150801708E-2</v>
          </cell>
          <cell r="E39">
            <v>0.1670810542018896</v>
          </cell>
          <cell r="F39">
            <v>0.19799238490827276</v>
          </cell>
          <cell r="G39">
            <v>0.20080695220360026</v>
          </cell>
          <cell r="H39">
            <v>0.17059944306023744</v>
          </cell>
          <cell r="I39">
            <v>0.16863439590712317</v>
          </cell>
          <cell r="J39">
            <v>0.18992903007772896</v>
          </cell>
          <cell r="K39">
            <v>0.20360786633150968</v>
          </cell>
          <cell r="L39">
            <v>0.19663446556559677</v>
          </cell>
          <cell r="M39">
            <v>0.2086021505376344</v>
          </cell>
          <cell r="N39">
            <v>0.2134652394498717</v>
          </cell>
          <cell r="O39">
            <v>0.211209478945308</v>
          </cell>
          <cell r="P39">
            <v>0.19810646517207203</v>
          </cell>
          <cell r="Q39">
            <v>0.19433232910839102</v>
          </cell>
          <cell r="R39">
            <v>0.19062102416107898</v>
          </cell>
          <cell r="S39">
            <v>0.1872713134402596</v>
          </cell>
          <cell r="T39">
            <v>0.18555776762375636</v>
          </cell>
          <cell r="W39" t="str">
            <v>EBITDA Margin (%)</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row>
        <row r="40">
          <cell r="A40" t="str">
            <v>check</v>
          </cell>
          <cell r="W40" t="str">
            <v>check</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row>
        <row r="42">
          <cell r="A42" t="str">
            <v>Operating income (Clean incl JVs)</v>
          </cell>
          <cell r="B42">
            <v>217</v>
          </cell>
          <cell r="C42">
            <v>177</v>
          </cell>
          <cell r="D42">
            <v>163</v>
          </cell>
          <cell r="E42">
            <v>723</v>
          </cell>
          <cell r="F42">
            <v>875</v>
          </cell>
          <cell r="G42">
            <v>1003</v>
          </cell>
          <cell r="H42">
            <v>835</v>
          </cell>
          <cell r="I42">
            <v>567</v>
          </cell>
          <cell r="J42">
            <v>866</v>
          </cell>
          <cell r="K42">
            <v>1090</v>
          </cell>
          <cell r="L42">
            <v>962</v>
          </cell>
          <cell r="M42">
            <v>1056</v>
          </cell>
          <cell r="N42">
            <v>1165.1822455583501</v>
          </cell>
          <cell r="O42">
            <v>1195.0619123752649</v>
          </cell>
          <cell r="P42">
            <v>1163.4116460467346</v>
          </cell>
          <cell r="Q42">
            <v>1191.5303848825733</v>
          </cell>
          <cell r="R42">
            <v>1199.0053122283707</v>
          </cell>
          <cell r="S42">
            <v>1203.5940498468058</v>
          </cell>
          <cell r="T42">
            <v>1222.3300567683059</v>
          </cell>
          <cell r="W42" t="str">
            <v>Operating income (Clean)</v>
          </cell>
          <cell r="Z42">
            <v>230</v>
          </cell>
          <cell r="AA42">
            <v>192</v>
          </cell>
          <cell r="AB42">
            <v>247</v>
          </cell>
          <cell r="AC42">
            <v>255</v>
          </cell>
          <cell r="AD42">
            <v>225</v>
          </cell>
          <cell r="AE42">
            <v>276</v>
          </cell>
          <cell r="AF42">
            <v>298</v>
          </cell>
          <cell r="AG42">
            <v>324</v>
          </cell>
          <cell r="AH42">
            <v>229</v>
          </cell>
          <cell r="AI42">
            <v>-16</v>
          </cell>
          <cell r="AJ42">
            <v>70</v>
          </cell>
          <cell r="AK42">
            <v>176</v>
          </cell>
          <cell r="AL42">
            <v>167</v>
          </cell>
          <cell r="AM42">
            <v>154</v>
          </cell>
          <cell r="AN42">
            <v>176</v>
          </cell>
          <cell r="AO42">
            <v>269</v>
          </cell>
          <cell r="AP42">
            <v>222</v>
          </cell>
          <cell r="AQ42">
            <v>199</v>
          </cell>
          <cell r="AR42">
            <v>243</v>
          </cell>
          <cell r="AS42">
            <v>374</v>
          </cell>
          <cell r="AT42">
            <v>302</v>
          </cell>
          <cell r="AU42">
            <v>171</v>
          </cell>
          <cell r="AV42">
            <v>196</v>
          </cell>
          <cell r="AW42">
            <v>342</v>
          </cell>
          <cell r="AX42">
            <v>236</v>
          </cell>
          <cell r="AY42">
            <v>188</v>
          </cell>
          <cell r="AZ42">
            <v>269</v>
          </cell>
          <cell r="BA42">
            <v>264</v>
          </cell>
          <cell r="BB42">
            <v>279</v>
          </cell>
          <cell r="BC42">
            <v>244</v>
          </cell>
          <cell r="BD42">
            <v>302</v>
          </cell>
          <cell r="BE42">
            <v>272.72596649172937</v>
          </cell>
          <cell r="BF42">
            <v>312.34265507435623</v>
          </cell>
          <cell r="BG42">
            <v>278.11362399226437</v>
          </cell>
        </row>
        <row r="43">
          <cell r="A43" t="str">
            <v>Recurring Operating Margin (%)</v>
          </cell>
          <cell r="B43">
            <v>5.6569343065693431E-2</v>
          </cell>
          <cell r="C43">
            <v>3.9464882943143813E-2</v>
          </cell>
          <cell r="D43">
            <v>3.3083011974832557E-2</v>
          </cell>
          <cell r="E43">
            <v>0.11984087518647439</v>
          </cell>
          <cell r="F43">
            <v>0.15143648321218414</v>
          </cell>
          <cell r="G43">
            <v>0.15564866542520173</v>
          </cell>
          <cell r="H43">
            <v>0.12238018466950022</v>
          </cell>
          <cell r="I43">
            <v>0.1115702479338843</v>
          </cell>
          <cell r="J43">
            <v>0.14633322068266305</v>
          </cell>
          <cell r="K43">
            <v>0.16117107792399823</v>
          </cell>
          <cell r="L43">
            <v>0.14989093175444063</v>
          </cell>
          <cell r="M43">
            <v>0.16221198156682029</v>
          </cell>
          <cell r="N43">
            <v>0.16975361485568341</v>
          </cell>
          <cell r="O43">
            <v>0.16709054534305662</v>
          </cell>
          <cell r="P43">
            <v>0.15270390727331187</v>
          </cell>
          <cell r="Q43">
            <v>0.14872395382325179</v>
          </cell>
          <cell r="R43">
            <v>0.14478362587001831</v>
          </cell>
          <cell r="S43">
            <v>0.14144120027583265</v>
          </cell>
          <cell r="T43">
            <v>0.13973586091491708</v>
          </cell>
          <cell r="W43" t="str">
            <v>Recurring Operating Margin (%)</v>
          </cell>
          <cell r="X43">
            <v>0</v>
          </cell>
          <cell r="Y43">
            <v>0</v>
          </cell>
          <cell r="Z43">
            <v>0.15635622025832766</v>
          </cell>
          <cell r="AA43">
            <v>0.14201183431952663</v>
          </cell>
          <cell r="AB43">
            <v>0.15884244372990353</v>
          </cell>
          <cell r="AC43">
            <v>0.16388174807197944</v>
          </cell>
          <cell r="AD43">
            <v>0.14303877940241577</v>
          </cell>
          <cell r="AE43">
            <v>0.15681818181818183</v>
          </cell>
          <cell r="AF43">
            <v>0.16143011917659805</v>
          </cell>
          <cell r="AG43">
            <v>0.17344753747323341</v>
          </cell>
          <cell r="AH43">
            <v>0.12561711464618761</v>
          </cell>
          <cell r="AI43">
            <v>-1.2441679626749611E-2</v>
          </cell>
          <cell r="AJ43">
            <v>6.1082024432809773E-2</v>
          </cell>
          <cell r="AK43">
            <v>0.14147909967845659</v>
          </cell>
          <cell r="AL43">
            <v>0.1280674846625767</v>
          </cell>
          <cell r="AM43">
            <v>0.11095100864553314</v>
          </cell>
          <cell r="AN43">
            <v>0.12680115273775217</v>
          </cell>
          <cell r="AO43">
            <v>0.17732366512854317</v>
          </cell>
          <cell r="AP43">
            <v>0.14741035856573706</v>
          </cell>
          <cell r="AQ43">
            <v>0.13205043132050431</v>
          </cell>
          <cell r="AR43">
            <v>0.15292636878539961</v>
          </cell>
          <cell r="AS43">
            <v>0.21334854535082715</v>
          </cell>
          <cell r="AT43">
            <v>0.16712783619258439</v>
          </cell>
          <cell r="AU43">
            <v>0.10594795539033457</v>
          </cell>
          <cell r="AV43">
            <v>0.12002449479485609</v>
          </cell>
          <cell r="AW43">
            <v>0.20417910447761195</v>
          </cell>
          <cell r="AX43">
            <v>0.14667495338719702</v>
          </cell>
          <cell r="AY43">
            <v>0.12524983344437041</v>
          </cell>
          <cell r="AZ43">
            <v>0.16760124610591901</v>
          </cell>
          <cell r="BA43">
            <v>0.15970961887477314</v>
          </cell>
          <cell r="BB43">
            <v>0.17053789731051344</v>
          </cell>
          <cell r="BC43">
            <v>0.15099009900990099</v>
          </cell>
          <cell r="BD43">
            <v>0.17712609970674487</v>
          </cell>
          <cell r="BE43">
            <v>0.15515724678535936</v>
          </cell>
          <cell r="BF43">
            <v>0.1818361669408313</v>
          </cell>
          <cell r="BG43">
            <v>0.16519892387887977</v>
          </cell>
        </row>
        <row r="44">
          <cell r="A44" t="str">
            <v>check</v>
          </cell>
          <cell r="M44">
            <v>1.5878760884157239E-2</v>
          </cell>
          <cell r="W44" t="str">
            <v>check</v>
          </cell>
          <cell r="Z44">
            <v>230</v>
          </cell>
          <cell r="AA44">
            <v>192</v>
          </cell>
          <cell r="AB44">
            <v>247</v>
          </cell>
          <cell r="AC44">
            <v>255</v>
          </cell>
          <cell r="AD44">
            <v>225</v>
          </cell>
          <cell r="AE44">
            <v>276</v>
          </cell>
          <cell r="AF44">
            <v>298</v>
          </cell>
          <cell r="AG44">
            <v>324</v>
          </cell>
          <cell r="AH44">
            <v>229</v>
          </cell>
          <cell r="AI44">
            <v>-16</v>
          </cell>
          <cell r="AJ44">
            <v>70</v>
          </cell>
          <cell r="AK44">
            <v>176</v>
          </cell>
          <cell r="AL44">
            <v>167</v>
          </cell>
          <cell r="AM44">
            <v>154</v>
          </cell>
          <cell r="AN44">
            <v>176</v>
          </cell>
          <cell r="AO44">
            <v>269</v>
          </cell>
          <cell r="AP44">
            <v>222</v>
          </cell>
          <cell r="AQ44">
            <v>199</v>
          </cell>
          <cell r="AR44">
            <v>243</v>
          </cell>
          <cell r="AS44">
            <v>374</v>
          </cell>
          <cell r="AT44">
            <v>302</v>
          </cell>
          <cell r="AU44">
            <v>171</v>
          </cell>
          <cell r="AV44">
            <v>196</v>
          </cell>
          <cell r="AW44">
            <v>342</v>
          </cell>
          <cell r="AX44">
            <v>236</v>
          </cell>
          <cell r="AY44">
            <v>188</v>
          </cell>
          <cell r="AZ44">
            <v>269</v>
          </cell>
          <cell r="BA44">
            <v>264</v>
          </cell>
          <cell r="BB44">
            <v>279</v>
          </cell>
          <cell r="BC44">
            <v>244</v>
          </cell>
          <cell r="BD44">
            <v>302</v>
          </cell>
          <cell r="BE44">
            <v>272.72596649172931</v>
          </cell>
          <cell r="BF44">
            <v>312.34265507435623</v>
          </cell>
          <cell r="BG44">
            <v>278.11362399226437</v>
          </cell>
        </row>
        <row r="46">
          <cell r="A46" t="str">
            <v>Interest Expense, net</v>
          </cell>
          <cell r="B46">
            <v>-37</v>
          </cell>
          <cell r="C46">
            <v>-5</v>
          </cell>
          <cell r="D46">
            <v>-277</v>
          </cell>
          <cell r="E46">
            <v>-349</v>
          </cell>
          <cell r="F46">
            <v>-257</v>
          </cell>
          <cell r="G46">
            <v>-474</v>
          </cell>
          <cell r="H46">
            <v>-230</v>
          </cell>
          <cell r="I46">
            <v>-199</v>
          </cell>
          <cell r="J46">
            <v>-213</v>
          </cell>
          <cell r="K46">
            <v>-221</v>
          </cell>
          <cell r="L46">
            <v>-186</v>
          </cell>
          <cell r="M46">
            <v>-172</v>
          </cell>
          <cell r="N46">
            <v>-160.5</v>
          </cell>
          <cell r="O46">
            <v>-140.61559479015921</v>
          </cell>
          <cell r="P46">
            <v>-120.89838958031838</v>
          </cell>
          <cell r="Q46">
            <v>-101.90118437047758</v>
          </cell>
          <cell r="R46">
            <v>-80.80877916063676</v>
          </cell>
          <cell r="S46">
            <v>-58.988373950795953</v>
          </cell>
          <cell r="T46">
            <v>-37.275968740955143</v>
          </cell>
          <cell r="W46" t="str">
            <v>Interest Expense, net</v>
          </cell>
          <cell r="X46">
            <v>-63</v>
          </cell>
          <cell r="Y46">
            <v>-65</v>
          </cell>
          <cell r="Z46">
            <v>-64</v>
          </cell>
          <cell r="AA46">
            <v>-65</v>
          </cell>
          <cell r="AB46">
            <v>-58</v>
          </cell>
          <cell r="AC46">
            <v>-306</v>
          </cell>
          <cell r="AD46">
            <v>-54</v>
          </cell>
          <cell r="AE46">
            <v>-56</v>
          </cell>
          <cell r="AF46">
            <v>-58</v>
          </cell>
          <cell r="AG46">
            <v>-53</v>
          </cell>
          <cell r="AH46">
            <v>-57</v>
          </cell>
          <cell r="AI46">
            <v>-62</v>
          </cell>
          <cell r="AJ46">
            <v>-48</v>
          </cell>
          <cell r="AK46">
            <v>-52</v>
          </cell>
          <cell r="AL46">
            <v>-49</v>
          </cell>
          <cell r="AM46">
            <v>-50</v>
          </cell>
          <cell r="AN46">
            <v>-48</v>
          </cell>
          <cell r="AO46">
            <v>-48</v>
          </cell>
          <cell r="AP46">
            <v>-64</v>
          </cell>
          <cell r="AQ46">
            <v>-53</v>
          </cell>
          <cell r="AR46">
            <v>-54</v>
          </cell>
          <cell r="AS46">
            <v>-60</v>
          </cell>
          <cell r="AT46">
            <v>-53</v>
          </cell>
          <cell r="AU46">
            <v>-54</v>
          </cell>
          <cell r="AV46">
            <v>-44</v>
          </cell>
          <cell r="AW46">
            <v>-45</v>
          </cell>
          <cell r="AX46">
            <v>-44</v>
          </cell>
          <cell r="AY46">
            <v>-53</v>
          </cell>
          <cell r="AZ46">
            <v>-43</v>
          </cell>
          <cell r="BA46">
            <v>-43</v>
          </cell>
          <cell r="BB46">
            <v>-44</v>
          </cell>
          <cell r="BC46">
            <v>-42</v>
          </cell>
          <cell r="BD46">
            <v>-39</v>
          </cell>
          <cell r="BE46">
            <v>-40.5</v>
          </cell>
          <cell r="BF46">
            <v>-40.5</v>
          </cell>
          <cell r="BG46">
            <v>-40.5</v>
          </cell>
        </row>
        <row r="47">
          <cell r="A47" t="str">
            <v xml:space="preserve">Interest expense </v>
          </cell>
          <cell r="B47">
            <v>-55</v>
          </cell>
          <cell r="C47">
            <v>-49</v>
          </cell>
          <cell r="D47">
            <v>-306</v>
          </cell>
          <cell r="E47">
            <v>-387</v>
          </cell>
          <cell r="F47">
            <v>-293</v>
          </cell>
          <cell r="G47">
            <v>-262</v>
          </cell>
          <cell r="H47">
            <v>-261</v>
          </cell>
          <cell r="I47">
            <v>-207</v>
          </cell>
          <cell r="J47">
            <v>-204</v>
          </cell>
          <cell r="K47">
            <v>-218</v>
          </cell>
          <cell r="L47">
            <v>-180</v>
          </cell>
          <cell r="M47">
            <v>-172</v>
          </cell>
          <cell r="N47">
            <v>-160.5</v>
          </cell>
          <cell r="O47">
            <v>-140.61559479015921</v>
          </cell>
          <cell r="P47">
            <v>-120.89838958031838</v>
          </cell>
          <cell r="Q47">
            <v>-101.90118437047758</v>
          </cell>
          <cell r="R47">
            <v>-80.80877916063676</v>
          </cell>
          <cell r="S47">
            <v>-58.988373950795953</v>
          </cell>
          <cell r="T47">
            <v>-37.275968740955143</v>
          </cell>
          <cell r="W47" t="str">
            <v xml:space="preserve">Interest expense </v>
          </cell>
          <cell r="X47">
            <v>-71</v>
          </cell>
          <cell r="Y47">
            <v>-73</v>
          </cell>
          <cell r="Z47">
            <v>-73</v>
          </cell>
          <cell r="AA47">
            <v>-76</v>
          </cell>
          <cell r="AB47">
            <v>-72</v>
          </cell>
          <cell r="AC47">
            <v>-61</v>
          </cell>
          <cell r="AD47">
            <v>-63</v>
          </cell>
          <cell r="AE47">
            <v>-66</v>
          </cell>
          <cell r="AF47">
            <v>-67</v>
          </cell>
          <cell r="AG47">
            <v>-63</v>
          </cell>
          <cell r="AH47">
            <v>-65</v>
          </cell>
          <cell r="AI47">
            <v>-66</v>
          </cell>
          <cell r="AJ47">
            <v>-51</v>
          </cell>
          <cell r="AK47">
            <v>-54</v>
          </cell>
          <cell r="AL47">
            <v>-51</v>
          </cell>
          <cell r="AM47">
            <v>-51</v>
          </cell>
          <cell r="AN47">
            <v>-49</v>
          </cell>
          <cell r="AO47">
            <v>-49</v>
          </cell>
          <cell r="AP47">
            <v>-48</v>
          </cell>
          <cell r="AQ47">
            <v>-58</v>
          </cell>
          <cell r="AR47">
            <v>-55</v>
          </cell>
          <cell r="AS47">
            <v>-54</v>
          </cell>
          <cell r="AT47">
            <v>-54</v>
          </cell>
          <cell r="AU47">
            <v>-55</v>
          </cell>
          <cell r="AV47">
            <v>-45</v>
          </cell>
          <cell r="AW47">
            <v>-45</v>
          </cell>
          <cell r="AX47">
            <v>-44</v>
          </cell>
          <cell r="AY47">
            <v>-46</v>
          </cell>
          <cell r="AZ47">
            <v>-43</v>
          </cell>
          <cell r="BA47">
            <v>-44</v>
          </cell>
          <cell r="BB47">
            <v>-43</v>
          </cell>
          <cell r="BC47">
            <v>-42</v>
          </cell>
          <cell r="BD47">
            <v>-39</v>
          </cell>
          <cell r="BE47">
            <v>-40.5</v>
          </cell>
          <cell r="BF47">
            <v>-40.5</v>
          </cell>
          <cell r="BG47">
            <v>-40.5</v>
          </cell>
          <cell r="BH47">
            <v>6</v>
          </cell>
          <cell r="BI47" t="str">
            <v>ISO4217:USD</v>
          </cell>
          <cell r="BJ47" t="b">
            <v>1</v>
          </cell>
          <cell r="BK47" t="str">
            <v>mstag:interestExpense</v>
          </cell>
          <cell r="BL47">
            <v>6</v>
          </cell>
          <cell r="BM47" t="str">
            <v>ISO4217:USD</v>
          </cell>
          <cell r="BN47" t="b">
            <v>1</v>
          </cell>
        </row>
        <row r="48">
          <cell r="A48" t="str">
            <v>average interest rate</v>
          </cell>
          <cell r="B48">
            <v>8.5403726708074529E-2</v>
          </cell>
          <cell r="C48">
            <v>7.6923076923076927E-2</v>
          </cell>
          <cell r="D48">
            <v>9.0345438441098311E-2</v>
          </cell>
          <cell r="E48">
            <v>0.11259819610125109</v>
          </cell>
          <cell r="F48">
            <v>8.3762149799885652E-2</v>
          </cell>
          <cell r="G48">
            <v>7.3678290213723283E-2</v>
          </cell>
          <cell r="H48">
            <v>7.3874893857911128E-2</v>
          </cell>
          <cell r="I48">
            <v>5.9125964010282778E-2</v>
          </cell>
          <cell r="J48">
            <v>6.3393412057178369E-2</v>
          </cell>
          <cell r="K48">
            <v>7.2257209148160431E-2</v>
          </cell>
          <cell r="L48">
            <v>5.8102001291155586E-2</v>
          </cell>
          <cell r="M48">
            <v>5.6135770234986948E-2</v>
          </cell>
          <cell r="N48">
            <v>5.8068017366136038E-2</v>
          </cell>
          <cell r="O48">
            <v>5.7068017366136037E-2</v>
          </cell>
          <cell r="P48">
            <v>5.5868017366136037E-2</v>
          </cell>
          <cell r="Q48">
            <v>5.4668017366136037E-2</v>
          </cell>
          <cell r="R48">
            <v>5.1668017366136035E-2</v>
          </cell>
          <cell r="S48">
            <v>4.6668017366136037E-2</v>
          </cell>
          <cell r="T48">
            <v>3.8668017366136037E-2</v>
          </cell>
          <cell r="W48" t="str">
            <v>weighted average interest rate</v>
          </cell>
        </row>
        <row r="49">
          <cell r="A49" t="str">
            <v>Refinancing expenses</v>
          </cell>
          <cell r="B49">
            <v>0</v>
          </cell>
          <cell r="C49">
            <v>0</v>
          </cell>
          <cell r="D49">
            <v>0</v>
          </cell>
          <cell r="E49">
            <v>0</v>
          </cell>
          <cell r="F49">
            <v>-1</v>
          </cell>
          <cell r="G49">
            <v>-256</v>
          </cell>
          <cell r="H49">
            <v>0</v>
          </cell>
          <cell r="I49">
            <v>0</v>
          </cell>
          <cell r="J49">
            <v>-16</v>
          </cell>
          <cell r="K49">
            <v>-6</v>
          </cell>
          <cell r="L49">
            <v>-8</v>
          </cell>
          <cell r="M49">
            <v>-2</v>
          </cell>
          <cell r="N49">
            <v>0</v>
          </cell>
          <cell r="O49">
            <v>0</v>
          </cell>
          <cell r="P49">
            <v>0</v>
          </cell>
          <cell r="Q49">
            <v>0</v>
          </cell>
          <cell r="R49">
            <v>0</v>
          </cell>
          <cell r="S49">
            <v>0</v>
          </cell>
          <cell r="T49">
            <v>0</v>
          </cell>
          <cell r="W49" t="str">
            <v>Refinancing expenses</v>
          </cell>
          <cell r="X49">
            <v>0</v>
          </cell>
          <cell r="Y49">
            <v>0</v>
          </cell>
          <cell r="Z49">
            <v>-1</v>
          </cell>
          <cell r="AA49">
            <v>0</v>
          </cell>
          <cell r="AB49">
            <v>0</v>
          </cell>
          <cell r="AC49">
            <v>-256</v>
          </cell>
          <cell r="AD49">
            <v>0</v>
          </cell>
          <cell r="AE49">
            <v>0</v>
          </cell>
          <cell r="AF49">
            <v>0</v>
          </cell>
          <cell r="AG49">
            <v>0</v>
          </cell>
          <cell r="AH49">
            <v>0</v>
          </cell>
          <cell r="AI49">
            <v>0</v>
          </cell>
          <cell r="AJ49">
            <v>0</v>
          </cell>
          <cell r="AK49">
            <v>0</v>
          </cell>
          <cell r="AL49">
            <v>0</v>
          </cell>
          <cell r="AM49">
            <v>0</v>
          </cell>
          <cell r="AN49">
            <v>0</v>
          </cell>
          <cell r="AO49">
            <v>0</v>
          </cell>
          <cell r="AP49">
            <v>-16</v>
          </cell>
          <cell r="AQ49">
            <v>0</v>
          </cell>
          <cell r="AR49">
            <v>0</v>
          </cell>
          <cell r="AS49">
            <v>-6</v>
          </cell>
          <cell r="AT49">
            <v>0</v>
          </cell>
          <cell r="AU49">
            <v>0</v>
          </cell>
          <cell r="AV49">
            <v>0</v>
          </cell>
          <cell r="AW49">
            <v>0</v>
          </cell>
          <cell r="AX49">
            <v>0</v>
          </cell>
          <cell r="AY49">
            <v>-8</v>
          </cell>
          <cell r="AZ49">
            <v>0</v>
          </cell>
          <cell r="BA49">
            <v>0</v>
          </cell>
          <cell r="BB49">
            <v>-1</v>
          </cell>
          <cell r="BC49">
            <v>-1</v>
          </cell>
          <cell r="BD49">
            <v>0</v>
          </cell>
          <cell r="BE49">
            <v>0</v>
          </cell>
          <cell r="BF49">
            <v>0</v>
          </cell>
          <cell r="BG49">
            <v>0</v>
          </cell>
          <cell r="BH49">
            <v>6</v>
          </cell>
          <cell r="BI49" t="str">
            <v>ISO4217:USD</v>
          </cell>
          <cell r="BJ49" t="b">
            <v>0</v>
          </cell>
          <cell r="BK49" t="str">
            <v>mstag:incomeLossFromExtraordinaryItemsPretax</v>
          </cell>
          <cell r="BL49">
            <v>6</v>
          </cell>
          <cell r="BM49" t="str">
            <v>ISO4217:USD</v>
          </cell>
          <cell r="BN49" t="b">
            <v>0</v>
          </cell>
        </row>
        <row r="50">
          <cell r="A50" t="str">
            <v>Interest income</v>
          </cell>
          <cell r="B50">
            <v>18</v>
          </cell>
          <cell r="C50">
            <v>44</v>
          </cell>
          <cell r="D50">
            <v>29</v>
          </cell>
          <cell r="E50">
            <v>38</v>
          </cell>
          <cell r="F50">
            <v>37</v>
          </cell>
          <cell r="G50">
            <v>44</v>
          </cell>
          <cell r="H50">
            <v>31</v>
          </cell>
          <cell r="I50">
            <v>8</v>
          </cell>
          <cell r="J50">
            <v>7</v>
          </cell>
          <cell r="K50">
            <v>3</v>
          </cell>
          <cell r="L50">
            <v>2</v>
          </cell>
          <cell r="M50">
            <v>2</v>
          </cell>
          <cell r="N50">
            <v>0</v>
          </cell>
          <cell r="O50">
            <v>0</v>
          </cell>
          <cell r="P50">
            <v>0</v>
          </cell>
          <cell r="Q50">
            <v>0</v>
          </cell>
          <cell r="R50">
            <v>0</v>
          </cell>
          <cell r="S50">
            <v>0</v>
          </cell>
          <cell r="T50">
            <v>0</v>
          </cell>
          <cell r="W50" t="str">
            <v>Interest income</v>
          </cell>
          <cell r="X50">
            <v>8</v>
          </cell>
          <cell r="Y50">
            <v>8</v>
          </cell>
          <cell r="Z50">
            <v>10</v>
          </cell>
          <cell r="AA50">
            <v>11</v>
          </cell>
          <cell r="AB50">
            <v>14</v>
          </cell>
          <cell r="AC50">
            <v>11</v>
          </cell>
          <cell r="AD50">
            <v>9</v>
          </cell>
          <cell r="AE50">
            <v>10</v>
          </cell>
          <cell r="AF50">
            <v>9</v>
          </cell>
          <cell r="AG50">
            <v>10</v>
          </cell>
          <cell r="AH50">
            <v>8</v>
          </cell>
          <cell r="AI50">
            <v>4</v>
          </cell>
          <cell r="AJ50">
            <v>3</v>
          </cell>
          <cell r="AK50">
            <v>2</v>
          </cell>
          <cell r="AL50">
            <v>2</v>
          </cell>
          <cell r="AM50">
            <v>1</v>
          </cell>
          <cell r="AN50">
            <v>1</v>
          </cell>
          <cell r="AO50">
            <v>1</v>
          </cell>
          <cell r="AP50">
            <v>0</v>
          </cell>
          <cell r="AQ50">
            <v>5</v>
          </cell>
          <cell r="AR50">
            <v>1</v>
          </cell>
          <cell r="AS50">
            <v>0</v>
          </cell>
          <cell r="AT50">
            <v>1</v>
          </cell>
          <cell r="AU50">
            <v>1</v>
          </cell>
          <cell r="AV50">
            <v>1</v>
          </cell>
          <cell r="AW50">
            <v>0</v>
          </cell>
          <cell r="AX50">
            <v>0</v>
          </cell>
          <cell r="AY50">
            <v>1</v>
          </cell>
          <cell r="AZ50">
            <v>0</v>
          </cell>
          <cell r="BA50">
            <v>1</v>
          </cell>
          <cell r="BB50">
            <v>0</v>
          </cell>
          <cell r="BC50">
            <v>1</v>
          </cell>
          <cell r="BD50">
            <v>0</v>
          </cell>
          <cell r="BE50">
            <v>0</v>
          </cell>
          <cell r="BF50">
            <v>0</v>
          </cell>
          <cell r="BG50">
            <v>0</v>
          </cell>
          <cell r="BH50">
            <v>6</v>
          </cell>
          <cell r="BI50" t="str">
            <v>ISO4217:USD</v>
          </cell>
          <cell r="BJ50" t="b">
            <v>0</v>
          </cell>
          <cell r="BK50" t="str">
            <v>mstag:interestIncome</v>
          </cell>
          <cell r="BL50">
            <v>6</v>
          </cell>
          <cell r="BM50" t="str">
            <v>ISO4217:USD</v>
          </cell>
          <cell r="BN50" t="b">
            <v>0</v>
          </cell>
        </row>
        <row r="51">
          <cell r="A51" t="str">
            <v>average interest rate</v>
          </cell>
          <cell r="B51">
            <v>0.14516129032258066</v>
          </cell>
          <cell r="C51">
            <v>0.3235294117647059</v>
          </cell>
          <cell r="D51">
            <v>5.8823529411764705E-2</v>
          </cell>
          <cell r="E51">
            <v>6.1889250814332247E-2</v>
          </cell>
          <cell r="F51">
            <v>6.2658763759525823E-2</v>
          </cell>
          <cell r="G51">
            <v>5.4455445544554455E-2</v>
          </cell>
          <cell r="H51">
            <v>4.1305796135909394E-2</v>
          </cell>
          <cell r="I51">
            <v>8.2901554404145074E-3</v>
          </cell>
          <cell r="J51">
            <v>7.0210631895687063E-3</v>
          </cell>
          <cell r="K51">
            <v>4.2194092827004216E-3</v>
          </cell>
          <cell r="L51">
            <v>2.4375380865326022E-3</v>
          </cell>
          <cell r="M51">
            <v>2.0586721564590841E-3</v>
          </cell>
          <cell r="N51">
            <v>0</v>
          </cell>
          <cell r="O51">
            <v>0</v>
          </cell>
          <cell r="P51">
            <v>0</v>
          </cell>
          <cell r="Q51">
            <v>0</v>
          </cell>
          <cell r="R51">
            <v>0</v>
          </cell>
          <cell r="S51">
            <v>0</v>
          </cell>
          <cell r="T51">
            <v>0</v>
          </cell>
        </row>
        <row r="53">
          <cell r="A53" t="str">
            <v>PBT (GAAP)</v>
          </cell>
          <cell r="B53">
            <v>180</v>
          </cell>
          <cell r="C53">
            <v>172</v>
          </cell>
          <cell r="D53">
            <v>-114</v>
          </cell>
          <cell r="E53">
            <v>374</v>
          </cell>
          <cell r="F53">
            <v>526</v>
          </cell>
          <cell r="G53">
            <v>447</v>
          </cell>
          <cell r="H53">
            <v>434</v>
          </cell>
          <cell r="I53">
            <v>251</v>
          </cell>
          <cell r="J53">
            <v>538</v>
          </cell>
          <cell r="K53">
            <v>467</v>
          </cell>
          <cell r="L53">
            <v>321</v>
          </cell>
          <cell r="M53">
            <v>1609</v>
          </cell>
          <cell r="N53">
            <v>1015.6822455583501</v>
          </cell>
          <cell r="O53">
            <v>1054.4463175851056</v>
          </cell>
          <cell r="P53">
            <v>1042.5132564664164</v>
          </cell>
          <cell r="Q53">
            <v>1089.6292005120958</v>
          </cell>
          <cell r="R53">
            <v>1118.196533067734</v>
          </cell>
          <cell r="S53">
            <v>1144.6056758960099</v>
          </cell>
          <cell r="T53">
            <v>1185.0540880273506</v>
          </cell>
          <cell r="W53" t="str">
            <v>PBT (GAAP)</v>
          </cell>
          <cell r="X53">
            <v>130</v>
          </cell>
          <cell r="Y53">
            <v>134</v>
          </cell>
          <cell r="Z53">
            <v>150</v>
          </cell>
          <cell r="AA53">
            <v>112</v>
          </cell>
          <cell r="AB53">
            <v>171</v>
          </cell>
          <cell r="AC53">
            <v>-168</v>
          </cell>
          <cell r="AD53">
            <v>131</v>
          </cell>
          <cell r="AE53">
            <v>313</v>
          </cell>
          <cell r="AF53">
            <v>218</v>
          </cell>
          <cell r="AG53">
            <v>247</v>
          </cell>
          <cell r="AH53">
            <v>152</v>
          </cell>
          <cell r="AI53">
            <v>-183</v>
          </cell>
          <cell r="AJ53">
            <v>-11</v>
          </cell>
          <cell r="AK53">
            <v>127</v>
          </cell>
          <cell r="AL53">
            <v>48</v>
          </cell>
          <cell r="AM53">
            <v>87</v>
          </cell>
          <cell r="AN53">
            <v>-7</v>
          </cell>
          <cell r="AO53">
            <v>224</v>
          </cell>
          <cell r="AP53">
            <v>191</v>
          </cell>
          <cell r="AQ53">
            <v>130</v>
          </cell>
          <cell r="AR53">
            <v>185</v>
          </cell>
          <cell r="AS53">
            <v>284</v>
          </cell>
          <cell r="AT53">
            <v>206</v>
          </cell>
          <cell r="AU53">
            <v>-208</v>
          </cell>
          <cell r="AV53">
            <v>120</v>
          </cell>
          <cell r="AW53">
            <v>278</v>
          </cell>
          <cell r="AX53">
            <v>186</v>
          </cell>
          <cell r="AY53">
            <v>-263</v>
          </cell>
          <cell r="AZ53">
            <v>218</v>
          </cell>
          <cell r="BA53">
            <v>208</v>
          </cell>
          <cell r="BB53">
            <v>228</v>
          </cell>
          <cell r="BC53">
            <v>955</v>
          </cell>
          <cell r="BD53">
            <v>274</v>
          </cell>
          <cell r="BE53">
            <v>232.22596649172937</v>
          </cell>
          <cell r="BF53">
            <v>271.84265507435623</v>
          </cell>
          <cell r="BG53">
            <v>237.61362399226437</v>
          </cell>
        </row>
        <row r="54">
          <cell r="A54" t="str">
            <v>Non-GAAP Adjustments</v>
          </cell>
          <cell r="B54">
            <v>0</v>
          </cell>
          <cell r="C54">
            <v>0</v>
          </cell>
          <cell r="D54">
            <v>149</v>
          </cell>
          <cell r="E54">
            <v>101</v>
          </cell>
          <cell r="F54">
            <v>92</v>
          </cell>
          <cell r="G54">
            <v>336</v>
          </cell>
          <cell r="H54">
            <v>171</v>
          </cell>
          <cell r="I54">
            <v>117</v>
          </cell>
          <cell r="J54">
            <v>131</v>
          </cell>
          <cell r="K54">
            <v>408</v>
          </cell>
          <cell r="L54">
            <v>463</v>
          </cell>
          <cell r="M54">
            <v>-723</v>
          </cell>
          <cell r="N54">
            <v>-11</v>
          </cell>
          <cell r="O54">
            <v>0</v>
          </cell>
          <cell r="P54">
            <v>0</v>
          </cell>
          <cell r="Q54">
            <v>0</v>
          </cell>
          <cell r="R54">
            <v>0</v>
          </cell>
          <cell r="S54">
            <v>0</v>
          </cell>
          <cell r="T54">
            <v>0</v>
          </cell>
          <cell r="W54" t="str">
            <v>Non-GAAP Adjustments</v>
          </cell>
          <cell r="X54">
            <v>24</v>
          </cell>
          <cell r="Y54">
            <v>37</v>
          </cell>
          <cell r="Z54">
            <v>16</v>
          </cell>
          <cell r="AA54">
            <v>15</v>
          </cell>
          <cell r="AB54">
            <v>18</v>
          </cell>
          <cell r="AC54">
            <v>371</v>
          </cell>
          <cell r="AD54">
            <v>40</v>
          </cell>
          <cell r="AE54">
            <v>-93</v>
          </cell>
          <cell r="AF54">
            <v>22</v>
          </cell>
          <cell r="AG54">
            <v>24</v>
          </cell>
          <cell r="AH54">
            <v>20</v>
          </cell>
          <cell r="AI54">
            <v>105</v>
          </cell>
          <cell r="AJ54">
            <v>33</v>
          </cell>
          <cell r="AK54">
            <v>-3</v>
          </cell>
          <cell r="AL54">
            <v>70</v>
          </cell>
          <cell r="AM54">
            <v>17</v>
          </cell>
          <cell r="AN54">
            <v>135</v>
          </cell>
          <cell r="AO54">
            <v>-3</v>
          </cell>
          <cell r="AP54">
            <v>-17</v>
          </cell>
          <cell r="AQ54">
            <v>16</v>
          </cell>
          <cell r="AR54">
            <v>4</v>
          </cell>
          <cell r="AS54">
            <v>36</v>
          </cell>
          <cell r="AT54">
            <v>43</v>
          </cell>
          <cell r="AU54">
            <v>325</v>
          </cell>
          <cell r="AV54">
            <v>32</v>
          </cell>
          <cell r="AW54">
            <v>19</v>
          </cell>
          <cell r="AX54">
            <v>6</v>
          </cell>
          <cell r="AY54">
            <v>406</v>
          </cell>
          <cell r="AZ54">
            <v>8</v>
          </cell>
          <cell r="BA54">
            <v>13</v>
          </cell>
          <cell r="BB54">
            <v>8</v>
          </cell>
          <cell r="BC54">
            <v>-752</v>
          </cell>
          <cell r="BD54">
            <v>-11</v>
          </cell>
          <cell r="BE54">
            <v>0</v>
          </cell>
          <cell r="BF54">
            <v>0</v>
          </cell>
          <cell r="BG54">
            <v>0</v>
          </cell>
        </row>
        <row r="55">
          <cell r="A55" t="str">
            <v>PBT (Adjusted)</v>
          </cell>
          <cell r="B55">
            <v>180</v>
          </cell>
          <cell r="C55">
            <v>172</v>
          </cell>
          <cell r="D55">
            <v>-114</v>
          </cell>
          <cell r="E55">
            <v>374</v>
          </cell>
          <cell r="F55">
            <v>618</v>
          </cell>
          <cell r="G55">
            <v>783</v>
          </cell>
          <cell r="H55">
            <v>605</v>
          </cell>
          <cell r="I55">
            <v>368</v>
          </cell>
          <cell r="J55">
            <v>669</v>
          </cell>
          <cell r="K55">
            <v>875</v>
          </cell>
          <cell r="L55">
            <v>784</v>
          </cell>
          <cell r="M55">
            <v>886</v>
          </cell>
          <cell r="N55">
            <v>1004.6822455583501</v>
          </cell>
          <cell r="O55">
            <v>1054.4463175851056</v>
          </cell>
          <cell r="P55">
            <v>1042.5132564664164</v>
          </cell>
          <cell r="Q55">
            <v>1089.6292005120958</v>
          </cell>
          <cell r="R55">
            <v>1118.196533067734</v>
          </cell>
          <cell r="S55">
            <v>1144.6056758960099</v>
          </cell>
          <cell r="T55">
            <v>1185.0540880273506</v>
          </cell>
          <cell r="W55" t="str">
            <v>PBT (Adjusted)</v>
          </cell>
          <cell r="X55">
            <v>154</v>
          </cell>
          <cell r="Y55">
            <v>171</v>
          </cell>
          <cell r="Z55">
            <v>166</v>
          </cell>
          <cell r="AA55">
            <v>127</v>
          </cell>
          <cell r="AB55">
            <v>189</v>
          </cell>
          <cell r="AC55">
            <v>203</v>
          </cell>
          <cell r="AD55">
            <v>171</v>
          </cell>
          <cell r="AE55">
            <v>220</v>
          </cell>
          <cell r="AF55">
            <v>240</v>
          </cell>
          <cell r="AG55">
            <v>271</v>
          </cell>
          <cell r="AH55">
            <v>172</v>
          </cell>
          <cell r="AI55">
            <v>-78</v>
          </cell>
          <cell r="AJ55">
            <v>22</v>
          </cell>
          <cell r="AK55">
            <v>124</v>
          </cell>
          <cell r="AL55">
            <v>118</v>
          </cell>
          <cell r="AM55">
            <v>104</v>
          </cell>
          <cell r="AN55">
            <v>128</v>
          </cell>
          <cell r="AO55">
            <v>221</v>
          </cell>
          <cell r="AP55">
            <v>174</v>
          </cell>
          <cell r="AQ55">
            <v>146</v>
          </cell>
          <cell r="AR55">
            <v>189</v>
          </cell>
          <cell r="AS55">
            <v>320</v>
          </cell>
          <cell r="AT55">
            <v>249</v>
          </cell>
          <cell r="AU55">
            <v>117</v>
          </cell>
          <cell r="AV55">
            <v>152</v>
          </cell>
          <cell r="AW55">
            <v>297</v>
          </cell>
          <cell r="AX55">
            <v>192</v>
          </cell>
          <cell r="AY55">
            <v>143</v>
          </cell>
          <cell r="AZ55">
            <v>226</v>
          </cell>
          <cell r="BA55">
            <v>221</v>
          </cell>
          <cell r="BB55">
            <v>236</v>
          </cell>
          <cell r="BC55">
            <v>203</v>
          </cell>
          <cell r="BD55">
            <v>263</v>
          </cell>
          <cell r="BE55">
            <v>232.22596649172937</v>
          </cell>
          <cell r="BF55">
            <v>271.84265507435623</v>
          </cell>
          <cell r="BG55">
            <v>237.61362399226437</v>
          </cell>
        </row>
        <row r="57">
          <cell r="A57" t="str">
            <v>Income taxes - reported</v>
          </cell>
          <cell r="B57">
            <v>-57</v>
          </cell>
          <cell r="C57">
            <v>-45</v>
          </cell>
          <cell r="D57">
            <v>-85</v>
          </cell>
          <cell r="E57">
            <v>-61</v>
          </cell>
          <cell r="F57">
            <v>-203</v>
          </cell>
          <cell r="G57">
            <v>-110</v>
          </cell>
          <cell r="H57">
            <v>-63</v>
          </cell>
          <cell r="I57">
            <v>243</v>
          </cell>
          <cell r="J57">
            <v>-112</v>
          </cell>
          <cell r="K57">
            <v>-41</v>
          </cell>
          <cell r="L57">
            <v>55</v>
          </cell>
          <cell r="M57">
            <v>-717</v>
          </cell>
          <cell r="N57">
            <v>-233.75327156725348</v>
          </cell>
          <cell r="O57">
            <v>-234.08708250389344</v>
          </cell>
          <cell r="P57">
            <v>-229.3529164226116</v>
          </cell>
          <cell r="Q57">
            <v>-228.82213210754011</v>
          </cell>
          <cell r="R57">
            <v>-223.63930661354681</v>
          </cell>
          <cell r="S57">
            <v>-217.85279829328755</v>
          </cell>
          <cell r="T57">
            <v>-225.04177131639389</v>
          </cell>
          <cell r="W57" t="str">
            <v>Income taxes - reported</v>
          </cell>
          <cell r="X57">
            <v>-34</v>
          </cell>
          <cell r="Y57">
            <v>-38</v>
          </cell>
          <cell r="Z57">
            <v>-60</v>
          </cell>
          <cell r="AA57">
            <v>-71</v>
          </cell>
          <cell r="AB57">
            <v>-49</v>
          </cell>
          <cell r="AC57">
            <v>44</v>
          </cell>
          <cell r="AD57">
            <v>-1</v>
          </cell>
          <cell r="AE57">
            <v>-104</v>
          </cell>
          <cell r="AF57">
            <v>-73</v>
          </cell>
          <cell r="AG57">
            <v>-45</v>
          </cell>
          <cell r="AH57">
            <v>12</v>
          </cell>
          <cell r="AI57">
            <v>43</v>
          </cell>
          <cell r="AJ57">
            <v>-5</v>
          </cell>
          <cell r="AK57">
            <v>-17</v>
          </cell>
          <cell r="AL57">
            <v>350</v>
          </cell>
          <cell r="AM57">
            <v>-85</v>
          </cell>
          <cell r="AN57">
            <v>20</v>
          </cell>
          <cell r="AO57">
            <v>-61</v>
          </cell>
          <cell r="AP57">
            <v>-44</v>
          </cell>
          <cell r="AQ57">
            <v>-27</v>
          </cell>
          <cell r="AR57">
            <v>-44</v>
          </cell>
          <cell r="AS57">
            <v>-76</v>
          </cell>
          <cell r="AT57">
            <v>-35</v>
          </cell>
          <cell r="AU57">
            <v>114</v>
          </cell>
          <cell r="AV57">
            <v>73</v>
          </cell>
          <cell r="AW57">
            <v>-57</v>
          </cell>
          <cell r="AX57">
            <v>-57</v>
          </cell>
          <cell r="AY57">
            <v>96</v>
          </cell>
          <cell r="AZ57">
            <v>-77</v>
          </cell>
          <cell r="BA57">
            <v>-75</v>
          </cell>
          <cell r="BB57">
            <v>-57</v>
          </cell>
          <cell r="BC57">
            <v>-508</v>
          </cell>
          <cell r="BD57">
            <v>-78</v>
          </cell>
          <cell r="BE57">
            <v>-48.767452963263167</v>
          </cell>
          <cell r="BF57">
            <v>-57.086957565614803</v>
          </cell>
          <cell r="BG57">
            <v>-49.898861038375514</v>
          </cell>
        </row>
        <row r="58">
          <cell r="A58" t="str">
            <v>Income taxes - recurring</v>
          </cell>
          <cell r="B58">
            <v>0</v>
          </cell>
          <cell r="C58">
            <v>0</v>
          </cell>
          <cell r="D58">
            <v>0</v>
          </cell>
          <cell r="E58">
            <v>-106</v>
          </cell>
          <cell r="F58">
            <v>-163</v>
          </cell>
          <cell r="G58">
            <v>-219</v>
          </cell>
          <cell r="H58">
            <v>-156</v>
          </cell>
          <cell r="I58">
            <v>-91</v>
          </cell>
          <cell r="J58">
            <v>-133</v>
          </cell>
          <cell r="K58">
            <v>-158</v>
          </cell>
          <cell r="L58">
            <v>-133</v>
          </cell>
          <cell r="M58">
            <v>-168</v>
          </cell>
          <cell r="N58">
            <v>-210.75327156725348</v>
          </cell>
          <cell r="O58">
            <v>-234.08708250389344</v>
          </cell>
          <cell r="P58">
            <v>-229.3529164226116</v>
          </cell>
          <cell r="Q58">
            <v>-228.82213210754011</v>
          </cell>
          <cell r="R58">
            <v>-223.63930661354681</v>
          </cell>
          <cell r="S58">
            <v>-217.85279829328755</v>
          </cell>
          <cell r="T58">
            <v>-225.04177131639389</v>
          </cell>
          <cell r="W58" t="str">
            <v>Income taxes - recurring</v>
          </cell>
          <cell r="X58">
            <v>-39</v>
          </cell>
          <cell r="Y58">
            <v>-48</v>
          </cell>
          <cell r="Z58">
            <v>-42</v>
          </cell>
          <cell r="AA58">
            <v>-34</v>
          </cell>
          <cell r="AB58">
            <v>-52</v>
          </cell>
          <cell r="AC58">
            <v>-57</v>
          </cell>
          <cell r="AD58">
            <v>-48</v>
          </cell>
          <cell r="AE58">
            <v>-62</v>
          </cell>
          <cell r="AF58">
            <v>-62</v>
          </cell>
          <cell r="AG58">
            <v>-70</v>
          </cell>
          <cell r="AH58">
            <v>-45</v>
          </cell>
          <cell r="AI58">
            <v>21</v>
          </cell>
          <cell r="AJ58">
            <v>-5</v>
          </cell>
          <cell r="AK58">
            <v>-35</v>
          </cell>
          <cell r="AL58">
            <v>-27</v>
          </cell>
          <cell r="AM58">
            <v>-24</v>
          </cell>
          <cell r="AN58">
            <v>-26</v>
          </cell>
          <cell r="AO58">
            <v>-44</v>
          </cell>
          <cell r="AP58">
            <v>-35</v>
          </cell>
          <cell r="AQ58">
            <v>-28</v>
          </cell>
          <cell r="AR58">
            <v>-34</v>
          </cell>
          <cell r="AS58">
            <v>-58</v>
          </cell>
          <cell r="AT58">
            <v>-45</v>
          </cell>
          <cell r="AU58">
            <v>-21</v>
          </cell>
          <cell r="AV58">
            <v>-26</v>
          </cell>
          <cell r="AW58">
            <v>-50</v>
          </cell>
          <cell r="AX58">
            <v>-33</v>
          </cell>
          <cell r="AY58">
            <v>-24</v>
          </cell>
          <cell r="AZ58">
            <v>-43</v>
          </cell>
          <cell r="BA58">
            <v>-42</v>
          </cell>
          <cell r="BB58">
            <v>-45</v>
          </cell>
          <cell r="BC58">
            <v>-38</v>
          </cell>
          <cell r="BD58">
            <v>-55</v>
          </cell>
          <cell r="BE58">
            <v>-48.767452963263167</v>
          </cell>
          <cell r="BF58">
            <v>-57.086957565614803</v>
          </cell>
          <cell r="BG58">
            <v>-49.898861038375514</v>
          </cell>
          <cell r="BH58">
            <v>6</v>
          </cell>
          <cell r="BI58" t="str">
            <v>ISO4217:USD</v>
          </cell>
          <cell r="BJ58" t="b">
            <v>1</v>
          </cell>
          <cell r="BK58" t="str">
            <v>mstag:taxExpenseIncome</v>
          </cell>
          <cell r="BL58">
            <v>6</v>
          </cell>
          <cell r="BM58" t="str">
            <v>ISO4217:USD</v>
          </cell>
          <cell r="BN58" t="b">
            <v>1</v>
          </cell>
        </row>
        <row r="59">
          <cell r="A59" t="str">
            <v>Income taxes - nonrecurring</v>
          </cell>
          <cell r="B59">
            <v>-57</v>
          </cell>
          <cell r="C59">
            <v>-45</v>
          </cell>
          <cell r="D59">
            <v>-85</v>
          </cell>
          <cell r="E59">
            <v>45</v>
          </cell>
          <cell r="F59">
            <v>-40</v>
          </cell>
          <cell r="G59">
            <v>109</v>
          </cell>
          <cell r="H59">
            <v>93</v>
          </cell>
          <cell r="I59">
            <v>334</v>
          </cell>
          <cell r="J59">
            <v>21</v>
          </cell>
          <cell r="K59">
            <v>117</v>
          </cell>
          <cell r="L59">
            <v>188</v>
          </cell>
          <cell r="M59">
            <v>-549</v>
          </cell>
          <cell r="N59">
            <v>-23</v>
          </cell>
          <cell r="O59">
            <v>0</v>
          </cell>
          <cell r="P59">
            <v>0</v>
          </cell>
          <cell r="Q59">
            <v>0</v>
          </cell>
          <cell r="R59">
            <v>0</v>
          </cell>
          <cell r="S59">
            <v>0</v>
          </cell>
          <cell r="T59">
            <v>0</v>
          </cell>
          <cell r="W59" t="str">
            <v>Income taxes - nonrecurring</v>
          </cell>
          <cell r="X59">
            <v>5</v>
          </cell>
          <cell r="Y59">
            <v>10</v>
          </cell>
          <cell r="Z59">
            <v>-18</v>
          </cell>
          <cell r="AA59">
            <v>-37</v>
          </cell>
          <cell r="AB59">
            <v>3</v>
          </cell>
          <cell r="AC59">
            <v>101</v>
          </cell>
          <cell r="AD59">
            <v>47</v>
          </cell>
          <cell r="AE59">
            <v>-42</v>
          </cell>
          <cell r="AF59">
            <v>-11</v>
          </cell>
          <cell r="AG59">
            <v>25</v>
          </cell>
          <cell r="AH59">
            <v>57</v>
          </cell>
          <cell r="AI59">
            <v>22</v>
          </cell>
          <cell r="AJ59">
            <v>0</v>
          </cell>
          <cell r="AK59">
            <v>18</v>
          </cell>
          <cell r="AL59">
            <v>377</v>
          </cell>
          <cell r="AM59">
            <v>-61</v>
          </cell>
          <cell r="AN59">
            <v>46</v>
          </cell>
          <cell r="AO59">
            <v>-17</v>
          </cell>
          <cell r="AP59">
            <v>-9</v>
          </cell>
          <cell r="AQ59">
            <v>1</v>
          </cell>
          <cell r="AR59">
            <v>-10</v>
          </cell>
          <cell r="AS59">
            <v>-18</v>
          </cell>
          <cell r="AT59">
            <v>10</v>
          </cell>
          <cell r="AU59">
            <v>135</v>
          </cell>
          <cell r="AV59">
            <v>99</v>
          </cell>
          <cell r="AW59">
            <v>-7</v>
          </cell>
          <cell r="AX59">
            <v>-24</v>
          </cell>
          <cell r="AY59">
            <v>120</v>
          </cell>
          <cell r="AZ59">
            <v>-34</v>
          </cell>
          <cell r="BA59">
            <v>-33</v>
          </cell>
          <cell r="BB59">
            <v>-12</v>
          </cell>
          <cell r="BC59">
            <v>-470</v>
          </cell>
          <cell r="BD59">
            <v>-23</v>
          </cell>
          <cell r="BE59">
            <v>0</v>
          </cell>
          <cell r="BF59">
            <v>0</v>
          </cell>
          <cell r="BG59">
            <v>0</v>
          </cell>
          <cell r="BH59">
            <v>6</v>
          </cell>
          <cell r="BI59" t="str">
            <v>ISO4217:USD</v>
          </cell>
          <cell r="BJ59" t="b">
            <v>1</v>
          </cell>
          <cell r="BK59" t="str">
            <v>mstag:taxOnIncomeLossFromExtraordinaryItems</v>
          </cell>
          <cell r="BL59">
            <v>6</v>
          </cell>
          <cell r="BM59" t="str">
            <v>ISO4217:USD</v>
          </cell>
          <cell r="BN59" t="b">
            <v>1</v>
          </cell>
        </row>
        <row r="60">
          <cell r="A60" t="str">
            <v>Effective income tax rate (as reported)</v>
          </cell>
          <cell r="B60">
            <v>0.31666666666666665</v>
          </cell>
          <cell r="C60">
            <v>0.26162790697674421</v>
          </cell>
          <cell r="D60">
            <v>-0.74561403508771928</v>
          </cell>
          <cell r="E60">
            <v>0.16310160427807488</v>
          </cell>
          <cell r="F60">
            <v>0.38593155893536124</v>
          </cell>
          <cell r="G60">
            <v>0.24608501118568232</v>
          </cell>
          <cell r="H60">
            <v>0.14516129032258066</v>
          </cell>
          <cell r="I60">
            <v>-0.96812749003984067</v>
          </cell>
          <cell r="J60">
            <v>0.20817843866171004</v>
          </cell>
          <cell r="K60">
            <v>8.7794432548179868E-2</v>
          </cell>
          <cell r="L60">
            <v>-0.17133956386292834</v>
          </cell>
          <cell r="M60">
            <v>0.44561839651957735</v>
          </cell>
          <cell r="N60">
            <v>0.2301440953501678</v>
          </cell>
          <cell r="O60">
            <v>0.222</v>
          </cell>
          <cell r="P60">
            <v>0.22</v>
          </cell>
          <cell r="Q60">
            <v>0.21</v>
          </cell>
          <cell r="R60">
            <v>0.2</v>
          </cell>
          <cell r="S60">
            <v>0.19033</v>
          </cell>
          <cell r="T60">
            <v>0.18990000000000001</v>
          </cell>
          <cell r="W60" t="str">
            <v>Effective income tax rate (as reported)</v>
          </cell>
          <cell r="X60">
            <v>0.26153846153846155</v>
          </cell>
          <cell r="Y60">
            <v>0.28358208955223879</v>
          </cell>
          <cell r="Z60">
            <v>0.4</v>
          </cell>
          <cell r="AA60">
            <v>0.6339285714285714</v>
          </cell>
          <cell r="AB60">
            <v>0.28654970760233917</v>
          </cell>
          <cell r="AC60">
            <v>0.26190476190476192</v>
          </cell>
          <cell r="AD60">
            <v>7.6335877862595417E-3</v>
          </cell>
          <cell r="AE60">
            <v>0.33226837060702874</v>
          </cell>
          <cell r="AF60">
            <v>0.33486238532110091</v>
          </cell>
          <cell r="AG60">
            <v>0.18218623481781376</v>
          </cell>
          <cell r="AH60">
            <v>-7.8947368421052627E-2</v>
          </cell>
          <cell r="AI60">
            <v>0.23497267759562843</v>
          </cell>
          <cell r="AJ60">
            <v>-0.45454545454545453</v>
          </cell>
          <cell r="AK60">
            <v>0.13385826771653545</v>
          </cell>
          <cell r="AL60">
            <v>-7.291666666666667</v>
          </cell>
          <cell r="AM60">
            <v>0.97701149425287359</v>
          </cell>
          <cell r="AN60">
            <v>2.8571428571428572</v>
          </cell>
          <cell r="AO60">
            <v>0.27232142857142855</v>
          </cell>
          <cell r="AP60">
            <v>0.23036649214659685</v>
          </cell>
          <cell r="AQ60">
            <v>0.2076923076923077</v>
          </cell>
          <cell r="AR60">
            <v>0.23783783783783785</v>
          </cell>
          <cell r="AS60">
            <v>0.26760563380281688</v>
          </cell>
          <cell r="AT60">
            <v>0.16990291262135923</v>
          </cell>
          <cell r="AU60">
            <v>0.54807692307692313</v>
          </cell>
          <cell r="AV60">
            <v>-0.60833333333333328</v>
          </cell>
          <cell r="AW60">
            <v>0.20503597122302158</v>
          </cell>
          <cell r="AX60">
            <v>0.30645161290322581</v>
          </cell>
          <cell r="AY60">
            <v>0.36501901140684412</v>
          </cell>
          <cell r="AZ60">
            <v>0.35321100917431192</v>
          </cell>
          <cell r="BA60">
            <v>0.36057692307692307</v>
          </cell>
          <cell r="BB60">
            <v>0.25</v>
          </cell>
          <cell r="BC60">
            <v>0.53193717277486907</v>
          </cell>
          <cell r="BD60">
            <v>0.28467153284671531</v>
          </cell>
          <cell r="BE60">
            <v>0.21</v>
          </cell>
          <cell r="BF60">
            <v>0.21</v>
          </cell>
          <cell r="BG60">
            <v>0.21</v>
          </cell>
        </row>
        <row r="61">
          <cell r="A61" t="str">
            <v>Adjusted tax rate</v>
          </cell>
          <cell r="B61">
            <v>0</v>
          </cell>
          <cell r="C61">
            <v>0</v>
          </cell>
          <cell r="D61">
            <v>0</v>
          </cell>
          <cell r="E61">
            <v>0.28342245989304815</v>
          </cell>
          <cell r="F61">
            <v>0.26375404530744334</v>
          </cell>
          <cell r="G61">
            <v>0.27969348659003829</v>
          </cell>
          <cell r="H61">
            <v>0.25785123966942147</v>
          </cell>
          <cell r="I61">
            <v>0.24728260869565216</v>
          </cell>
          <cell r="J61">
            <v>0.19880418535127056</v>
          </cell>
          <cell r="K61">
            <v>0.18057142857142858</v>
          </cell>
          <cell r="L61">
            <v>0.16964285714285715</v>
          </cell>
          <cell r="M61">
            <v>0.18961625282167044</v>
          </cell>
          <cell r="N61">
            <v>0.20977107189759064</v>
          </cell>
          <cell r="O61">
            <v>0.222</v>
          </cell>
          <cell r="P61">
            <v>0.22</v>
          </cell>
          <cell r="Q61">
            <v>0.21</v>
          </cell>
          <cell r="R61">
            <v>0.2</v>
          </cell>
          <cell r="S61">
            <v>0.19033</v>
          </cell>
          <cell r="T61">
            <v>0.18990000000000001</v>
          </cell>
          <cell r="W61" t="str">
            <v>Adjusted tax rate</v>
          </cell>
          <cell r="X61">
            <v>0.25324675324675322</v>
          </cell>
          <cell r="Y61">
            <v>0.2807017543859649</v>
          </cell>
          <cell r="Z61">
            <v>0.25301204819277107</v>
          </cell>
          <cell r="AA61">
            <v>0.26771653543307089</v>
          </cell>
          <cell r="AB61">
            <v>0.27513227513227512</v>
          </cell>
          <cell r="AC61">
            <v>0.28078817733990147</v>
          </cell>
          <cell r="AD61">
            <v>0.2807017543859649</v>
          </cell>
          <cell r="AE61">
            <v>0.2818181818181818</v>
          </cell>
          <cell r="AF61">
            <v>0.25833333333333336</v>
          </cell>
          <cell r="AG61">
            <v>0.25830258302583026</v>
          </cell>
          <cell r="AH61">
            <v>0.26162790697674421</v>
          </cell>
          <cell r="AI61">
            <v>0.26923076923076922</v>
          </cell>
          <cell r="AJ61">
            <v>0.22727272727272727</v>
          </cell>
          <cell r="AK61">
            <v>0.28225806451612906</v>
          </cell>
          <cell r="AL61">
            <v>0.2288135593220339</v>
          </cell>
          <cell r="AM61">
            <v>0.23076923076923078</v>
          </cell>
          <cell r="AN61">
            <v>0.203125</v>
          </cell>
          <cell r="AO61">
            <v>0.19909502262443438</v>
          </cell>
          <cell r="AP61">
            <v>0.20114942528735633</v>
          </cell>
          <cell r="AQ61">
            <v>0.19178082191780821</v>
          </cell>
          <cell r="AR61">
            <v>0.17989417989417988</v>
          </cell>
          <cell r="AS61">
            <v>0.18124999999999999</v>
          </cell>
          <cell r="AT61">
            <v>0.18072289156626506</v>
          </cell>
          <cell r="AU61">
            <v>0.17948717948717949</v>
          </cell>
          <cell r="AV61">
            <v>0.17105263157894737</v>
          </cell>
          <cell r="AW61">
            <v>0.16835016835016836</v>
          </cell>
          <cell r="AX61">
            <v>0.171875</v>
          </cell>
          <cell r="AY61">
            <v>0.16783216783216784</v>
          </cell>
          <cell r="AZ61">
            <v>0.19026548672566371</v>
          </cell>
          <cell r="BA61">
            <v>0.19004524886877827</v>
          </cell>
          <cell r="BB61">
            <v>0.19067796610169491</v>
          </cell>
          <cell r="BC61">
            <v>0.18719211822660098</v>
          </cell>
          <cell r="BD61">
            <v>0.20912547528517111</v>
          </cell>
          <cell r="BE61">
            <v>0.21</v>
          </cell>
          <cell r="BF61">
            <v>0.21</v>
          </cell>
          <cell r="BG61">
            <v>0.21</v>
          </cell>
        </row>
        <row r="62">
          <cell r="BI62" t="str">
            <v xml:space="preserve"> </v>
          </cell>
        </row>
        <row r="63">
          <cell r="A63" t="str">
            <v>Minority interests</v>
          </cell>
          <cell r="B63">
            <v>0</v>
          </cell>
          <cell r="C63">
            <v>0</v>
          </cell>
          <cell r="D63">
            <v>-8</v>
          </cell>
          <cell r="E63">
            <v>-37</v>
          </cell>
          <cell r="F63">
            <v>-4</v>
          </cell>
          <cell r="G63">
            <v>-1</v>
          </cell>
          <cell r="H63">
            <v>1</v>
          </cell>
          <cell r="I63">
            <v>0</v>
          </cell>
          <cell r="J63">
            <v>0</v>
          </cell>
          <cell r="K63">
            <v>0</v>
          </cell>
          <cell r="L63">
            <v>0</v>
          </cell>
          <cell r="M63">
            <v>0</v>
          </cell>
          <cell r="N63">
            <v>0</v>
          </cell>
          <cell r="O63">
            <v>0</v>
          </cell>
          <cell r="P63">
            <v>0</v>
          </cell>
          <cell r="Q63">
            <v>0</v>
          </cell>
          <cell r="R63">
            <v>0</v>
          </cell>
          <cell r="S63">
            <v>0</v>
          </cell>
          <cell r="T63">
            <v>0</v>
          </cell>
          <cell r="W63" t="str">
            <v>Minority interests</v>
          </cell>
          <cell r="X63">
            <v>0</v>
          </cell>
          <cell r="Y63">
            <v>-1</v>
          </cell>
          <cell r="Z63">
            <v>-2</v>
          </cell>
          <cell r="AA63">
            <v>-1</v>
          </cell>
          <cell r="AB63">
            <v>0</v>
          </cell>
          <cell r="AC63">
            <v>0</v>
          </cell>
          <cell r="AD63">
            <v>0</v>
          </cell>
          <cell r="AE63">
            <v>-1</v>
          </cell>
          <cell r="AF63">
            <v>0</v>
          </cell>
          <cell r="AG63">
            <v>1</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6</v>
          </cell>
          <cell r="BI63" t="str">
            <v>ISO4217:USD</v>
          </cell>
          <cell r="BJ63" t="b">
            <v>1</v>
          </cell>
          <cell r="BK63" t="str">
            <v>mstag:minorityInterestsInNetIncome</v>
          </cell>
          <cell r="BL63">
            <v>6</v>
          </cell>
          <cell r="BM63" t="str">
            <v>ISO4217:USD</v>
          </cell>
          <cell r="BN63" t="b">
            <v>1</v>
          </cell>
        </row>
        <row r="64">
          <cell r="A64" t="str">
            <v>Earnings from continuing operations (GAAP, post exceptional)</v>
          </cell>
          <cell r="B64">
            <v>123</v>
          </cell>
          <cell r="C64">
            <v>127</v>
          </cell>
          <cell r="D64">
            <v>-207</v>
          </cell>
          <cell r="E64">
            <v>276</v>
          </cell>
          <cell r="F64">
            <v>319</v>
          </cell>
          <cell r="G64">
            <v>336</v>
          </cell>
          <cell r="H64">
            <v>372</v>
          </cell>
          <cell r="I64">
            <v>494</v>
          </cell>
          <cell r="J64">
            <v>426</v>
          </cell>
          <cell r="K64">
            <v>426</v>
          </cell>
          <cell r="L64">
            <v>376</v>
          </cell>
          <cell r="M64">
            <v>892</v>
          </cell>
          <cell r="N64">
            <v>781.92897399109665</v>
          </cell>
          <cell r="O64">
            <v>820.35923508121209</v>
          </cell>
          <cell r="P64">
            <v>813.16034004380481</v>
          </cell>
          <cell r="Q64">
            <v>860.80706840455571</v>
          </cell>
          <cell r="R64">
            <v>894.55722645418723</v>
          </cell>
          <cell r="S64">
            <v>926.75287760272226</v>
          </cell>
          <cell r="T64">
            <v>960.01231671095672</v>
          </cell>
          <cell r="W64" t="str">
            <v>Earnings from continuing operations (GAAP, post exceptional)</v>
          </cell>
          <cell r="X64">
            <v>96</v>
          </cell>
          <cell r="Y64">
            <v>95</v>
          </cell>
          <cell r="Z64">
            <v>88</v>
          </cell>
          <cell r="AA64">
            <v>40</v>
          </cell>
          <cell r="AB64">
            <v>122</v>
          </cell>
          <cell r="AC64">
            <v>-124</v>
          </cell>
          <cell r="AD64">
            <v>130</v>
          </cell>
          <cell r="AE64">
            <v>208</v>
          </cell>
          <cell r="AF64">
            <v>145</v>
          </cell>
          <cell r="AG64">
            <v>203</v>
          </cell>
          <cell r="AH64">
            <v>164</v>
          </cell>
          <cell r="AI64">
            <v>-140</v>
          </cell>
          <cell r="AJ64">
            <v>-16</v>
          </cell>
          <cell r="AK64">
            <v>110</v>
          </cell>
          <cell r="AL64">
            <v>398</v>
          </cell>
          <cell r="AM64">
            <v>2</v>
          </cell>
          <cell r="AN64">
            <v>13</v>
          </cell>
          <cell r="AO64">
            <v>163</v>
          </cell>
          <cell r="AP64">
            <v>147</v>
          </cell>
          <cell r="AQ64">
            <v>103</v>
          </cell>
          <cell r="AR64">
            <v>141</v>
          </cell>
          <cell r="AS64">
            <v>208</v>
          </cell>
          <cell r="AT64">
            <v>171</v>
          </cell>
          <cell r="AU64">
            <v>-94</v>
          </cell>
          <cell r="AV64">
            <v>193</v>
          </cell>
          <cell r="AW64">
            <v>221</v>
          </cell>
          <cell r="AX64">
            <v>129</v>
          </cell>
          <cell r="AY64">
            <v>-167</v>
          </cell>
          <cell r="AZ64">
            <v>141</v>
          </cell>
          <cell r="BA64">
            <v>133</v>
          </cell>
          <cell r="BB64">
            <v>171</v>
          </cell>
          <cell r="BC64">
            <v>447</v>
          </cell>
          <cell r="BD64">
            <v>196</v>
          </cell>
          <cell r="BE64">
            <v>183.4585135284662</v>
          </cell>
          <cell r="BF64">
            <v>214.75569750874143</v>
          </cell>
          <cell r="BG64">
            <v>187.71476295388885</v>
          </cell>
        </row>
        <row r="65">
          <cell r="A65" t="str">
            <v>Earnings from discontinued operations</v>
          </cell>
          <cell r="B65">
            <v>27</v>
          </cell>
          <cell r="C65">
            <v>22</v>
          </cell>
          <cell r="D65">
            <v>32</v>
          </cell>
          <cell r="E65">
            <v>1</v>
          </cell>
          <cell r="F65">
            <v>87</v>
          </cell>
          <cell r="G65">
            <v>90</v>
          </cell>
          <cell r="H65">
            <v>-90</v>
          </cell>
          <cell r="I65">
            <v>4</v>
          </cell>
          <cell r="J65">
            <v>-49</v>
          </cell>
          <cell r="K65">
            <v>1</v>
          </cell>
          <cell r="L65">
            <v>-4</v>
          </cell>
          <cell r="M65">
            <v>1</v>
          </cell>
          <cell r="N65">
            <v>0</v>
          </cell>
          <cell r="O65">
            <v>0</v>
          </cell>
          <cell r="P65">
            <v>0</v>
          </cell>
          <cell r="Q65">
            <v>0</v>
          </cell>
          <cell r="R65">
            <v>0</v>
          </cell>
          <cell r="S65">
            <v>0</v>
          </cell>
          <cell r="T65">
            <v>0</v>
          </cell>
          <cell r="W65" t="str">
            <v>Earnings from discontinued operations</v>
          </cell>
          <cell r="X65">
            <v>21</v>
          </cell>
          <cell r="Y65">
            <v>8</v>
          </cell>
          <cell r="Z65">
            <v>21</v>
          </cell>
          <cell r="AA65">
            <v>37</v>
          </cell>
          <cell r="AB65">
            <v>79</v>
          </cell>
          <cell r="AC65">
            <v>7</v>
          </cell>
          <cell r="AD65">
            <v>-2</v>
          </cell>
          <cell r="AE65">
            <v>6</v>
          </cell>
          <cell r="AF65">
            <v>0</v>
          </cell>
          <cell r="AG65">
            <v>-69</v>
          </cell>
          <cell r="AH65">
            <v>-6</v>
          </cell>
          <cell r="AI65">
            <v>-15</v>
          </cell>
          <cell r="AJ65">
            <v>1</v>
          </cell>
          <cell r="AK65">
            <v>-1</v>
          </cell>
          <cell r="AL65">
            <v>0</v>
          </cell>
          <cell r="AM65">
            <v>4</v>
          </cell>
          <cell r="AN65">
            <v>1</v>
          </cell>
          <cell r="AO65">
            <v>-3</v>
          </cell>
          <cell r="AP65">
            <v>-2</v>
          </cell>
          <cell r="AQ65">
            <v>-45</v>
          </cell>
          <cell r="AR65">
            <v>4</v>
          </cell>
          <cell r="AS65">
            <v>-2</v>
          </cell>
          <cell r="AT65">
            <v>0</v>
          </cell>
          <cell r="AU65">
            <v>-1</v>
          </cell>
          <cell r="AV65">
            <v>0</v>
          </cell>
          <cell r="AW65">
            <v>0</v>
          </cell>
          <cell r="AX65">
            <v>-2</v>
          </cell>
          <cell r="AY65">
            <v>-2</v>
          </cell>
          <cell r="AZ65">
            <v>1</v>
          </cell>
          <cell r="BA65">
            <v>0</v>
          </cell>
          <cell r="BB65">
            <v>0</v>
          </cell>
          <cell r="BC65">
            <v>0</v>
          </cell>
          <cell r="BD65">
            <v>0</v>
          </cell>
          <cell r="BE65">
            <v>0</v>
          </cell>
          <cell r="BF65">
            <v>0</v>
          </cell>
          <cell r="BG65">
            <v>0</v>
          </cell>
          <cell r="BH65">
            <v>6</v>
          </cell>
          <cell r="BI65" t="str">
            <v>ISO4217:USD</v>
          </cell>
          <cell r="BJ65" t="b">
            <v>0</v>
          </cell>
          <cell r="BK65" t="str">
            <v>mstag:incomeLossFromDiscontinuedOperationsNetOfTax</v>
          </cell>
          <cell r="BL65">
            <v>6</v>
          </cell>
          <cell r="BM65" t="str">
            <v>ISO4217:USD</v>
          </cell>
          <cell r="BN65" t="b">
            <v>0</v>
          </cell>
        </row>
        <row r="66">
          <cell r="A66" t="str">
            <v>Earnings (loss) from operation of discontinued operations</v>
          </cell>
          <cell r="B66">
            <v>-43</v>
          </cell>
          <cell r="C66">
            <v>23</v>
          </cell>
          <cell r="D66">
            <v>4</v>
          </cell>
          <cell r="E66">
            <v>-3</v>
          </cell>
          <cell r="F66">
            <v>130</v>
          </cell>
          <cell r="G66">
            <v>40</v>
          </cell>
          <cell r="H66">
            <v>-120</v>
          </cell>
          <cell r="I66">
            <v>6</v>
          </cell>
          <cell r="J66">
            <v>-80</v>
          </cell>
          <cell r="K66">
            <v>2</v>
          </cell>
          <cell r="L66">
            <v>-6</v>
          </cell>
          <cell r="M66">
            <v>2</v>
          </cell>
          <cell r="N66">
            <v>0</v>
          </cell>
          <cell r="O66">
            <v>0</v>
          </cell>
          <cell r="P66">
            <v>0</v>
          </cell>
          <cell r="Q66">
            <v>0</v>
          </cell>
          <cell r="R66">
            <v>0</v>
          </cell>
          <cell r="S66">
            <v>0</v>
          </cell>
          <cell r="T66">
            <v>0</v>
          </cell>
          <cell r="W66" t="str">
            <v>Earnings (loss) from operation of discontinued operations</v>
          </cell>
          <cell r="X66">
            <v>32</v>
          </cell>
          <cell r="Y66">
            <v>11</v>
          </cell>
          <cell r="Z66">
            <v>29</v>
          </cell>
          <cell r="AA66">
            <v>58</v>
          </cell>
          <cell r="AB66">
            <v>43</v>
          </cell>
          <cell r="AC66">
            <v>-5</v>
          </cell>
          <cell r="AD66">
            <v>0</v>
          </cell>
          <cell r="AE66">
            <v>2</v>
          </cell>
          <cell r="AF66">
            <v>0</v>
          </cell>
          <cell r="AG66">
            <v>-112</v>
          </cell>
          <cell r="AH66">
            <v>-8</v>
          </cell>
          <cell r="AI66">
            <v>0</v>
          </cell>
          <cell r="AJ66">
            <v>1</v>
          </cell>
          <cell r="AK66">
            <v>-1</v>
          </cell>
          <cell r="AL66">
            <v>0</v>
          </cell>
          <cell r="AM66">
            <v>6</v>
          </cell>
          <cell r="AN66">
            <v>0</v>
          </cell>
          <cell r="AO66">
            <v>-5</v>
          </cell>
          <cell r="AP66">
            <v>-3</v>
          </cell>
          <cell r="AQ66">
            <v>-72</v>
          </cell>
          <cell r="AR66">
            <v>6</v>
          </cell>
          <cell r="AS66">
            <v>-3</v>
          </cell>
          <cell r="AT66">
            <v>0</v>
          </cell>
          <cell r="AU66">
            <v>-1</v>
          </cell>
          <cell r="AV66">
            <v>0</v>
          </cell>
          <cell r="AW66">
            <v>0</v>
          </cell>
          <cell r="AX66">
            <v>-3</v>
          </cell>
          <cell r="AY66">
            <v>-3</v>
          </cell>
          <cell r="AZ66">
            <v>2</v>
          </cell>
          <cell r="BA66">
            <v>0</v>
          </cell>
          <cell r="BB66">
            <v>0</v>
          </cell>
          <cell r="BC66">
            <v>0</v>
          </cell>
          <cell r="BD66">
            <v>0</v>
          </cell>
          <cell r="BE66">
            <v>0</v>
          </cell>
          <cell r="BF66">
            <v>0</v>
          </cell>
          <cell r="BG66">
            <v>0</v>
          </cell>
          <cell r="BJ66" t="b">
            <v>0</v>
          </cell>
          <cell r="BN66" t="b">
            <v>0</v>
          </cell>
        </row>
        <row r="67">
          <cell r="A67" t="str">
            <v>Gain on disposal of discontinued operations</v>
          </cell>
          <cell r="B67">
            <v>14</v>
          </cell>
          <cell r="C67">
            <v>7</v>
          </cell>
          <cell r="D67">
            <v>15</v>
          </cell>
          <cell r="E67">
            <v>0</v>
          </cell>
          <cell r="F67">
            <v>5</v>
          </cell>
          <cell r="G67">
            <v>52</v>
          </cell>
          <cell r="H67">
            <v>6</v>
          </cell>
          <cell r="I67">
            <v>0</v>
          </cell>
          <cell r="J67">
            <v>2</v>
          </cell>
          <cell r="K67">
            <v>0</v>
          </cell>
          <cell r="L67">
            <v>0</v>
          </cell>
          <cell r="M67">
            <v>0</v>
          </cell>
          <cell r="N67">
            <v>0</v>
          </cell>
          <cell r="O67">
            <v>0</v>
          </cell>
          <cell r="P67">
            <v>0</v>
          </cell>
          <cell r="Q67">
            <v>0</v>
          </cell>
          <cell r="R67">
            <v>0</v>
          </cell>
          <cell r="S67">
            <v>0</v>
          </cell>
          <cell r="T67">
            <v>0</v>
          </cell>
          <cell r="W67" t="str">
            <v>Gain on disposal of discontinued operations</v>
          </cell>
          <cell r="X67">
            <v>0</v>
          </cell>
          <cell r="Y67">
            <v>1</v>
          </cell>
          <cell r="Z67">
            <v>3</v>
          </cell>
          <cell r="AA67">
            <v>1</v>
          </cell>
          <cell r="AB67">
            <v>31</v>
          </cell>
          <cell r="AC67">
            <v>16</v>
          </cell>
          <cell r="AD67">
            <v>0</v>
          </cell>
          <cell r="AE67">
            <v>5</v>
          </cell>
          <cell r="AF67">
            <v>0</v>
          </cell>
          <cell r="AG67">
            <v>0</v>
          </cell>
          <cell r="AH67">
            <v>0</v>
          </cell>
          <cell r="AI67">
            <v>6</v>
          </cell>
          <cell r="AJ67">
            <v>0</v>
          </cell>
          <cell r="AK67">
            <v>0</v>
          </cell>
          <cell r="AL67">
            <v>0</v>
          </cell>
          <cell r="AM67">
            <v>0</v>
          </cell>
          <cell r="AN67">
            <v>2</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J67" t="b">
            <v>0</v>
          </cell>
          <cell r="BN67" t="b">
            <v>0</v>
          </cell>
        </row>
        <row r="68">
          <cell r="A68" t="str">
            <v>Income tax (provision) benefit, discontinuing</v>
          </cell>
          <cell r="B68">
            <v>56</v>
          </cell>
          <cell r="C68">
            <v>-8</v>
          </cell>
          <cell r="D68">
            <v>13</v>
          </cell>
          <cell r="E68">
            <v>4</v>
          </cell>
          <cell r="F68">
            <v>-48</v>
          </cell>
          <cell r="G68">
            <v>-2</v>
          </cell>
          <cell r="H68">
            <v>24</v>
          </cell>
          <cell r="I68">
            <v>-2</v>
          </cell>
          <cell r="J68">
            <v>29</v>
          </cell>
          <cell r="K68">
            <v>-1</v>
          </cell>
          <cell r="L68">
            <v>2</v>
          </cell>
          <cell r="M68">
            <v>-1</v>
          </cell>
          <cell r="N68">
            <v>0</v>
          </cell>
          <cell r="O68">
            <v>0</v>
          </cell>
          <cell r="P68">
            <v>0</v>
          </cell>
          <cell r="Q68">
            <v>0</v>
          </cell>
          <cell r="R68">
            <v>0</v>
          </cell>
          <cell r="S68">
            <v>0</v>
          </cell>
          <cell r="T68">
            <v>0</v>
          </cell>
          <cell r="W68" t="str">
            <v>Income tax (provision) benefit</v>
          </cell>
          <cell r="X68">
            <v>-11</v>
          </cell>
          <cell r="Y68">
            <v>-4</v>
          </cell>
          <cell r="Z68">
            <v>-11</v>
          </cell>
          <cell r="AA68">
            <v>-22</v>
          </cell>
          <cell r="AB68">
            <v>5</v>
          </cell>
          <cell r="AC68">
            <v>-4</v>
          </cell>
          <cell r="AD68">
            <v>-2</v>
          </cell>
          <cell r="AE68">
            <v>-1</v>
          </cell>
          <cell r="AF68">
            <v>0</v>
          </cell>
          <cell r="AG68">
            <v>43</v>
          </cell>
          <cell r="AH68">
            <v>2</v>
          </cell>
          <cell r="AI68">
            <v>-21</v>
          </cell>
          <cell r="AJ68">
            <v>0</v>
          </cell>
          <cell r="AK68">
            <v>0</v>
          </cell>
          <cell r="AL68">
            <v>0</v>
          </cell>
          <cell r="AM68">
            <v>-2</v>
          </cell>
          <cell r="AN68">
            <v>-1</v>
          </cell>
          <cell r="AO68">
            <v>2</v>
          </cell>
          <cell r="AP68">
            <v>1</v>
          </cell>
          <cell r="AQ68">
            <v>27</v>
          </cell>
          <cell r="AR68">
            <v>-2</v>
          </cell>
          <cell r="AS68">
            <v>1</v>
          </cell>
          <cell r="AT68">
            <v>0</v>
          </cell>
          <cell r="AU68">
            <v>0</v>
          </cell>
          <cell r="AV68">
            <v>0</v>
          </cell>
          <cell r="AW68">
            <v>0</v>
          </cell>
          <cell r="AX68">
            <v>1</v>
          </cell>
          <cell r="AY68">
            <v>1</v>
          </cell>
          <cell r="AZ68">
            <v>-1</v>
          </cell>
          <cell r="BA68">
            <v>0</v>
          </cell>
          <cell r="BB68">
            <v>0</v>
          </cell>
          <cell r="BC68">
            <v>0</v>
          </cell>
          <cell r="BD68">
            <v>0</v>
          </cell>
          <cell r="BE68">
            <v>0</v>
          </cell>
          <cell r="BF68">
            <v>0</v>
          </cell>
          <cell r="BG68">
            <v>0</v>
          </cell>
          <cell r="BJ68" t="b">
            <v>0</v>
          </cell>
          <cell r="BN68" t="b">
            <v>0</v>
          </cell>
        </row>
        <row r="69">
          <cell r="A69" t="str">
            <v>Cumulative effect of change in accounting</v>
          </cell>
          <cell r="B69">
            <v>18</v>
          </cell>
          <cell r="C69">
            <v>-1</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W69" t="str">
            <v>Cumulative effect of change in accounting</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6</v>
          </cell>
          <cell r="BI69" t="str">
            <v>ISO4217:USD</v>
          </cell>
          <cell r="BJ69" t="b">
            <v>0</v>
          </cell>
          <cell r="BK69" t="str">
            <v>mstag:cumulativeEffectOfChangeInAccountingPrincipleNetOfTax</v>
          </cell>
          <cell r="BL69">
            <v>6</v>
          </cell>
          <cell r="BM69" t="str">
            <v>ISO4217:USD</v>
          </cell>
          <cell r="BN69" t="b">
            <v>0</v>
          </cell>
        </row>
        <row r="70">
          <cell r="A70" t="str">
            <v>Net earning (as reported)</v>
          </cell>
          <cell r="B70">
            <v>168</v>
          </cell>
          <cell r="C70">
            <v>148</v>
          </cell>
          <cell r="D70">
            <v>-175</v>
          </cell>
          <cell r="E70">
            <v>277</v>
          </cell>
          <cell r="F70">
            <v>406</v>
          </cell>
          <cell r="G70">
            <v>426</v>
          </cell>
          <cell r="H70">
            <v>282</v>
          </cell>
          <cell r="I70">
            <v>498</v>
          </cell>
          <cell r="J70">
            <v>377</v>
          </cell>
          <cell r="K70">
            <v>427</v>
          </cell>
          <cell r="L70">
            <v>372</v>
          </cell>
          <cell r="M70">
            <v>893</v>
          </cell>
          <cell r="N70">
            <v>781.92897399109665</v>
          </cell>
          <cell r="O70">
            <v>820.35923508121209</v>
          </cell>
          <cell r="P70">
            <v>813.16034004380481</v>
          </cell>
          <cell r="Q70">
            <v>860.80706840455571</v>
          </cell>
          <cell r="R70">
            <v>894.55722645418723</v>
          </cell>
          <cell r="S70">
            <v>926.75287760272226</v>
          </cell>
          <cell r="T70">
            <v>960.01231671095672</v>
          </cell>
          <cell r="W70" t="str">
            <v>Net earning (as reported)</v>
          </cell>
          <cell r="X70">
            <v>117</v>
          </cell>
          <cell r="Y70">
            <v>103</v>
          </cell>
          <cell r="Z70">
            <v>109</v>
          </cell>
          <cell r="AA70">
            <v>77</v>
          </cell>
          <cell r="AB70">
            <v>201</v>
          </cell>
          <cell r="AC70">
            <v>-117</v>
          </cell>
          <cell r="AD70">
            <v>128</v>
          </cell>
          <cell r="AE70">
            <v>214</v>
          </cell>
          <cell r="AF70">
            <v>145</v>
          </cell>
          <cell r="AG70">
            <v>134</v>
          </cell>
          <cell r="AH70">
            <v>158</v>
          </cell>
          <cell r="AI70">
            <v>-155</v>
          </cell>
          <cell r="AJ70">
            <v>-15</v>
          </cell>
          <cell r="AK70">
            <v>109</v>
          </cell>
          <cell r="AL70">
            <v>398</v>
          </cell>
          <cell r="AM70">
            <v>6</v>
          </cell>
          <cell r="AN70">
            <v>14</v>
          </cell>
          <cell r="AO70">
            <v>160</v>
          </cell>
          <cell r="AP70">
            <v>145</v>
          </cell>
          <cell r="AQ70">
            <v>58</v>
          </cell>
          <cell r="AR70">
            <v>145</v>
          </cell>
          <cell r="AS70">
            <v>206</v>
          </cell>
          <cell r="AT70">
            <v>171</v>
          </cell>
          <cell r="AU70">
            <v>-95</v>
          </cell>
          <cell r="AV70">
            <v>193</v>
          </cell>
          <cell r="AW70">
            <v>221</v>
          </cell>
          <cell r="AX70">
            <v>127</v>
          </cell>
          <cell r="AY70">
            <v>-169</v>
          </cell>
          <cell r="AZ70">
            <v>142</v>
          </cell>
          <cell r="BA70">
            <v>133</v>
          </cell>
          <cell r="BB70">
            <v>171</v>
          </cell>
          <cell r="BC70">
            <v>447</v>
          </cell>
          <cell r="BD70">
            <v>196</v>
          </cell>
          <cell r="BE70">
            <v>183.4585135284662</v>
          </cell>
          <cell r="BF70">
            <v>214.75569750874143</v>
          </cell>
          <cell r="BG70">
            <v>187.71476295388885</v>
          </cell>
          <cell r="BH70">
            <v>6</v>
          </cell>
          <cell r="BI70" t="str">
            <v>ISO4217:USD</v>
          </cell>
          <cell r="BJ70" t="b">
            <v>0</v>
          </cell>
          <cell r="BK70" t="str">
            <v>mstag:netIncomeAsReported</v>
          </cell>
          <cell r="BL70">
            <v>6</v>
          </cell>
          <cell r="BM70" t="str">
            <v>ISO4217:USD</v>
          </cell>
          <cell r="BN70" t="b">
            <v>0</v>
          </cell>
        </row>
        <row r="71">
          <cell r="A71" t="str">
            <v>Cumulative preferred stock dividends</v>
          </cell>
          <cell r="B71">
            <v>0</v>
          </cell>
          <cell r="C71">
            <v>0</v>
          </cell>
          <cell r="D71">
            <v>0</v>
          </cell>
          <cell r="E71">
            <v>-10</v>
          </cell>
          <cell r="F71">
            <v>-10</v>
          </cell>
          <cell r="G71">
            <v>-10</v>
          </cell>
          <cell r="H71">
            <v>-10</v>
          </cell>
          <cell r="I71">
            <v>-10</v>
          </cell>
          <cell r="J71">
            <v>-3</v>
          </cell>
          <cell r="K71">
            <v>0</v>
          </cell>
          <cell r="L71">
            <v>0</v>
          </cell>
          <cell r="M71">
            <v>0</v>
          </cell>
          <cell r="N71">
            <v>0</v>
          </cell>
          <cell r="O71">
            <v>0</v>
          </cell>
          <cell r="P71">
            <v>0</v>
          </cell>
          <cell r="Q71">
            <v>0</v>
          </cell>
          <cell r="R71">
            <v>0</v>
          </cell>
          <cell r="S71">
            <v>0</v>
          </cell>
          <cell r="T71">
            <v>0</v>
          </cell>
          <cell r="W71" t="str">
            <v>Cumulative preferred stock dividends</v>
          </cell>
          <cell r="X71">
            <v>-3</v>
          </cell>
          <cell r="Y71">
            <v>-2</v>
          </cell>
          <cell r="Z71">
            <v>-3</v>
          </cell>
          <cell r="AA71">
            <v>-2</v>
          </cell>
          <cell r="AB71">
            <v>-2</v>
          </cell>
          <cell r="AC71">
            <v>-3</v>
          </cell>
          <cell r="AD71">
            <v>-2</v>
          </cell>
          <cell r="AE71">
            <v>-3</v>
          </cell>
          <cell r="AF71">
            <v>-3</v>
          </cell>
          <cell r="AG71">
            <v>-2</v>
          </cell>
          <cell r="AH71">
            <v>-3</v>
          </cell>
          <cell r="AI71">
            <v>-2</v>
          </cell>
          <cell r="AJ71">
            <v>-3</v>
          </cell>
          <cell r="AK71">
            <v>-2</v>
          </cell>
          <cell r="AL71">
            <v>-3</v>
          </cell>
          <cell r="AM71">
            <v>-2</v>
          </cell>
          <cell r="AN71">
            <v>-3</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6</v>
          </cell>
          <cell r="BI71" t="str">
            <v>ISO4217:USD</v>
          </cell>
          <cell r="BJ71" t="b">
            <v>1</v>
          </cell>
          <cell r="BK71" t="str">
            <v>mstag:preferredDividendsPaid</v>
          </cell>
          <cell r="BL71">
            <v>6</v>
          </cell>
          <cell r="BM71" t="str">
            <v>ISO4217:USD</v>
          </cell>
          <cell r="BN71" t="b">
            <v>1</v>
          </cell>
        </row>
        <row r="72">
          <cell r="A72" t="str">
            <v>Net earnings (loss) available to common shareholders</v>
          </cell>
          <cell r="B72">
            <v>168</v>
          </cell>
          <cell r="C72">
            <v>148</v>
          </cell>
          <cell r="D72">
            <v>-175</v>
          </cell>
          <cell r="E72">
            <v>267</v>
          </cell>
          <cell r="F72">
            <v>396</v>
          </cell>
          <cell r="G72">
            <v>416</v>
          </cell>
          <cell r="H72">
            <v>272</v>
          </cell>
          <cell r="I72">
            <v>488</v>
          </cell>
          <cell r="J72">
            <v>374</v>
          </cell>
          <cell r="K72">
            <v>427</v>
          </cell>
          <cell r="L72">
            <v>372</v>
          </cell>
          <cell r="M72">
            <v>893</v>
          </cell>
          <cell r="N72">
            <v>781.92897399109665</v>
          </cell>
          <cell r="O72">
            <v>820.35923508121209</v>
          </cell>
          <cell r="P72">
            <v>813.16034004380481</v>
          </cell>
          <cell r="Q72">
            <v>860.80706840455571</v>
          </cell>
          <cell r="R72">
            <v>894.55722645418723</v>
          </cell>
          <cell r="S72">
            <v>926.75287760272226</v>
          </cell>
          <cell r="T72">
            <v>960.01231671095672</v>
          </cell>
          <cell r="W72" t="str">
            <v>Net earnings (loss) available to common shareholders</v>
          </cell>
          <cell r="X72">
            <v>114</v>
          </cell>
          <cell r="Y72">
            <v>101</v>
          </cell>
          <cell r="Z72">
            <v>106</v>
          </cell>
          <cell r="AA72">
            <v>75</v>
          </cell>
          <cell r="AB72">
            <v>199</v>
          </cell>
          <cell r="AC72">
            <v>-120</v>
          </cell>
          <cell r="AD72">
            <v>126</v>
          </cell>
          <cell r="AE72">
            <v>211</v>
          </cell>
          <cell r="AF72">
            <v>142</v>
          </cell>
          <cell r="AG72">
            <v>132</v>
          </cell>
          <cell r="AH72">
            <v>155</v>
          </cell>
          <cell r="AI72">
            <v>-157</v>
          </cell>
          <cell r="AJ72">
            <v>-18</v>
          </cell>
          <cell r="AK72">
            <v>107</v>
          </cell>
          <cell r="AL72">
            <v>395</v>
          </cell>
          <cell r="AM72">
            <v>4</v>
          </cell>
          <cell r="AN72">
            <v>11</v>
          </cell>
          <cell r="AO72">
            <v>160</v>
          </cell>
          <cell r="AP72">
            <v>145</v>
          </cell>
          <cell r="AQ72">
            <v>58</v>
          </cell>
          <cell r="AR72">
            <v>145</v>
          </cell>
          <cell r="AS72">
            <v>206</v>
          </cell>
          <cell r="AT72">
            <v>171</v>
          </cell>
          <cell r="AU72">
            <v>-95</v>
          </cell>
          <cell r="AV72">
            <v>193</v>
          </cell>
          <cell r="AW72">
            <v>221</v>
          </cell>
          <cell r="AX72">
            <v>127</v>
          </cell>
          <cell r="AY72">
            <v>-169</v>
          </cell>
          <cell r="AZ72">
            <v>142</v>
          </cell>
          <cell r="BA72">
            <v>133</v>
          </cell>
          <cell r="BB72">
            <v>171</v>
          </cell>
          <cell r="BC72">
            <v>447</v>
          </cell>
          <cell r="BD72">
            <v>196</v>
          </cell>
          <cell r="BE72">
            <v>183.4585135284662</v>
          </cell>
          <cell r="BF72">
            <v>214.75569750874143</v>
          </cell>
          <cell r="BG72">
            <v>187.71476295388885</v>
          </cell>
        </row>
        <row r="74">
          <cell r="A74" t="str">
            <v>Add Back preferred dividends</v>
          </cell>
          <cell r="B74">
            <v>0</v>
          </cell>
          <cell r="C74">
            <v>0</v>
          </cell>
          <cell r="D74">
            <v>0</v>
          </cell>
          <cell r="E74">
            <v>10</v>
          </cell>
          <cell r="F74">
            <v>10</v>
          </cell>
          <cell r="G74">
            <v>10</v>
          </cell>
          <cell r="H74">
            <v>10</v>
          </cell>
          <cell r="I74">
            <v>10</v>
          </cell>
          <cell r="J74">
            <v>3</v>
          </cell>
          <cell r="K74">
            <v>0</v>
          </cell>
          <cell r="L74">
            <v>0</v>
          </cell>
          <cell r="M74">
            <v>0</v>
          </cell>
          <cell r="N74">
            <v>0</v>
          </cell>
          <cell r="O74">
            <v>0</v>
          </cell>
          <cell r="P74">
            <v>0</v>
          </cell>
          <cell r="Q74">
            <v>0</v>
          </cell>
          <cell r="R74">
            <v>0</v>
          </cell>
          <cell r="S74">
            <v>0</v>
          </cell>
          <cell r="T74">
            <v>0</v>
          </cell>
          <cell r="W74" t="str">
            <v>Add Back preferred dividends</v>
          </cell>
          <cell r="X74">
            <v>3</v>
          </cell>
          <cell r="Y74">
            <v>2</v>
          </cell>
          <cell r="Z74">
            <v>3</v>
          </cell>
          <cell r="AA74">
            <v>2</v>
          </cell>
          <cell r="AB74">
            <v>2</v>
          </cell>
          <cell r="AC74">
            <v>3</v>
          </cell>
          <cell r="AD74">
            <v>2</v>
          </cell>
          <cell r="AE74">
            <v>3</v>
          </cell>
          <cell r="AF74">
            <v>3</v>
          </cell>
          <cell r="AG74">
            <v>2</v>
          </cell>
          <cell r="AH74">
            <v>3</v>
          </cell>
          <cell r="AI74">
            <v>0</v>
          </cell>
          <cell r="AJ74">
            <v>3</v>
          </cell>
          <cell r="AK74">
            <v>2</v>
          </cell>
          <cell r="AL74">
            <v>3</v>
          </cell>
          <cell r="AM74">
            <v>2</v>
          </cell>
          <cell r="AN74">
            <v>3</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6</v>
          </cell>
          <cell r="BI74" t="str">
            <v>ISO4217:USD</v>
          </cell>
          <cell r="BJ74" t="b">
            <v>0</v>
          </cell>
          <cell r="BK74" t="str">
            <v>mstag:impactOfAssumedConversionOfPreferredStock</v>
          </cell>
          <cell r="BL74">
            <v>6</v>
          </cell>
          <cell r="BM74" t="str">
            <v>ISO4217:USD</v>
          </cell>
          <cell r="BN74" t="b">
            <v>0</v>
          </cell>
        </row>
        <row r="76">
          <cell r="A76" t="str">
            <v>Adjusted net income for continuing EPS</v>
          </cell>
          <cell r="B76">
            <v>180</v>
          </cell>
          <cell r="C76">
            <v>172</v>
          </cell>
          <cell r="D76">
            <v>-122</v>
          </cell>
          <cell r="E76">
            <v>221</v>
          </cell>
          <cell r="F76">
            <v>441</v>
          </cell>
          <cell r="G76">
            <v>553</v>
          </cell>
          <cell r="H76">
            <v>440</v>
          </cell>
          <cell r="I76">
            <v>267</v>
          </cell>
          <cell r="J76">
            <v>533</v>
          </cell>
          <cell r="K76">
            <v>717</v>
          </cell>
          <cell r="L76">
            <v>651</v>
          </cell>
          <cell r="M76">
            <v>718</v>
          </cell>
          <cell r="N76">
            <v>793.92897399109665</v>
          </cell>
          <cell r="O76">
            <v>820.35923508121209</v>
          </cell>
          <cell r="P76">
            <v>813.16034004380481</v>
          </cell>
          <cell r="Q76">
            <v>860.80706840455571</v>
          </cell>
          <cell r="R76">
            <v>894.55722645418723</v>
          </cell>
          <cell r="S76">
            <v>926.75287760272226</v>
          </cell>
          <cell r="T76">
            <v>960.01231671095672</v>
          </cell>
          <cell r="W76" t="str">
            <v>Adjusted net income for continuing EPS</v>
          </cell>
          <cell r="X76">
            <v>112</v>
          </cell>
          <cell r="Y76">
            <v>120</v>
          </cell>
          <cell r="Z76">
            <v>119</v>
          </cell>
          <cell r="AA76">
            <v>90</v>
          </cell>
          <cell r="AB76">
            <v>135</v>
          </cell>
          <cell r="AC76">
            <v>143</v>
          </cell>
          <cell r="AD76">
            <v>121</v>
          </cell>
          <cell r="AE76">
            <v>154</v>
          </cell>
          <cell r="AF76">
            <v>175</v>
          </cell>
          <cell r="AG76">
            <v>200</v>
          </cell>
          <cell r="AH76">
            <v>124</v>
          </cell>
          <cell r="AI76">
            <v>-59</v>
          </cell>
          <cell r="AJ76">
            <v>14</v>
          </cell>
          <cell r="AK76">
            <v>87</v>
          </cell>
          <cell r="AL76">
            <v>88</v>
          </cell>
          <cell r="AM76">
            <v>78</v>
          </cell>
          <cell r="AN76">
            <v>99</v>
          </cell>
          <cell r="AO76">
            <v>177</v>
          </cell>
          <cell r="AP76">
            <v>139</v>
          </cell>
          <cell r="AQ76">
            <v>118</v>
          </cell>
          <cell r="AR76">
            <v>155</v>
          </cell>
          <cell r="AS76">
            <v>262</v>
          </cell>
          <cell r="AT76">
            <v>204</v>
          </cell>
          <cell r="AU76">
            <v>96</v>
          </cell>
          <cell r="AV76">
            <v>126</v>
          </cell>
          <cell r="AW76">
            <v>247</v>
          </cell>
          <cell r="AX76">
            <v>159</v>
          </cell>
          <cell r="AY76">
            <v>119</v>
          </cell>
          <cell r="AZ76">
            <v>183</v>
          </cell>
          <cell r="BA76">
            <v>179</v>
          </cell>
          <cell r="BB76">
            <v>191</v>
          </cell>
          <cell r="BC76">
            <v>165</v>
          </cell>
          <cell r="BD76">
            <v>208</v>
          </cell>
          <cell r="BE76">
            <v>183.4585135284662</v>
          </cell>
          <cell r="BF76">
            <v>214.75569750874143</v>
          </cell>
          <cell r="BG76">
            <v>187.71476295388885</v>
          </cell>
        </row>
        <row r="77">
          <cell r="A77" t="str">
            <v>Margin</v>
          </cell>
          <cell r="B77">
            <v>4.692387904066736E-2</v>
          </cell>
          <cell r="C77">
            <v>3.8350055741360092E-2</v>
          </cell>
          <cell r="D77">
            <v>-2.4761518165212097E-2</v>
          </cell>
          <cell r="E77">
            <v>3.6631858113707942E-2</v>
          </cell>
          <cell r="F77">
            <v>7.6323987538940805E-2</v>
          </cell>
          <cell r="G77">
            <v>8.5816263190564873E-2</v>
          </cell>
          <cell r="H77">
            <v>6.4487761981533054E-2</v>
          </cell>
          <cell r="I77">
            <v>5.2538370720188902E-2</v>
          </cell>
          <cell r="J77">
            <v>9.0064210882054754E-2</v>
          </cell>
          <cell r="K77">
            <v>0.10601803933165754</v>
          </cell>
          <cell r="L77">
            <v>0.10143346837020879</v>
          </cell>
          <cell r="M77">
            <v>0.11029185867895545</v>
          </cell>
          <cell r="N77">
            <v>0.11566629494004195</v>
          </cell>
          <cell r="O77">
            <v>0.1147005611571105</v>
          </cell>
          <cell r="P77">
            <v>0.106731578273539</v>
          </cell>
          <cell r="Q77">
            <v>0.10744386573469099</v>
          </cell>
          <cell r="R77">
            <v>0.10802057127966716</v>
          </cell>
          <cell r="S77">
            <v>0.10890801544249487</v>
          </cell>
          <cell r="T77">
            <v>0.10974789241393702</v>
          </cell>
          <cell r="W77" t="str">
            <v>Margin</v>
          </cell>
          <cell r="X77">
            <v>7.476635514018691E-2</v>
          </cell>
          <cell r="Y77">
            <v>8.2361015785861358E-2</v>
          </cell>
          <cell r="Z77">
            <v>8.0897348742352146E-2</v>
          </cell>
          <cell r="AA77">
            <v>6.6568047337278113E-2</v>
          </cell>
          <cell r="AB77">
            <v>8.6816720257234734E-2</v>
          </cell>
          <cell r="AC77">
            <v>9.1902313624678669E-2</v>
          </cell>
          <cell r="AD77">
            <v>7.6923076923076927E-2</v>
          </cell>
          <cell r="AE77">
            <v>8.7499999999999994E-2</v>
          </cell>
          <cell r="AF77">
            <v>9.4799566630552543E-2</v>
          </cell>
          <cell r="AG77">
            <v>0.10706638115631692</v>
          </cell>
          <cell r="AH77">
            <v>6.8019747668678007E-2</v>
          </cell>
          <cell r="AI77">
            <v>-4.5878693623639194E-2</v>
          </cell>
          <cell r="AJ77">
            <v>1.2216404886561954E-2</v>
          </cell>
          <cell r="AK77">
            <v>6.9935691318327969E-2</v>
          </cell>
          <cell r="AL77">
            <v>6.7484662576687116E-2</v>
          </cell>
          <cell r="AM77">
            <v>5.6195965417867436E-2</v>
          </cell>
          <cell r="AN77">
            <v>7.1325648414985593E-2</v>
          </cell>
          <cell r="AO77">
            <v>0.11667765326301911</v>
          </cell>
          <cell r="AP77">
            <v>9.2297476759628155E-2</v>
          </cell>
          <cell r="AQ77">
            <v>7.8301260783012611E-2</v>
          </cell>
          <cell r="AR77">
            <v>9.754562617998741E-2</v>
          </cell>
          <cell r="AS77">
            <v>0.14945807187678267</v>
          </cell>
          <cell r="AT77">
            <v>0.11289429994465966</v>
          </cell>
          <cell r="AU77">
            <v>5.9479553903345722E-2</v>
          </cell>
          <cell r="AV77">
            <v>7.7158603796693204E-2</v>
          </cell>
          <cell r="AW77">
            <v>0.14746268656716419</v>
          </cell>
          <cell r="AX77">
            <v>9.881914232442511E-2</v>
          </cell>
          <cell r="AY77">
            <v>7.9280479680213192E-2</v>
          </cell>
          <cell r="AZ77">
            <v>0.11401869158878504</v>
          </cell>
          <cell r="BA77">
            <v>0.10828796128251664</v>
          </cell>
          <cell r="BB77">
            <v>0.1167481662591687</v>
          </cell>
          <cell r="BC77">
            <v>0.1021039603960396</v>
          </cell>
          <cell r="BD77">
            <v>0.1219941348973607</v>
          </cell>
          <cell r="BE77">
            <v>0.10437186537305622</v>
          </cell>
          <cell r="BF77">
            <v>0.1250240792580759</v>
          </cell>
          <cell r="BG77">
            <v>0.1115021852975602</v>
          </cell>
        </row>
        <row r="78">
          <cell r="A78" t="str">
            <v>Growth</v>
          </cell>
          <cell r="C78">
            <v>-4.4444444444444398E-2</v>
          </cell>
          <cell r="D78">
            <v>-1.7093023255813953</v>
          </cell>
          <cell r="E78">
            <v>-2.8114754098360653</v>
          </cell>
          <cell r="F78">
            <v>0.99547511312217196</v>
          </cell>
          <cell r="G78">
            <v>0.25396825396825395</v>
          </cell>
          <cell r="H78">
            <v>-0.20433996383363473</v>
          </cell>
          <cell r="I78">
            <v>-0.39318181818181819</v>
          </cell>
          <cell r="J78">
            <v>0.99625468164794007</v>
          </cell>
          <cell r="K78">
            <v>0.34521575984990616</v>
          </cell>
          <cell r="L78">
            <v>-9.2050209205020939E-2</v>
          </cell>
          <cell r="M78">
            <v>0.10291858678955457</v>
          </cell>
          <cell r="N78">
            <v>0.10575066015473067</v>
          </cell>
          <cell r="O78">
            <v>3.329046042651651E-2</v>
          </cell>
          <cell r="P78">
            <v>-8.7752959064264502E-3</v>
          </cell>
          <cell r="Q78">
            <v>5.8594505922637818E-2</v>
          </cell>
          <cell r="R78">
            <v>3.9207575411973616E-2</v>
          </cell>
          <cell r="S78">
            <v>3.5990599814559543E-2</v>
          </cell>
          <cell r="T78">
            <v>3.5888142256723654E-2</v>
          </cell>
          <cell r="W78" t="str">
            <v>Growth</v>
          </cell>
          <cell r="X78" t="str">
            <v>NM</v>
          </cell>
          <cell r="Y78" t="str">
            <v>NM</v>
          </cell>
          <cell r="Z78" t="str">
            <v>NM</v>
          </cell>
          <cell r="AA78" t="str">
            <v>NM</v>
          </cell>
          <cell r="AB78">
            <v>0.20535714285714279</v>
          </cell>
          <cell r="AC78">
            <v>0.19166666666666665</v>
          </cell>
          <cell r="AD78">
            <v>1.6806722689075571E-2</v>
          </cell>
          <cell r="AE78">
            <v>0.71111111111111103</v>
          </cell>
          <cell r="AF78">
            <v>0.29629629629629628</v>
          </cell>
          <cell r="AG78">
            <v>0.39860139860139854</v>
          </cell>
          <cell r="AH78">
            <v>2.4793388429751984E-2</v>
          </cell>
          <cell r="AI78">
            <v>-1.3831168831168832</v>
          </cell>
          <cell r="AJ78">
            <v>-0.92</v>
          </cell>
          <cell r="AK78">
            <v>-0.56499999999999995</v>
          </cell>
          <cell r="AL78">
            <v>-0.29032258064516125</v>
          </cell>
          <cell r="AM78">
            <v>-2.3220338983050848</v>
          </cell>
          <cell r="AN78">
            <v>6.0714285714285712</v>
          </cell>
          <cell r="AO78">
            <v>1.0344827586206895</v>
          </cell>
          <cell r="AP78">
            <v>0.57954545454545459</v>
          </cell>
          <cell r="AQ78">
            <v>0.51282051282051277</v>
          </cell>
          <cell r="AR78">
            <v>0.56565656565656575</v>
          </cell>
          <cell r="AS78">
            <v>0.48022598870056488</v>
          </cell>
          <cell r="AT78">
            <v>0.46762589928057552</v>
          </cell>
          <cell r="AU78">
            <v>-0.18644067796610164</v>
          </cell>
          <cell r="AV78">
            <v>-0.18709677419354842</v>
          </cell>
          <cell r="AW78">
            <v>-5.7251908396946605E-2</v>
          </cell>
          <cell r="AX78">
            <v>-0.22058823529411764</v>
          </cell>
          <cell r="AY78">
            <v>0.23958333333333326</v>
          </cell>
          <cell r="AZ78">
            <v>0.45238095238095233</v>
          </cell>
          <cell r="BA78">
            <v>-0.2753036437246964</v>
          </cell>
          <cell r="BB78">
            <v>0.20125786163522008</v>
          </cell>
          <cell r="BC78">
            <v>0.38655462184873945</v>
          </cell>
          <cell r="BD78">
            <v>0.13661202185792343</v>
          </cell>
          <cell r="BE78">
            <v>2.4907896807073726E-2</v>
          </cell>
          <cell r="BF78">
            <v>0.12437537962691847</v>
          </cell>
          <cell r="BG78">
            <v>0.13766523002356879</v>
          </cell>
        </row>
        <row r="79">
          <cell r="BE79">
            <v>0.22471910112359553</v>
          </cell>
        </row>
        <row r="80">
          <cell r="A80" t="str">
            <v>Adjusted EPS</v>
          </cell>
          <cell r="B80">
            <v>3.5764422609425521</v>
          </cell>
          <cell r="C80">
            <v>3.4777583704033059</v>
          </cell>
          <cell r="D80">
            <v>-0.81829599852250623</v>
          </cell>
          <cell r="E80">
            <v>1.3898912953382541</v>
          </cell>
          <cell r="F80">
            <v>2.6250294086235382</v>
          </cell>
          <cell r="G80">
            <v>3.2880137002361831</v>
          </cell>
          <cell r="H80">
            <v>2.7527671381118881</v>
          </cell>
          <cell r="I80">
            <v>1.7630339653076033</v>
          </cell>
          <cell r="J80">
            <v>3.3844325397731438</v>
          </cell>
          <cell r="K80">
            <v>4.5109139392236068</v>
          </cell>
          <cell r="L80">
            <v>4.0744797371303401</v>
          </cell>
          <cell r="M80">
            <v>4.4966337873806168</v>
          </cell>
          <cell r="N80">
            <v>5.0876576353162228</v>
          </cell>
          <cell r="O80">
            <v>5.051552517407278</v>
          </cell>
          <cell r="P80">
            <v>4.9800434039750874</v>
          </cell>
          <cell r="Q80">
            <v>5.2350343068458409</v>
          </cell>
          <cell r="R80">
            <v>5.4023682570573053</v>
          </cell>
          <cell r="S80">
            <v>5.5581277513350624</v>
          </cell>
          <cell r="T80">
            <v>5.7184677519303664</v>
          </cell>
          <cell r="W80" t="str">
            <v>Adjusted EPS</v>
          </cell>
          <cell r="X80">
            <v>0.67060215274137291</v>
          </cell>
          <cell r="Y80">
            <v>0.70902800594370041</v>
          </cell>
          <cell r="Z80">
            <v>0.71271621137167218</v>
          </cell>
          <cell r="AA80">
            <v>0.53333333333333333</v>
          </cell>
          <cell r="AB80">
            <v>0.78535982882870425</v>
          </cell>
          <cell r="AC80">
            <v>0.8361970217640321</v>
          </cell>
          <cell r="AD80">
            <v>0.73472292854681542</v>
          </cell>
          <cell r="AE80">
            <v>0.93119810201660735</v>
          </cell>
          <cell r="AF80">
            <v>1.0639187057087056</v>
          </cell>
          <cell r="AG80">
            <v>1.2037078755203734</v>
          </cell>
          <cell r="AH80">
            <v>0.77956346029903356</v>
          </cell>
          <cell r="AI80">
            <v>-0.41114982578397213</v>
          </cell>
          <cell r="AJ80">
            <v>0.10925449871465295</v>
          </cell>
          <cell r="AK80">
            <v>0.56659759481230887</v>
          </cell>
          <cell r="AL80">
            <v>0.57754706697608971</v>
          </cell>
          <cell r="AM80">
            <v>0.50505050505050508</v>
          </cell>
          <cell r="AN80">
            <v>0.64191315292636875</v>
          </cell>
          <cell r="AO80">
            <v>1.1174242424242424</v>
          </cell>
          <cell r="AP80">
            <v>0.88030398986700442</v>
          </cell>
          <cell r="AQ80">
            <v>0.74542008843967145</v>
          </cell>
          <cell r="AR80">
            <v>0.97668557025834912</v>
          </cell>
          <cell r="AS80">
            <v>1.6457286432160805</v>
          </cell>
          <cell r="AT80">
            <v>1.2830188679245282</v>
          </cell>
          <cell r="AU80">
            <v>0.60415355569540585</v>
          </cell>
          <cell r="AV80">
            <v>0.79195474544311761</v>
          </cell>
          <cell r="AW80">
            <v>1.5466499686912962</v>
          </cell>
          <cell r="AX80">
            <v>0.99312929419113061</v>
          </cell>
          <cell r="AY80">
            <v>0.74282147315855185</v>
          </cell>
          <cell r="AZ80">
            <v>1.1423220973782773</v>
          </cell>
          <cell r="BA80">
            <v>1.1180512179887572</v>
          </cell>
          <cell r="BB80">
            <v>1.2005028284098052</v>
          </cell>
          <cell r="BC80">
            <v>1.0357815442561205</v>
          </cell>
          <cell r="BD80">
            <v>1.3265306122448979</v>
          </cell>
          <cell r="BE80">
            <v>1.1737588837393871</v>
          </cell>
          <cell r="BF80">
            <v>1.3784062741254264</v>
          </cell>
          <cell r="BG80">
            <v>1.2087235219181509</v>
          </cell>
          <cell r="BI80">
            <v>4.0745554814840963</v>
          </cell>
        </row>
        <row r="81">
          <cell r="BE81">
            <v>0.13795255930087391</v>
          </cell>
          <cell r="BI81">
            <v>4.5635021392621882</v>
          </cell>
        </row>
        <row r="82">
          <cell r="A82" t="str">
            <v>Basic shares outstanding</v>
          </cell>
          <cell r="B82">
            <v>50.329346000000001</v>
          </cell>
          <cell r="C82">
            <v>49.445957999999997</v>
          </cell>
          <cell r="D82">
            <v>148.699352</v>
          </cell>
          <cell r="E82">
            <v>154.40257500000001</v>
          </cell>
          <cell r="F82">
            <v>158.59742399999999</v>
          </cell>
          <cell r="G82">
            <v>154.47502</v>
          </cell>
          <cell r="H82">
            <v>148.4</v>
          </cell>
          <cell r="I82">
            <v>143.688749</v>
          </cell>
          <cell r="J82">
            <v>154.56413599999999</v>
          </cell>
          <cell r="K82">
            <v>156.20407700000001</v>
          </cell>
          <cell r="L82">
            <v>158.30000000000001</v>
          </cell>
          <cell r="M82">
            <v>159.17500000000001</v>
          </cell>
          <cell r="N82">
            <v>155</v>
          </cell>
          <cell r="O82">
            <v>157.1623964483104</v>
          </cell>
          <cell r="P82">
            <v>158.24417744831044</v>
          </cell>
          <cell r="Q82">
            <v>159.32595844831042</v>
          </cell>
          <cell r="R82">
            <v>160.40773944831045</v>
          </cell>
          <cell r="S82">
            <v>161.48952044831043</v>
          </cell>
          <cell r="T82">
            <v>162.57130144831046</v>
          </cell>
          <cell r="W82" t="str">
            <v>Basic shares outstanding</v>
          </cell>
          <cell r="X82">
            <v>158.562161</v>
          </cell>
          <cell r="Y82">
            <v>158.562161</v>
          </cell>
          <cell r="Z82">
            <v>158.60924600000001</v>
          </cell>
          <cell r="AA82">
            <v>158.69999999999999</v>
          </cell>
          <cell r="AB82">
            <v>159.284888</v>
          </cell>
          <cell r="AC82">
            <v>156.932929</v>
          </cell>
          <cell r="AD82">
            <v>150.15430900000001</v>
          </cell>
          <cell r="AE82">
            <v>151.69999999999999</v>
          </cell>
          <cell r="AF82">
            <v>151.993753</v>
          </cell>
          <cell r="AG82">
            <v>150.90576999999999</v>
          </cell>
          <cell r="AH82">
            <v>147.063241</v>
          </cell>
          <cell r="AI82">
            <v>143.5</v>
          </cell>
          <cell r="AJ82">
            <v>143.506981</v>
          </cell>
          <cell r="AK82">
            <v>143.52812599999999</v>
          </cell>
          <cell r="AL82">
            <v>143.59123099999999</v>
          </cell>
          <cell r="AM82">
            <v>144.1</v>
          </cell>
          <cell r="AN82">
            <v>150.30000000000001</v>
          </cell>
          <cell r="AO82">
            <v>156.30000000000001</v>
          </cell>
          <cell r="AP82">
            <v>155.9</v>
          </cell>
          <cell r="AQ82">
            <v>155.69999999999999</v>
          </cell>
          <cell r="AR82">
            <v>156</v>
          </cell>
          <cell r="AS82">
            <v>156.30000000000001</v>
          </cell>
          <cell r="AT82">
            <v>156.19999999999999</v>
          </cell>
          <cell r="AU82">
            <v>156.4</v>
          </cell>
          <cell r="AV82">
            <v>156.5</v>
          </cell>
          <cell r="AW82">
            <v>158.1</v>
          </cell>
          <cell r="AX82">
            <v>159.1</v>
          </cell>
          <cell r="AY82">
            <v>159.5</v>
          </cell>
          <cell r="AZ82">
            <v>159.69999999999999</v>
          </cell>
          <cell r="BA82">
            <v>159.69999999999999</v>
          </cell>
          <cell r="BB82">
            <v>158.5</v>
          </cell>
          <cell r="BC82">
            <v>158.80000000000001</v>
          </cell>
          <cell r="BD82">
            <v>156.5</v>
          </cell>
          <cell r="BE82">
            <v>155.5</v>
          </cell>
          <cell r="BF82">
            <v>154.5</v>
          </cell>
          <cell r="BG82">
            <v>153.5</v>
          </cell>
          <cell r="BH82">
            <v>6</v>
          </cell>
          <cell r="BI82">
            <v>4.6449932488918693</v>
          </cell>
          <cell r="BJ82" t="b">
            <v>0</v>
          </cell>
          <cell r="BK82" t="str">
            <v>mstag:averageBasicSharesOutstanding</v>
          </cell>
          <cell r="BL82">
            <v>6</v>
          </cell>
          <cell r="BM82" t="str">
            <v>ms_eqr_gcim_Decimal:ms_eqr_gcim_decimal</v>
          </cell>
          <cell r="BN82" t="b">
            <v>0</v>
          </cell>
        </row>
        <row r="83">
          <cell r="A83" t="str">
            <v>Diluted shares outstanding</v>
          </cell>
          <cell r="B83">
            <v>50.329346000000001</v>
          </cell>
          <cell r="C83">
            <v>49.457144999999997</v>
          </cell>
          <cell r="D83">
            <v>149.090305</v>
          </cell>
          <cell r="E83">
            <v>166.20004800000001</v>
          </cell>
          <cell r="F83">
            <v>171.80759900000001</v>
          </cell>
          <cell r="G83">
            <v>171.22799699999999</v>
          </cell>
          <cell r="H83">
            <v>163.47187299999999</v>
          </cell>
          <cell r="I83">
            <v>157.115521</v>
          </cell>
          <cell r="J83">
            <v>158.37219200000001</v>
          </cell>
          <cell r="K83">
            <v>158.947834</v>
          </cell>
          <cell r="L83">
            <v>159.77499999999998</v>
          </cell>
          <cell r="M83">
            <v>159.67500000000001</v>
          </cell>
          <cell r="N83">
            <v>156.05000000000001</v>
          </cell>
          <cell r="O83">
            <v>162.57255049913201</v>
          </cell>
          <cell r="P83">
            <v>163.6915706987848</v>
          </cell>
          <cell r="Q83">
            <v>164.81059089843762</v>
          </cell>
          <cell r="R83">
            <v>165.92961109809045</v>
          </cell>
          <cell r="S83">
            <v>167.04863129774327</v>
          </cell>
          <cell r="T83">
            <v>168.16765149739606</v>
          </cell>
          <cell r="W83" t="str">
            <v>Diluted shares outstanding</v>
          </cell>
          <cell r="X83">
            <v>171.48766900000001</v>
          </cell>
          <cell r="Y83">
            <v>172.06654599999999</v>
          </cell>
          <cell r="Z83">
            <v>171.17612600000001</v>
          </cell>
          <cell r="AA83">
            <v>172.5</v>
          </cell>
          <cell r="AB83">
            <v>174.44233199999999</v>
          </cell>
          <cell r="AC83">
            <v>174.6</v>
          </cell>
          <cell r="AD83">
            <v>167.41004699999999</v>
          </cell>
          <cell r="AE83">
            <v>168.6</v>
          </cell>
          <cell r="AF83">
            <v>167.306016</v>
          </cell>
          <cell r="AG83">
            <v>167.81480300000001</v>
          </cell>
          <cell r="AH83">
            <v>162.911689</v>
          </cell>
          <cell r="AI83">
            <v>143.5</v>
          </cell>
          <cell r="AJ83">
            <v>155.6</v>
          </cell>
          <cell r="AK83">
            <v>157.07796999999999</v>
          </cell>
          <cell r="AL83">
            <v>157.562916</v>
          </cell>
          <cell r="AM83">
            <v>158.4</v>
          </cell>
          <cell r="AN83">
            <v>158.9</v>
          </cell>
          <cell r="AO83">
            <v>158.4</v>
          </cell>
          <cell r="AP83">
            <v>157.9</v>
          </cell>
          <cell r="AQ83">
            <v>158.30000000000001</v>
          </cell>
          <cell r="AR83">
            <v>158.69999999999999</v>
          </cell>
          <cell r="AS83">
            <v>159.19999999999999</v>
          </cell>
          <cell r="AT83">
            <v>159</v>
          </cell>
          <cell r="AU83">
            <v>158.9</v>
          </cell>
          <cell r="AV83">
            <v>159.1</v>
          </cell>
          <cell r="AW83">
            <v>159.69999999999999</v>
          </cell>
          <cell r="AX83">
            <v>160.1</v>
          </cell>
          <cell r="AY83">
            <v>160.19999999999999</v>
          </cell>
          <cell r="AZ83">
            <v>160.19999999999999</v>
          </cell>
          <cell r="BA83">
            <v>160.1</v>
          </cell>
          <cell r="BB83">
            <v>159.1</v>
          </cell>
          <cell r="BC83">
            <v>159.30000000000001</v>
          </cell>
          <cell r="BD83">
            <v>156.80000000000001</v>
          </cell>
          <cell r="BE83">
            <v>156.30000000000001</v>
          </cell>
          <cell r="BF83">
            <v>155.80000000000001</v>
          </cell>
          <cell r="BG83">
            <v>155.30000000000001</v>
          </cell>
          <cell r="BH83">
            <v>6</v>
          </cell>
          <cell r="BI83">
            <v>8.1491109629681091E-2</v>
          </cell>
          <cell r="BJ83" t="b">
            <v>0</v>
          </cell>
          <cell r="BK83" t="str">
            <v>mstag:averageDilutedSharesOutstanding</v>
          </cell>
          <cell r="BL83">
            <v>6</v>
          </cell>
          <cell r="BM83" t="str">
            <v>ms_eqr_gcim_Decimal:ms_eqr_gcim_decimal</v>
          </cell>
          <cell r="BN83" t="b">
            <v>0</v>
          </cell>
        </row>
        <row r="85">
          <cell r="A85" t="str">
            <v>Basic EPS</v>
          </cell>
          <cell r="B85">
            <v>3.3380127768797152</v>
          </cell>
          <cell r="C85">
            <v>2.99316680243105</v>
          </cell>
          <cell r="D85">
            <v>-1.1768713020349948</v>
          </cell>
          <cell r="E85">
            <v>1.7292457719698002</v>
          </cell>
          <cell r="F85">
            <v>2.4968879696305786</v>
          </cell>
          <cell r="G85">
            <v>2.6929920449273936</v>
          </cell>
          <cell r="H85">
            <v>1.8328840970350404</v>
          </cell>
          <cell r="I85">
            <v>3.3962297215072836</v>
          </cell>
          <cell r="J85">
            <v>2.4197075057567043</v>
          </cell>
          <cell r="K85">
            <v>2.733603425728766</v>
          </cell>
          <cell r="L85">
            <v>2.3499684144030319</v>
          </cell>
          <cell r="M85">
            <v>5.6101774776189721</v>
          </cell>
          <cell r="N85">
            <v>5.0447030580070749</v>
          </cell>
          <cell r="O85">
            <v>5.225447023552567</v>
          </cell>
          <cell r="P85">
            <v>5.1514762823490452</v>
          </cell>
          <cell r="Q85">
            <v>5.4152449851087354</v>
          </cell>
          <cell r="R85">
            <v>5.5883392346604701</v>
          </cell>
          <cell r="S85">
            <v>5.7494605895229771</v>
          </cell>
          <cell r="T85">
            <v>5.9153201299276299</v>
          </cell>
          <cell r="W85" t="str">
            <v>Basic EPS</v>
          </cell>
          <cell r="X85">
            <v>0.718960937975612</v>
          </cell>
          <cell r="Y85">
            <v>0.63697416434681409</v>
          </cell>
          <cell r="Z85">
            <v>0.66830908457883964</v>
          </cell>
          <cell r="AA85">
            <v>0.47258979206049151</v>
          </cell>
          <cell r="AB85">
            <v>1.2493338351093295</v>
          </cell>
          <cell r="AC85">
            <v>-0.76465787495752402</v>
          </cell>
          <cell r="AD85">
            <v>0.83913675764043505</v>
          </cell>
          <cell r="AE85">
            <v>1.3909030982201716</v>
          </cell>
          <cell r="AF85">
            <v>0.93424892271723825</v>
          </cell>
          <cell r="AG85">
            <v>0.87471804424708222</v>
          </cell>
          <cell r="AH85">
            <v>1.0539683400558266</v>
          </cell>
          <cell r="AI85">
            <v>-1.0940766550522647</v>
          </cell>
          <cell r="AJ85">
            <v>-0.12542943816788954</v>
          </cell>
          <cell r="AK85">
            <v>0.74549848160074217</v>
          </cell>
          <cell r="AL85">
            <v>2.7508643616266513</v>
          </cell>
          <cell r="AM85">
            <v>2.7758501040943791E-2</v>
          </cell>
          <cell r="AN85">
            <v>7.3186959414504316E-2</v>
          </cell>
          <cell r="AO85">
            <v>1.0236724248240563</v>
          </cell>
          <cell r="AP85">
            <v>0.93008338678640146</v>
          </cell>
          <cell r="AQ85">
            <v>0.37251123956326271</v>
          </cell>
          <cell r="AR85">
            <v>0.92948717948717952</v>
          </cell>
          <cell r="AS85">
            <v>1.3179782469609724</v>
          </cell>
          <cell r="AT85">
            <v>1.0947503201024329</v>
          </cell>
          <cell r="AU85">
            <v>-0.60741687979539638</v>
          </cell>
          <cell r="AV85">
            <v>1.2332268370607029</v>
          </cell>
          <cell r="AW85">
            <v>1.3978494623655915</v>
          </cell>
          <cell r="AX85">
            <v>0.79824010056568195</v>
          </cell>
          <cell r="AY85">
            <v>-1.0595611285266457</v>
          </cell>
          <cell r="AZ85">
            <v>0.88916718847839704</v>
          </cell>
          <cell r="BA85">
            <v>0.83281152160300564</v>
          </cell>
          <cell r="BB85">
            <v>1.0788643533123028</v>
          </cell>
          <cell r="BC85">
            <v>2.8148614609571787</v>
          </cell>
          <cell r="BD85">
            <v>1.2523961661341854</v>
          </cell>
          <cell r="BE85">
            <v>1.1797975146525157</v>
          </cell>
          <cell r="BF85">
            <v>1.3900045146196855</v>
          </cell>
          <cell r="BG85">
            <v>1.2228974785269633</v>
          </cell>
        </row>
        <row r="86">
          <cell r="A86" t="str">
            <v>Basic EPS Growth (%)</v>
          </cell>
          <cell r="C86">
            <v>-0.10330876407579781</v>
          </cell>
          <cell r="D86">
            <v>-1.3931860065664032</v>
          </cell>
          <cell r="E86">
            <v>-2.469358432803709</v>
          </cell>
          <cell r="F86">
            <v>0.44391734830518037</v>
          </cell>
          <cell r="G86">
            <v>7.8539396914083071E-2</v>
          </cell>
          <cell r="H86">
            <v>-0.31938748185776489</v>
          </cell>
          <cell r="I86">
            <v>0.85294298041059147</v>
          </cell>
          <cell r="J86">
            <v>-0.28753126137686236</v>
          </cell>
          <cell r="K86">
            <v>0.1297247370706065</v>
          </cell>
          <cell r="L86">
            <v>-0.14034040479864363</v>
          </cell>
          <cell r="M86">
            <v>1.3873416524383964</v>
          </cell>
          <cell r="N86">
            <v>-0.10079439052824612</v>
          </cell>
          <cell r="O86">
            <v>2.7151032826840504E-2</v>
          </cell>
          <cell r="P86">
            <v>-1.4155868554425077E-2</v>
          </cell>
          <cell r="Q86">
            <v>5.1202546280464167E-2</v>
          </cell>
          <cell r="R86">
            <v>3.1964250930054394E-2</v>
          </cell>
          <cell r="S86">
            <v>2.8831706182614436E-2</v>
          </cell>
          <cell r="T86">
            <v>2.8847843692831443E-2</v>
          </cell>
          <cell r="W86" t="str">
            <v>Basic EPS Growth (%)</v>
          </cell>
          <cell r="AB86">
            <v>0.73769362022239426</v>
          </cell>
          <cell r="AC86">
            <v>-2.2004535156329981</v>
          </cell>
          <cell r="AD86">
            <v>0.25561177754937892</v>
          </cell>
          <cell r="AE86">
            <v>1.9431509558338829</v>
          </cell>
          <cell r="AF86">
            <v>-0.25220233658725655</v>
          </cell>
          <cell r="AG86">
            <v>-2.1439338727737187</v>
          </cell>
          <cell r="AH86">
            <v>0.25601498261079114</v>
          </cell>
          <cell r="AI86">
            <v>-1.7865944482058225</v>
          </cell>
          <cell r="AJ86">
            <v>-1.1342569791818238</v>
          </cell>
          <cell r="AK86">
            <v>-0.14772710303188774</v>
          </cell>
          <cell r="AL86">
            <v>1.6100066359497509</v>
          </cell>
          <cell r="AM86">
            <v>-1.0253716235629009</v>
          </cell>
          <cell r="AN86">
            <v>-1.5834910885636133</v>
          </cell>
          <cell r="AO86">
            <v>0.37313817544740813</v>
          </cell>
          <cell r="AP86">
            <v>-0.6618941305283329</v>
          </cell>
          <cell r="AQ86">
            <v>12.419717405266537</v>
          </cell>
          <cell r="AR86">
            <v>11.700174825174827</v>
          </cell>
          <cell r="AS86">
            <v>0.28749999999999987</v>
          </cell>
          <cell r="AT86">
            <v>0.17704534416530548</v>
          </cell>
          <cell r="AU86">
            <v>-2.6306001411059174</v>
          </cell>
          <cell r="AV86">
            <v>0.32678197642392859</v>
          </cell>
          <cell r="AW86">
            <v>6.060131537738811E-2</v>
          </cell>
          <cell r="AX86">
            <v>-0.27084734673473976</v>
          </cell>
          <cell r="AY86">
            <v>0.74437221580597268</v>
          </cell>
          <cell r="AZ86">
            <v>-0.27899137307321697</v>
          </cell>
          <cell r="BA86">
            <v>-0.40421944993015757</v>
          </cell>
          <cell r="BB86">
            <v>0.35155368985816837</v>
          </cell>
          <cell r="BC86">
            <v>-3.6566296036844381</v>
          </cell>
          <cell r="BD86">
            <v>0.40850470233541825</v>
          </cell>
          <cell r="BE86">
            <v>0.41664408338350944</v>
          </cell>
          <cell r="BF86">
            <v>0.2883959974691237</v>
          </cell>
          <cell r="BG86">
            <v>-0.56555677944053295</v>
          </cell>
        </row>
        <row r="88">
          <cell r="A88" t="str">
            <v>Diluted EPS</v>
          </cell>
          <cell r="B88">
            <v>3.3380127768797152</v>
          </cell>
          <cell r="C88">
            <v>2.992489760579589</v>
          </cell>
          <cell r="D88">
            <v>-1.1737852437822835</v>
          </cell>
          <cell r="E88">
            <v>1.6666661853190319</v>
          </cell>
          <cell r="F88">
            <v>2.3631085141932515</v>
          </cell>
          <cell r="G88">
            <v>2.4879108992906107</v>
          </cell>
          <cell r="H88">
            <v>1.7250674065501166</v>
          </cell>
          <cell r="I88">
            <v>3.1696422914194455</v>
          </cell>
          <cell r="J88">
            <v>2.3804684095046178</v>
          </cell>
          <cell r="K88">
            <v>2.6864159721736125</v>
          </cell>
          <cell r="L88">
            <v>2.3282741355030514</v>
          </cell>
          <cell r="M88">
            <v>5.5926099890402377</v>
          </cell>
          <cell r="N88">
            <v>5.0107592053258356</v>
          </cell>
          <cell r="O88">
            <v>5.051552517407278</v>
          </cell>
          <cell r="P88">
            <v>4.9800434039750874</v>
          </cell>
          <cell r="Q88">
            <v>5.2350343068458409</v>
          </cell>
          <cell r="R88">
            <v>5.4023682570573053</v>
          </cell>
          <cell r="S88">
            <v>5.5581277513350624</v>
          </cell>
          <cell r="T88">
            <v>5.7184677519303664</v>
          </cell>
          <cell r="W88" t="str">
            <v>Diluted EPS</v>
          </cell>
          <cell r="X88">
            <v>0.68226479887600544</v>
          </cell>
          <cell r="Y88">
            <v>0.59860561157541925</v>
          </cell>
          <cell r="Z88">
            <v>0.63677104130747764</v>
          </cell>
          <cell r="AA88">
            <v>0.44637681159420289</v>
          </cell>
          <cell r="AB88">
            <v>1.1522432525151063</v>
          </cell>
          <cell r="AC88">
            <v>-0.67010309278350522</v>
          </cell>
          <cell r="AD88">
            <v>0.76458971426010058</v>
          </cell>
          <cell r="AE88">
            <v>1.2692763938315541</v>
          </cell>
          <cell r="AF88">
            <v>0.86667535015596808</v>
          </cell>
          <cell r="AG88">
            <v>0.79849928376103974</v>
          </cell>
          <cell r="AH88">
            <v>0.96985060415155355</v>
          </cell>
          <cell r="AI88">
            <v>-1.0940766550522647</v>
          </cell>
          <cell r="AJ88">
            <v>-9.640102827763497E-2</v>
          </cell>
          <cell r="AK88">
            <v>0.69392289701732202</v>
          </cell>
          <cell r="AL88">
            <v>2.5259750841371837</v>
          </cell>
          <cell r="AM88">
            <v>3.787878787878788E-2</v>
          </cell>
          <cell r="AN88">
            <v>8.8105726872246687E-2</v>
          </cell>
          <cell r="AO88">
            <v>1.0101010101010102</v>
          </cell>
          <cell r="AP88">
            <v>0.91830272324255857</v>
          </cell>
          <cell r="AQ88">
            <v>0.36639292482627916</v>
          </cell>
          <cell r="AR88">
            <v>0.91367359798361691</v>
          </cell>
          <cell r="AS88">
            <v>1.2939698492462313</v>
          </cell>
          <cell r="AT88">
            <v>1.0754716981132075</v>
          </cell>
          <cell r="AU88">
            <v>-0.59786028949024539</v>
          </cell>
          <cell r="AV88">
            <v>1.2130735386549341</v>
          </cell>
          <cell r="AW88">
            <v>1.3838447088290546</v>
          </cell>
          <cell r="AX88">
            <v>0.79325421611492819</v>
          </cell>
          <cell r="AY88">
            <v>-1.0549313358302124</v>
          </cell>
          <cell r="AZ88">
            <v>0.88639200998751566</v>
          </cell>
          <cell r="BA88">
            <v>0.83073079325421617</v>
          </cell>
          <cell r="BB88">
            <v>1.0747957259585168</v>
          </cell>
          <cell r="BC88">
            <v>2.8060263653483992</v>
          </cell>
          <cell r="BD88">
            <v>1.25</v>
          </cell>
          <cell r="BE88">
            <v>1.1737588837393871</v>
          </cell>
          <cell r="BF88">
            <v>1.3784062741254264</v>
          </cell>
          <cell r="BG88">
            <v>1.2087235219181509</v>
          </cell>
        </row>
        <row r="89">
          <cell r="A89" t="str">
            <v>Diluted EPS Growth (%)</v>
          </cell>
          <cell r="C89">
            <v>-0.1035115918948375</v>
          </cell>
          <cell r="D89">
            <v>-1.3922436959500049</v>
          </cell>
          <cell r="E89">
            <v>-2.4199072565851485</v>
          </cell>
          <cell r="F89">
            <v>0.41786551800767913</v>
          </cell>
          <cell r="G89">
            <v>5.281280328337612E-2</v>
          </cell>
          <cell r="H89">
            <v>-0.30662010161135878</v>
          </cell>
          <cell r="I89">
            <v>0.837401993327477</v>
          </cell>
          <cell r="J89">
            <v>-0.24897884661976033</v>
          </cell>
          <cell r="K89">
            <v>0.12852410115900814</v>
          </cell>
          <cell r="L89">
            <v>-0.13331585293575521</v>
          </cell>
          <cell r="M89">
            <v>1.4020410241906016</v>
          </cell>
          <cell r="N89">
            <v>-0.10403922048107184</v>
          </cell>
          <cell r="O89">
            <v>-3.0434330599027337E-4</v>
          </cell>
          <cell r="P89">
            <v>-1.4155868554424744E-2</v>
          </cell>
          <cell r="Q89">
            <v>5.1202546280463945E-2</v>
          </cell>
          <cell r="R89">
            <v>3.1964250930054394E-2</v>
          </cell>
          <cell r="S89">
            <v>2.8831706182613992E-2</v>
          </cell>
          <cell r="T89">
            <v>2.8847843692831665E-2</v>
          </cell>
          <cell r="W89" t="str">
            <v>Diluted EPS Growth (%)</v>
          </cell>
          <cell r="AB89">
            <v>0.68885050850251273</v>
          </cell>
          <cell r="AC89">
            <v>-2.1194400450405366</v>
          </cell>
          <cell r="AD89">
            <v>0.20072940611459611</v>
          </cell>
          <cell r="AE89">
            <v>1.8435088043628971</v>
          </cell>
          <cell r="AF89">
            <v>-0.24783647180037993</v>
          </cell>
          <cell r="AG89">
            <v>-2.1916066234587825</v>
          </cell>
          <cell r="AH89">
            <v>0.26845886893742166</v>
          </cell>
          <cell r="AI89">
            <v>-1.8619688039337001</v>
          </cell>
          <cell r="AJ89">
            <v>-1.111230841237479</v>
          </cell>
          <cell r="AK89">
            <v>-0.13096616223767765</v>
          </cell>
          <cell r="AL89">
            <v>1.6044991603082641</v>
          </cell>
          <cell r="AM89">
            <v>-1.0346216946535418</v>
          </cell>
          <cell r="AN89">
            <v>-1.913950073421439</v>
          </cell>
          <cell r="AO89">
            <v>0.45563868038179978</v>
          </cell>
          <cell r="AP89">
            <v>-0.6364561436059335</v>
          </cell>
          <cell r="AQ89">
            <v>8.6727732154137698</v>
          </cell>
          <cell r="AR89">
            <v>9.3701953371140529</v>
          </cell>
          <cell r="AS89">
            <v>0.28103015075376891</v>
          </cell>
          <cell r="AT89">
            <v>0.17115159401431357</v>
          </cell>
          <cell r="AU89">
            <v>-2.6317462728673426</v>
          </cell>
          <cell r="AV89">
            <v>0.32768807299681391</v>
          </cell>
          <cell r="AW89">
            <v>6.9456687599929623E-2</v>
          </cell>
          <cell r="AX89">
            <v>-0.26241274641945267</v>
          </cell>
          <cell r="AY89">
            <v>0.76451146593074482</v>
          </cell>
          <cell r="AZ89">
            <v>-0.26930067984966977</v>
          </cell>
          <cell r="BA89">
            <v>-0.39969363039503025</v>
          </cell>
          <cell r="BB89">
            <v>0.35491965138550019</v>
          </cell>
          <cell r="BC89">
            <v>-3.6599137498746361</v>
          </cell>
          <cell r="BD89">
            <v>0.41021126760563376</v>
          </cell>
          <cell r="BE89">
            <v>0.41292328786974331</v>
          </cell>
          <cell r="BF89">
            <v>0.28248209481494335</v>
          </cell>
          <cell r="BG89">
            <v>-0.56924014084661878</v>
          </cell>
        </row>
        <row r="90">
          <cell r="BE90">
            <v>0.73938461538461531</v>
          </cell>
          <cell r="BI90">
            <v>4.6042476940770287</v>
          </cell>
        </row>
        <row r="91">
          <cell r="A91" t="str">
            <v>Cash dividends per share</v>
          </cell>
          <cell r="B91">
            <v>0</v>
          </cell>
          <cell r="C91">
            <v>0</v>
          </cell>
          <cell r="D91">
            <v>0</v>
          </cell>
          <cell r="E91">
            <v>0</v>
          </cell>
          <cell r="F91">
            <v>0.163937088915139</v>
          </cell>
          <cell r="G91">
            <v>0.16183846423842507</v>
          </cell>
          <cell r="H91">
            <v>0.16172506738544473</v>
          </cell>
          <cell r="I91">
            <v>0.16006820408743347</v>
          </cell>
          <cell r="J91">
            <v>0.22644321577937071</v>
          </cell>
          <cell r="K91">
            <v>0.20550039804658876</v>
          </cell>
          <cell r="L91">
            <v>0.26970941250789637</v>
          </cell>
          <cell r="M91">
            <v>0.52435683995602322</v>
          </cell>
          <cell r="N91">
            <v>0.92932258064516138</v>
          </cell>
          <cell r="O91">
            <v>0.96026015723959735</v>
          </cell>
          <cell r="P91">
            <v>0.95183359021266833</v>
          </cell>
          <cell r="Q91">
            <v>1.0076058091517501</v>
          </cell>
          <cell r="R91">
            <v>1.0471115898996102</v>
          </cell>
          <cell r="S91">
            <v>1.0847977640928743</v>
          </cell>
          <cell r="T91">
            <v>1.1237291405704151</v>
          </cell>
          <cell r="W91" t="str">
            <v>Cash dividends per share</v>
          </cell>
          <cell r="X91">
            <v>5.6760074050706211E-2</v>
          </cell>
          <cell r="Y91">
            <v>5.6760074050706211E-2</v>
          </cell>
          <cell r="Z91">
            <v>5.6743224162354312E-2</v>
          </cell>
          <cell r="AA91">
            <v>5.6710775047258986E-2</v>
          </cell>
          <cell r="AB91">
            <v>5.0224475783289625E-2</v>
          </cell>
          <cell r="AC91">
            <v>6.3721489579793664E-2</v>
          </cell>
          <cell r="AD91">
            <v>5.3278524294630793E-2</v>
          </cell>
          <cell r="AE91">
            <v>5.9327620303230064E-2</v>
          </cell>
          <cell r="AF91">
            <v>3.9475306593686123E-2</v>
          </cell>
          <cell r="AG91">
            <v>3.9759911102140097E-2</v>
          </cell>
          <cell r="AH91">
            <v>9.5197140392139182E-2</v>
          </cell>
          <cell r="AI91">
            <v>5.5749128919860627E-2</v>
          </cell>
          <cell r="AJ91">
            <v>4.1809812722629847E-2</v>
          </cell>
          <cell r="AK91">
            <v>4.1803653173873398E-2</v>
          </cell>
          <cell r="AL91">
            <v>9.0534776458598643E-2</v>
          </cell>
          <cell r="AM91">
            <v>5.5517002081887583E-2</v>
          </cell>
          <cell r="AN91">
            <v>7.3186959414504316E-2</v>
          </cell>
          <cell r="AO91">
            <v>5.1183621241202813E-2</v>
          </cell>
          <cell r="AP91">
            <v>5.1314945477870424E-2</v>
          </cell>
          <cell r="AQ91">
            <v>5.1380860629415548E-2</v>
          </cell>
          <cell r="AR91">
            <v>6.1538461538461535E-2</v>
          </cell>
          <cell r="AS91">
            <v>4.7984644913627639E-2</v>
          </cell>
          <cell r="AT91">
            <v>4.801536491677337E-2</v>
          </cell>
          <cell r="AU91">
            <v>4.7953964194373401E-2</v>
          </cell>
          <cell r="AV91">
            <v>6.0063897763578275E-2</v>
          </cell>
          <cell r="AW91">
            <v>5.9456040480708419E-2</v>
          </cell>
          <cell r="AX91">
            <v>7.4999999999999997E-2</v>
          </cell>
          <cell r="AY91">
            <v>7.4999999999999997E-2</v>
          </cell>
          <cell r="AZ91">
            <v>7.4999999999999997E-2</v>
          </cell>
          <cell r="BA91">
            <v>0.09</v>
          </cell>
          <cell r="BB91">
            <v>0.18</v>
          </cell>
          <cell r="BC91">
            <v>0.18</v>
          </cell>
          <cell r="BD91">
            <v>0.18</v>
          </cell>
          <cell r="BE91">
            <v>0.25</v>
          </cell>
          <cell r="BF91">
            <v>0.25</v>
          </cell>
          <cell r="BG91">
            <v>0.25</v>
          </cell>
          <cell r="BH91" t="str">
            <v xml:space="preserve"> </v>
          </cell>
          <cell r="BI91">
            <v>4.0745554814840546E-2</v>
          </cell>
        </row>
        <row r="92">
          <cell r="A92" t="str">
            <v>Dividend growth (%)</v>
          </cell>
          <cell r="B92" t="str">
            <v>nm</v>
          </cell>
          <cell r="C92" t="str">
            <v>nm</v>
          </cell>
          <cell r="D92" t="str">
            <v>nm</v>
          </cell>
          <cell r="E92" t="str">
            <v>nm</v>
          </cell>
          <cell r="F92" t="str">
            <v>nm</v>
          </cell>
          <cell r="G92">
            <v>-1.2801402602679257E-2</v>
          </cell>
          <cell r="H92">
            <v>-7.0067924528305348E-4</v>
          </cell>
          <cell r="I92">
            <v>-1.0244938059369657E-2</v>
          </cell>
          <cell r="J92">
            <v>0.41466706064673198</v>
          </cell>
          <cell r="K92">
            <v>-9.248595795065484E-2</v>
          </cell>
          <cell r="L92">
            <v>0.31245201990679772</v>
          </cell>
          <cell r="M92">
            <v>0.94415476671831566</v>
          </cell>
          <cell r="N92">
            <v>0.77230944622196951</v>
          </cell>
          <cell r="O92">
            <v>3.329046042651651E-2</v>
          </cell>
          <cell r="P92">
            <v>-8.7752959064264502E-3</v>
          </cell>
          <cell r="Q92">
            <v>5.8594505922637818E-2</v>
          </cell>
          <cell r="R92">
            <v>3.9207575411973616E-2</v>
          </cell>
          <cell r="S92">
            <v>3.5990599814559543E-2</v>
          </cell>
          <cell r="T92">
            <v>3.5888142256723654E-2</v>
          </cell>
          <cell r="W92" t="str">
            <v>Dividend growth (%)</v>
          </cell>
          <cell r="AB92">
            <v>-0.11514428718993663</v>
          </cell>
          <cell r="AC92">
            <v>0.1226463433234517</v>
          </cell>
          <cell r="AD92">
            <v>-6.105927040399195E-2</v>
          </cell>
          <cell r="AE92">
            <v>4.6143704680289943E-2</v>
          </cell>
          <cell r="AF92">
            <v>-0.21402252630738061</v>
          </cell>
          <cell r="AG92">
            <v>-0.37603606939615353</v>
          </cell>
          <cell r="AH92">
            <v>0.78678260429470614</v>
          </cell>
          <cell r="AI92">
            <v>-6.0317460317460436E-2</v>
          </cell>
          <cell r="AJ92">
            <v>5.9138391323276362E-2</v>
          </cell>
          <cell r="AK92">
            <v>5.1402078502718274E-2</v>
          </cell>
          <cell r="AL92">
            <v>-4.8975882199141507E-2</v>
          </cell>
          <cell r="AM92">
            <v>-4.1637751561415248E-3</v>
          </cell>
          <cell r="AN92">
            <v>0.75047326569084039</v>
          </cell>
          <cell r="AO92">
            <v>0.22438153977393882</v>
          </cell>
          <cell r="AP92">
            <v>-0.4332018315488233</v>
          </cell>
          <cell r="AQ92">
            <v>-7.4502247912652475E-2</v>
          </cell>
          <cell r="AR92">
            <v>-0.15916083916083912</v>
          </cell>
          <cell r="AS92">
            <v>-6.25E-2</v>
          </cell>
          <cell r="AT92">
            <v>-6.4300576184378899E-2</v>
          </cell>
          <cell r="AU92">
            <v>-6.6695971867007819E-2</v>
          </cell>
          <cell r="AV92">
            <v>-2.3961661341852958E-2</v>
          </cell>
          <cell r="AW92">
            <v>0.23906388361796349</v>
          </cell>
          <cell r="AX92">
            <v>0.56199999999999983</v>
          </cell>
          <cell r="AY92">
            <v>0.56400000000000006</v>
          </cell>
          <cell r="AZ92">
            <v>0.24867021276595747</v>
          </cell>
          <cell r="BA92">
            <v>0.51372340425531893</v>
          </cell>
          <cell r="BB92">
            <v>1.4</v>
          </cell>
          <cell r="BC92">
            <v>1.4</v>
          </cell>
          <cell r="BD92">
            <v>1.4</v>
          </cell>
          <cell r="BE92">
            <v>1.7777777777777777</v>
          </cell>
          <cell r="BF92">
            <v>0.38888888888888884</v>
          </cell>
          <cell r="BG92">
            <v>0.38888888888888884</v>
          </cell>
        </row>
        <row r="93">
          <cell r="A93" t="str">
            <v>Payout ratio</v>
          </cell>
          <cell r="B93">
            <v>0</v>
          </cell>
          <cell r="C93">
            <v>0</v>
          </cell>
          <cell r="D93">
            <v>0</v>
          </cell>
          <cell r="E93">
            <v>0</v>
          </cell>
          <cell r="F93">
            <v>6.9373491708274754E-2</v>
          </cell>
          <cell r="G93">
            <v>6.5049943824182291E-2</v>
          </cell>
          <cell r="H93">
            <v>9.3749998853013689E-2</v>
          </cell>
          <cell r="I93">
            <v>5.0500400162111325E-2</v>
          </cell>
          <cell r="J93">
            <v>9.512548659551176E-2</v>
          </cell>
          <cell r="K93">
            <v>7.6496119802442891E-2</v>
          </cell>
          <cell r="L93">
            <v>0.11584091769744392</v>
          </cell>
          <cell r="M93">
            <v>9.3758878409829799E-2</v>
          </cell>
          <cell r="N93">
            <v>0.18546542401347146</v>
          </cell>
          <cell r="O93">
            <v>0.14621755712446441</v>
          </cell>
          <cell r="P93">
            <v>0.14722400255122192</v>
          </cell>
          <cell r="Q93">
            <v>0.14823044797797952</v>
          </cell>
          <cell r="R93">
            <v>0.14923689340473711</v>
          </cell>
          <cell r="S93">
            <v>0.15024333883149471</v>
          </cell>
          <cell r="T93">
            <v>0.15124978425825225</v>
          </cell>
          <cell r="W93" t="str">
            <v>Payout ratio</v>
          </cell>
          <cell r="Y93">
            <v>9.482048439426452E-2</v>
          </cell>
          <cell r="Z93">
            <v>8.9110874209737678E-2</v>
          </cell>
          <cell r="AA93">
            <v>0.12704686617730099</v>
          </cell>
          <cell r="AB93">
            <v>4.358843123937596E-2</v>
          </cell>
          <cell r="AC93">
            <v>-9.5092069065230531E-2</v>
          </cell>
          <cell r="AD93">
            <v>6.9682502001990484E-2</v>
          </cell>
          <cell r="AE93">
            <v>4.6741293379086855E-2</v>
          </cell>
          <cell r="AF93">
            <v>4.5547974321159694E-2</v>
          </cell>
          <cell r="AG93">
            <v>4.9793295887336969E-2</v>
          </cell>
          <cell r="AH93">
            <v>9.8156499552237444E-2</v>
          </cell>
          <cell r="AI93">
            <v>-5.0955414012738856E-2</v>
          </cell>
          <cell r="AJ93">
            <v>-0.43370712397608024</v>
          </cell>
          <cell r="AK93">
            <v>6.0242504395743947E-2</v>
          </cell>
          <cell r="AL93">
            <v>3.5841516025690842E-2</v>
          </cell>
          <cell r="AM93">
            <v>1.4656488549618321</v>
          </cell>
          <cell r="AN93">
            <v>0.83067198935462405</v>
          </cell>
          <cell r="AO93">
            <v>5.0671785028790779E-2</v>
          </cell>
          <cell r="AP93">
            <v>5.5880206144522347E-2</v>
          </cell>
          <cell r="AQ93">
            <v>0.14023431444200832</v>
          </cell>
          <cell r="AR93">
            <v>6.7352785145888591E-2</v>
          </cell>
          <cell r="AS93">
            <v>3.7083278981793782E-2</v>
          </cell>
          <cell r="AT93">
            <v>4.4645865624368224E-2</v>
          </cell>
          <cell r="AU93">
            <v>-8.0209314847220353E-2</v>
          </cell>
          <cell r="AV93">
            <v>4.9513814166763231E-2</v>
          </cell>
          <cell r="AW93">
            <v>4.2964387623389742E-2</v>
          </cell>
          <cell r="AX93">
            <v>9.4547244094488184E-2</v>
          </cell>
          <cell r="AY93">
            <v>-7.1094674556213003E-2</v>
          </cell>
          <cell r="AZ93">
            <v>8.4612676056338015E-2</v>
          </cell>
          <cell r="BA93">
            <v>0.10833834586466164</v>
          </cell>
          <cell r="BB93">
            <v>0.16747368421052627</v>
          </cell>
          <cell r="BC93">
            <v>6.4147651006711409E-2</v>
          </cell>
          <cell r="BD93">
            <v>0.14399999999999999</v>
          </cell>
          <cell r="BE93">
            <v>0.2129909332004751</v>
          </cell>
          <cell r="BF93">
            <v>0.18136887845974181</v>
          </cell>
          <cell r="BG93">
            <v>0.20682976335503864</v>
          </cell>
        </row>
        <row r="94">
          <cell r="A94" t="str">
            <v>Total Cash dividends (CF)</v>
          </cell>
          <cell r="B94">
            <v>0</v>
          </cell>
          <cell r="C94">
            <v>0</v>
          </cell>
          <cell r="D94">
            <v>0</v>
          </cell>
          <cell r="E94">
            <v>0</v>
          </cell>
          <cell r="F94">
            <v>-36</v>
          </cell>
          <cell r="G94">
            <v>-35</v>
          </cell>
          <cell r="H94">
            <v>-34</v>
          </cell>
          <cell r="I94">
            <v>-33</v>
          </cell>
          <cell r="J94">
            <v>-38</v>
          </cell>
          <cell r="K94">
            <v>-32.1</v>
          </cell>
          <cell r="L94">
            <v>-42.695</v>
          </cell>
          <cell r="M94">
            <v>-83.464500000000001</v>
          </cell>
          <cell r="N94">
            <v>-144.04500000000002</v>
          </cell>
          <cell r="O94">
            <v>-116.08418018389418</v>
          </cell>
          <cell r="P94">
            <v>-116.0217702953594</v>
          </cell>
          <cell r="Q94">
            <v>-123.63558637581285</v>
          </cell>
          <cell r="R94">
            <v>-129.32595777210517</v>
          </cell>
          <cell r="S94">
            <v>-134.85532369178878</v>
          </cell>
          <cell r="T94">
            <v>-140.61068457292657</v>
          </cell>
          <cell r="W94" t="str">
            <v>Cash dividends (CF)</v>
          </cell>
          <cell r="X94">
            <v>-9</v>
          </cell>
          <cell r="Y94">
            <v>-9</v>
          </cell>
          <cell r="Z94">
            <v>-9</v>
          </cell>
          <cell r="AA94">
            <v>-9</v>
          </cell>
          <cell r="AB94">
            <v>-8</v>
          </cell>
          <cell r="AC94">
            <v>-10</v>
          </cell>
          <cell r="AD94">
            <v>-8</v>
          </cell>
          <cell r="AE94">
            <v>-9</v>
          </cell>
          <cell r="AF94">
            <v>-6</v>
          </cell>
          <cell r="AG94">
            <v>-6</v>
          </cell>
          <cell r="AH94">
            <v>-14</v>
          </cell>
          <cell r="AI94">
            <v>-8</v>
          </cell>
          <cell r="AJ94">
            <v>-6</v>
          </cell>
          <cell r="AK94">
            <v>-6</v>
          </cell>
          <cell r="AL94">
            <v>-13</v>
          </cell>
          <cell r="AM94">
            <v>-8</v>
          </cell>
          <cell r="AN94">
            <v>-11</v>
          </cell>
          <cell r="AO94">
            <v>-8</v>
          </cell>
          <cell r="AP94">
            <v>-8</v>
          </cell>
          <cell r="AQ94">
            <v>-8</v>
          </cell>
          <cell r="AR94">
            <v>-9.6</v>
          </cell>
          <cell r="AS94">
            <v>-7.5</v>
          </cell>
          <cell r="AT94">
            <v>-7.5</v>
          </cell>
          <cell r="AU94">
            <v>-7.5</v>
          </cell>
          <cell r="AV94">
            <v>-9.4</v>
          </cell>
          <cell r="AW94">
            <v>-9.4</v>
          </cell>
          <cell r="AX94">
            <v>-11.932499999999999</v>
          </cell>
          <cell r="AY94">
            <v>-11.9625</v>
          </cell>
          <cell r="AZ94">
            <v>-11.977499999999999</v>
          </cell>
          <cell r="BA94">
            <v>-14.372999999999999</v>
          </cell>
          <cell r="BB94">
            <v>-28.529999999999998</v>
          </cell>
          <cell r="BC94">
            <v>-28.584</v>
          </cell>
          <cell r="BD94">
            <v>-28.169999999999998</v>
          </cell>
          <cell r="BE94">
            <v>-38.875</v>
          </cell>
          <cell r="BF94">
            <v>-38.625</v>
          </cell>
          <cell r="BG94">
            <v>-38.375</v>
          </cell>
        </row>
        <row r="95">
          <cell r="A95" t="str">
            <v>Ordinary Cash Dividends</v>
          </cell>
          <cell r="B95">
            <v>0</v>
          </cell>
          <cell r="C95">
            <v>0</v>
          </cell>
          <cell r="D95">
            <v>0</v>
          </cell>
          <cell r="E95">
            <v>0</v>
          </cell>
          <cell r="F95">
            <v>-26</v>
          </cell>
          <cell r="G95">
            <v>-25</v>
          </cell>
          <cell r="H95">
            <v>-24</v>
          </cell>
          <cell r="I95">
            <v>-23</v>
          </cell>
          <cell r="J95">
            <v>-35</v>
          </cell>
          <cell r="K95">
            <v>-32.1</v>
          </cell>
          <cell r="L95">
            <v>-42.695</v>
          </cell>
          <cell r="M95">
            <v>-83.464500000000001</v>
          </cell>
          <cell r="N95">
            <v>-144.04500000000002</v>
          </cell>
          <cell r="O95">
            <v>-116.08418018389418</v>
          </cell>
          <cell r="P95">
            <v>-116.0217702953594</v>
          </cell>
          <cell r="Q95">
            <v>-123.63558637581285</v>
          </cell>
          <cell r="R95">
            <v>-129.32595777210517</v>
          </cell>
          <cell r="S95">
            <v>-134.85532369178878</v>
          </cell>
          <cell r="T95">
            <v>-140.61068457292657</v>
          </cell>
          <cell r="W95" t="str">
            <v>Ordinary Cash Dividends</v>
          </cell>
          <cell r="X95">
            <v>-6</v>
          </cell>
          <cell r="Y95">
            <v>-7</v>
          </cell>
          <cell r="Z95">
            <v>-6</v>
          </cell>
          <cell r="AA95">
            <v>-7</v>
          </cell>
          <cell r="AB95">
            <v>-6</v>
          </cell>
          <cell r="AC95">
            <v>-7</v>
          </cell>
          <cell r="AD95">
            <v>-6</v>
          </cell>
          <cell r="AE95">
            <v>-6</v>
          </cell>
          <cell r="AF95">
            <v>-3</v>
          </cell>
          <cell r="AG95">
            <v>-4</v>
          </cell>
          <cell r="AH95">
            <v>-11</v>
          </cell>
          <cell r="AI95">
            <v>-8</v>
          </cell>
          <cell r="AJ95">
            <v>-3</v>
          </cell>
          <cell r="AK95">
            <v>-4</v>
          </cell>
          <cell r="AL95">
            <v>-10</v>
          </cell>
          <cell r="AM95">
            <v>-6</v>
          </cell>
          <cell r="AN95">
            <v>-8</v>
          </cell>
          <cell r="AO95">
            <v>-8</v>
          </cell>
          <cell r="AP95">
            <v>-11</v>
          </cell>
          <cell r="AQ95">
            <v>-8</v>
          </cell>
          <cell r="AR95">
            <v>-9.6</v>
          </cell>
          <cell r="AS95">
            <v>-7.5</v>
          </cell>
          <cell r="AT95">
            <v>-7.5</v>
          </cell>
          <cell r="AU95">
            <v>-7.5</v>
          </cell>
          <cell r="AV95">
            <v>-9.4</v>
          </cell>
          <cell r="AW95">
            <v>-9.4</v>
          </cell>
          <cell r="AX95">
            <v>-11.932499999999999</v>
          </cell>
          <cell r="AY95">
            <v>-11.9625</v>
          </cell>
          <cell r="AZ95">
            <v>-11.977499999999999</v>
          </cell>
          <cell r="BA95">
            <v>-14.372999999999999</v>
          </cell>
          <cell r="BB95">
            <v>-28.529999999999998</v>
          </cell>
          <cell r="BC95">
            <v>-28.584</v>
          </cell>
          <cell r="BD95">
            <v>-28.169999999999998</v>
          </cell>
          <cell r="BE95">
            <v>-38.875</v>
          </cell>
          <cell r="BF95">
            <v>-38.625</v>
          </cell>
          <cell r="BG95">
            <v>-38.375</v>
          </cell>
        </row>
        <row r="98">
          <cell r="B98" t="str">
            <v>2002-FY</v>
          </cell>
          <cell r="C98" t="str">
            <v>2003-FY</v>
          </cell>
          <cell r="D98" t="str">
            <v>2004-FY</v>
          </cell>
          <cell r="E98" t="str">
            <v>2005-FY</v>
          </cell>
          <cell r="F98" t="str">
            <v>2006-FY</v>
          </cell>
          <cell r="G98" t="str">
            <v>2007-FY</v>
          </cell>
          <cell r="H98" t="str">
            <v>2008-FY</v>
          </cell>
          <cell r="I98" t="str">
            <v>2009-FY</v>
          </cell>
          <cell r="J98" t="str">
            <v>2010-FY</v>
          </cell>
          <cell r="K98" t="str">
            <v>2011-FY</v>
          </cell>
          <cell r="L98" t="str">
            <v>2012-FY</v>
          </cell>
          <cell r="M98" t="str">
            <v>2013-FY</v>
          </cell>
          <cell r="N98" t="str">
            <v>2014-FY</v>
          </cell>
          <cell r="O98" t="str">
            <v>2015-FY</v>
          </cell>
          <cell r="P98" t="str">
            <v>2016-FY</v>
          </cell>
          <cell r="Q98" t="str">
            <v>2017-FY</v>
          </cell>
          <cell r="R98" t="str">
            <v>2018-FY</v>
          </cell>
          <cell r="S98" t="str">
            <v>2019-FY</v>
          </cell>
          <cell r="T98" t="str">
            <v>2020-FY</v>
          </cell>
          <cell r="X98" t="str">
            <v>2006-Q1</v>
          </cell>
          <cell r="Y98" t="str">
            <v>2006-Q2</v>
          </cell>
          <cell r="Z98" t="str">
            <v>2006-Q3</v>
          </cell>
          <cell r="AA98" t="str">
            <v>2006-Q4</v>
          </cell>
          <cell r="AB98" t="str">
            <v>2007-Q1</v>
          </cell>
          <cell r="AC98" t="str">
            <v>2007-Q2</v>
          </cell>
          <cell r="AD98" t="str">
            <v>2007-Q3</v>
          </cell>
          <cell r="AE98" t="str">
            <v>2007-Q4</v>
          </cell>
          <cell r="AF98" t="str">
            <v>2008-Q1</v>
          </cell>
          <cell r="AG98" t="str">
            <v>2008-Q2</v>
          </cell>
          <cell r="AH98" t="str">
            <v>2008-Q3</v>
          </cell>
          <cell r="AI98" t="str">
            <v>2008-Q4</v>
          </cell>
          <cell r="AJ98" t="str">
            <v>2009-Q1</v>
          </cell>
          <cell r="AK98" t="str">
            <v>2009-Q2</v>
          </cell>
          <cell r="AL98" t="str">
            <v>2009-Q3</v>
          </cell>
          <cell r="AM98" t="str">
            <v>2009-Q4</v>
          </cell>
          <cell r="AN98" t="str">
            <v>2010-Q1</v>
          </cell>
          <cell r="AO98" t="str">
            <v>2010-Q2</v>
          </cell>
          <cell r="AP98" t="str">
            <v>2010-Q3</v>
          </cell>
          <cell r="AQ98" t="str">
            <v>2010-Q4</v>
          </cell>
          <cell r="AR98" t="str">
            <v>2011-Q1</v>
          </cell>
          <cell r="AS98" t="str">
            <v>2011-Q2</v>
          </cell>
          <cell r="AT98" t="str">
            <v>2011-Q3</v>
          </cell>
          <cell r="AU98" t="str">
            <v>2011-Q4</v>
          </cell>
          <cell r="AV98" t="str">
            <v>2012-Q1</v>
          </cell>
          <cell r="AW98" t="str">
            <v>2012-Q2</v>
          </cell>
          <cell r="AX98" t="str">
            <v>2012-Q3</v>
          </cell>
          <cell r="AY98" t="str">
            <v>2012-Q4</v>
          </cell>
          <cell r="AZ98" t="str">
            <v>2013-Q1</v>
          </cell>
          <cell r="BA98" t="str">
            <v>2013-Q2</v>
          </cell>
          <cell r="BB98" t="str">
            <v>2013-Q3</v>
          </cell>
          <cell r="BC98" t="str">
            <v>2013-Q4</v>
          </cell>
          <cell r="BD98" t="str">
            <v>2014-Q1</v>
          </cell>
          <cell r="BE98" t="str">
            <v>2014-Q2</v>
          </cell>
          <cell r="BF98" t="str">
            <v>2014-Q3</v>
          </cell>
          <cell r="BG98" t="str">
            <v>2014-Q4</v>
          </cell>
        </row>
      </sheetData>
      <sheetData sheetId="6" refreshError="1">
        <row r="1">
          <cell r="B1" t="str">
            <v>Celanese</v>
          </cell>
          <cell r="BM1">
            <v>1.0357815442561205</v>
          </cell>
          <cell r="BP1">
            <v>0.13059058562582737</v>
          </cell>
          <cell r="BQ1">
            <v>5.0876576353162228</v>
          </cell>
        </row>
        <row r="3">
          <cell r="B3" t="str">
            <v>In US$ millions (except per share data)</v>
          </cell>
          <cell r="C3">
            <v>2002</v>
          </cell>
          <cell r="D3">
            <v>2003</v>
          </cell>
          <cell r="E3">
            <v>2004</v>
          </cell>
          <cell r="F3">
            <v>2005</v>
          </cell>
          <cell r="G3">
            <v>2006</v>
          </cell>
          <cell r="H3">
            <v>2007</v>
          </cell>
          <cell r="I3">
            <v>2008</v>
          </cell>
          <cell r="J3">
            <v>2009</v>
          </cell>
          <cell r="K3">
            <v>2010</v>
          </cell>
          <cell r="L3">
            <v>2011</v>
          </cell>
          <cell r="M3" t="str">
            <v>2012e</v>
          </cell>
          <cell r="N3" t="str">
            <v>2013e</v>
          </cell>
          <cell r="O3" t="str">
            <v>2014e</v>
          </cell>
          <cell r="P3" t="str">
            <v>2015e</v>
          </cell>
          <cell r="Q3" t="str">
            <v>2016e</v>
          </cell>
          <cell r="R3" t="str">
            <v>2017e</v>
          </cell>
          <cell r="S3" t="str">
            <v>2018e</v>
          </cell>
          <cell r="T3" t="str">
            <v>2019e</v>
          </cell>
          <cell r="U3" t="str">
            <v>2020e</v>
          </cell>
          <cell r="AD3">
            <v>2005</v>
          </cell>
          <cell r="AH3">
            <v>2006</v>
          </cell>
          <cell r="AL3">
            <v>2007</v>
          </cell>
          <cell r="AP3">
            <v>2008</v>
          </cell>
          <cell r="AT3">
            <v>2009</v>
          </cell>
          <cell r="AX3">
            <v>2010</v>
          </cell>
          <cell r="BB3">
            <v>2011</v>
          </cell>
          <cell r="BF3" t="str">
            <v>2012e</v>
          </cell>
          <cell r="BJ3" t="str">
            <v>2013e</v>
          </cell>
          <cell r="BK3" t="str">
            <v>2013e</v>
          </cell>
          <cell r="BO3" t="str">
            <v>2014e</v>
          </cell>
          <cell r="BS3">
            <v>4.4966576880329594</v>
          </cell>
        </row>
        <row r="4">
          <cell r="AD4" t="str">
            <v>Q1</v>
          </cell>
          <cell r="AE4" t="str">
            <v>Q2</v>
          </cell>
          <cell r="AF4" t="str">
            <v>Q3</v>
          </cell>
          <cell r="AG4" t="str">
            <v>Q4</v>
          </cell>
          <cell r="AH4" t="str">
            <v>Q1</v>
          </cell>
          <cell r="AI4" t="str">
            <v>Q2</v>
          </cell>
          <cell r="AJ4" t="str">
            <v>Q3</v>
          </cell>
          <cell r="AK4" t="str">
            <v>Q4</v>
          </cell>
          <cell r="AL4" t="str">
            <v>Q1</v>
          </cell>
          <cell r="AM4" t="str">
            <v>Q2</v>
          </cell>
          <cell r="AN4" t="str">
            <v>Q3</v>
          </cell>
          <cell r="AO4" t="str">
            <v>Q4</v>
          </cell>
          <cell r="AP4" t="str">
            <v>Q1</v>
          </cell>
          <cell r="AQ4" t="str">
            <v>Q2</v>
          </cell>
          <cell r="AR4" t="str">
            <v>Q3</v>
          </cell>
          <cell r="AS4" t="str">
            <v>Q4</v>
          </cell>
          <cell r="AT4" t="str">
            <v>Q1</v>
          </cell>
          <cell r="AU4" t="str">
            <v>Q2</v>
          </cell>
          <cell r="AV4" t="str">
            <v>Q3</v>
          </cell>
          <cell r="AW4" t="str">
            <v>Q4</v>
          </cell>
          <cell r="AX4" t="str">
            <v>Q1</v>
          </cell>
          <cell r="AY4" t="str">
            <v>Q2</v>
          </cell>
          <cell r="AZ4" t="str">
            <v>Q3</v>
          </cell>
          <cell r="BA4" t="str">
            <v>Q4</v>
          </cell>
          <cell r="BB4" t="str">
            <v>Q1e</v>
          </cell>
          <cell r="BC4" t="str">
            <v>Q2</v>
          </cell>
          <cell r="BD4" t="str">
            <v>Q3</v>
          </cell>
          <cell r="BE4" t="str">
            <v>Q4</v>
          </cell>
          <cell r="BF4" t="str">
            <v>Q1e</v>
          </cell>
          <cell r="BG4" t="str">
            <v>Q2</v>
          </cell>
          <cell r="BH4" t="str">
            <v>Q3</v>
          </cell>
          <cell r="BI4" t="str">
            <v>Q4</v>
          </cell>
          <cell r="BJ4" t="str">
            <v>Q1e</v>
          </cell>
          <cell r="BK4" t="str">
            <v>Q2</v>
          </cell>
          <cell r="BL4" t="str">
            <v>Q3</v>
          </cell>
          <cell r="BM4" t="str">
            <v>Q4</v>
          </cell>
          <cell r="BN4" t="str">
            <v>Q1e</v>
          </cell>
          <cell r="BO4" t="str">
            <v>Q2e</v>
          </cell>
          <cell r="BP4" t="str">
            <v>Q3e</v>
          </cell>
          <cell r="BQ4" t="str">
            <v>Q4e</v>
          </cell>
        </row>
        <row r="5">
          <cell r="B5" t="str">
            <v>EPS</v>
          </cell>
          <cell r="AT5">
            <v>0.10925449871465295</v>
          </cell>
          <cell r="AU5">
            <v>0.56659759481230887</v>
          </cell>
          <cell r="AV5">
            <v>0.57754706697608971</v>
          </cell>
          <cell r="AW5">
            <v>0.50505050505050508</v>
          </cell>
          <cell r="AX5">
            <v>0.64191315292636875</v>
          </cell>
          <cell r="AY5">
            <v>1.1174242424242424</v>
          </cell>
          <cell r="AZ5">
            <v>0.88030398986700442</v>
          </cell>
          <cell r="BA5">
            <v>0.74542008843967145</v>
          </cell>
        </row>
        <row r="6">
          <cell r="B6" t="str">
            <v>New Segment breakdown</v>
          </cell>
        </row>
        <row r="8">
          <cell r="A8">
            <v>2</v>
          </cell>
          <cell r="B8" t="str">
            <v>Advanced Engineered Materials</v>
          </cell>
          <cell r="BN8" t="str">
            <v xml:space="preserve"> </v>
          </cell>
        </row>
        <row r="9">
          <cell r="A9">
            <v>0.18739438999662048</v>
          </cell>
          <cell r="B9" t="str">
            <v>Sales</v>
          </cell>
          <cell r="G9">
            <v>915</v>
          </cell>
          <cell r="H9">
            <v>1030</v>
          </cell>
          <cell r="I9">
            <v>1061</v>
          </cell>
          <cell r="J9">
            <v>808</v>
          </cell>
          <cell r="K9">
            <v>1109</v>
          </cell>
          <cell r="L9">
            <v>1298</v>
          </cell>
          <cell r="M9">
            <v>1261</v>
          </cell>
          <cell r="N9">
            <v>1352</v>
          </cell>
          <cell r="O9">
            <v>1459.5236488762007</v>
          </cell>
          <cell r="P9">
            <v>1547.6882727083043</v>
          </cell>
          <cell r="Q9">
            <v>1642.8126979371784</v>
          </cell>
          <cell r="R9">
            <v>1745.5595067502763</v>
          </cell>
          <cell r="S9">
            <v>1823.8801643545821</v>
          </cell>
          <cell r="T9">
            <v>1882.0502540352761</v>
          </cell>
          <cell r="U9">
            <v>1942.3420649387574</v>
          </cell>
          <cell r="AC9">
            <v>3.9869438570176996E-2</v>
          </cell>
          <cell r="AD9">
            <v>239</v>
          </cell>
          <cell r="AE9">
            <v>223</v>
          </cell>
          <cell r="AF9">
            <v>212</v>
          </cell>
          <cell r="AG9">
            <v>213</v>
          </cell>
          <cell r="AH9">
            <v>231</v>
          </cell>
          <cell r="AI9">
            <v>230</v>
          </cell>
          <cell r="AJ9">
            <v>230</v>
          </cell>
          <cell r="AK9">
            <v>224</v>
          </cell>
          <cell r="AL9">
            <v>262</v>
          </cell>
          <cell r="AM9">
            <v>257</v>
          </cell>
          <cell r="AN9">
            <v>258</v>
          </cell>
          <cell r="AO9">
            <v>253</v>
          </cell>
          <cell r="AP9">
            <v>294</v>
          </cell>
          <cell r="AQ9">
            <v>300</v>
          </cell>
          <cell r="AR9">
            <v>272</v>
          </cell>
          <cell r="AS9">
            <v>195</v>
          </cell>
          <cell r="AT9">
            <v>165</v>
          </cell>
          <cell r="AU9">
            <v>184</v>
          </cell>
          <cell r="AV9">
            <v>220</v>
          </cell>
          <cell r="AW9">
            <v>239</v>
          </cell>
          <cell r="AX9">
            <v>282</v>
          </cell>
          <cell r="AY9">
            <v>282</v>
          </cell>
          <cell r="AZ9">
            <v>271</v>
          </cell>
          <cell r="BA9">
            <v>274</v>
          </cell>
          <cell r="BB9">
            <v>328</v>
          </cell>
          <cell r="BC9">
            <v>346</v>
          </cell>
          <cell r="BD9">
            <v>332</v>
          </cell>
          <cell r="BE9">
            <v>292</v>
          </cell>
          <cell r="BF9">
            <v>317</v>
          </cell>
          <cell r="BG9">
            <v>323</v>
          </cell>
          <cell r="BH9">
            <v>322</v>
          </cell>
          <cell r="BI9">
            <v>299</v>
          </cell>
          <cell r="BJ9">
            <v>329</v>
          </cell>
          <cell r="BK9">
            <v>352</v>
          </cell>
          <cell r="BL9">
            <v>346</v>
          </cell>
          <cell r="BM9">
            <v>325</v>
          </cell>
          <cell r="BN9">
            <v>373</v>
          </cell>
          <cell r="BO9">
            <v>373.85759961331638</v>
          </cell>
          <cell r="BP9">
            <v>367.48502689263489</v>
          </cell>
          <cell r="BQ9">
            <v>345.18102237024954</v>
          </cell>
        </row>
        <row r="10">
          <cell r="B10" t="str">
            <v>Growth (%)</v>
          </cell>
          <cell r="H10">
            <v>0.12568306010928953</v>
          </cell>
          <cell r="I10">
            <v>3.0097087378640808E-2</v>
          </cell>
          <cell r="J10">
            <v>-0.2384542884071631</v>
          </cell>
          <cell r="K10">
            <v>0.37252475247524752</v>
          </cell>
          <cell r="L10">
            <v>0.17042380522993694</v>
          </cell>
          <cell r="M10">
            <v>-2.75E-2</v>
          </cell>
          <cell r="N10">
            <v>7.2500000000000009E-2</v>
          </cell>
          <cell r="O10">
            <v>7.9071590085191185E-2</v>
          </cell>
          <cell r="P10">
            <v>6.040643733315898E-2</v>
          </cell>
          <cell r="Q10">
            <v>6.1462264014196855E-2</v>
          </cell>
          <cell r="R10">
            <v>6.2543227808083968E-2</v>
          </cell>
          <cell r="S10">
            <v>4.4868511959306412E-2</v>
          </cell>
          <cell r="T10">
            <v>3.1893591924269105E-2</v>
          </cell>
          <cell r="U10">
            <v>3.2035175880245736E-2</v>
          </cell>
          <cell r="AJ10" t="str">
            <v>NM</v>
          </cell>
          <cell r="AK10" t="str">
            <v>NM</v>
          </cell>
          <cell r="AL10" t="str">
            <v>NM</v>
          </cell>
          <cell r="AM10" t="str">
            <v>NM</v>
          </cell>
          <cell r="AN10">
            <v>0.12173913043478257</v>
          </cell>
          <cell r="AO10">
            <v>0.12946428571428581</v>
          </cell>
          <cell r="AP10">
            <v>0.12213740458015265</v>
          </cell>
          <cell r="AQ10">
            <v>0.16731517509727634</v>
          </cell>
          <cell r="AR10">
            <v>5.4263565891472965E-2</v>
          </cell>
          <cell r="AS10">
            <v>-0.22924901185770752</v>
          </cell>
          <cell r="AT10">
            <v>-0.43877551020408168</v>
          </cell>
          <cell r="AU10">
            <v>-0.38666666666666671</v>
          </cell>
          <cell r="AV10">
            <v>-0.19117647058823528</v>
          </cell>
          <cell r="AW10">
            <v>0.22564102564102573</v>
          </cell>
          <cell r="AX10">
            <v>0.70909090909090899</v>
          </cell>
          <cell r="AY10">
            <v>0.53260869565217384</v>
          </cell>
          <cell r="AZ10">
            <v>0.23181818181818192</v>
          </cell>
          <cell r="BA10">
            <v>0.14644351464435146</v>
          </cell>
          <cell r="BB10">
            <v>0.16312056737588643</v>
          </cell>
          <cell r="BC10">
            <v>0.22695035460992918</v>
          </cell>
          <cell r="BD10">
            <v>0.22509225092250928</v>
          </cell>
          <cell r="BE10">
            <v>6.5693430656934337E-2</v>
          </cell>
          <cell r="BF10">
            <v>-3.3536585365853688E-2</v>
          </cell>
          <cell r="BG10">
            <v>-6.6473988439306408E-2</v>
          </cell>
          <cell r="BH10">
            <v>-3.0120481927710885E-2</v>
          </cell>
          <cell r="BI10">
            <v>2.3972602739726012E-2</v>
          </cell>
          <cell r="BJ10">
            <v>3.7854889589905349E-2</v>
          </cell>
          <cell r="BK10">
            <v>8.9783281733746056E-2</v>
          </cell>
          <cell r="BL10">
            <v>7.4534161490683148E-2</v>
          </cell>
          <cell r="BM10">
            <v>8.6956521739130377E-2</v>
          </cell>
          <cell r="BN10">
            <v>0.13373860182370811</v>
          </cell>
          <cell r="BO10">
            <v>6.2095453446921578E-2</v>
          </cell>
          <cell r="BP10">
            <v>6.2095453446921578E-2</v>
          </cell>
          <cell r="BQ10">
            <v>6.2095453446921578E-2</v>
          </cell>
        </row>
        <row r="11">
          <cell r="B11" t="str">
            <v>Underlying business</v>
          </cell>
          <cell r="H11">
            <v>0.08</v>
          </cell>
          <cell r="I11">
            <v>-1.0000000000000002E-2</v>
          </cell>
          <cell r="J11">
            <v>-0.22</v>
          </cell>
          <cell r="K11">
            <v>0.36</v>
          </cell>
          <cell r="L11">
            <v>0.1</v>
          </cell>
          <cell r="M11">
            <v>5.0000000000000027E-3</v>
          </cell>
          <cell r="N11">
            <v>6.0000000000000005E-2</v>
          </cell>
          <cell r="O11">
            <v>7.6571590085191182E-2</v>
          </cell>
          <cell r="P11">
            <v>6.040643733315898E-2</v>
          </cell>
          <cell r="Q11">
            <v>6.1462264014196855E-2</v>
          </cell>
          <cell r="R11">
            <v>6.2543227808083968E-2</v>
          </cell>
          <cell r="S11">
            <v>4.4868511959306412E-2</v>
          </cell>
          <cell r="T11">
            <v>3.1893591924269105E-2</v>
          </cell>
          <cell r="U11">
            <v>3.2035175880245736E-2</v>
          </cell>
          <cell r="BI11">
            <v>0.05</v>
          </cell>
          <cell r="BJ11">
            <v>0.04</v>
          </cell>
          <cell r="BK11">
            <v>0.06</v>
          </cell>
          <cell r="BL11">
            <v>0.06</v>
          </cell>
          <cell r="BM11">
            <v>0.02</v>
          </cell>
          <cell r="BN11">
            <v>6.2095453446921578E-2</v>
          </cell>
          <cell r="BO11">
            <v>6.2095453446921578E-2</v>
          </cell>
          <cell r="BP11">
            <v>6.2095453446921578E-2</v>
          </cell>
          <cell r="BQ11">
            <v>6.2095453446921578E-2</v>
          </cell>
        </row>
        <row r="12">
          <cell r="B12" t="str">
            <v>Volume</v>
          </cell>
          <cell r="G12">
            <v>0.06</v>
          </cell>
          <cell r="H12">
            <v>0.09</v>
          </cell>
          <cell r="I12">
            <v>-0.04</v>
          </cell>
          <cell r="J12">
            <v>-0.21</v>
          </cell>
          <cell r="K12">
            <v>0.35</v>
          </cell>
          <cell r="L12">
            <v>0.02</v>
          </cell>
          <cell r="M12">
            <v>-1.4999999999999998E-2</v>
          </cell>
          <cell r="N12">
            <v>5.2500000000000005E-2</v>
          </cell>
          <cell r="O12">
            <v>7.407159008519118E-2</v>
          </cell>
          <cell r="P12">
            <v>5.0406437333158978E-2</v>
          </cell>
          <cell r="Q12">
            <v>5.1462264014196853E-2</v>
          </cell>
          <cell r="R12">
            <v>5.2543227808083966E-2</v>
          </cell>
          <cell r="S12">
            <v>3.486851195930641E-2</v>
          </cell>
          <cell r="T12">
            <v>2.1893591924269103E-2</v>
          </cell>
          <cell r="U12">
            <v>2.2035175880245735E-2</v>
          </cell>
          <cell r="AJ12" t="str">
            <v>ND</v>
          </cell>
          <cell r="AK12" t="str">
            <v>ND</v>
          </cell>
          <cell r="AL12" t="str">
            <v>ND</v>
          </cell>
          <cell r="AM12" t="str">
            <v>ND</v>
          </cell>
          <cell r="AN12">
            <v>0.11</v>
          </cell>
          <cell r="AO12">
            <v>0.08</v>
          </cell>
          <cell r="AP12">
            <v>0.06</v>
          </cell>
          <cell r="AQ12">
            <v>0.08</v>
          </cell>
          <cell r="AR12">
            <v>-0.06</v>
          </cell>
          <cell r="AS12">
            <v>-0.25</v>
          </cell>
          <cell r="AT12">
            <v>-0.43</v>
          </cell>
          <cell r="AU12">
            <v>-0.34</v>
          </cell>
          <cell r="AV12">
            <v>-0.14000000000000001</v>
          </cell>
          <cell r="AW12">
            <v>0.22</v>
          </cell>
          <cell r="AX12">
            <v>0.71</v>
          </cell>
          <cell r="AY12">
            <v>0.52</v>
          </cell>
          <cell r="AZ12">
            <v>0.22</v>
          </cell>
          <cell r="BA12">
            <v>0.1</v>
          </cell>
          <cell r="BB12">
            <v>0.06</v>
          </cell>
          <cell r="BC12">
            <v>0.01</v>
          </cell>
          <cell r="BD12">
            <v>0.05</v>
          </cell>
          <cell r="BE12">
            <v>-0.04</v>
          </cell>
          <cell r="BF12">
            <v>-0.05</v>
          </cell>
          <cell r="BG12">
            <v>-0.04</v>
          </cell>
          <cell r="BH12">
            <v>-0.01</v>
          </cell>
          <cell r="BI12">
            <v>0.04</v>
          </cell>
          <cell r="BJ12">
            <v>0</v>
          </cell>
          <cell r="BK12">
            <v>7.0000000000000007E-2</v>
          </cell>
          <cell r="BL12">
            <v>0.06</v>
          </cell>
          <cell r="BM12">
            <v>0.08</v>
          </cell>
          <cell r="BN12">
            <v>0.14000000000000001</v>
          </cell>
          <cell r="BO12">
            <v>5.2095453446921576E-2</v>
          </cell>
          <cell r="BP12">
            <v>5.2095453446921576E-2</v>
          </cell>
          <cell r="BQ12">
            <v>5.2095453446921576E-2</v>
          </cell>
        </row>
        <row r="13">
          <cell r="B13" t="str">
            <v>Price</v>
          </cell>
          <cell r="G13">
            <v>0</v>
          </cell>
          <cell r="H13">
            <v>-0.01</v>
          </cell>
          <cell r="I13">
            <v>0.03</v>
          </cell>
          <cell r="J13">
            <v>-0.01</v>
          </cell>
          <cell r="K13">
            <v>0.01</v>
          </cell>
          <cell r="L13">
            <v>0.08</v>
          </cell>
          <cell r="M13">
            <v>0.02</v>
          </cell>
          <cell r="N13">
            <v>7.4999999999999997E-3</v>
          </cell>
          <cell r="O13">
            <v>2.5000000000000001E-3</v>
          </cell>
          <cell r="P13">
            <v>0.01</v>
          </cell>
          <cell r="Q13">
            <v>0.01</v>
          </cell>
          <cell r="R13">
            <v>0.01</v>
          </cell>
          <cell r="S13">
            <v>0.01</v>
          </cell>
          <cell r="T13">
            <v>0.01</v>
          </cell>
          <cell r="U13">
            <v>0.01</v>
          </cell>
          <cell r="AJ13" t="str">
            <v>ND</v>
          </cell>
          <cell r="AK13" t="str">
            <v>ND</v>
          </cell>
          <cell r="AL13" t="str">
            <v>ND</v>
          </cell>
          <cell r="AM13" t="str">
            <v>ND</v>
          </cell>
          <cell r="AN13">
            <v>-0.03</v>
          </cell>
          <cell r="AO13">
            <v>-0.01</v>
          </cell>
          <cell r="AP13">
            <v>-0.02</v>
          </cell>
          <cell r="AQ13">
            <v>0</v>
          </cell>
          <cell r="AR13">
            <v>0.06</v>
          </cell>
          <cell r="AS13">
            <v>0.06</v>
          </cell>
          <cell r="AT13">
            <v>0.04</v>
          </cell>
          <cell r="AU13">
            <v>0</v>
          </cell>
          <cell r="AV13">
            <v>-0.03</v>
          </cell>
          <cell r="AW13">
            <v>-0.06</v>
          </cell>
          <cell r="AX13">
            <v>-0.11</v>
          </cell>
          <cell r="AY13">
            <v>0.02</v>
          </cell>
          <cell r="AZ13">
            <v>0.05</v>
          </cell>
          <cell r="BA13">
            <v>0.05</v>
          </cell>
          <cell r="BB13">
            <v>0.08</v>
          </cell>
          <cell r="BC13">
            <v>0.09</v>
          </cell>
          <cell r="BD13">
            <v>7.0000000000000007E-2</v>
          </cell>
          <cell r="BE13">
            <v>7.0000000000000007E-2</v>
          </cell>
          <cell r="BF13">
            <v>0.03</v>
          </cell>
          <cell r="BG13">
            <v>0.02</v>
          </cell>
          <cell r="BH13">
            <v>0.03</v>
          </cell>
          <cell r="BI13">
            <v>0</v>
          </cell>
          <cell r="BJ13">
            <v>0.04</v>
          </cell>
          <cell r="BK13">
            <v>0.01</v>
          </cell>
          <cell r="BL13">
            <v>-0.01</v>
          </cell>
          <cell r="BM13">
            <v>-0.01</v>
          </cell>
          <cell r="BN13">
            <v>-0.02</v>
          </cell>
          <cell r="BO13">
            <v>0.01</v>
          </cell>
          <cell r="BP13">
            <v>0.01</v>
          </cell>
          <cell r="BQ13">
            <v>0.01</v>
          </cell>
        </row>
        <row r="14">
          <cell r="B14" t="str">
            <v>Acquisitions/divestitures</v>
          </cell>
          <cell r="G14">
            <v>-0.02</v>
          </cell>
          <cell r="H14">
            <v>0</v>
          </cell>
          <cell r="I14">
            <v>0</v>
          </cell>
          <cell r="J14">
            <v>0</v>
          </cell>
          <cell r="K14">
            <v>0.04</v>
          </cell>
          <cell r="L14">
            <v>0.04</v>
          </cell>
          <cell r="M14">
            <v>2.5000000000000001E-3</v>
          </cell>
          <cell r="N14">
            <v>5.0000000000000001E-3</v>
          </cell>
          <cell r="O14">
            <v>2.5000000000000001E-3</v>
          </cell>
          <cell r="P14">
            <v>0</v>
          </cell>
          <cell r="Q14">
            <v>0</v>
          </cell>
          <cell r="R14">
            <v>0</v>
          </cell>
          <cell r="S14">
            <v>0</v>
          </cell>
          <cell r="T14">
            <v>0</v>
          </cell>
          <cell r="U14">
            <v>0</v>
          </cell>
          <cell r="AJ14" t="str">
            <v>ND</v>
          </cell>
          <cell r="AK14" t="str">
            <v>ND</v>
          </cell>
          <cell r="AL14" t="str">
            <v>ND</v>
          </cell>
          <cell r="AM14" t="str">
            <v>ND</v>
          </cell>
          <cell r="AN14">
            <v>0</v>
          </cell>
          <cell r="AO14">
            <v>0</v>
          </cell>
          <cell r="AP14">
            <v>0</v>
          </cell>
          <cell r="AQ14">
            <v>0</v>
          </cell>
          <cell r="AR14">
            <v>0</v>
          </cell>
          <cell r="AS14">
            <v>0</v>
          </cell>
          <cell r="AT14">
            <v>0</v>
          </cell>
          <cell r="AU14">
            <v>0</v>
          </cell>
          <cell r="AV14">
            <v>0</v>
          </cell>
          <cell r="AW14">
            <v>0</v>
          </cell>
          <cell r="AX14">
            <v>0.05</v>
          </cell>
          <cell r="AY14">
            <v>0.04</v>
          </cell>
          <cell r="AZ14">
            <v>0.03</v>
          </cell>
          <cell r="BA14">
            <v>0.05</v>
          </cell>
          <cell r="BB14">
            <v>0.03</v>
          </cell>
          <cell r="BC14">
            <v>0.06</v>
          </cell>
          <cell r="BD14">
            <v>0.05</v>
          </cell>
          <cell r="BE14">
            <v>0.04</v>
          </cell>
          <cell r="BF14">
            <v>0.01</v>
          </cell>
          <cell r="BG14">
            <v>0</v>
          </cell>
          <cell r="BH14">
            <v>0</v>
          </cell>
          <cell r="BI14">
            <v>0</v>
          </cell>
          <cell r="BJ14">
            <v>0</v>
          </cell>
          <cell r="BK14">
            <v>0</v>
          </cell>
          <cell r="BL14">
            <v>0.02</v>
          </cell>
          <cell r="BM14">
            <v>0</v>
          </cell>
          <cell r="BN14">
            <v>0.01</v>
          </cell>
          <cell r="BO14">
            <v>0</v>
          </cell>
          <cell r="BP14">
            <v>0</v>
          </cell>
          <cell r="BQ14">
            <v>0</v>
          </cell>
        </row>
        <row r="15">
          <cell r="B15" t="str">
            <v>Currency</v>
          </cell>
          <cell r="G15">
            <v>-0.01</v>
          </cell>
          <cell r="H15">
            <v>0.05</v>
          </cell>
          <cell r="I15">
            <v>0.04</v>
          </cell>
          <cell r="J15">
            <v>-0.02</v>
          </cell>
          <cell r="K15">
            <v>-0.03</v>
          </cell>
          <cell r="L15">
            <v>0.03</v>
          </cell>
          <cell r="M15">
            <v>-3.5000000000000003E-2</v>
          </cell>
          <cell r="N15">
            <v>7.4999999999999997E-3</v>
          </cell>
          <cell r="O15">
            <v>0</v>
          </cell>
          <cell r="P15">
            <v>0</v>
          </cell>
          <cell r="Q15">
            <v>0</v>
          </cell>
          <cell r="R15">
            <v>0</v>
          </cell>
          <cell r="S15">
            <v>0</v>
          </cell>
          <cell r="T15">
            <v>0</v>
          </cell>
          <cell r="U15">
            <v>0</v>
          </cell>
          <cell r="AJ15" t="str">
            <v>ND</v>
          </cell>
          <cell r="AK15" t="str">
            <v>ND</v>
          </cell>
          <cell r="AL15" t="str">
            <v>ND</v>
          </cell>
          <cell r="AM15" t="str">
            <v>ND</v>
          </cell>
          <cell r="AN15">
            <v>0.04</v>
          </cell>
          <cell r="AO15">
            <v>0.06</v>
          </cell>
          <cell r="AP15">
            <v>0.08</v>
          </cell>
          <cell r="AQ15">
            <v>0.09</v>
          </cell>
          <cell r="AR15">
            <v>0.05</v>
          </cell>
          <cell r="AS15">
            <v>-0.04</v>
          </cell>
          <cell r="AT15">
            <v>-0.05</v>
          </cell>
          <cell r="AU15">
            <v>-0.05</v>
          </cell>
          <cell r="AV15">
            <v>-0.02</v>
          </cell>
          <cell r="AW15">
            <v>7.0000000000000007E-2</v>
          </cell>
          <cell r="AX15">
            <v>0.06</v>
          </cell>
          <cell r="AY15">
            <v>-0.05</v>
          </cell>
          <cell r="AZ15">
            <v>-7.0000000000000007E-2</v>
          </cell>
          <cell r="BA15">
            <v>-0.05</v>
          </cell>
          <cell r="BB15">
            <v>-0.01</v>
          </cell>
          <cell r="BC15">
            <v>7.0000000000000007E-2</v>
          </cell>
          <cell r="BD15">
            <v>0.05</v>
          </cell>
          <cell r="BE15">
            <v>0</v>
          </cell>
          <cell r="BF15">
            <v>-0.02</v>
          </cell>
          <cell r="BG15">
            <v>-0.05</v>
          </cell>
          <cell r="BH15">
            <v>-0.05</v>
          </cell>
          <cell r="BI15">
            <v>-0.02</v>
          </cell>
          <cell r="BJ15">
            <v>0</v>
          </cell>
          <cell r="BK15">
            <v>0.01</v>
          </cell>
          <cell r="BL15">
            <v>0</v>
          </cell>
          <cell r="BM15">
            <v>0.02</v>
          </cell>
          <cell r="BN15">
            <v>0</v>
          </cell>
          <cell r="BO15">
            <v>0</v>
          </cell>
          <cell r="BP15">
            <v>0</v>
          </cell>
          <cell r="BQ15">
            <v>0</v>
          </cell>
        </row>
        <row r="17">
          <cell r="B17" t="str">
            <v>Growth qoq</v>
          </cell>
          <cell r="AM17">
            <v>-1.9083969465648831E-2</v>
          </cell>
          <cell r="AN17">
            <v>3.8910505836575737E-3</v>
          </cell>
          <cell r="AO17">
            <v>-1.9379844961240345E-2</v>
          </cell>
          <cell r="AP17">
            <v>0.1620553359683794</v>
          </cell>
          <cell r="AQ17">
            <v>2.0408163265306145E-2</v>
          </cell>
          <cell r="AR17">
            <v>-9.3333333333333379E-2</v>
          </cell>
          <cell r="AS17">
            <v>-0.28308823529411764</v>
          </cell>
          <cell r="AT17">
            <v>-0.15384615384615385</v>
          </cell>
          <cell r="AU17">
            <v>0.11515151515151523</v>
          </cell>
          <cell r="AV17">
            <v>0.19565217391304346</v>
          </cell>
          <cell r="AW17">
            <v>8.636363636363642E-2</v>
          </cell>
          <cell r="AX17">
            <v>0.17991631799163188</v>
          </cell>
          <cell r="AY17">
            <v>0</v>
          </cell>
          <cell r="AZ17">
            <v>-3.9007092198581561E-2</v>
          </cell>
          <cell r="BA17">
            <v>1.1070110701107083E-2</v>
          </cell>
          <cell r="BB17">
            <v>0.19708029197080301</v>
          </cell>
          <cell r="BC17">
            <v>5.4878048780487854E-2</v>
          </cell>
          <cell r="BD17">
            <v>-4.0462427745664775E-2</v>
          </cell>
          <cell r="BE17">
            <v>-0.12048192771084343</v>
          </cell>
          <cell r="BF17">
            <v>8.5616438356164393E-2</v>
          </cell>
          <cell r="BG17">
            <v>1.8927444794952786E-2</v>
          </cell>
          <cell r="BH17">
            <v>-3.0959752321981782E-3</v>
          </cell>
          <cell r="BI17">
            <v>-7.1428571428571397E-2</v>
          </cell>
          <cell r="BJ17">
            <v>0.10033444816053505</v>
          </cell>
          <cell r="BK17">
            <v>6.990881458966558E-2</v>
          </cell>
          <cell r="BL17">
            <v>-1.7045454545454586E-2</v>
          </cell>
          <cell r="BM17">
            <v>-6.0693641618497107E-2</v>
          </cell>
          <cell r="BN17">
            <v>0.14769230769230779</v>
          </cell>
          <cell r="BO17">
            <v>2.2991946737704883E-3</v>
          </cell>
          <cell r="BP17">
            <v>-1.7045454545454475E-2</v>
          </cell>
          <cell r="BQ17">
            <v>-6.0693641618497107E-2</v>
          </cell>
        </row>
        <row r="19">
          <cell r="B19" t="str">
            <v>Operating EBITDA</v>
          </cell>
          <cell r="G19">
            <v>260</v>
          </cell>
          <cell r="H19">
            <v>252</v>
          </cell>
          <cell r="I19">
            <v>170</v>
          </cell>
          <cell r="J19">
            <v>183</v>
          </cell>
          <cell r="K19">
            <v>363</v>
          </cell>
          <cell r="L19">
            <v>399</v>
          </cell>
          <cell r="M19">
            <v>414</v>
          </cell>
          <cell r="N19">
            <v>411</v>
          </cell>
          <cell r="O19">
            <v>442.10861342214969</v>
          </cell>
          <cell r="P19">
            <v>509.03889859582785</v>
          </cell>
          <cell r="Q19">
            <v>534.09310348462645</v>
          </cell>
          <cell r="R19">
            <v>573.44072923669455</v>
          </cell>
          <cell r="S19">
            <v>600.36608874055378</v>
          </cell>
          <cell r="T19">
            <v>623.94472906285955</v>
          </cell>
          <cell r="U19">
            <v>648.5488786653375</v>
          </cell>
          <cell r="AD19">
            <v>66</v>
          </cell>
          <cell r="AE19">
            <v>35</v>
          </cell>
          <cell r="AF19">
            <v>46</v>
          </cell>
          <cell r="AG19">
            <v>27</v>
          </cell>
          <cell r="AH19">
            <v>71</v>
          </cell>
          <cell r="AI19">
            <v>68</v>
          </cell>
          <cell r="AJ19">
            <v>67</v>
          </cell>
          <cell r="AK19">
            <v>58</v>
          </cell>
          <cell r="AL19">
            <v>67</v>
          </cell>
          <cell r="AM19">
            <v>70</v>
          </cell>
          <cell r="AN19">
            <v>70</v>
          </cell>
          <cell r="AO19">
            <v>45</v>
          </cell>
          <cell r="AP19">
            <v>60</v>
          </cell>
          <cell r="AQ19">
            <v>68</v>
          </cell>
          <cell r="AR19">
            <v>45</v>
          </cell>
          <cell r="AS19">
            <v>-3</v>
          </cell>
          <cell r="AT19">
            <v>8</v>
          </cell>
          <cell r="AU19">
            <v>35</v>
          </cell>
          <cell r="AV19">
            <v>73</v>
          </cell>
          <cell r="AW19">
            <v>67</v>
          </cell>
          <cell r="AX19">
            <v>107</v>
          </cell>
          <cell r="AY19">
            <v>98</v>
          </cell>
          <cell r="AZ19">
            <v>90</v>
          </cell>
          <cell r="BA19">
            <v>68</v>
          </cell>
          <cell r="BB19">
            <v>106</v>
          </cell>
          <cell r="BC19">
            <v>107</v>
          </cell>
          <cell r="BD19">
            <v>114</v>
          </cell>
          <cell r="BE19">
            <v>72</v>
          </cell>
          <cell r="BF19">
            <v>97</v>
          </cell>
          <cell r="BG19">
            <v>116</v>
          </cell>
          <cell r="BH19">
            <v>110</v>
          </cell>
          <cell r="BI19">
            <v>91</v>
          </cell>
          <cell r="BJ19">
            <v>107</v>
          </cell>
          <cell r="BK19">
            <v>113</v>
          </cell>
          <cell r="BL19">
            <v>108</v>
          </cell>
          <cell r="BM19">
            <v>83</v>
          </cell>
          <cell r="BN19">
            <v>110</v>
          </cell>
          <cell r="BO19">
            <v>107.22249083439067</v>
          </cell>
          <cell r="BP19">
            <v>126.78134991541296</v>
          </cell>
          <cell r="BQ19">
            <v>98.104772672346087</v>
          </cell>
          <cell r="BS19">
            <v>0.22210000000001173</v>
          </cell>
        </row>
        <row r="20">
          <cell r="B20" t="str">
            <v>Adjusted EBITDA</v>
          </cell>
          <cell r="G20">
            <v>205</v>
          </cell>
          <cell r="H20">
            <v>197</v>
          </cell>
          <cell r="I20">
            <v>133</v>
          </cell>
          <cell r="J20">
            <v>107</v>
          </cell>
          <cell r="K20">
            <v>220</v>
          </cell>
          <cell r="L20">
            <v>236</v>
          </cell>
          <cell r="M20">
            <v>224</v>
          </cell>
          <cell r="N20">
            <v>262</v>
          </cell>
          <cell r="O20">
            <v>284.10861342214969</v>
          </cell>
          <cell r="P20">
            <v>294.06077181457783</v>
          </cell>
          <cell r="Q20">
            <v>312.13441260806388</v>
          </cell>
          <cell r="R20">
            <v>340.38410381630388</v>
          </cell>
          <cell r="S20">
            <v>355.65663204914352</v>
          </cell>
          <cell r="T20">
            <v>366.99979953687887</v>
          </cell>
          <cell r="U20">
            <v>378.75670266305769</v>
          </cell>
          <cell r="AD20">
            <v>54</v>
          </cell>
          <cell r="AE20">
            <v>19</v>
          </cell>
          <cell r="AF20">
            <v>31</v>
          </cell>
          <cell r="AG20">
            <v>16</v>
          </cell>
          <cell r="AH20">
            <v>57</v>
          </cell>
          <cell r="AI20">
            <v>54</v>
          </cell>
          <cell r="AJ20">
            <v>53</v>
          </cell>
          <cell r="AK20">
            <v>45</v>
          </cell>
          <cell r="AL20">
            <v>53</v>
          </cell>
          <cell r="AM20">
            <v>54</v>
          </cell>
          <cell r="AN20">
            <v>52</v>
          </cell>
          <cell r="AO20">
            <v>38</v>
          </cell>
          <cell r="AP20">
            <v>51</v>
          </cell>
          <cell r="AQ20">
            <v>57</v>
          </cell>
          <cell r="AR20">
            <v>33</v>
          </cell>
          <cell r="AS20">
            <v>-8</v>
          </cell>
          <cell r="AT20">
            <v>8</v>
          </cell>
          <cell r="AU20">
            <v>5</v>
          </cell>
          <cell r="AV20">
            <v>45</v>
          </cell>
          <cell r="AW20">
            <v>49</v>
          </cell>
          <cell r="AX20">
            <v>63</v>
          </cell>
          <cell r="AY20">
            <v>59</v>
          </cell>
          <cell r="AZ20">
            <v>60</v>
          </cell>
          <cell r="BA20">
            <v>38</v>
          </cell>
          <cell r="BB20">
            <v>71</v>
          </cell>
          <cell r="BC20">
            <v>68</v>
          </cell>
          <cell r="BD20">
            <v>61</v>
          </cell>
          <cell r="BE20">
            <v>36</v>
          </cell>
          <cell r="BF20">
            <v>54</v>
          </cell>
          <cell r="BG20">
            <v>61</v>
          </cell>
          <cell r="BH20">
            <v>65</v>
          </cell>
          <cell r="BI20">
            <v>44</v>
          </cell>
          <cell r="BJ20">
            <v>67</v>
          </cell>
          <cell r="BK20">
            <v>68</v>
          </cell>
          <cell r="BL20">
            <v>77</v>
          </cell>
          <cell r="BM20">
            <v>50</v>
          </cell>
          <cell r="BN20">
            <v>77</v>
          </cell>
          <cell r="BO20">
            <v>72.222490834390669</v>
          </cell>
          <cell r="BP20">
            <v>81.78134991541296</v>
          </cell>
          <cell r="BQ20">
            <v>53.104772672346087</v>
          </cell>
        </row>
        <row r="21">
          <cell r="B21" t="str">
            <v>Margin</v>
          </cell>
          <cell r="G21">
            <v>0.22404371584699453</v>
          </cell>
          <cell r="H21">
            <v>0.1912621359223301</v>
          </cell>
          <cell r="I21">
            <v>0.12535344015080113</v>
          </cell>
          <cell r="J21">
            <v>0.13242574257425743</v>
          </cell>
          <cell r="K21">
            <v>0.19837691614066727</v>
          </cell>
          <cell r="L21">
            <v>0.18181818181818182</v>
          </cell>
          <cell r="M21">
            <v>0.17763679619349723</v>
          </cell>
          <cell r="N21">
            <v>0.1937869822485207</v>
          </cell>
          <cell r="O21">
            <v>0.1946584515029316</v>
          </cell>
          <cell r="P21">
            <v>0.19</v>
          </cell>
          <cell r="Q21">
            <v>0.19</v>
          </cell>
          <cell r="R21">
            <v>0.19500000000000001</v>
          </cell>
          <cell r="S21">
            <v>0.19500000000000001</v>
          </cell>
          <cell r="T21">
            <v>0.19500000000000001</v>
          </cell>
          <cell r="U21">
            <v>0.19500000000000001</v>
          </cell>
          <cell r="AD21">
            <v>0.22594142259414227</v>
          </cell>
          <cell r="AE21">
            <v>8.520179372197309E-2</v>
          </cell>
          <cell r="AF21">
            <v>0.14622641509433962</v>
          </cell>
          <cell r="AG21">
            <v>7.5117370892018781E-2</v>
          </cell>
          <cell r="AH21">
            <v>0.24675324675324675</v>
          </cell>
          <cell r="AI21">
            <v>0.23478260869565218</v>
          </cell>
          <cell r="AJ21">
            <v>0.23043478260869565</v>
          </cell>
          <cell r="AK21">
            <v>0.20089285714285715</v>
          </cell>
          <cell r="AL21">
            <v>0.20229007633587787</v>
          </cell>
          <cell r="AM21">
            <v>0.21011673151750973</v>
          </cell>
          <cell r="AN21">
            <v>0.20155038759689922</v>
          </cell>
          <cell r="AO21">
            <v>0.15019762845849802</v>
          </cell>
          <cell r="AP21">
            <v>0.17346938775510204</v>
          </cell>
          <cell r="AQ21">
            <v>0.19</v>
          </cell>
          <cell r="AR21">
            <v>0.12132352941176471</v>
          </cell>
          <cell r="AS21">
            <v>-4.1025641025641026E-2</v>
          </cell>
          <cell r="AT21">
            <v>4.8484848484848485E-2</v>
          </cell>
          <cell r="AU21">
            <v>2.717391304347826E-2</v>
          </cell>
          <cell r="AV21">
            <v>0.20454545454545456</v>
          </cell>
          <cell r="AW21">
            <v>0.20502092050209206</v>
          </cell>
          <cell r="AX21">
            <v>0.22340425531914893</v>
          </cell>
          <cell r="AY21">
            <v>0.20921985815602837</v>
          </cell>
          <cell r="AZ21">
            <v>0.22140221402214022</v>
          </cell>
          <cell r="BA21">
            <v>0.13868613138686131</v>
          </cell>
          <cell r="BB21">
            <v>0.21646341463414634</v>
          </cell>
          <cell r="BC21">
            <v>0.19653179190751446</v>
          </cell>
          <cell r="BD21">
            <v>0.18373493975903615</v>
          </cell>
          <cell r="BE21">
            <v>0.12328767123287671</v>
          </cell>
          <cell r="BF21">
            <v>0.17034700315457413</v>
          </cell>
          <cell r="BG21">
            <v>0.18885448916408668</v>
          </cell>
          <cell r="BH21">
            <v>0.20186335403726707</v>
          </cell>
          <cell r="BI21">
            <v>0.14715719063545152</v>
          </cell>
          <cell r="BJ21">
            <v>0.20364741641337386</v>
          </cell>
          <cell r="BK21">
            <v>0.19318181818181818</v>
          </cell>
          <cell r="BL21">
            <v>0.22254335260115607</v>
          </cell>
          <cell r="BM21">
            <v>0.15384615384615385</v>
          </cell>
          <cell r="BN21">
            <v>0.2064343163538874</v>
          </cell>
          <cell r="BO21">
            <v>0.19318181818181818</v>
          </cell>
          <cell r="BP21">
            <v>0.22254335260115607</v>
          </cell>
          <cell r="BQ21">
            <v>0.15384615384615385</v>
          </cell>
        </row>
        <row r="22">
          <cell r="B22" t="str">
            <v>Incremental Margin</v>
          </cell>
          <cell r="H22">
            <v>-6.9565217391304349E-2</v>
          </cell>
          <cell r="I22">
            <v>-2.064516129032258</v>
          </cell>
          <cell r="J22">
            <v>0.10276679841897234</v>
          </cell>
          <cell r="K22">
            <v>0.37541528239202659</v>
          </cell>
          <cell r="L22">
            <v>8.4656084656084651E-2</v>
          </cell>
          <cell r="M22">
            <v>0.32432432432432434</v>
          </cell>
          <cell r="N22">
            <v>0.4175824175824176</v>
          </cell>
          <cell r="O22">
            <v>0.20561628677245544</v>
          </cell>
          <cell r="P22">
            <v>0.11288153864729855</v>
          </cell>
          <cell r="Q22">
            <v>0.18999999999999972</v>
          </cell>
          <cell r="R22">
            <v>0.27494470664901849</v>
          </cell>
          <cell r="S22">
            <v>0.19500000000000026</v>
          </cell>
          <cell r="T22">
            <v>0.19500000000000026</v>
          </cell>
          <cell r="U22">
            <v>0.19499999999999959</v>
          </cell>
          <cell r="AC22">
            <v>0.27552094218760886</v>
          </cell>
        </row>
        <row r="23">
          <cell r="B23" t="str">
            <v>Equity Earnings</v>
          </cell>
          <cell r="G23">
            <v>55</v>
          </cell>
          <cell r="H23">
            <v>55</v>
          </cell>
          <cell r="I23">
            <v>37</v>
          </cell>
          <cell r="J23">
            <v>76</v>
          </cell>
          <cell r="K23">
            <v>143</v>
          </cell>
          <cell r="L23">
            <v>163</v>
          </cell>
          <cell r="M23">
            <v>190</v>
          </cell>
          <cell r="N23">
            <v>149</v>
          </cell>
          <cell r="O23">
            <v>158</v>
          </cell>
          <cell r="P23">
            <v>214.97812678125001</v>
          </cell>
          <cell r="Q23">
            <v>221.95869087656254</v>
          </cell>
          <cell r="R23">
            <v>233.05662542039067</v>
          </cell>
          <cell r="S23">
            <v>244.70945669141022</v>
          </cell>
          <cell r="T23">
            <v>256.94492952598074</v>
          </cell>
          <cell r="U23">
            <v>269.7921760022798</v>
          </cell>
          <cell r="AD23">
            <v>12</v>
          </cell>
          <cell r="AE23">
            <v>16</v>
          </cell>
          <cell r="AF23">
            <v>15</v>
          </cell>
          <cell r="AG23">
            <v>11</v>
          </cell>
          <cell r="AH23">
            <v>14</v>
          </cell>
          <cell r="AI23">
            <v>14</v>
          </cell>
          <cell r="AJ23">
            <v>14</v>
          </cell>
          <cell r="AK23">
            <v>13</v>
          </cell>
          <cell r="AL23">
            <v>14</v>
          </cell>
          <cell r="AM23">
            <v>16</v>
          </cell>
          <cell r="AN23">
            <v>18</v>
          </cell>
          <cell r="AO23">
            <v>7</v>
          </cell>
          <cell r="AP23">
            <v>9</v>
          </cell>
          <cell r="AQ23">
            <v>11</v>
          </cell>
          <cell r="AR23">
            <v>12</v>
          </cell>
          <cell r="AS23">
            <v>5</v>
          </cell>
          <cell r="AT23">
            <v>0</v>
          </cell>
          <cell r="AU23">
            <v>30</v>
          </cell>
          <cell r="AV23">
            <v>28</v>
          </cell>
          <cell r="AW23">
            <v>18</v>
          </cell>
          <cell r="AX23">
            <v>44</v>
          </cell>
          <cell r="AY23">
            <v>39</v>
          </cell>
          <cell r="AZ23">
            <v>30</v>
          </cell>
          <cell r="BA23">
            <v>30</v>
          </cell>
          <cell r="BB23">
            <v>35</v>
          </cell>
          <cell r="BC23">
            <v>39</v>
          </cell>
          <cell r="BD23">
            <v>53</v>
          </cell>
          <cell r="BE23">
            <v>36</v>
          </cell>
          <cell r="BF23">
            <v>43</v>
          </cell>
          <cell r="BG23">
            <v>55</v>
          </cell>
          <cell r="BH23">
            <v>45</v>
          </cell>
          <cell r="BI23">
            <v>47</v>
          </cell>
          <cell r="BJ23">
            <v>40</v>
          </cell>
          <cell r="BK23">
            <v>45</v>
          </cell>
          <cell r="BL23">
            <v>31</v>
          </cell>
          <cell r="BM23">
            <v>33</v>
          </cell>
          <cell r="BN23">
            <v>33</v>
          </cell>
          <cell r="BO23">
            <v>35</v>
          </cell>
          <cell r="BP23">
            <v>45</v>
          </cell>
          <cell r="BQ23">
            <v>45</v>
          </cell>
        </row>
        <row r="24">
          <cell r="B24" t="str">
            <v>JV % of Core</v>
          </cell>
          <cell r="G24">
            <v>0.26829268292682928</v>
          </cell>
          <cell r="H24">
            <v>0.27918781725888325</v>
          </cell>
          <cell r="I24">
            <v>0.2781954887218045</v>
          </cell>
          <cell r="J24">
            <v>0.71028037383177567</v>
          </cell>
          <cell r="K24">
            <v>0.65</v>
          </cell>
          <cell r="L24">
            <v>0.69067796610169496</v>
          </cell>
          <cell r="M24">
            <v>0.8482142857142857</v>
          </cell>
          <cell r="N24">
            <v>0.56870229007633588</v>
          </cell>
          <cell r="O24">
            <v>0.55612534268798064</v>
          </cell>
          <cell r="P24">
            <v>0.73106700174481631</v>
          </cell>
          <cell r="Q24">
            <v>0.71109971189004462</v>
          </cell>
          <cell r="R24">
            <v>0.6846871602034772</v>
          </cell>
          <cell r="S24">
            <v>0.68804974978674671</v>
          </cell>
          <cell r="T24">
            <v>0.70012280619832057</v>
          </cell>
          <cell r="U24">
            <v>0.71230997129650053</v>
          </cell>
        </row>
        <row r="25">
          <cell r="B25" t="str">
            <v>JV Growth</v>
          </cell>
          <cell r="H25">
            <v>0</v>
          </cell>
          <cell r="I25">
            <v>-0.32727272727272727</v>
          </cell>
          <cell r="J25">
            <v>1.0540540540540539</v>
          </cell>
          <cell r="K25">
            <v>0.88157894736842102</v>
          </cell>
          <cell r="L25">
            <v>0.13986013986013979</v>
          </cell>
          <cell r="M25">
            <v>0.16564417177914104</v>
          </cell>
          <cell r="N25">
            <v>-0.21578947368421053</v>
          </cell>
          <cell r="O25">
            <v>6.0402684563758413E-2</v>
          </cell>
          <cell r="P25">
            <v>0.36062105557753177</v>
          </cell>
          <cell r="Q25">
            <v>3.2471043449064707E-2</v>
          </cell>
          <cell r="R25">
            <v>5.0000000000000044E-2</v>
          </cell>
          <cell r="S25">
            <v>5.0000000000000044E-2</v>
          </cell>
          <cell r="T25">
            <v>5.0000000000000044E-2</v>
          </cell>
          <cell r="U25">
            <v>5.0000000000000044E-2</v>
          </cell>
        </row>
        <row r="26">
          <cell r="B26" t="str">
            <v>Consolidated Margin</v>
          </cell>
          <cell r="G26">
            <v>0.28415300546448086</v>
          </cell>
          <cell r="H26">
            <v>0.24466019417475729</v>
          </cell>
          <cell r="I26">
            <v>0.16022620169651272</v>
          </cell>
          <cell r="J26">
            <v>0.22648514851485149</v>
          </cell>
          <cell r="K26">
            <v>0.327321911632101</v>
          </cell>
          <cell r="L26">
            <v>0.30739599383667182</v>
          </cell>
          <cell r="M26">
            <v>0.32831086439333862</v>
          </cell>
          <cell r="N26">
            <v>0.30399408284023671</v>
          </cell>
          <cell r="O26">
            <v>0.30291294955211112</v>
          </cell>
          <cell r="P26">
            <v>0.32890273033151513</v>
          </cell>
          <cell r="Q26">
            <v>0.32510894525910849</v>
          </cell>
          <cell r="R26">
            <v>0.32851399623967803</v>
          </cell>
          <cell r="S26">
            <v>0.3291697012084156</v>
          </cell>
          <cell r="T26">
            <v>0.33152394720867251</v>
          </cell>
          <cell r="U26">
            <v>0.33390044440281758</v>
          </cell>
          <cell r="AD26">
            <v>0.27615062761506276</v>
          </cell>
          <cell r="AE26">
            <v>0.15695067264573992</v>
          </cell>
          <cell r="AF26">
            <v>0.21698113207547171</v>
          </cell>
          <cell r="AG26">
            <v>0.12676056338028169</v>
          </cell>
          <cell r="AH26">
            <v>0.30735930735930733</v>
          </cell>
          <cell r="AI26">
            <v>0.29565217391304349</v>
          </cell>
          <cell r="AJ26">
            <v>0.29130434782608694</v>
          </cell>
          <cell r="AK26">
            <v>0.25892857142857145</v>
          </cell>
          <cell r="AL26">
            <v>0.25572519083969464</v>
          </cell>
          <cell r="AM26">
            <v>0.2723735408560311</v>
          </cell>
          <cell r="AN26">
            <v>0.27131782945736432</v>
          </cell>
          <cell r="AO26">
            <v>0.17786561264822134</v>
          </cell>
          <cell r="AP26">
            <v>0.20408163265306123</v>
          </cell>
          <cell r="AQ26">
            <v>0.22666666666666666</v>
          </cell>
          <cell r="AR26">
            <v>0.16544117647058823</v>
          </cell>
          <cell r="AS26">
            <v>-1.5384615384615385E-2</v>
          </cell>
          <cell r="AT26">
            <v>4.8484848484848485E-2</v>
          </cell>
          <cell r="AU26">
            <v>0.19021739130434784</v>
          </cell>
          <cell r="AV26">
            <v>0.33181818181818185</v>
          </cell>
          <cell r="AW26">
            <v>0.28033472803347281</v>
          </cell>
          <cell r="AX26">
            <v>0.37943262411347517</v>
          </cell>
          <cell r="AY26">
            <v>0.3475177304964539</v>
          </cell>
          <cell r="AZ26">
            <v>0.33210332103321033</v>
          </cell>
          <cell r="BA26">
            <v>0.24817518248175183</v>
          </cell>
          <cell r="BB26">
            <v>0.32317073170731708</v>
          </cell>
          <cell r="BC26">
            <v>0.30924855491329478</v>
          </cell>
          <cell r="BD26">
            <v>0.34337349397590361</v>
          </cell>
          <cell r="BE26">
            <v>0.24657534246575341</v>
          </cell>
          <cell r="BF26">
            <v>0.305993690851735</v>
          </cell>
          <cell r="BG26">
            <v>0.3591331269349845</v>
          </cell>
          <cell r="BH26">
            <v>0.34161490683229812</v>
          </cell>
          <cell r="BI26">
            <v>0.30434782608695654</v>
          </cell>
          <cell r="BJ26">
            <v>0.32522796352583588</v>
          </cell>
          <cell r="BK26">
            <v>0.32102272727272729</v>
          </cell>
          <cell r="BL26">
            <v>0.31213872832369943</v>
          </cell>
          <cell r="BM26">
            <v>0.25538461538461538</v>
          </cell>
          <cell r="BN26">
            <v>0.29490616621983912</v>
          </cell>
          <cell r="BO26">
            <v>0.28680035111040048</v>
          </cell>
          <cell r="BP26">
            <v>0.34499732135332317</v>
          </cell>
          <cell r="BQ26">
            <v>0.28421253288692255</v>
          </cell>
        </row>
        <row r="28">
          <cell r="A28">
            <v>9.3289689034369891E-2</v>
          </cell>
          <cell r="B28" t="str">
            <v>Operating income</v>
          </cell>
          <cell r="G28">
            <v>140</v>
          </cell>
          <cell r="H28">
            <v>128</v>
          </cell>
          <cell r="I28">
            <v>57</v>
          </cell>
          <cell r="J28">
            <v>35</v>
          </cell>
          <cell r="K28">
            <v>148</v>
          </cell>
          <cell r="L28">
            <v>139</v>
          </cell>
          <cell r="M28">
            <v>111</v>
          </cell>
          <cell r="N28">
            <v>152</v>
          </cell>
          <cell r="O28">
            <v>177.10861342214972</v>
          </cell>
          <cell r="P28">
            <v>193.46103408853804</v>
          </cell>
          <cell r="Q28">
            <v>213.56565073183319</v>
          </cell>
          <cell r="R28">
            <v>235.65053341128731</v>
          </cell>
          <cell r="S28">
            <v>246.22382218786862</v>
          </cell>
          <cell r="T28">
            <v>254.07678429476232</v>
          </cell>
          <cell r="U28">
            <v>262.21617876673224</v>
          </cell>
          <cell r="AD28">
            <v>39</v>
          </cell>
          <cell r="AE28">
            <v>5</v>
          </cell>
          <cell r="AF28">
            <v>18</v>
          </cell>
          <cell r="AG28">
            <v>-2</v>
          </cell>
          <cell r="AH28">
            <v>41</v>
          </cell>
          <cell r="AI28">
            <v>38</v>
          </cell>
          <cell r="AJ28">
            <v>37</v>
          </cell>
          <cell r="AK28">
            <v>28</v>
          </cell>
          <cell r="AL28">
            <v>36</v>
          </cell>
          <cell r="AM28">
            <v>37</v>
          </cell>
          <cell r="AN28">
            <v>35</v>
          </cell>
          <cell r="AO28">
            <v>20</v>
          </cell>
          <cell r="AP28">
            <v>31</v>
          </cell>
          <cell r="AQ28">
            <v>38</v>
          </cell>
          <cell r="AR28">
            <v>14</v>
          </cell>
          <cell r="AS28">
            <v>-26</v>
          </cell>
          <cell r="AT28">
            <v>-9</v>
          </cell>
          <cell r="AU28">
            <v>-14</v>
          </cell>
          <cell r="AV28">
            <v>28</v>
          </cell>
          <cell r="AW28">
            <v>30</v>
          </cell>
          <cell r="AX28">
            <v>46</v>
          </cell>
          <cell r="AY28">
            <v>42</v>
          </cell>
          <cell r="AZ28">
            <v>41</v>
          </cell>
          <cell r="BA28">
            <v>19</v>
          </cell>
          <cell r="BB28">
            <v>87</v>
          </cell>
          <cell r="BC28">
            <v>88</v>
          </cell>
          <cell r="BD28">
            <v>87</v>
          </cell>
          <cell r="BE28">
            <v>40</v>
          </cell>
          <cell r="BF28">
            <v>70</v>
          </cell>
          <cell r="BG28">
            <v>88</v>
          </cell>
          <cell r="BH28">
            <v>81</v>
          </cell>
          <cell r="BI28">
            <v>62</v>
          </cell>
          <cell r="BJ28">
            <v>38</v>
          </cell>
          <cell r="BK28">
            <v>41</v>
          </cell>
          <cell r="BL28">
            <v>50</v>
          </cell>
          <cell r="BM28">
            <v>23</v>
          </cell>
          <cell r="BN28">
            <v>51</v>
          </cell>
          <cell r="BO28">
            <v>45.222490834390669</v>
          </cell>
          <cell r="BP28">
            <v>54.78134991541296</v>
          </cell>
          <cell r="BQ28">
            <v>26.104772672346087</v>
          </cell>
        </row>
        <row r="29">
          <cell r="B29" t="str">
            <v>Reported EBIT</v>
          </cell>
          <cell r="G29">
            <v>145</v>
          </cell>
          <cell r="H29">
            <v>133</v>
          </cell>
          <cell r="I29">
            <v>32</v>
          </cell>
          <cell r="J29">
            <v>35</v>
          </cell>
          <cell r="K29">
            <v>184</v>
          </cell>
          <cell r="L29">
            <v>79</v>
          </cell>
          <cell r="M29">
            <v>95</v>
          </cell>
          <cell r="N29">
            <v>904</v>
          </cell>
          <cell r="O29">
            <v>183.10861342214972</v>
          </cell>
          <cell r="P29">
            <v>193.46103408853804</v>
          </cell>
          <cell r="Q29">
            <v>213.56565073183319</v>
          </cell>
          <cell r="R29">
            <v>235.65053341128731</v>
          </cell>
          <cell r="S29">
            <v>246.22382218786862</v>
          </cell>
          <cell r="T29">
            <v>254.07678429476232</v>
          </cell>
          <cell r="U29">
            <v>262.21617876673224</v>
          </cell>
          <cell r="AD29">
            <v>39</v>
          </cell>
          <cell r="AE29">
            <v>5</v>
          </cell>
          <cell r="AF29">
            <v>18</v>
          </cell>
          <cell r="AG29">
            <v>-2</v>
          </cell>
          <cell r="AH29">
            <v>41</v>
          </cell>
          <cell r="AI29">
            <v>38</v>
          </cell>
          <cell r="AJ29">
            <v>37</v>
          </cell>
          <cell r="AK29">
            <v>29</v>
          </cell>
          <cell r="AL29">
            <v>36</v>
          </cell>
          <cell r="AM29">
            <v>32</v>
          </cell>
          <cell r="AN29">
            <v>35</v>
          </cell>
          <cell r="AO29">
            <v>30</v>
          </cell>
          <cell r="AP29">
            <v>30</v>
          </cell>
          <cell r="AQ29">
            <v>37</v>
          </cell>
          <cell r="AR29">
            <v>13</v>
          </cell>
          <cell r="AS29">
            <v>-48</v>
          </cell>
          <cell r="AT29">
            <v>-19</v>
          </cell>
          <cell r="AU29">
            <v>0</v>
          </cell>
          <cell r="AV29">
            <v>21</v>
          </cell>
          <cell r="AW29">
            <v>33</v>
          </cell>
          <cell r="AX29">
            <v>48</v>
          </cell>
          <cell r="AY29">
            <v>40</v>
          </cell>
          <cell r="AZ29">
            <v>63</v>
          </cell>
          <cell r="BA29">
            <v>33</v>
          </cell>
          <cell r="BB29">
            <v>40</v>
          </cell>
          <cell r="BC29">
            <v>27</v>
          </cell>
          <cell r="BD29">
            <v>16</v>
          </cell>
          <cell r="BE29">
            <v>-4</v>
          </cell>
          <cell r="BF29">
            <v>24</v>
          </cell>
          <cell r="BG29">
            <v>23</v>
          </cell>
          <cell r="BH29">
            <v>44</v>
          </cell>
          <cell r="BI29">
            <v>4</v>
          </cell>
          <cell r="BJ29">
            <v>36</v>
          </cell>
          <cell r="BK29">
            <v>39</v>
          </cell>
          <cell r="BL29">
            <v>48</v>
          </cell>
          <cell r="BM29">
            <v>781</v>
          </cell>
          <cell r="BN29">
            <v>57</v>
          </cell>
          <cell r="BO29">
            <v>45.222490834390669</v>
          </cell>
          <cell r="BP29">
            <v>54.78134991541296</v>
          </cell>
          <cell r="BQ29">
            <v>26.104772672346087</v>
          </cell>
        </row>
        <row r="30">
          <cell r="B30" t="str">
            <v>Margin</v>
          </cell>
          <cell r="G30">
            <v>0.15300546448087432</v>
          </cell>
          <cell r="H30">
            <v>0.12427184466019417</v>
          </cell>
          <cell r="I30">
            <v>5.3722902921771912E-2</v>
          </cell>
          <cell r="J30">
            <v>4.3316831683168314E-2</v>
          </cell>
          <cell r="K30">
            <v>0.13345356176735798</v>
          </cell>
          <cell r="L30">
            <v>0.10708782742681047</v>
          </cell>
          <cell r="M30">
            <v>8.8025376685170506E-2</v>
          </cell>
          <cell r="N30">
            <v>0.11242603550295859</v>
          </cell>
          <cell r="O30">
            <v>0.12134686105190501</v>
          </cell>
          <cell r="P30">
            <v>0.125</v>
          </cell>
          <cell r="Q30">
            <v>0.13</v>
          </cell>
          <cell r="R30">
            <v>0.13500000000000001</v>
          </cell>
          <cell r="S30">
            <v>0.13500000000000001</v>
          </cell>
          <cell r="T30">
            <v>0.13500000000000004</v>
          </cell>
          <cell r="U30">
            <v>0.13500000000000001</v>
          </cell>
          <cell r="AD30">
            <v>0.16317991631799164</v>
          </cell>
          <cell r="AE30">
            <v>2.2421524663677129E-2</v>
          </cell>
          <cell r="AF30">
            <v>8.4905660377358486E-2</v>
          </cell>
          <cell r="AG30">
            <v>-9.3896713615023476E-3</v>
          </cell>
          <cell r="AH30">
            <v>0.1774891774891775</v>
          </cell>
          <cell r="AI30">
            <v>0.16521739130434782</v>
          </cell>
          <cell r="AJ30">
            <v>0.16086956521739129</v>
          </cell>
          <cell r="AK30">
            <v>0.125</v>
          </cell>
          <cell r="AL30">
            <v>0.13740458015267176</v>
          </cell>
          <cell r="AM30">
            <v>0.14396887159533073</v>
          </cell>
          <cell r="AN30">
            <v>0.13565891472868216</v>
          </cell>
          <cell r="AO30">
            <v>7.9051383399209488E-2</v>
          </cell>
          <cell r="AP30">
            <v>0.10544217687074831</v>
          </cell>
          <cell r="AQ30">
            <v>0.12666666666666668</v>
          </cell>
          <cell r="AR30">
            <v>5.1470588235294115E-2</v>
          </cell>
          <cell r="AS30">
            <v>-0.13333333333333333</v>
          </cell>
          <cell r="AT30">
            <v>-5.4545454545454543E-2</v>
          </cell>
          <cell r="AU30">
            <v>-7.6086956521739135E-2</v>
          </cell>
          <cell r="AV30">
            <v>0.12727272727272726</v>
          </cell>
          <cell r="AW30">
            <v>0.12552301255230125</v>
          </cell>
          <cell r="AX30">
            <v>0.16312056737588654</v>
          </cell>
          <cell r="AY30">
            <v>0.14893617021276595</v>
          </cell>
          <cell r="AZ30">
            <v>0.15129151291512916</v>
          </cell>
          <cell r="BA30">
            <v>6.9343065693430656E-2</v>
          </cell>
          <cell r="BB30">
            <v>0.2652439024390244</v>
          </cell>
          <cell r="BC30">
            <v>0.25433526011560692</v>
          </cell>
          <cell r="BD30">
            <v>0.26204819277108432</v>
          </cell>
          <cell r="BE30">
            <v>0.13698630136986301</v>
          </cell>
          <cell r="BF30">
            <v>0.22082018927444794</v>
          </cell>
          <cell r="BG30">
            <v>0.27244582043343651</v>
          </cell>
          <cell r="BH30">
            <v>0.25155279503105588</v>
          </cell>
          <cell r="BI30">
            <v>0.20735785953177258</v>
          </cell>
          <cell r="BJ30">
            <v>0.11550151975683891</v>
          </cell>
          <cell r="BK30">
            <v>0.11647727272727272</v>
          </cell>
          <cell r="BL30">
            <v>0.14450867052023122</v>
          </cell>
          <cell r="BM30">
            <v>7.0769230769230765E-2</v>
          </cell>
          <cell r="BN30">
            <v>0.13672922252010725</v>
          </cell>
          <cell r="BO30">
            <v>0.12096180706548328</v>
          </cell>
          <cell r="BP30">
            <v>0.14907097134985578</v>
          </cell>
          <cell r="BQ30">
            <v>7.5626326421692661E-2</v>
          </cell>
        </row>
        <row r="32">
          <cell r="B32" t="str">
            <v>Special Charges</v>
          </cell>
          <cell r="G32">
            <v>-5</v>
          </cell>
          <cell r="H32">
            <v>-5</v>
          </cell>
          <cell r="I32">
            <v>25</v>
          </cell>
          <cell r="J32">
            <v>0</v>
          </cell>
          <cell r="K32">
            <v>-36</v>
          </cell>
          <cell r="L32">
            <v>60</v>
          </cell>
          <cell r="M32">
            <v>16</v>
          </cell>
          <cell r="N32">
            <v>-752</v>
          </cell>
          <cell r="O32">
            <v>-6</v>
          </cell>
          <cell r="P32">
            <v>0</v>
          </cell>
          <cell r="Q32">
            <v>0</v>
          </cell>
          <cell r="R32">
            <v>0</v>
          </cell>
          <cell r="S32">
            <v>0</v>
          </cell>
          <cell r="T32">
            <v>0</v>
          </cell>
          <cell r="U32">
            <v>0</v>
          </cell>
          <cell r="AJ32">
            <v>0</v>
          </cell>
          <cell r="AK32">
            <v>-1</v>
          </cell>
          <cell r="AL32">
            <v>0</v>
          </cell>
          <cell r="AM32">
            <v>5</v>
          </cell>
          <cell r="AN32">
            <v>0</v>
          </cell>
          <cell r="AO32">
            <v>-10</v>
          </cell>
          <cell r="AP32">
            <v>1</v>
          </cell>
          <cell r="AQ32">
            <v>1</v>
          </cell>
          <cell r="AR32">
            <v>1</v>
          </cell>
          <cell r="AS32">
            <v>22</v>
          </cell>
          <cell r="AT32">
            <v>10</v>
          </cell>
          <cell r="AU32">
            <v>-14</v>
          </cell>
          <cell r="AV32">
            <v>7</v>
          </cell>
          <cell r="AW32">
            <v>-3</v>
          </cell>
          <cell r="AX32">
            <v>-2</v>
          </cell>
          <cell r="AY32">
            <v>2</v>
          </cell>
          <cell r="AZ32">
            <v>-22</v>
          </cell>
          <cell r="BA32">
            <v>-14</v>
          </cell>
          <cell r="BB32">
            <v>12</v>
          </cell>
          <cell r="BC32">
            <v>22</v>
          </cell>
          <cell r="BD32">
            <v>18</v>
          </cell>
          <cell r="BE32">
            <v>8</v>
          </cell>
          <cell r="BF32">
            <v>3</v>
          </cell>
          <cell r="BG32">
            <v>10</v>
          </cell>
          <cell r="BH32">
            <v>-8</v>
          </cell>
          <cell r="BI32">
            <v>11</v>
          </cell>
          <cell r="BJ32">
            <v>2</v>
          </cell>
          <cell r="BK32">
            <v>2</v>
          </cell>
          <cell r="BL32">
            <v>2</v>
          </cell>
          <cell r="BM32">
            <v>-758</v>
          </cell>
          <cell r="BN32">
            <v>-6</v>
          </cell>
          <cell r="BO32">
            <v>0</v>
          </cell>
          <cell r="BP32">
            <v>0</v>
          </cell>
          <cell r="BQ32">
            <v>0</v>
          </cell>
        </row>
        <row r="33">
          <cell r="B33" t="str">
            <v>D&amp;A</v>
          </cell>
          <cell r="G33">
            <v>65</v>
          </cell>
          <cell r="H33">
            <v>69</v>
          </cell>
          <cell r="I33">
            <v>76</v>
          </cell>
          <cell r="J33">
            <v>72</v>
          </cell>
          <cell r="K33">
            <v>72</v>
          </cell>
          <cell r="L33">
            <v>97</v>
          </cell>
          <cell r="M33">
            <v>113</v>
          </cell>
          <cell r="N33">
            <v>110</v>
          </cell>
          <cell r="O33">
            <v>107</v>
          </cell>
          <cell r="P33">
            <v>100.59973772603979</v>
          </cell>
          <cell r="Q33">
            <v>98.568761876230695</v>
          </cell>
          <cell r="R33">
            <v>104.73357040501658</v>
          </cell>
          <cell r="S33">
            <v>109.43280986127492</v>
          </cell>
          <cell r="T33">
            <v>112.92301524211656</v>
          </cell>
          <cell r="U33">
            <v>116.54052389632544</v>
          </cell>
          <cell r="AD33">
            <v>15</v>
          </cell>
          <cell r="AE33">
            <v>14</v>
          </cell>
          <cell r="AF33">
            <v>13</v>
          </cell>
          <cell r="AG33">
            <v>18</v>
          </cell>
          <cell r="AH33">
            <v>16</v>
          </cell>
          <cell r="AI33">
            <v>16</v>
          </cell>
          <cell r="AJ33">
            <v>16</v>
          </cell>
          <cell r="AK33">
            <v>17</v>
          </cell>
          <cell r="AL33">
            <v>17</v>
          </cell>
          <cell r="AM33">
            <v>17</v>
          </cell>
          <cell r="AN33">
            <v>17</v>
          </cell>
          <cell r="AO33">
            <v>18</v>
          </cell>
          <cell r="AP33">
            <v>20</v>
          </cell>
          <cell r="AQ33">
            <v>19</v>
          </cell>
          <cell r="AR33">
            <v>19</v>
          </cell>
          <cell r="AS33">
            <v>18</v>
          </cell>
          <cell r="AT33">
            <v>17</v>
          </cell>
          <cell r="AU33">
            <v>19</v>
          </cell>
          <cell r="AV33">
            <v>17</v>
          </cell>
          <cell r="AW33">
            <v>19</v>
          </cell>
          <cell r="AX33">
            <v>17</v>
          </cell>
          <cell r="AY33">
            <v>17</v>
          </cell>
          <cell r="AZ33">
            <v>19</v>
          </cell>
          <cell r="BA33">
            <v>19</v>
          </cell>
          <cell r="BB33">
            <v>19</v>
          </cell>
          <cell r="BC33">
            <v>19</v>
          </cell>
          <cell r="BD33">
            <v>27</v>
          </cell>
          <cell r="BE33">
            <v>32</v>
          </cell>
          <cell r="BF33">
            <v>27</v>
          </cell>
          <cell r="BG33">
            <v>28</v>
          </cell>
          <cell r="BH33">
            <v>29</v>
          </cell>
          <cell r="BI33">
            <v>29</v>
          </cell>
          <cell r="BJ33">
            <v>29</v>
          </cell>
          <cell r="BK33">
            <v>27</v>
          </cell>
          <cell r="BL33">
            <v>27</v>
          </cell>
          <cell r="BM33">
            <v>27</v>
          </cell>
          <cell r="BN33">
            <v>26</v>
          </cell>
          <cell r="BO33">
            <v>27</v>
          </cell>
          <cell r="BP33">
            <v>27</v>
          </cell>
          <cell r="BQ33">
            <v>27</v>
          </cell>
        </row>
        <row r="34">
          <cell r="B34" t="str">
            <v>% of sales</v>
          </cell>
          <cell r="G34">
            <v>7.1038251366120214E-2</v>
          </cell>
          <cell r="H34">
            <v>6.6990291262135918E-2</v>
          </cell>
          <cell r="I34">
            <v>7.163053722902922E-2</v>
          </cell>
          <cell r="J34">
            <v>8.9108910891089105E-2</v>
          </cell>
          <cell r="K34">
            <v>6.4923354373309289E-2</v>
          </cell>
          <cell r="L34">
            <v>7.4730354391371337E-2</v>
          </cell>
          <cell r="M34">
            <v>8.9611419508326726E-2</v>
          </cell>
          <cell r="N34">
            <v>8.1360946745562129E-2</v>
          </cell>
          <cell r="O34">
            <v>7.3311590451026615E-2</v>
          </cell>
          <cell r="P34">
            <v>6.5000000000000002E-2</v>
          </cell>
          <cell r="Q34">
            <v>0.06</v>
          </cell>
          <cell r="R34">
            <v>0.06</v>
          </cell>
          <cell r="S34">
            <v>0.06</v>
          </cell>
          <cell r="T34">
            <v>0.06</v>
          </cell>
          <cell r="U34">
            <v>0.06</v>
          </cell>
          <cell r="AD34">
            <v>6.2761506276150625E-2</v>
          </cell>
          <cell r="AE34">
            <v>6.2780269058295965E-2</v>
          </cell>
          <cell r="AF34">
            <v>6.1320754716981132E-2</v>
          </cell>
          <cell r="AG34">
            <v>8.4507042253521125E-2</v>
          </cell>
          <cell r="AH34">
            <v>6.9264069264069264E-2</v>
          </cell>
          <cell r="AI34">
            <v>6.9565217391304349E-2</v>
          </cell>
          <cell r="AJ34">
            <v>6.9565217391304349E-2</v>
          </cell>
          <cell r="AK34">
            <v>7.5892857142857137E-2</v>
          </cell>
          <cell r="AL34">
            <v>6.4885496183206104E-2</v>
          </cell>
          <cell r="AM34">
            <v>6.6147859922178989E-2</v>
          </cell>
          <cell r="AN34">
            <v>6.589147286821706E-2</v>
          </cell>
          <cell r="AO34">
            <v>7.1146245059288543E-2</v>
          </cell>
          <cell r="AP34">
            <v>6.8027210884353748E-2</v>
          </cell>
          <cell r="AQ34">
            <v>6.3333333333333339E-2</v>
          </cell>
          <cell r="AR34">
            <v>6.985294117647059E-2</v>
          </cell>
          <cell r="AS34">
            <v>9.2307692307692313E-2</v>
          </cell>
          <cell r="AT34">
            <v>0.10303030303030303</v>
          </cell>
          <cell r="AU34">
            <v>0.10326086956521739</v>
          </cell>
          <cell r="AV34">
            <v>7.7272727272727271E-2</v>
          </cell>
          <cell r="AW34">
            <v>7.9497907949790794E-2</v>
          </cell>
          <cell r="AX34">
            <v>6.0283687943262408E-2</v>
          </cell>
          <cell r="AY34">
            <v>6.0283687943262408E-2</v>
          </cell>
          <cell r="AZ34">
            <v>7.0110701107011064E-2</v>
          </cell>
          <cell r="BA34">
            <v>6.9343065693430656E-2</v>
          </cell>
          <cell r="BB34">
            <v>5.7926829268292686E-2</v>
          </cell>
          <cell r="BC34">
            <v>5.4913294797687862E-2</v>
          </cell>
          <cell r="BD34">
            <v>8.1325301204819275E-2</v>
          </cell>
          <cell r="BE34">
            <v>0.1095890410958904</v>
          </cell>
          <cell r="BF34">
            <v>8.5173501577287064E-2</v>
          </cell>
          <cell r="BG34">
            <v>8.6687306501547989E-2</v>
          </cell>
          <cell r="BH34">
            <v>9.0062111801242239E-2</v>
          </cell>
          <cell r="BI34">
            <v>9.6989966555183951E-2</v>
          </cell>
          <cell r="BJ34">
            <v>8.8145896656534953E-2</v>
          </cell>
          <cell r="BK34">
            <v>7.6704545454545456E-2</v>
          </cell>
          <cell r="BL34">
            <v>7.8034682080924858E-2</v>
          </cell>
          <cell r="BM34">
            <v>8.3076923076923076E-2</v>
          </cell>
          <cell r="BN34">
            <v>6.9705093833780166E-2</v>
          </cell>
          <cell r="BO34">
            <v>7.2220011116334928E-2</v>
          </cell>
          <cell r="BP34">
            <v>7.3472381251300262E-2</v>
          </cell>
          <cell r="BQ34">
            <v>7.8219827424461194E-2</v>
          </cell>
        </row>
        <row r="35">
          <cell r="B35" t="str">
            <v>% of total D&amp;A</v>
          </cell>
          <cell r="G35">
            <v>0.24163568773234201</v>
          </cell>
          <cell r="H35">
            <v>0.23711340206185566</v>
          </cell>
          <cell r="I35">
            <v>0.23100303951367782</v>
          </cell>
          <cell r="J35">
            <v>0.24827586206896551</v>
          </cell>
          <cell r="K35">
            <v>0.27906976744186046</v>
          </cell>
          <cell r="L35">
            <v>0.33797909407665505</v>
          </cell>
          <cell r="M35">
            <v>0.37666666666666665</v>
          </cell>
          <cell r="N35">
            <v>0.36423841059602646</v>
          </cell>
          <cell r="O35">
            <v>0.35662517896414953</v>
          </cell>
          <cell r="P35">
            <v>0.31881101140119578</v>
          </cell>
          <cell r="Q35">
            <v>0.2849546335017355</v>
          </cell>
          <cell r="R35">
            <v>0.28662700681262432</v>
          </cell>
          <cell r="S35">
            <v>0.28828758006616451</v>
          </cell>
          <cell r="T35">
            <v>0.28955257900881037</v>
          </cell>
          <cell r="U35">
            <v>0.29075232295349129</v>
          </cell>
          <cell r="AH35">
            <v>0.23021582733812951</v>
          </cell>
          <cell r="AI35">
            <v>0.23021582733812951</v>
          </cell>
          <cell r="AJ35">
            <v>0.24242424242424243</v>
          </cell>
          <cell r="AK35">
            <v>0.265625</v>
          </cell>
          <cell r="AL35">
            <v>0.25</v>
          </cell>
          <cell r="AM35">
            <v>0.23287671232876711</v>
          </cell>
          <cell r="AN35">
            <v>0.22077922077922077</v>
          </cell>
          <cell r="AO35">
            <v>0.24657534246575341</v>
          </cell>
          <cell r="AP35">
            <v>0.24096385542168675</v>
          </cell>
          <cell r="AQ35">
            <v>0.23170731707317074</v>
          </cell>
          <cell r="AR35">
            <v>0.22352941176470589</v>
          </cell>
          <cell r="AS35">
            <v>0.22784810126582278</v>
          </cell>
          <cell r="AT35">
            <v>0.23943661971830985</v>
          </cell>
          <cell r="AU35">
            <v>0.2638888888888889</v>
          </cell>
          <cell r="AV35">
            <v>0.23287671232876711</v>
          </cell>
          <cell r="AW35">
            <v>0.25675675675675674</v>
          </cell>
          <cell r="AX35">
            <v>0.25757575757575757</v>
          </cell>
          <cell r="AY35">
            <v>0.26984126984126983</v>
          </cell>
          <cell r="AZ35">
            <v>0.296875</v>
          </cell>
          <cell r="BA35">
            <v>0.29230769230769232</v>
          </cell>
          <cell r="BB35">
            <v>0.2878787878787879</v>
          </cell>
          <cell r="BC35">
            <v>0.27941176470588236</v>
          </cell>
          <cell r="BD35">
            <v>0.35064935064935066</v>
          </cell>
          <cell r="BE35">
            <v>0.42105263157894735</v>
          </cell>
          <cell r="BF35">
            <v>0.375</v>
          </cell>
          <cell r="BG35">
            <v>0.3783783783783784</v>
          </cell>
          <cell r="BH35">
            <v>0.38666666666666666</v>
          </cell>
          <cell r="BI35">
            <v>0.36708860759493672</v>
          </cell>
          <cell r="BJ35">
            <v>0.38157894736842107</v>
          </cell>
          <cell r="BK35">
            <v>0.36</v>
          </cell>
          <cell r="BL35">
            <v>0.35526315789473684</v>
          </cell>
          <cell r="BM35">
            <v>0.36</v>
          </cell>
          <cell r="BN35">
            <v>0.35616438356164382</v>
          </cell>
          <cell r="BO35">
            <v>0.35677334149046014</v>
          </cell>
          <cell r="BP35">
            <v>0.35677334149046014</v>
          </cell>
          <cell r="BQ35">
            <v>0.35677334149046014</v>
          </cell>
        </row>
        <row r="37">
          <cell r="B37" t="str">
            <v>Bull Case</v>
          </cell>
        </row>
        <row r="38">
          <cell r="B38" t="str">
            <v>Sales growth</v>
          </cell>
          <cell r="O38">
            <v>8.2878215976331257E-2</v>
          </cell>
          <cell r="P38">
            <v>8.0406437333158984E-2</v>
          </cell>
          <cell r="Q38">
            <v>8.1462264014196858E-2</v>
          </cell>
          <cell r="R38">
            <v>8.2543227808083972E-2</v>
          </cell>
          <cell r="S38">
            <v>6.4868511959306416E-2</v>
          </cell>
          <cell r="T38">
            <v>5.1893591924269108E-2</v>
          </cell>
          <cell r="U38">
            <v>5.203517588024574E-2</v>
          </cell>
          <cell r="BI38">
            <v>7.0000000000000007E-2</v>
          </cell>
          <cell r="BJ38">
            <v>0.06</v>
          </cell>
          <cell r="BK38">
            <v>0.04</v>
          </cell>
          <cell r="BL38">
            <v>7.0000000000000007E-2</v>
          </cell>
          <cell r="BM38">
            <v>0.04</v>
          </cell>
          <cell r="BN38">
            <v>8.2095453446921582E-2</v>
          </cell>
          <cell r="BO38">
            <v>8.2095453446921582E-2</v>
          </cell>
          <cell r="BP38">
            <v>8.2095453446921582E-2</v>
          </cell>
          <cell r="BQ38">
            <v>8.2095453446921582E-2</v>
          </cell>
        </row>
        <row r="39">
          <cell r="B39" t="str">
            <v>EBITDA Margin</v>
          </cell>
          <cell r="O39">
            <v>0.19999999999999998</v>
          </cell>
          <cell r="P39">
            <v>0.21</v>
          </cell>
          <cell r="Q39">
            <v>0.21</v>
          </cell>
          <cell r="R39">
            <v>0.215</v>
          </cell>
          <cell r="S39">
            <v>0.215</v>
          </cell>
          <cell r="T39">
            <v>0.215</v>
          </cell>
          <cell r="U39">
            <v>0.215</v>
          </cell>
          <cell r="BI39">
            <v>0.15</v>
          </cell>
          <cell r="BJ39">
            <v>0.185</v>
          </cell>
          <cell r="BK39">
            <v>0.21</v>
          </cell>
          <cell r="BL39">
            <v>0.22</v>
          </cell>
          <cell r="BM39">
            <v>0.16</v>
          </cell>
          <cell r="BN39">
            <v>0.22364741641337385</v>
          </cell>
          <cell r="BO39">
            <v>0.21318181818181817</v>
          </cell>
          <cell r="BP39">
            <v>0.24254335260115606</v>
          </cell>
          <cell r="BQ39">
            <v>0.17384615384615384</v>
          </cell>
        </row>
        <row r="41">
          <cell r="B41" t="str">
            <v>Base Case</v>
          </cell>
        </row>
        <row r="42">
          <cell r="B42" t="str">
            <v>Sales growth</v>
          </cell>
          <cell r="O42">
            <v>6.2878215976331253E-2</v>
          </cell>
          <cell r="P42">
            <v>6.040643733315898E-2</v>
          </cell>
          <cell r="Q42">
            <v>6.1462264014196855E-2</v>
          </cell>
          <cell r="R42">
            <v>6.2543227808083968E-2</v>
          </cell>
          <cell r="S42">
            <v>4.4868511959306412E-2</v>
          </cell>
          <cell r="T42">
            <v>3.1893591924269105E-2</v>
          </cell>
          <cell r="U42">
            <v>3.2035175880245736E-2</v>
          </cell>
          <cell r="BI42">
            <v>0.05</v>
          </cell>
          <cell r="BJ42">
            <v>0.04</v>
          </cell>
          <cell r="BK42">
            <v>0.02</v>
          </cell>
          <cell r="BL42">
            <v>0.05</v>
          </cell>
          <cell r="BM42">
            <v>0.02</v>
          </cell>
          <cell r="BN42">
            <v>6.2095453446921578E-2</v>
          </cell>
          <cell r="BO42">
            <v>6.2095453446921578E-2</v>
          </cell>
          <cell r="BP42">
            <v>6.2095453446921578E-2</v>
          </cell>
          <cell r="BQ42">
            <v>6.2095453446921578E-2</v>
          </cell>
        </row>
        <row r="43">
          <cell r="B43" t="str">
            <v>EBITDA Margin</v>
          </cell>
          <cell r="O43">
            <v>0.18</v>
          </cell>
          <cell r="P43">
            <v>0.19</v>
          </cell>
          <cell r="Q43">
            <v>0.19</v>
          </cell>
          <cell r="R43">
            <v>0.19500000000000001</v>
          </cell>
          <cell r="S43">
            <v>0.19500000000000001</v>
          </cell>
          <cell r="T43">
            <v>0.19500000000000001</v>
          </cell>
          <cell r="U43">
            <v>0.19500000000000001</v>
          </cell>
          <cell r="BI43">
            <v>0.13</v>
          </cell>
          <cell r="BJ43">
            <v>0.16500000000000001</v>
          </cell>
          <cell r="BK43">
            <v>0.19</v>
          </cell>
          <cell r="BL43">
            <v>0.2</v>
          </cell>
          <cell r="BM43">
            <v>0.14000000000000001</v>
          </cell>
          <cell r="BN43">
            <v>0.20364741641337386</v>
          </cell>
          <cell r="BO43">
            <v>0.19318181818181818</v>
          </cell>
          <cell r="BP43">
            <v>0.22254335260115607</v>
          </cell>
          <cell r="BQ43">
            <v>0.15384615384615385</v>
          </cell>
        </row>
        <row r="45">
          <cell r="B45" t="str">
            <v>Bear Case</v>
          </cell>
        </row>
        <row r="46">
          <cell r="B46" t="str">
            <v>Sales growth</v>
          </cell>
          <cell r="O46">
            <v>3.2878215976331254E-2</v>
          </cell>
          <cell r="P46">
            <v>3.0406437333158981E-2</v>
          </cell>
          <cell r="Q46">
            <v>3.1462264014196856E-2</v>
          </cell>
          <cell r="R46">
            <v>3.2543227808083969E-2</v>
          </cell>
          <cell r="S46">
            <v>1.4868511959306413E-2</v>
          </cell>
          <cell r="T46">
            <v>1.8935919242691057E-3</v>
          </cell>
          <cell r="U46">
            <v>2.0351758802457376E-3</v>
          </cell>
          <cell r="BI46">
            <v>-0.05</v>
          </cell>
          <cell r="BJ46">
            <v>-0.05</v>
          </cell>
          <cell r="BK46">
            <v>-0.05</v>
          </cell>
          <cell r="BL46">
            <v>-0.05</v>
          </cell>
          <cell r="BM46">
            <v>-0.05</v>
          </cell>
          <cell r="BN46">
            <v>3.2095453446921579E-2</v>
          </cell>
          <cell r="BO46">
            <v>3.2095453446921579E-2</v>
          </cell>
          <cell r="BP46">
            <v>3.2095453446921579E-2</v>
          </cell>
          <cell r="BQ46">
            <v>3.2095453446921579E-2</v>
          </cell>
        </row>
        <row r="47">
          <cell r="B47" t="str">
            <v>EBITDA Margin</v>
          </cell>
          <cell r="O47">
            <v>0.18</v>
          </cell>
          <cell r="P47">
            <v>0.18</v>
          </cell>
          <cell r="Q47">
            <v>0.17</v>
          </cell>
          <cell r="R47">
            <v>0.17</v>
          </cell>
          <cell r="S47">
            <v>0.17</v>
          </cell>
          <cell r="T47">
            <v>0.17</v>
          </cell>
          <cell r="U47">
            <v>0.17</v>
          </cell>
          <cell r="BI47">
            <v>0.17</v>
          </cell>
          <cell r="BJ47">
            <v>0.17</v>
          </cell>
          <cell r="BK47">
            <v>0.17</v>
          </cell>
          <cell r="BL47">
            <v>0.17</v>
          </cell>
          <cell r="BM47">
            <v>0.17</v>
          </cell>
          <cell r="BN47">
            <v>0.18</v>
          </cell>
          <cell r="BO47">
            <v>0.18</v>
          </cell>
          <cell r="BP47">
            <v>0.18</v>
          </cell>
          <cell r="BQ47">
            <v>0.18</v>
          </cell>
        </row>
        <row r="49">
          <cell r="B49" t="str">
            <v>CapEx</v>
          </cell>
          <cell r="G49">
            <v>27</v>
          </cell>
          <cell r="H49">
            <v>59</v>
          </cell>
          <cell r="I49">
            <v>55</v>
          </cell>
          <cell r="J49">
            <v>27</v>
          </cell>
          <cell r="K49">
            <v>52</v>
          </cell>
          <cell r="L49">
            <v>64</v>
          </cell>
          <cell r="M49">
            <v>51.8</v>
          </cell>
          <cell r="N49">
            <v>66</v>
          </cell>
          <cell r="O49">
            <v>117.7</v>
          </cell>
          <cell r="P49">
            <v>110.65971149864377</v>
          </cell>
          <cell r="Q49">
            <v>108.42563806385377</v>
          </cell>
          <cell r="R49">
            <v>115.20692744551825</v>
          </cell>
          <cell r="S49">
            <v>120.37609084740242</v>
          </cell>
          <cell r="T49">
            <v>124.21531676632823</v>
          </cell>
          <cell r="U49">
            <v>128.19457628595799</v>
          </cell>
          <cell r="AJ49">
            <v>7</v>
          </cell>
          <cell r="AK49" t="str">
            <v>ND</v>
          </cell>
          <cell r="AL49">
            <v>6</v>
          </cell>
          <cell r="AM49">
            <v>9</v>
          </cell>
          <cell r="AN49">
            <v>16</v>
          </cell>
          <cell r="AO49">
            <v>28</v>
          </cell>
          <cell r="AP49">
            <v>13</v>
          </cell>
          <cell r="AQ49">
            <v>14</v>
          </cell>
          <cell r="AR49">
            <v>16</v>
          </cell>
          <cell r="AS49">
            <v>12</v>
          </cell>
          <cell r="AT49">
            <v>4</v>
          </cell>
          <cell r="AU49">
            <v>6</v>
          </cell>
          <cell r="AV49">
            <v>5</v>
          </cell>
          <cell r="AW49">
            <v>12</v>
          </cell>
          <cell r="AX49">
            <v>5</v>
          </cell>
          <cell r="AY49">
            <v>8</v>
          </cell>
          <cell r="AZ49">
            <v>14</v>
          </cell>
          <cell r="BA49">
            <v>25</v>
          </cell>
          <cell r="BB49">
            <v>17</v>
          </cell>
          <cell r="BC49">
            <v>20</v>
          </cell>
          <cell r="BD49">
            <v>13</v>
          </cell>
          <cell r="BE49">
            <v>14</v>
          </cell>
          <cell r="BF49">
            <v>7</v>
          </cell>
          <cell r="BG49">
            <v>10</v>
          </cell>
          <cell r="BH49">
            <v>17.399999999999999</v>
          </cell>
          <cell r="BI49">
            <v>17.399999999999999</v>
          </cell>
          <cell r="BJ49">
            <v>17.399999999999999</v>
          </cell>
          <cell r="BK49">
            <v>16.2</v>
          </cell>
          <cell r="BL49">
            <v>16.2</v>
          </cell>
          <cell r="BM49">
            <v>16.2</v>
          </cell>
          <cell r="BN49">
            <v>28.6</v>
          </cell>
          <cell r="BO49">
            <v>29.700000000000003</v>
          </cell>
          <cell r="BP49">
            <v>29.700000000000003</v>
          </cell>
          <cell r="BQ49">
            <v>29.700000000000003</v>
          </cell>
        </row>
        <row r="50">
          <cell r="B50" t="str">
            <v>Capex/Depreciation</v>
          </cell>
          <cell r="G50">
            <v>0.41538461538461541</v>
          </cell>
          <cell r="H50">
            <v>0.85507246376811596</v>
          </cell>
          <cell r="I50">
            <v>0.72368421052631582</v>
          </cell>
          <cell r="J50">
            <v>0.375</v>
          </cell>
          <cell r="K50">
            <v>0.72222222222222221</v>
          </cell>
          <cell r="L50">
            <v>0.65979381443298968</v>
          </cell>
          <cell r="M50">
            <v>0.45840707964601768</v>
          </cell>
          <cell r="N50">
            <v>0.6</v>
          </cell>
          <cell r="O50">
            <v>1.1000000000000001</v>
          </cell>
          <cell r="P50">
            <v>1.1000000000000001</v>
          </cell>
          <cell r="Q50">
            <v>1.1000000000000001</v>
          </cell>
          <cell r="R50">
            <v>1.1000000000000001</v>
          </cell>
          <cell r="S50">
            <v>1.1000000000000001</v>
          </cell>
          <cell r="T50">
            <v>1.1000000000000001</v>
          </cell>
          <cell r="U50">
            <v>1.1000000000000001</v>
          </cell>
          <cell r="AJ50">
            <v>0.4375</v>
          </cell>
          <cell r="AK50" t="str">
            <v>ND</v>
          </cell>
          <cell r="AL50">
            <v>0.35294117647058826</v>
          </cell>
          <cell r="AM50">
            <v>0.52941176470588236</v>
          </cell>
          <cell r="AN50">
            <v>0.94117647058823528</v>
          </cell>
          <cell r="AO50">
            <v>1.5555555555555556</v>
          </cell>
          <cell r="AP50">
            <v>0.65</v>
          </cell>
          <cell r="AQ50">
            <v>0.73684210526315785</v>
          </cell>
          <cell r="AR50">
            <v>0.84210526315789469</v>
          </cell>
          <cell r="AS50">
            <v>0.66666666666666663</v>
          </cell>
          <cell r="AT50">
            <v>0.23529411764705882</v>
          </cell>
          <cell r="AU50">
            <v>0.31578947368421051</v>
          </cell>
          <cell r="AV50">
            <v>0.29411764705882354</v>
          </cell>
          <cell r="AW50">
            <v>0.63157894736842102</v>
          </cell>
          <cell r="AX50">
            <v>0.29411764705882354</v>
          </cell>
          <cell r="AY50">
            <v>0.47058823529411764</v>
          </cell>
          <cell r="AZ50">
            <v>0.73684210526315785</v>
          </cell>
          <cell r="BA50">
            <v>1.3157894736842106</v>
          </cell>
          <cell r="BB50">
            <v>0.89473684210526316</v>
          </cell>
          <cell r="BC50">
            <v>1.0526315789473684</v>
          </cell>
          <cell r="BD50">
            <v>0.48148148148148145</v>
          </cell>
          <cell r="BE50">
            <v>0.4375</v>
          </cell>
          <cell r="BF50">
            <v>0.25925925925925924</v>
          </cell>
          <cell r="BG50">
            <v>0.35714285714285715</v>
          </cell>
          <cell r="BH50">
            <v>0.6</v>
          </cell>
          <cell r="BI50">
            <v>0.6</v>
          </cell>
          <cell r="BJ50">
            <v>0.6</v>
          </cell>
          <cell r="BK50">
            <v>0.6</v>
          </cell>
          <cell r="BL50">
            <v>0.6</v>
          </cell>
          <cell r="BM50">
            <v>0.6</v>
          </cell>
          <cell r="BN50">
            <v>1.1000000000000001</v>
          </cell>
          <cell r="BO50">
            <v>1.1000000000000001</v>
          </cell>
          <cell r="BP50">
            <v>1.1000000000000001</v>
          </cell>
          <cell r="BQ50">
            <v>1.1000000000000001</v>
          </cell>
        </row>
        <row r="51">
          <cell r="B51" t="str">
            <v>Total Assets</v>
          </cell>
          <cell r="G51">
            <v>1584</v>
          </cell>
          <cell r="H51">
            <v>1751</v>
          </cell>
          <cell r="I51">
            <v>1867</v>
          </cell>
          <cell r="J51">
            <v>2211</v>
          </cell>
          <cell r="K51">
            <v>2765</v>
          </cell>
          <cell r="L51">
            <v>2787</v>
          </cell>
          <cell r="AJ51" t="str">
            <v>ND</v>
          </cell>
          <cell r="AK51" t="str">
            <v>ND</v>
          </cell>
          <cell r="AL51" t="str">
            <v>ND</v>
          </cell>
          <cell r="AM51" t="str">
            <v>ND</v>
          </cell>
          <cell r="AN51">
            <v>1699</v>
          </cell>
          <cell r="AO51">
            <v>1751</v>
          </cell>
          <cell r="AP51">
            <v>1876</v>
          </cell>
          <cell r="AQ51">
            <v>1903</v>
          </cell>
          <cell r="AR51">
            <v>1916</v>
          </cell>
          <cell r="AS51">
            <v>1867</v>
          </cell>
          <cell r="AT51">
            <v>1815</v>
          </cell>
          <cell r="AU51">
            <v>1965</v>
          </cell>
          <cell r="AV51">
            <v>2131</v>
          </cell>
          <cell r="AW51">
            <v>2211</v>
          </cell>
          <cell r="AX51">
            <v>2263</v>
          </cell>
          <cell r="AY51">
            <v>2380</v>
          </cell>
          <cell r="AZ51">
            <v>2645</v>
          </cell>
          <cell r="BA51">
            <v>2765</v>
          </cell>
          <cell r="BB51">
            <v>2882</v>
          </cell>
          <cell r="BC51">
            <v>3035</v>
          </cell>
          <cell r="BD51">
            <v>2901</v>
          </cell>
          <cell r="BE51">
            <v>2787</v>
          </cell>
          <cell r="BF51">
            <v>2786</v>
          </cell>
          <cell r="BG51">
            <v>2675</v>
          </cell>
        </row>
        <row r="53">
          <cell r="A53">
            <v>2</v>
          </cell>
          <cell r="B53" t="str">
            <v>Consumer Specialties</v>
          </cell>
          <cell r="BN53" t="str">
            <v xml:space="preserve"> </v>
          </cell>
        </row>
        <row r="54">
          <cell r="A54">
            <v>0.18553565393714092</v>
          </cell>
          <cell r="B54" t="str">
            <v>Sales</v>
          </cell>
          <cell r="G54">
            <v>876</v>
          </cell>
          <cell r="H54">
            <v>1111</v>
          </cell>
          <cell r="I54">
            <v>1155</v>
          </cell>
          <cell r="J54">
            <v>1084</v>
          </cell>
          <cell r="K54">
            <v>1098</v>
          </cell>
          <cell r="L54">
            <v>1161</v>
          </cell>
          <cell r="M54">
            <v>1186</v>
          </cell>
          <cell r="N54">
            <v>1214</v>
          </cell>
          <cell r="O54">
            <v>1239.3800000000001</v>
          </cell>
          <cell r="P54">
            <v>1264.1676000000002</v>
          </cell>
          <cell r="Q54">
            <v>1276.8092760000002</v>
          </cell>
          <cell r="R54">
            <v>1276.8092760000002</v>
          </cell>
          <cell r="S54">
            <v>1276.8092760000002</v>
          </cell>
          <cell r="T54">
            <v>1276.8092760000002</v>
          </cell>
          <cell r="U54">
            <v>1276.8092760000002</v>
          </cell>
          <cell r="AC54">
            <v>2.2015356181466883E-2</v>
          </cell>
          <cell r="AD54">
            <v>212</v>
          </cell>
          <cell r="AE54">
            <v>219</v>
          </cell>
          <cell r="AF54">
            <v>208</v>
          </cell>
          <cell r="AG54">
            <v>200</v>
          </cell>
          <cell r="AH54">
            <v>216</v>
          </cell>
          <cell r="AI54">
            <v>223</v>
          </cell>
          <cell r="AJ54">
            <v>213</v>
          </cell>
          <cell r="AK54">
            <v>224</v>
          </cell>
          <cell r="AL54">
            <v>269</v>
          </cell>
          <cell r="AM54">
            <v>281</v>
          </cell>
          <cell r="AN54">
            <v>282</v>
          </cell>
          <cell r="AO54">
            <v>279</v>
          </cell>
          <cell r="AP54">
            <v>282</v>
          </cell>
          <cell r="AQ54">
            <v>292</v>
          </cell>
          <cell r="AR54">
            <v>295</v>
          </cell>
          <cell r="AS54">
            <v>286</v>
          </cell>
          <cell r="AT54">
            <v>266</v>
          </cell>
          <cell r="AU54">
            <v>280</v>
          </cell>
          <cell r="AV54">
            <v>271</v>
          </cell>
          <cell r="AW54">
            <v>267</v>
          </cell>
          <cell r="AX54">
            <v>238</v>
          </cell>
          <cell r="AY54">
            <v>291</v>
          </cell>
          <cell r="AZ54">
            <v>288</v>
          </cell>
          <cell r="BA54">
            <v>281</v>
          </cell>
          <cell r="BB54">
            <v>266</v>
          </cell>
          <cell r="BC54">
            <v>291</v>
          </cell>
          <cell r="BD54">
            <v>298</v>
          </cell>
          <cell r="BE54">
            <v>306</v>
          </cell>
          <cell r="BF54">
            <v>264</v>
          </cell>
          <cell r="BG54">
            <v>327</v>
          </cell>
          <cell r="BH54">
            <v>314</v>
          </cell>
          <cell r="BI54">
            <v>281</v>
          </cell>
          <cell r="BJ54">
            <v>295</v>
          </cell>
          <cell r="BK54">
            <v>314</v>
          </cell>
          <cell r="BL54">
            <v>310</v>
          </cell>
          <cell r="BM54">
            <v>295</v>
          </cell>
          <cell r="BN54">
            <v>302</v>
          </cell>
          <cell r="BO54">
            <v>320.28000000000003</v>
          </cell>
          <cell r="BP54">
            <v>316.2</v>
          </cell>
          <cell r="BQ54">
            <v>300.89999999999998</v>
          </cell>
        </row>
        <row r="55">
          <cell r="B55" t="str">
            <v>Growth (%)</v>
          </cell>
          <cell r="H55">
            <v>0.2682648401826484</v>
          </cell>
          <cell r="I55">
            <v>3.9603960396039639E-2</v>
          </cell>
          <cell r="J55">
            <v>-6.1471861471861455E-2</v>
          </cell>
          <cell r="K55">
            <v>1.2915129151291449E-2</v>
          </cell>
          <cell r="L55">
            <v>5.7377049180327822E-2</v>
          </cell>
          <cell r="M55">
            <v>2.1533161068044704E-2</v>
          </cell>
          <cell r="N55">
            <v>2.3608768971332239E-2</v>
          </cell>
          <cell r="O55">
            <v>2.090609555189471E-2</v>
          </cell>
          <cell r="P55">
            <v>0.02</v>
          </cell>
          <cell r="Q55">
            <v>0.01</v>
          </cell>
          <cell r="R55">
            <v>0</v>
          </cell>
          <cell r="S55">
            <v>0</v>
          </cell>
          <cell r="T55">
            <v>0</v>
          </cell>
          <cell r="U55">
            <v>0</v>
          </cell>
          <cell r="AC55">
            <v>2.2257432261613475E-2</v>
          </cell>
          <cell r="AJ55" t="str">
            <v>NM</v>
          </cell>
          <cell r="AK55" t="str">
            <v>NM</v>
          </cell>
          <cell r="AL55" t="str">
            <v>NM</v>
          </cell>
          <cell r="AM55" t="str">
            <v>NM</v>
          </cell>
          <cell r="AN55">
            <v>0.323943661971831</v>
          </cell>
          <cell r="AO55">
            <v>0.24553571428571419</v>
          </cell>
          <cell r="AP55">
            <v>4.8327137546468446E-2</v>
          </cell>
          <cell r="AQ55">
            <v>3.9145907473309594E-2</v>
          </cell>
          <cell r="AR55">
            <v>4.6099290780141855E-2</v>
          </cell>
          <cell r="AS55">
            <v>2.5089605734766929E-2</v>
          </cell>
          <cell r="AT55">
            <v>-5.673758865248224E-2</v>
          </cell>
          <cell r="AU55">
            <v>-4.1095890410958957E-2</v>
          </cell>
          <cell r="AV55">
            <v>-8.135593220338988E-2</v>
          </cell>
          <cell r="AW55">
            <v>-6.643356643356646E-2</v>
          </cell>
          <cell r="AX55">
            <v>-0.10526315789473684</v>
          </cell>
          <cell r="AY55">
            <v>3.9285714285714368E-2</v>
          </cell>
          <cell r="AZ55">
            <v>6.2730627306273101E-2</v>
          </cell>
          <cell r="BA55">
            <v>5.2434456928838857E-2</v>
          </cell>
          <cell r="BB55">
            <v>0.11764705882352944</v>
          </cell>
          <cell r="BC55">
            <v>0</v>
          </cell>
          <cell r="BD55">
            <v>3.4722222222222321E-2</v>
          </cell>
          <cell r="BE55">
            <v>8.8967971530249157E-2</v>
          </cell>
          <cell r="BF55">
            <v>-7.5187969924812581E-3</v>
          </cell>
          <cell r="BG55">
            <v>0.12371134020618557</v>
          </cell>
          <cell r="BH55">
            <v>5.3691275167785157E-2</v>
          </cell>
          <cell r="BI55">
            <v>-8.1699346405228801E-2</v>
          </cell>
          <cell r="BJ55">
            <v>0.11742424242424243</v>
          </cell>
          <cell r="BK55">
            <v>-3.9755351681957207E-2</v>
          </cell>
          <cell r="BL55">
            <v>-1.2738853503184711E-2</v>
          </cell>
          <cell r="BM55">
            <v>4.9822064056939563E-2</v>
          </cell>
          <cell r="BN55">
            <v>2.3728813559322104E-2</v>
          </cell>
          <cell r="BO55">
            <v>1.9999999999999997E-2</v>
          </cell>
          <cell r="BP55">
            <v>1.9999999999999997E-2</v>
          </cell>
          <cell r="BQ55">
            <v>1.9999999999999997E-2</v>
          </cell>
        </row>
        <row r="56">
          <cell r="B56" t="str">
            <v>Underlying business</v>
          </cell>
          <cell r="BN56" t="str">
            <v xml:space="preserve"> </v>
          </cell>
        </row>
        <row r="57">
          <cell r="B57" t="str">
            <v>Volume</v>
          </cell>
          <cell r="G57">
            <v>0.01</v>
          </cell>
          <cell r="H57">
            <v>-0.04</v>
          </cell>
          <cell r="I57">
            <v>-0.06</v>
          </cell>
          <cell r="J57">
            <v>-0.12</v>
          </cell>
          <cell r="K57">
            <v>0.02</v>
          </cell>
          <cell r="L57">
            <v>0.01</v>
          </cell>
          <cell r="M57">
            <v>-3.7500000000000006E-2</v>
          </cell>
          <cell r="N57">
            <v>-3.2500000000000001E-2</v>
          </cell>
          <cell r="O57">
            <v>-0.01</v>
          </cell>
          <cell r="P57">
            <v>0</v>
          </cell>
          <cell r="Q57">
            <v>0</v>
          </cell>
          <cell r="R57">
            <v>-0.01</v>
          </cell>
          <cell r="S57">
            <v>-0.01</v>
          </cell>
          <cell r="T57">
            <v>-0.01</v>
          </cell>
          <cell r="U57">
            <v>-0.01</v>
          </cell>
          <cell r="AC57">
            <v>-2.1250000000000002E-2</v>
          </cell>
          <cell r="AJ57" t="str">
            <v>ND</v>
          </cell>
          <cell r="AK57" t="str">
            <v>ND</v>
          </cell>
          <cell r="AL57" t="str">
            <v>ND</v>
          </cell>
          <cell r="AM57" t="str">
            <v>ND</v>
          </cell>
          <cell r="AN57">
            <v>-0.01</v>
          </cell>
          <cell r="AO57">
            <v>-7.0000000000000007E-2</v>
          </cell>
          <cell r="AP57">
            <v>-0.1</v>
          </cell>
          <cell r="AQ57">
            <v>-0.04</v>
          </cell>
          <cell r="AR57">
            <v>-0.03</v>
          </cell>
          <cell r="AS57">
            <v>-0.06</v>
          </cell>
          <cell r="AT57">
            <v>-0.11</v>
          </cell>
          <cell r="AU57">
            <v>-0.1</v>
          </cell>
          <cell r="AV57">
            <v>-0.14000000000000001</v>
          </cell>
          <cell r="AW57">
            <v>-0.12</v>
          </cell>
          <cell r="AX57">
            <v>-0.11</v>
          </cell>
          <cell r="AY57">
            <v>0.06</v>
          </cell>
          <cell r="AZ57">
            <v>0.08</v>
          </cell>
          <cell r="BA57">
            <v>0.05</v>
          </cell>
          <cell r="BB57">
            <v>0.1</v>
          </cell>
          <cell r="BC57">
            <v>-0.06</v>
          </cell>
          <cell r="BD57">
            <v>-0.03</v>
          </cell>
          <cell r="BE57">
            <v>0.04</v>
          </cell>
          <cell r="BF57">
            <v>-0.08</v>
          </cell>
          <cell r="BG57">
            <v>0.06</v>
          </cell>
          <cell r="BH57">
            <v>0</v>
          </cell>
          <cell r="BI57">
            <v>-0.13</v>
          </cell>
          <cell r="BJ57">
            <v>0.05</v>
          </cell>
          <cell r="BK57">
            <v>-0.1</v>
          </cell>
          <cell r="BL57">
            <v>-7.0000000000000007E-2</v>
          </cell>
          <cell r="BM57">
            <v>-0.01</v>
          </cell>
          <cell r="BN57">
            <v>-0.01</v>
          </cell>
          <cell r="BO57">
            <v>-0.01</v>
          </cell>
          <cell r="BP57">
            <v>-0.01</v>
          </cell>
          <cell r="BQ57">
            <v>-0.01</v>
          </cell>
        </row>
        <row r="58">
          <cell r="B58" t="str">
            <v>Price</v>
          </cell>
          <cell r="G58">
            <v>0.03</v>
          </cell>
          <cell r="H58">
            <v>0.04</v>
          </cell>
          <cell r="I58">
            <v>7.0000000000000007E-2</v>
          </cell>
          <cell r="J58">
            <v>7.0000000000000007E-2</v>
          </cell>
          <cell r="K58">
            <v>0</v>
          </cell>
          <cell r="L58">
            <v>0.05</v>
          </cell>
          <cell r="M58">
            <v>6.25E-2</v>
          </cell>
          <cell r="N58">
            <v>6.25E-2</v>
          </cell>
          <cell r="O58">
            <v>0.03</v>
          </cell>
          <cell r="P58">
            <v>0.02</v>
          </cell>
          <cell r="Q58">
            <v>0.01</v>
          </cell>
          <cell r="R58">
            <v>0.01</v>
          </cell>
          <cell r="S58">
            <v>0.01</v>
          </cell>
          <cell r="T58">
            <v>0.01</v>
          </cell>
          <cell r="U58">
            <v>0.01</v>
          </cell>
          <cell r="AC58">
            <v>4.6249999999999999E-2</v>
          </cell>
          <cell r="AJ58" t="str">
            <v>ND</v>
          </cell>
          <cell r="AK58" t="str">
            <v>ND</v>
          </cell>
          <cell r="AL58" t="str">
            <v>ND</v>
          </cell>
          <cell r="AM58" t="str">
            <v>ND</v>
          </cell>
          <cell r="AN58">
            <v>0.04</v>
          </cell>
          <cell r="AO58">
            <v>0.03</v>
          </cell>
          <cell r="AP58">
            <v>0.05</v>
          </cell>
          <cell r="AQ58">
            <v>0.05</v>
          </cell>
          <cell r="AR58">
            <v>0.06</v>
          </cell>
          <cell r="AS58">
            <v>0.1</v>
          </cell>
          <cell r="AT58">
            <v>0.08</v>
          </cell>
          <cell r="AU58">
            <v>0.09</v>
          </cell>
          <cell r="AV58">
            <v>7.0000000000000007E-2</v>
          </cell>
          <cell r="AW58">
            <v>0.03</v>
          </cell>
          <cell r="AX58">
            <v>0</v>
          </cell>
          <cell r="AY58">
            <v>-0.01</v>
          </cell>
          <cell r="AZ58">
            <v>-0.01</v>
          </cell>
          <cell r="BA58">
            <v>0.01</v>
          </cell>
          <cell r="BB58">
            <v>0.04</v>
          </cell>
          <cell r="BC58">
            <v>0.05</v>
          </cell>
          <cell r="BD58">
            <v>0.06</v>
          </cell>
          <cell r="BE58">
            <v>0.05</v>
          </cell>
          <cell r="BF58">
            <v>7.0000000000000007E-2</v>
          </cell>
          <cell r="BG58">
            <v>7.0000000000000007E-2</v>
          </cell>
          <cell r="BH58">
            <v>0.06</v>
          </cell>
          <cell r="BI58">
            <v>0.05</v>
          </cell>
          <cell r="BJ58">
            <v>7.0000000000000007E-2</v>
          </cell>
          <cell r="BK58">
            <v>0.06</v>
          </cell>
          <cell r="BL58">
            <v>0.06</v>
          </cell>
          <cell r="BM58">
            <v>0.06</v>
          </cell>
          <cell r="BN58">
            <v>0.03</v>
          </cell>
          <cell r="BO58">
            <v>0.03</v>
          </cell>
          <cell r="BP58">
            <v>0.03</v>
          </cell>
          <cell r="BQ58">
            <v>0.03</v>
          </cell>
        </row>
        <row r="59">
          <cell r="B59" t="str">
            <v>Acquisitions/divestitures</v>
          </cell>
          <cell r="G59">
            <v>0</v>
          </cell>
          <cell r="H59">
            <v>0.26</v>
          </cell>
          <cell r="I59">
            <v>0.02</v>
          </cell>
          <cell r="J59">
            <v>0</v>
          </cell>
          <cell r="K59">
            <v>0</v>
          </cell>
          <cell r="L59">
            <v>0</v>
          </cell>
          <cell r="M59">
            <v>0</v>
          </cell>
          <cell r="N59">
            <v>0</v>
          </cell>
          <cell r="O59">
            <v>0</v>
          </cell>
          <cell r="P59">
            <v>0</v>
          </cell>
          <cell r="Q59">
            <v>0</v>
          </cell>
          <cell r="R59">
            <v>0</v>
          </cell>
          <cell r="S59">
            <v>0</v>
          </cell>
          <cell r="T59">
            <v>0</v>
          </cell>
          <cell r="U59">
            <v>0</v>
          </cell>
          <cell r="AJ59" t="str">
            <v>ND</v>
          </cell>
          <cell r="AK59" t="str">
            <v>ND</v>
          </cell>
          <cell r="AL59" t="str">
            <v>ND</v>
          </cell>
          <cell r="AM59" t="str">
            <v>ND</v>
          </cell>
          <cell r="AN59">
            <v>0.28000000000000003</v>
          </cell>
          <cell r="AO59">
            <v>0.28000000000000003</v>
          </cell>
          <cell r="AP59">
            <v>7.0000000000000007E-2</v>
          </cell>
          <cell r="AQ59">
            <v>0</v>
          </cell>
          <cell r="AR59">
            <v>0</v>
          </cell>
          <cell r="AS59">
            <v>0</v>
          </cell>
          <cell r="AT59">
            <v>0</v>
          </cell>
          <cell r="AU59">
            <v>0</v>
          </cell>
          <cell r="AV59">
            <v>0</v>
          </cell>
          <cell r="AW59">
            <v>0.01</v>
          </cell>
          <cell r="AX59">
            <v>0</v>
          </cell>
          <cell r="AY59">
            <v>0</v>
          </cell>
          <cell r="AZ59">
            <v>0</v>
          </cell>
          <cell r="BA59">
            <v>0</v>
          </cell>
          <cell r="BB59">
            <v>-0.02</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row>
        <row r="60">
          <cell r="B60" t="str">
            <v>Currency</v>
          </cell>
          <cell r="G60">
            <v>0</v>
          </cell>
          <cell r="H60">
            <v>0.01</v>
          </cell>
          <cell r="I60">
            <v>0.01</v>
          </cell>
          <cell r="J60">
            <v>-0.01</v>
          </cell>
          <cell r="K60">
            <v>-0.01</v>
          </cell>
          <cell r="L60">
            <v>0</v>
          </cell>
          <cell r="M60">
            <v>-5.0000000000000001E-3</v>
          </cell>
          <cell r="N60">
            <v>0</v>
          </cell>
          <cell r="O60">
            <v>0</v>
          </cell>
          <cell r="P60">
            <v>0</v>
          </cell>
          <cell r="Q60">
            <v>0</v>
          </cell>
          <cell r="R60">
            <v>0</v>
          </cell>
          <cell r="S60">
            <v>0</v>
          </cell>
          <cell r="T60">
            <v>0</v>
          </cell>
          <cell r="U60">
            <v>0</v>
          </cell>
          <cell r="AJ60" t="str">
            <v>ND</v>
          </cell>
          <cell r="AK60" t="str">
            <v>ND</v>
          </cell>
          <cell r="AL60" t="str">
            <v>ND</v>
          </cell>
          <cell r="AM60" t="str">
            <v>ND</v>
          </cell>
          <cell r="AN60">
            <v>0.01</v>
          </cell>
          <cell r="AO60">
            <v>0.01</v>
          </cell>
          <cell r="AP60">
            <v>0.03</v>
          </cell>
          <cell r="AQ60">
            <v>0.03</v>
          </cell>
          <cell r="AR60">
            <v>0.02</v>
          </cell>
          <cell r="AS60">
            <v>-0.01</v>
          </cell>
          <cell r="AT60">
            <v>-0.03</v>
          </cell>
          <cell r="AU60">
            <v>-0.03</v>
          </cell>
          <cell r="AV60">
            <v>-0.01</v>
          </cell>
          <cell r="AW60">
            <v>0.01</v>
          </cell>
          <cell r="AX60">
            <v>0</v>
          </cell>
          <cell r="AY60">
            <v>-0.01</v>
          </cell>
          <cell r="AZ60">
            <v>-0.01</v>
          </cell>
          <cell r="BA60">
            <v>-0.01</v>
          </cell>
          <cell r="BB60">
            <v>0</v>
          </cell>
          <cell r="BC60">
            <v>0.01</v>
          </cell>
          <cell r="BD60">
            <v>0.01</v>
          </cell>
          <cell r="BE60">
            <v>0</v>
          </cell>
          <cell r="BF60">
            <v>0</v>
          </cell>
          <cell r="BG60">
            <v>-0.01</v>
          </cell>
          <cell r="BH60">
            <v>-0.01</v>
          </cell>
          <cell r="BI60">
            <v>0</v>
          </cell>
          <cell r="BJ60">
            <v>0</v>
          </cell>
          <cell r="BK60">
            <v>0</v>
          </cell>
          <cell r="BL60">
            <v>0</v>
          </cell>
          <cell r="BM60">
            <v>0</v>
          </cell>
          <cell r="BN60">
            <v>0</v>
          </cell>
          <cell r="BO60">
            <v>0</v>
          </cell>
          <cell r="BP60">
            <v>0</v>
          </cell>
          <cell r="BQ60">
            <v>0</v>
          </cell>
        </row>
        <row r="62">
          <cell r="B62" t="str">
            <v>Acetate Tow Sales</v>
          </cell>
          <cell r="G62">
            <v>520.02</v>
          </cell>
          <cell r="H62">
            <v>708.84</v>
          </cell>
          <cell r="I62">
            <v>818.76</v>
          </cell>
          <cell r="J62">
            <v>813.12</v>
          </cell>
        </row>
        <row r="63">
          <cell r="B63" t="str">
            <v>Growth (%)</v>
          </cell>
          <cell r="H63">
            <v>0.36310141917618566</v>
          </cell>
          <cell r="I63">
            <v>0.15507025562891474</v>
          </cell>
          <cell r="J63">
            <v>-6.8884654843910376E-3</v>
          </cell>
        </row>
        <row r="64">
          <cell r="B64" t="str">
            <v>Acetate Tow % of Group Net Sales</v>
          </cell>
          <cell r="G64">
            <v>0.09</v>
          </cell>
          <cell r="H64">
            <v>0.11</v>
          </cell>
          <cell r="I64">
            <v>0.12</v>
          </cell>
          <cell r="J64">
            <v>0.16</v>
          </cell>
        </row>
        <row r="65">
          <cell r="B65" t="str">
            <v>Nutrinova &amp; Other Sales</v>
          </cell>
          <cell r="G65">
            <v>355.98</v>
          </cell>
          <cell r="H65">
            <v>402.15999999999997</v>
          </cell>
          <cell r="I65">
            <v>336.24</v>
          </cell>
          <cell r="J65">
            <v>270.88</v>
          </cell>
        </row>
        <row r="66">
          <cell r="B66" t="str">
            <v>Growth (%)</v>
          </cell>
          <cell r="H66">
            <v>0.12972638912298429</v>
          </cell>
          <cell r="I66">
            <v>-0.16391485975731046</v>
          </cell>
          <cell r="J66">
            <v>-0.19438496312157982</v>
          </cell>
        </row>
        <row r="68">
          <cell r="B68" t="str">
            <v>Operating EBITDA</v>
          </cell>
          <cell r="G68">
            <v>228</v>
          </cell>
          <cell r="H68">
            <v>274</v>
          </cell>
          <cell r="I68">
            <v>293</v>
          </cell>
          <cell r="J68">
            <v>348</v>
          </cell>
          <cell r="K68">
            <v>371</v>
          </cell>
          <cell r="L68">
            <v>368</v>
          </cell>
          <cell r="M68">
            <v>414</v>
          </cell>
          <cell r="N68">
            <v>477</v>
          </cell>
          <cell r="O68">
            <v>514.46609999999998</v>
          </cell>
          <cell r="P68">
            <v>513.65542200000004</v>
          </cell>
          <cell r="Q68">
            <v>491.81087556000006</v>
          </cell>
          <cell r="R68">
            <v>479.04278280000005</v>
          </cell>
          <cell r="S68">
            <v>453.50659728000011</v>
          </cell>
          <cell r="T68">
            <v>427.97041176000005</v>
          </cell>
          <cell r="U68">
            <v>415.20231900000005</v>
          </cell>
          <cell r="AJ68">
            <v>44</v>
          </cell>
          <cell r="AK68">
            <v>53</v>
          </cell>
          <cell r="AL68">
            <v>60</v>
          </cell>
          <cell r="AM68">
            <v>104</v>
          </cell>
          <cell r="AN68">
            <v>53</v>
          </cell>
          <cell r="AO68">
            <v>57</v>
          </cell>
          <cell r="AP68">
            <v>65</v>
          </cell>
          <cell r="AQ68">
            <v>107</v>
          </cell>
          <cell r="AR68">
            <v>56</v>
          </cell>
          <cell r="AS68">
            <v>65</v>
          </cell>
          <cell r="AT68">
            <v>81</v>
          </cell>
          <cell r="AU68">
            <v>134</v>
          </cell>
          <cell r="AV68">
            <v>68</v>
          </cell>
          <cell r="AW68">
            <v>65</v>
          </cell>
          <cell r="AX68">
            <v>61</v>
          </cell>
          <cell r="AY68">
            <v>149</v>
          </cell>
          <cell r="AZ68">
            <v>81</v>
          </cell>
          <cell r="BA68">
            <v>80</v>
          </cell>
          <cell r="BB68">
            <v>69</v>
          </cell>
          <cell r="BC68">
            <v>148</v>
          </cell>
          <cell r="BD68">
            <v>79</v>
          </cell>
          <cell r="BE68">
            <v>72</v>
          </cell>
          <cell r="BF68">
            <v>67</v>
          </cell>
          <cell r="BG68">
            <v>170</v>
          </cell>
          <cell r="BH68">
            <v>89</v>
          </cell>
          <cell r="BI68">
            <v>88</v>
          </cell>
          <cell r="BJ68">
            <v>118</v>
          </cell>
          <cell r="BK68">
            <v>119</v>
          </cell>
          <cell r="BL68">
            <v>118</v>
          </cell>
          <cell r="BM68">
            <v>122</v>
          </cell>
          <cell r="BN68">
            <v>138</v>
          </cell>
          <cell r="BO68">
            <v>127.48960000000001</v>
          </cell>
          <cell r="BP68">
            <v>126.184</v>
          </cell>
          <cell r="BQ68">
            <v>122.79249999999999</v>
          </cell>
          <cell r="BS68">
            <v>54.358000000000004</v>
          </cell>
        </row>
        <row r="69">
          <cell r="B69" t="str">
            <v>Adjusted EBITDA</v>
          </cell>
          <cell r="G69">
            <v>204</v>
          </cell>
          <cell r="H69">
            <v>234</v>
          </cell>
          <cell r="I69">
            <v>246</v>
          </cell>
          <cell r="J69">
            <v>291</v>
          </cell>
          <cell r="K69">
            <v>298</v>
          </cell>
          <cell r="L69">
            <v>288</v>
          </cell>
          <cell r="M69">
            <v>324</v>
          </cell>
          <cell r="N69">
            <v>382</v>
          </cell>
          <cell r="O69">
            <v>409.46609999999998</v>
          </cell>
          <cell r="P69">
            <v>417.65542199999999</v>
          </cell>
          <cell r="Q69">
            <v>395.81087556000006</v>
          </cell>
          <cell r="R69">
            <v>383.04278280000005</v>
          </cell>
          <cell r="S69">
            <v>357.50659728000011</v>
          </cell>
          <cell r="T69">
            <v>331.97041176000005</v>
          </cell>
          <cell r="U69">
            <v>319.20231900000005</v>
          </cell>
          <cell r="AJ69">
            <v>44</v>
          </cell>
          <cell r="AK69">
            <v>51</v>
          </cell>
          <cell r="AL69">
            <v>60</v>
          </cell>
          <cell r="AM69">
            <v>69</v>
          </cell>
          <cell r="AN69">
            <v>51</v>
          </cell>
          <cell r="AO69">
            <v>54</v>
          </cell>
          <cell r="AP69">
            <v>65</v>
          </cell>
          <cell r="AQ69">
            <v>59</v>
          </cell>
          <cell r="AR69">
            <v>55</v>
          </cell>
          <cell r="AS69">
            <v>67</v>
          </cell>
          <cell r="AT69">
            <v>78</v>
          </cell>
          <cell r="AU69">
            <v>81</v>
          </cell>
          <cell r="AV69">
            <v>68</v>
          </cell>
          <cell r="AW69">
            <v>64</v>
          </cell>
          <cell r="AX69">
            <v>61</v>
          </cell>
          <cell r="AY69">
            <v>76</v>
          </cell>
          <cell r="AZ69">
            <v>80</v>
          </cell>
          <cell r="BA69">
            <v>81</v>
          </cell>
          <cell r="BB69">
            <v>68</v>
          </cell>
          <cell r="BC69">
            <v>69</v>
          </cell>
          <cell r="BD69">
            <v>79</v>
          </cell>
          <cell r="BE69">
            <v>72</v>
          </cell>
          <cell r="BF69">
            <v>66</v>
          </cell>
          <cell r="BG69">
            <v>86</v>
          </cell>
          <cell r="BH69">
            <v>89</v>
          </cell>
          <cell r="BI69">
            <v>83</v>
          </cell>
          <cell r="BJ69">
            <v>92</v>
          </cell>
          <cell r="BK69">
            <v>95</v>
          </cell>
          <cell r="BL69">
            <v>97</v>
          </cell>
          <cell r="BM69">
            <v>98</v>
          </cell>
          <cell r="BN69">
            <v>108</v>
          </cell>
          <cell r="BO69">
            <v>102.48960000000001</v>
          </cell>
          <cell r="BP69">
            <v>101.184</v>
          </cell>
          <cell r="BQ69">
            <v>97.79249999999999</v>
          </cell>
        </row>
        <row r="70">
          <cell r="B70" t="str">
            <v>Margin</v>
          </cell>
          <cell r="G70">
            <v>0.23287671232876711</v>
          </cell>
          <cell r="H70">
            <v>0.21062106210621062</v>
          </cell>
          <cell r="I70">
            <v>0.21298701298701297</v>
          </cell>
          <cell r="J70">
            <v>0.26845018450184505</v>
          </cell>
          <cell r="K70">
            <v>0.27140255009107467</v>
          </cell>
          <cell r="L70">
            <v>0.24806201550387597</v>
          </cell>
          <cell r="M70">
            <v>0.27318718381112983</v>
          </cell>
          <cell r="N70">
            <v>0.31466227347611203</v>
          </cell>
          <cell r="O70">
            <v>0.33037978666752726</v>
          </cell>
          <cell r="P70">
            <v>0.33037978666752726</v>
          </cell>
          <cell r="Q70">
            <v>0.31</v>
          </cell>
          <cell r="R70">
            <v>0.3</v>
          </cell>
          <cell r="S70">
            <v>0.28000000000000003</v>
          </cell>
          <cell r="T70">
            <v>0.26</v>
          </cell>
          <cell r="U70">
            <v>0.25</v>
          </cell>
          <cell r="AD70">
            <v>0</v>
          </cell>
          <cell r="AE70">
            <v>0</v>
          </cell>
          <cell r="AF70">
            <v>0</v>
          </cell>
          <cell r="AG70">
            <v>0</v>
          </cell>
          <cell r="AH70">
            <v>0</v>
          </cell>
          <cell r="AI70">
            <v>0</v>
          </cell>
          <cell r="AJ70">
            <v>0.20657276995305165</v>
          </cell>
          <cell r="AK70">
            <v>0.22767857142857142</v>
          </cell>
          <cell r="AL70">
            <v>0.22304832713754646</v>
          </cell>
          <cell r="AM70">
            <v>0.24555160142348753</v>
          </cell>
          <cell r="AN70">
            <v>0.18085106382978725</v>
          </cell>
          <cell r="AO70">
            <v>0.19354838709677419</v>
          </cell>
          <cell r="AP70">
            <v>0.23049645390070922</v>
          </cell>
          <cell r="AQ70">
            <v>0.20205479452054795</v>
          </cell>
          <cell r="AR70">
            <v>0.1864406779661017</v>
          </cell>
          <cell r="AS70">
            <v>0.23426573426573427</v>
          </cell>
          <cell r="AT70">
            <v>0.2932330827067669</v>
          </cell>
          <cell r="AU70">
            <v>0.28928571428571431</v>
          </cell>
          <cell r="AV70">
            <v>0.25092250922509224</v>
          </cell>
          <cell r="AW70">
            <v>0.23970037453183521</v>
          </cell>
          <cell r="AX70">
            <v>0.25630252100840334</v>
          </cell>
          <cell r="AY70">
            <v>0.2611683848797251</v>
          </cell>
          <cell r="AZ70">
            <v>0.27777777777777779</v>
          </cell>
          <cell r="BA70">
            <v>0.28825622775800713</v>
          </cell>
          <cell r="BB70">
            <v>0.25563909774436089</v>
          </cell>
          <cell r="BC70">
            <v>0.23711340206185566</v>
          </cell>
          <cell r="BD70">
            <v>0.2651006711409396</v>
          </cell>
          <cell r="BE70">
            <v>0.23529411764705882</v>
          </cell>
          <cell r="BF70">
            <v>0.25</v>
          </cell>
          <cell r="BG70">
            <v>0.26299694189602446</v>
          </cell>
          <cell r="BH70">
            <v>0.28343949044585987</v>
          </cell>
          <cell r="BI70">
            <v>0.29537366548042704</v>
          </cell>
          <cell r="BJ70">
            <v>0.31186440677966104</v>
          </cell>
          <cell r="BK70">
            <v>0.30254777070063693</v>
          </cell>
          <cell r="BL70">
            <v>0.31290322580645163</v>
          </cell>
          <cell r="BM70">
            <v>0.33220338983050846</v>
          </cell>
          <cell r="BN70">
            <v>0.35761589403973509</v>
          </cell>
          <cell r="BO70">
            <v>0.32</v>
          </cell>
          <cell r="BP70">
            <v>0.32</v>
          </cell>
          <cell r="BQ70">
            <v>0.32500000000000001</v>
          </cell>
        </row>
        <row r="71">
          <cell r="B71" t="str">
            <v>Equity Earnings</v>
          </cell>
          <cell r="G71">
            <v>24</v>
          </cell>
          <cell r="H71">
            <v>40</v>
          </cell>
          <cell r="I71">
            <v>47</v>
          </cell>
          <cell r="J71">
            <v>57</v>
          </cell>
          <cell r="K71">
            <v>73</v>
          </cell>
          <cell r="L71">
            <v>80</v>
          </cell>
          <cell r="M71">
            <v>90</v>
          </cell>
          <cell r="N71">
            <v>95</v>
          </cell>
          <cell r="O71">
            <v>105</v>
          </cell>
          <cell r="P71">
            <v>96</v>
          </cell>
          <cell r="Q71">
            <v>96</v>
          </cell>
          <cell r="R71">
            <v>96</v>
          </cell>
          <cell r="S71">
            <v>96</v>
          </cell>
          <cell r="T71">
            <v>96</v>
          </cell>
          <cell r="U71">
            <v>96</v>
          </cell>
          <cell r="AJ71">
            <v>0</v>
          </cell>
          <cell r="AK71">
            <v>2</v>
          </cell>
          <cell r="AL71">
            <v>0</v>
          </cell>
          <cell r="AM71">
            <v>35</v>
          </cell>
          <cell r="AN71">
            <v>2</v>
          </cell>
          <cell r="AO71">
            <v>3</v>
          </cell>
          <cell r="AP71">
            <v>0</v>
          </cell>
          <cell r="AQ71">
            <v>48</v>
          </cell>
          <cell r="AR71">
            <v>1</v>
          </cell>
          <cell r="AS71">
            <v>-2</v>
          </cell>
          <cell r="AT71">
            <v>3</v>
          </cell>
          <cell r="AU71">
            <v>53</v>
          </cell>
          <cell r="AV71">
            <v>0</v>
          </cell>
          <cell r="AW71">
            <v>1</v>
          </cell>
          <cell r="AX71">
            <v>0</v>
          </cell>
          <cell r="AY71">
            <v>73</v>
          </cell>
          <cell r="AZ71">
            <v>1</v>
          </cell>
          <cell r="BA71">
            <v>-1</v>
          </cell>
          <cell r="BB71">
            <v>1</v>
          </cell>
          <cell r="BC71">
            <v>79</v>
          </cell>
          <cell r="BD71">
            <v>0</v>
          </cell>
          <cell r="BE71">
            <v>0</v>
          </cell>
          <cell r="BF71">
            <v>1</v>
          </cell>
          <cell r="BG71">
            <v>84</v>
          </cell>
          <cell r="BH71">
            <v>0</v>
          </cell>
          <cell r="BI71">
            <v>5</v>
          </cell>
          <cell r="BJ71">
            <v>26</v>
          </cell>
          <cell r="BK71">
            <v>24</v>
          </cell>
          <cell r="BL71">
            <v>21</v>
          </cell>
          <cell r="BM71">
            <v>24</v>
          </cell>
          <cell r="BN71">
            <v>30</v>
          </cell>
          <cell r="BO71">
            <v>25</v>
          </cell>
          <cell r="BP71">
            <v>25</v>
          </cell>
          <cell r="BQ71">
            <v>25</v>
          </cell>
          <cell r="BT71">
            <v>4.07</v>
          </cell>
        </row>
        <row r="72">
          <cell r="B72" t="str">
            <v>Consolidated Margin</v>
          </cell>
          <cell r="G72">
            <v>0.26027397260273971</v>
          </cell>
          <cell r="H72">
            <v>0.24662466246624662</v>
          </cell>
          <cell r="I72">
            <v>0.25367965367965367</v>
          </cell>
          <cell r="J72">
            <v>0.3210332103321033</v>
          </cell>
          <cell r="K72">
            <v>0.33788706739526414</v>
          </cell>
          <cell r="L72">
            <v>0.3169681309216193</v>
          </cell>
          <cell r="M72">
            <v>0.34907251264755479</v>
          </cell>
          <cell r="N72">
            <v>0.3929159802306425</v>
          </cell>
          <cell r="O72">
            <v>0.41509956591198821</v>
          </cell>
          <cell r="P72">
            <v>0.40631908458973315</v>
          </cell>
          <cell r="Q72">
            <v>0.38518742368535236</v>
          </cell>
          <cell r="R72">
            <v>0.37518742368535235</v>
          </cell>
          <cell r="S72">
            <v>0.35518742368535239</v>
          </cell>
          <cell r="T72">
            <v>0.33518742368535237</v>
          </cell>
          <cell r="U72">
            <v>0.32518742368535236</v>
          </cell>
          <cell r="AC72">
            <v>0.29523854495897739</v>
          </cell>
          <cell r="AJ72">
            <v>0.20657276995305165</v>
          </cell>
          <cell r="AK72">
            <v>0.23660714285714285</v>
          </cell>
          <cell r="AL72">
            <v>0.22304832713754646</v>
          </cell>
          <cell r="AM72">
            <v>0.37010676156583627</v>
          </cell>
          <cell r="AN72">
            <v>0.18794326241134751</v>
          </cell>
          <cell r="AO72">
            <v>0.20430107526881722</v>
          </cell>
          <cell r="AP72">
            <v>0.23049645390070922</v>
          </cell>
          <cell r="AQ72">
            <v>0.36643835616438358</v>
          </cell>
          <cell r="AR72">
            <v>0.18983050847457628</v>
          </cell>
          <cell r="AS72">
            <v>0.22727272727272727</v>
          </cell>
          <cell r="AT72">
            <v>0.30451127819548873</v>
          </cell>
          <cell r="AU72">
            <v>0.47857142857142859</v>
          </cell>
          <cell r="AV72">
            <v>0.25092250922509224</v>
          </cell>
          <cell r="AW72">
            <v>0.24344569288389514</v>
          </cell>
          <cell r="AX72">
            <v>0.25630252100840334</v>
          </cell>
          <cell r="AY72">
            <v>0.51202749140893467</v>
          </cell>
          <cell r="AZ72">
            <v>0.28125</v>
          </cell>
          <cell r="BA72">
            <v>0.28469750889679718</v>
          </cell>
          <cell r="BB72">
            <v>0.25939849624060152</v>
          </cell>
          <cell r="BC72">
            <v>0.50859106529209619</v>
          </cell>
          <cell r="BD72">
            <v>0.2651006711409396</v>
          </cell>
          <cell r="BE72">
            <v>0.23529411764705882</v>
          </cell>
          <cell r="BF72">
            <v>0.25378787878787878</v>
          </cell>
          <cell r="BG72">
            <v>0.51987767584097855</v>
          </cell>
          <cell r="BH72">
            <v>0.28343949044585987</v>
          </cell>
          <cell r="BI72">
            <v>0.31316725978647686</v>
          </cell>
          <cell r="BJ72">
            <v>0.4</v>
          </cell>
          <cell r="BK72">
            <v>0.37898089171974525</v>
          </cell>
          <cell r="BL72">
            <v>0.38064516129032255</v>
          </cell>
          <cell r="BM72">
            <v>0.41355932203389828</v>
          </cell>
          <cell r="BN72">
            <v>0.45695364238410596</v>
          </cell>
          <cell r="BO72">
            <v>0.39805670038716123</v>
          </cell>
          <cell r="BP72">
            <v>0.3990638836179633</v>
          </cell>
          <cell r="BQ72">
            <v>0.40808408109006317</v>
          </cell>
          <cell r="BT72">
            <v>4.5584000000000007</v>
          </cell>
        </row>
        <row r="73">
          <cell r="BN73" t="str">
            <v xml:space="preserve"> </v>
          </cell>
          <cell r="BP73">
            <v>4.6398000000000001</v>
          </cell>
          <cell r="BT73">
            <v>4.6398000000000001</v>
          </cell>
        </row>
        <row r="74">
          <cell r="A74">
            <v>0.3158756137479542</v>
          </cell>
          <cell r="B74" t="str">
            <v>Operating income</v>
          </cell>
          <cell r="G74">
            <v>165</v>
          </cell>
          <cell r="H74">
            <v>183</v>
          </cell>
          <cell r="I74">
            <v>193</v>
          </cell>
          <cell r="J74">
            <v>241</v>
          </cell>
          <cell r="K74">
            <v>261</v>
          </cell>
          <cell r="L74">
            <v>252</v>
          </cell>
          <cell r="M74">
            <v>285</v>
          </cell>
          <cell r="N74">
            <v>341</v>
          </cell>
          <cell r="O74">
            <v>365.37219999999996</v>
          </cell>
          <cell r="P74">
            <v>373.40955599999995</v>
          </cell>
          <cell r="Q74">
            <v>351.12255090000002</v>
          </cell>
          <cell r="R74">
            <v>338.35445814000002</v>
          </cell>
          <cell r="S74">
            <v>312.81827262000007</v>
          </cell>
          <cell r="T74">
            <v>287.28208710000001</v>
          </cell>
          <cell r="U74">
            <v>274.51399434000001</v>
          </cell>
          <cell r="AJ74">
            <v>35</v>
          </cell>
          <cell r="AK74">
            <v>41</v>
          </cell>
          <cell r="AL74">
            <v>49</v>
          </cell>
          <cell r="AM74">
            <v>56</v>
          </cell>
          <cell r="AN74">
            <v>36</v>
          </cell>
          <cell r="AO74">
            <v>42</v>
          </cell>
          <cell r="AP74">
            <v>51</v>
          </cell>
          <cell r="AQ74">
            <v>46</v>
          </cell>
          <cell r="AR74">
            <v>42</v>
          </cell>
          <cell r="AS74">
            <v>54</v>
          </cell>
          <cell r="AT74">
            <v>66</v>
          </cell>
          <cell r="AU74">
            <v>69</v>
          </cell>
          <cell r="AV74">
            <v>55</v>
          </cell>
          <cell r="AW74">
            <v>51</v>
          </cell>
          <cell r="AX74">
            <v>50</v>
          </cell>
          <cell r="AY74">
            <v>67</v>
          </cell>
          <cell r="AZ74">
            <v>72</v>
          </cell>
          <cell r="BA74">
            <v>72</v>
          </cell>
          <cell r="BB74">
            <v>61</v>
          </cell>
          <cell r="BC74">
            <v>138</v>
          </cell>
          <cell r="BD74">
            <v>70</v>
          </cell>
          <cell r="BE74">
            <v>63</v>
          </cell>
          <cell r="BF74">
            <v>58</v>
          </cell>
          <cell r="BG74">
            <v>160</v>
          </cell>
          <cell r="BH74">
            <v>79</v>
          </cell>
          <cell r="BI74">
            <v>78</v>
          </cell>
          <cell r="BJ74">
            <v>82</v>
          </cell>
          <cell r="BK74">
            <v>85</v>
          </cell>
          <cell r="BL74">
            <v>87</v>
          </cell>
          <cell r="BM74">
            <v>87</v>
          </cell>
          <cell r="BN74">
            <v>97</v>
          </cell>
          <cell r="BO74">
            <v>91.458300000000008</v>
          </cell>
          <cell r="BP74">
            <v>90.152699999999996</v>
          </cell>
          <cell r="BQ74">
            <v>86.761199999999988</v>
          </cell>
        </row>
        <row r="75">
          <cell r="B75" t="str">
            <v>Reported EBIT</v>
          </cell>
          <cell r="G75">
            <v>165</v>
          </cell>
          <cell r="H75">
            <v>199</v>
          </cell>
          <cell r="I75">
            <v>190</v>
          </cell>
          <cell r="J75">
            <v>231</v>
          </cell>
          <cell r="K75">
            <v>164</v>
          </cell>
          <cell r="L75">
            <v>229</v>
          </cell>
          <cell r="M75">
            <v>251</v>
          </cell>
          <cell r="N75">
            <v>346</v>
          </cell>
          <cell r="O75">
            <v>367.37219999999996</v>
          </cell>
          <cell r="P75">
            <v>373.40955599999995</v>
          </cell>
          <cell r="Q75">
            <v>351.12255090000002</v>
          </cell>
          <cell r="R75">
            <v>338.35445814000002</v>
          </cell>
          <cell r="S75">
            <v>312.81827262000007</v>
          </cell>
          <cell r="T75">
            <v>287.28208710000001</v>
          </cell>
          <cell r="U75">
            <v>274.51399434000001</v>
          </cell>
          <cell r="AJ75">
            <v>35</v>
          </cell>
          <cell r="AK75">
            <v>41</v>
          </cell>
          <cell r="AL75">
            <v>48</v>
          </cell>
          <cell r="AM75">
            <v>48</v>
          </cell>
          <cell r="AN75">
            <v>34</v>
          </cell>
          <cell r="AO75">
            <v>69</v>
          </cell>
          <cell r="AP75">
            <v>50</v>
          </cell>
          <cell r="AQ75">
            <v>46</v>
          </cell>
          <cell r="AR75">
            <v>42</v>
          </cell>
          <cell r="AS75">
            <v>52</v>
          </cell>
          <cell r="AT75">
            <v>66</v>
          </cell>
          <cell r="AU75">
            <v>66</v>
          </cell>
          <cell r="AV75">
            <v>52</v>
          </cell>
          <cell r="AW75">
            <v>47</v>
          </cell>
          <cell r="AX75">
            <v>-30</v>
          </cell>
          <cell r="AY75">
            <v>64</v>
          </cell>
          <cell r="AZ75">
            <v>71</v>
          </cell>
          <cell r="BA75">
            <v>59</v>
          </cell>
          <cell r="BB75">
            <v>55</v>
          </cell>
          <cell r="BC75">
            <v>49</v>
          </cell>
          <cell r="BD75">
            <v>67</v>
          </cell>
          <cell r="BE75">
            <v>58</v>
          </cell>
          <cell r="BF75">
            <v>40</v>
          </cell>
          <cell r="BG75">
            <v>77</v>
          </cell>
          <cell r="BH75">
            <v>72</v>
          </cell>
          <cell r="BI75">
            <v>62</v>
          </cell>
          <cell r="BJ75">
            <v>78</v>
          </cell>
          <cell r="BK75">
            <v>83</v>
          </cell>
          <cell r="BL75">
            <v>85</v>
          </cell>
          <cell r="BM75">
            <v>100</v>
          </cell>
          <cell r="BN75">
            <v>99</v>
          </cell>
          <cell r="BO75">
            <v>91.458300000000008</v>
          </cell>
          <cell r="BP75">
            <v>90.152699999999996</v>
          </cell>
          <cell r="BQ75">
            <v>86.761199999999988</v>
          </cell>
          <cell r="BS75">
            <v>95</v>
          </cell>
        </row>
        <row r="76">
          <cell r="B76" t="str">
            <v>Margin</v>
          </cell>
          <cell r="G76">
            <v>0.18835616438356165</v>
          </cell>
          <cell r="H76">
            <v>0.17911791179117911</v>
          </cell>
          <cell r="I76">
            <v>0.16450216450216451</v>
          </cell>
          <cell r="J76">
            <v>0.21309963099630996</v>
          </cell>
          <cell r="K76">
            <v>0.1493624772313297</v>
          </cell>
          <cell r="L76">
            <v>0.19724375538329025</v>
          </cell>
          <cell r="M76">
            <v>0.21163575042158517</v>
          </cell>
          <cell r="N76">
            <v>0.28500823723228996</v>
          </cell>
          <cell r="O76">
            <v>0.29641611128144713</v>
          </cell>
          <cell r="P76">
            <v>0.29537978666752723</v>
          </cell>
          <cell r="Q76">
            <v>0.27499999999999997</v>
          </cell>
          <cell r="R76">
            <v>0.26499999999999996</v>
          </cell>
          <cell r="S76">
            <v>0.24500000000000002</v>
          </cell>
          <cell r="T76">
            <v>0.22499999999999998</v>
          </cell>
          <cell r="U76">
            <v>0.21499999999999997</v>
          </cell>
          <cell r="AJ76">
            <v>0.16431924882629109</v>
          </cell>
          <cell r="AK76">
            <v>0.18303571428571427</v>
          </cell>
          <cell r="AL76">
            <v>0.17843866171003717</v>
          </cell>
          <cell r="AM76">
            <v>0.1708185053380783</v>
          </cell>
          <cell r="AN76">
            <v>0.12056737588652482</v>
          </cell>
          <cell r="AO76">
            <v>0.24731182795698925</v>
          </cell>
          <cell r="AP76">
            <v>0.1773049645390071</v>
          </cell>
          <cell r="AQ76">
            <v>0.15753424657534246</v>
          </cell>
          <cell r="AR76">
            <v>0.14237288135593221</v>
          </cell>
          <cell r="AS76">
            <v>0.18181818181818182</v>
          </cell>
          <cell r="AT76">
            <v>0.24812030075187969</v>
          </cell>
          <cell r="AU76">
            <v>0.23571428571428571</v>
          </cell>
          <cell r="AV76">
            <v>0.1918819188191882</v>
          </cell>
          <cell r="AW76">
            <v>0.17602996254681649</v>
          </cell>
          <cell r="AX76">
            <v>-0.12605042016806722</v>
          </cell>
          <cell r="AY76">
            <v>0.21993127147766323</v>
          </cell>
          <cell r="AZ76">
            <v>0.24652777777777779</v>
          </cell>
          <cell r="BA76">
            <v>0.20996441281138789</v>
          </cell>
          <cell r="BB76">
            <v>0.20676691729323307</v>
          </cell>
          <cell r="BC76">
            <v>0.16838487972508592</v>
          </cell>
          <cell r="BD76">
            <v>0.22483221476510068</v>
          </cell>
          <cell r="BE76">
            <v>0.18954248366013071</v>
          </cell>
          <cell r="BF76">
            <v>0.15151515151515152</v>
          </cell>
          <cell r="BG76">
            <v>0.23547400611620795</v>
          </cell>
          <cell r="BH76">
            <v>0.22929936305732485</v>
          </cell>
          <cell r="BI76">
            <v>0.2206405693950178</v>
          </cell>
          <cell r="BJ76">
            <v>0.26440677966101694</v>
          </cell>
          <cell r="BK76">
            <v>0.2643312101910828</v>
          </cell>
          <cell r="BL76">
            <v>0.27419354838709675</v>
          </cell>
          <cell r="BM76">
            <v>0.33898305084745761</v>
          </cell>
          <cell r="BN76">
            <v>0.32781456953642385</v>
          </cell>
          <cell r="BO76">
            <v>0.28555732484076435</v>
          </cell>
          <cell r="BP76">
            <v>0.28511290322580646</v>
          </cell>
          <cell r="BQ76">
            <v>0.28833898305084743</v>
          </cell>
        </row>
        <row r="77">
          <cell r="BN77" t="str">
            <v xml:space="preserve"> </v>
          </cell>
        </row>
        <row r="78">
          <cell r="B78" t="str">
            <v>Special Charges</v>
          </cell>
          <cell r="G78">
            <v>0</v>
          </cell>
          <cell r="H78">
            <v>-16</v>
          </cell>
          <cell r="I78">
            <v>3</v>
          </cell>
          <cell r="J78">
            <v>10</v>
          </cell>
          <cell r="K78">
            <v>97</v>
          </cell>
          <cell r="L78">
            <v>23</v>
          </cell>
          <cell r="M78">
            <v>34</v>
          </cell>
          <cell r="N78">
            <v>-5</v>
          </cell>
          <cell r="O78">
            <v>-2</v>
          </cell>
          <cell r="P78">
            <v>0</v>
          </cell>
          <cell r="Q78">
            <v>0</v>
          </cell>
          <cell r="R78">
            <v>0</v>
          </cell>
          <cell r="S78">
            <v>0</v>
          </cell>
          <cell r="T78">
            <v>0</v>
          </cell>
          <cell r="U78">
            <v>0</v>
          </cell>
          <cell r="AJ78">
            <v>0</v>
          </cell>
          <cell r="AK78">
            <v>0</v>
          </cell>
          <cell r="AL78">
            <v>1</v>
          </cell>
          <cell r="AM78">
            <v>8</v>
          </cell>
          <cell r="AN78">
            <v>2</v>
          </cell>
          <cell r="AO78">
            <v>-27</v>
          </cell>
          <cell r="AP78">
            <v>1</v>
          </cell>
          <cell r="AQ78">
            <v>0</v>
          </cell>
          <cell r="AR78">
            <v>0</v>
          </cell>
          <cell r="AS78">
            <v>2</v>
          </cell>
          <cell r="AT78">
            <v>0</v>
          </cell>
          <cell r="AU78">
            <v>3</v>
          </cell>
          <cell r="AV78">
            <v>3</v>
          </cell>
          <cell r="AW78">
            <v>4</v>
          </cell>
          <cell r="AX78">
            <v>80</v>
          </cell>
          <cell r="AY78">
            <v>3</v>
          </cell>
          <cell r="AZ78">
            <v>1</v>
          </cell>
          <cell r="BA78">
            <v>13</v>
          </cell>
          <cell r="BB78">
            <v>5</v>
          </cell>
          <cell r="BC78">
            <v>10</v>
          </cell>
          <cell r="BD78">
            <v>3</v>
          </cell>
          <cell r="BE78">
            <v>5</v>
          </cell>
          <cell r="BF78">
            <v>17</v>
          </cell>
          <cell r="BG78">
            <v>-1</v>
          </cell>
          <cell r="BH78">
            <v>7</v>
          </cell>
          <cell r="BI78">
            <v>11</v>
          </cell>
          <cell r="BJ78">
            <v>4</v>
          </cell>
          <cell r="BK78">
            <v>2</v>
          </cell>
          <cell r="BL78">
            <v>2</v>
          </cell>
          <cell r="BM78">
            <v>-13</v>
          </cell>
          <cell r="BN78">
            <v>-2</v>
          </cell>
          <cell r="BO78">
            <v>0</v>
          </cell>
          <cell r="BP78">
            <v>0</v>
          </cell>
          <cell r="BQ78">
            <v>0</v>
          </cell>
          <cell r="BS78">
            <v>341</v>
          </cell>
        </row>
        <row r="79">
          <cell r="B79" t="str">
            <v>D&amp;A</v>
          </cell>
          <cell r="G79">
            <v>39</v>
          </cell>
          <cell r="H79">
            <v>51</v>
          </cell>
          <cell r="I79">
            <v>53</v>
          </cell>
          <cell r="J79">
            <v>50</v>
          </cell>
          <cell r="K79">
            <v>37</v>
          </cell>
          <cell r="L79">
            <v>36</v>
          </cell>
          <cell r="M79">
            <v>39</v>
          </cell>
          <cell r="N79">
            <v>41</v>
          </cell>
          <cell r="O79">
            <v>44.093900000000005</v>
          </cell>
          <cell r="P79">
            <v>44.245866000000014</v>
          </cell>
          <cell r="Q79">
            <v>44.688324660000013</v>
          </cell>
          <cell r="R79">
            <v>44.688324660000013</v>
          </cell>
          <cell r="S79">
            <v>44.688324660000013</v>
          </cell>
          <cell r="T79">
            <v>44.688324660000013</v>
          </cell>
          <cell r="U79">
            <v>44.688324660000013</v>
          </cell>
          <cell r="AJ79">
            <v>9</v>
          </cell>
          <cell r="AK79">
            <v>10</v>
          </cell>
          <cell r="AL79">
            <v>11</v>
          </cell>
          <cell r="AM79">
            <v>13</v>
          </cell>
          <cell r="AN79">
            <v>15</v>
          </cell>
          <cell r="AO79">
            <v>12</v>
          </cell>
          <cell r="AP79">
            <v>14</v>
          </cell>
          <cell r="AQ79">
            <v>13</v>
          </cell>
          <cell r="AR79">
            <v>13</v>
          </cell>
          <cell r="AS79">
            <v>13</v>
          </cell>
          <cell r="AT79">
            <v>12</v>
          </cell>
          <cell r="AU79">
            <v>12</v>
          </cell>
          <cell r="AV79">
            <v>13</v>
          </cell>
          <cell r="AW79">
            <v>13</v>
          </cell>
          <cell r="AX79">
            <v>11</v>
          </cell>
          <cell r="AY79">
            <v>9</v>
          </cell>
          <cell r="AZ79">
            <v>8</v>
          </cell>
          <cell r="BA79">
            <v>9</v>
          </cell>
          <cell r="BB79">
            <v>8</v>
          </cell>
          <cell r="BC79">
            <v>10</v>
          </cell>
          <cell r="BD79">
            <v>9</v>
          </cell>
          <cell r="BE79">
            <v>9</v>
          </cell>
          <cell r="BF79">
            <v>9</v>
          </cell>
          <cell r="BG79">
            <v>10</v>
          </cell>
          <cell r="BH79">
            <v>10</v>
          </cell>
          <cell r="BI79">
            <v>10</v>
          </cell>
          <cell r="BJ79">
            <v>10</v>
          </cell>
          <cell r="BK79">
            <v>10</v>
          </cell>
          <cell r="BL79">
            <v>10</v>
          </cell>
          <cell r="BM79">
            <v>11</v>
          </cell>
          <cell r="BN79">
            <v>11</v>
          </cell>
          <cell r="BO79">
            <v>11.031300000000002</v>
          </cell>
          <cell r="BP79">
            <v>11.031300000000002</v>
          </cell>
          <cell r="BQ79">
            <v>11.031300000000002</v>
          </cell>
          <cell r="BS79">
            <v>365.37219999999996</v>
          </cell>
        </row>
        <row r="80">
          <cell r="B80" t="str">
            <v>% of sales</v>
          </cell>
          <cell r="G80">
            <v>4.4520547945205477E-2</v>
          </cell>
          <cell r="H80">
            <v>4.5904590459045908E-2</v>
          </cell>
          <cell r="I80">
            <v>4.5887445887445887E-2</v>
          </cell>
          <cell r="J80">
            <v>4.6125461254612546E-2</v>
          </cell>
          <cell r="K80">
            <v>3.3697632058287796E-2</v>
          </cell>
          <cell r="L80">
            <v>3.1007751937984496E-2</v>
          </cell>
          <cell r="M80">
            <v>3.2883642495784147E-2</v>
          </cell>
          <cell r="N80">
            <v>3.3772652388797363E-2</v>
          </cell>
          <cell r="O80">
            <v>3.5577385466927014E-2</v>
          </cell>
          <cell r="P80">
            <v>3.5000000000000003E-2</v>
          </cell>
          <cell r="Q80">
            <v>3.5000000000000003E-2</v>
          </cell>
          <cell r="R80">
            <v>3.5000000000000003E-2</v>
          </cell>
          <cell r="S80">
            <v>3.5000000000000003E-2</v>
          </cell>
          <cell r="T80">
            <v>3.5000000000000003E-2</v>
          </cell>
          <cell r="U80">
            <v>3.5000000000000003E-2</v>
          </cell>
          <cell r="AJ80">
            <v>4.2253521126760563E-2</v>
          </cell>
          <cell r="AK80">
            <v>4.4642857142857144E-2</v>
          </cell>
          <cell r="AL80">
            <v>4.0892193308550186E-2</v>
          </cell>
          <cell r="AM80">
            <v>4.6263345195729534E-2</v>
          </cell>
          <cell r="AN80">
            <v>5.3191489361702128E-2</v>
          </cell>
          <cell r="AO80">
            <v>4.3010752688172046E-2</v>
          </cell>
          <cell r="AP80">
            <v>4.9645390070921988E-2</v>
          </cell>
          <cell r="AQ80">
            <v>4.4520547945205477E-2</v>
          </cell>
          <cell r="AR80">
            <v>4.4067796610169491E-2</v>
          </cell>
          <cell r="AS80">
            <v>4.5454545454545456E-2</v>
          </cell>
          <cell r="AT80">
            <v>4.5112781954887216E-2</v>
          </cell>
          <cell r="AU80">
            <v>4.2857142857142858E-2</v>
          </cell>
          <cell r="AV80">
            <v>4.797047970479705E-2</v>
          </cell>
          <cell r="AW80">
            <v>4.8689138576779027E-2</v>
          </cell>
          <cell r="AX80">
            <v>4.6218487394957986E-2</v>
          </cell>
          <cell r="AY80">
            <v>3.0927835051546393E-2</v>
          </cell>
          <cell r="AZ80">
            <v>2.7777777777777776E-2</v>
          </cell>
          <cell r="BA80">
            <v>3.2028469750889681E-2</v>
          </cell>
          <cell r="BB80">
            <v>3.007518796992481E-2</v>
          </cell>
          <cell r="BC80">
            <v>3.4364261168384883E-2</v>
          </cell>
          <cell r="BD80">
            <v>3.0201342281879196E-2</v>
          </cell>
          <cell r="BE80">
            <v>2.9411764705882353E-2</v>
          </cell>
          <cell r="BF80">
            <v>3.4090909090909088E-2</v>
          </cell>
          <cell r="BG80">
            <v>3.0581039755351681E-2</v>
          </cell>
          <cell r="BH80">
            <v>3.1847133757961783E-2</v>
          </cell>
          <cell r="BI80">
            <v>3.5587188612099648E-2</v>
          </cell>
          <cell r="BJ80">
            <v>3.3898305084745763E-2</v>
          </cell>
          <cell r="BK80">
            <v>3.1847133757961783E-2</v>
          </cell>
          <cell r="BL80">
            <v>3.2258064516129031E-2</v>
          </cell>
          <cell r="BM80">
            <v>3.7288135593220341E-2</v>
          </cell>
          <cell r="BN80">
            <v>3.6423841059602648E-2</v>
          </cell>
          <cell r="BO80">
            <v>3.4442675159235672E-2</v>
          </cell>
          <cell r="BP80">
            <v>3.4887096774193556E-2</v>
          </cell>
          <cell r="BQ80">
            <v>3.6661016949152553E-2</v>
          </cell>
          <cell r="BS80">
            <v>24.372199999999964</v>
          </cell>
        </row>
        <row r="81">
          <cell r="B81" t="str">
            <v>% of total D&amp;A</v>
          </cell>
          <cell r="G81">
            <v>0.1449814126394052</v>
          </cell>
          <cell r="H81">
            <v>0.17525773195876287</v>
          </cell>
          <cell r="I81">
            <v>0.16109422492401215</v>
          </cell>
          <cell r="J81">
            <v>0.17241379310344829</v>
          </cell>
          <cell r="K81">
            <v>0.1434108527131783</v>
          </cell>
          <cell r="L81">
            <v>0.12543554006968641</v>
          </cell>
          <cell r="M81">
            <v>0.13</v>
          </cell>
          <cell r="N81">
            <v>0.13576158940397351</v>
          </cell>
          <cell r="O81">
            <v>0.14696256989464779</v>
          </cell>
          <cell r="P81">
            <v>0.14021974220446196</v>
          </cell>
          <cell r="Q81">
            <v>0.12919047508465906</v>
          </cell>
          <cell r="R81">
            <v>0.12229966654658291</v>
          </cell>
          <cell r="S81">
            <v>0.11772601827344158</v>
          </cell>
          <cell r="T81">
            <v>0.11458797508322265</v>
          </cell>
          <cell r="U81">
            <v>0.11149112574226616</v>
          </cell>
          <cell r="AJ81">
            <v>0.13636363636363635</v>
          </cell>
          <cell r="AK81">
            <v>0.15625</v>
          </cell>
          <cell r="AL81">
            <v>0.16176470588235295</v>
          </cell>
          <cell r="AM81">
            <v>0.17808219178082191</v>
          </cell>
          <cell r="AN81">
            <v>0.19480519480519481</v>
          </cell>
          <cell r="AO81">
            <v>0.16438356164383561</v>
          </cell>
          <cell r="AP81">
            <v>0.16867469879518071</v>
          </cell>
          <cell r="AQ81">
            <v>0.15853658536585366</v>
          </cell>
          <cell r="AR81">
            <v>0.15294117647058825</v>
          </cell>
          <cell r="AS81">
            <v>0.16455696202531644</v>
          </cell>
          <cell r="AT81">
            <v>0.16901408450704225</v>
          </cell>
          <cell r="AU81">
            <v>0.16666666666666666</v>
          </cell>
          <cell r="AV81">
            <v>0.17808219178082191</v>
          </cell>
          <cell r="AW81">
            <v>0.17567567567567569</v>
          </cell>
          <cell r="AX81">
            <v>0.16666666666666666</v>
          </cell>
          <cell r="AY81">
            <v>0.14285714285714285</v>
          </cell>
          <cell r="AZ81">
            <v>0.125</v>
          </cell>
          <cell r="BA81">
            <v>0.13846153846153847</v>
          </cell>
          <cell r="BB81">
            <v>0.12121212121212122</v>
          </cell>
          <cell r="BC81">
            <v>0.14705882352941177</v>
          </cell>
          <cell r="BD81">
            <v>0.11688311688311688</v>
          </cell>
          <cell r="BE81">
            <v>0.11842105263157894</v>
          </cell>
          <cell r="BF81">
            <v>0.125</v>
          </cell>
          <cell r="BG81">
            <v>0.13513513513513514</v>
          </cell>
          <cell r="BH81">
            <v>0.13333333333333333</v>
          </cell>
          <cell r="BI81">
            <v>0.12658227848101267</v>
          </cell>
          <cell r="BJ81">
            <v>0.13157894736842105</v>
          </cell>
          <cell r="BK81">
            <v>0.13333333333333333</v>
          </cell>
          <cell r="BL81">
            <v>0.13157894736842105</v>
          </cell>
          <cell r="BM81">
            <v>0.14666666666666667</v>
          </cell>
          <cell r="BN81">
            <v>0.15068493150684931</v>
          </cell>
          <cell r="BO81">
            <v>0.1457656948882857</v>
          </cell>
          <cell r="BP81">
            <v>0.1457656948882857</v>
          </cell>
          <cell r="BQ81">
            <v>0.1457656948882857</v>
          </cell>
        </row>
        <row r="83">
          <cell r="B83" t="str">
            <v>Bull Case</v>
          </cell>
        </row>
        <row r="84">
          <cell r="B84" t="str">
            <v>Volume</v>
          </cell>
          <cell r="O84">
            <v>0.03</v>
          </cell>
          <cell r="P84">
            <v>0.03</v>
          </cell>
          <cell r="Q84">
            <v>-0.01</v>
          </cell>
          <cell r="R84">
            <v>-0.01</v>
          </cell>
          <cell r="S84">
            <v>-0.01</v>
          </cell>
          <cell r="T84">
            <v>-0.01</v>
          </cell>
          <cell r="U84">
            <v>-0.01</v>
          </cell>
          <cell r="BH84">
            <v>0.04</v>
          </cell>
          <cell r="BI84">
            <v>-1.9999999999999997E-2</v>
          </cell>
          <cell r="BJ84">
            <v>-4.9999999999999996E-2</v>
          </cell>
          <cell r="BK84">
            <v>0.01</v>
          </cell>
          <cell r="BL84">
            <v>-0.04</v>
          </cell>
          <cell r="BM84">
            <v>0.01</v>
          </cell>
          <cell r="BN84">
            <v>0.03</v>
          </cell>
          <cell r="BO84">
            <v>0.03</v>
          </cell>
          <cell r="BP84">
            <v>0.03</v>
          </cell>
          <cell r="BQ84">
            <v>0.03</v>
          </cell>
        </row>
        <row r="85">
          <cell r="B85" t="str">
            <v>Price</v>
          </cell>
          <cell r="O85">
            <v>0.02</v>
          </cell>
          <cell r="P85">
            <v>0.02</v>
          </cell>
          <cell r="Q85">
            <v>0.01</v>
          </cell>
          <cell r="R85">
            <v>0.01</v>
          </cell>
          <cell r="S85">
            <v>0.01</v>
          </cell>
          <cell r="T85">
            <v>0.01</v>
          </cell>
          <cell r="U85">
            <v>0.01</v>
          </cell>
          <cell r="BH85">
            <v>6.9999999999999993E-2</v>
          </cell>
          <cell r="BI85">
            <v>6.0000000000000005E-2</v>
          </cell>
          <cell r="BJ85">
            <v>6.0000000000000005E-2</v>
          </cell>
          <cell r="BK85">
            <v>6.9999999999999993E-2</v>
          </cell>
          <cell r="BL85">
            <v>6.9999999999999993E-2</v>
          </cell>
          <cell r="BM85">
            <v>6.9999999999999993E-2</v>
          </cell>
          <cell r="BN85">
            <v>0.02</v>
          </cell>
          <cell r="BO85">
            <v>0.02</v>
          </cell>
          <cell r="BP85">
            <v>0.02</v>
          </cell>
          <cell r="BQ85">
            <v>0.02</v>
          </cell>
        </row>
        <row r="86">
          <cell r="B86" t="str">
            <v>EBITDA Margin</v>
          </cell>
          <cell r="O86">
            <v>0.34</v>
          </cell>
          <cell r="P86">
            <v>0.33</v>
          </cell>
          <cell r="Q86">
            <v>0.3</v>
          </cell>
          <cell r="R86">
            <v>0.3</v>
          </cell>
          <cell r="S86">
            <v>0.3</v>
          </cell>
          <cell r="T86">
            <v>0.3</v>
          </cell>
          <cell r="U86">
            <v>0.3</v>
          </cell>
          <cell r="BH86">
            <v>0.30000000000000004</v>
          </cell>
          <cell r="BI86">
            <v>0.28500000000000003</v>
          </cell>
          <cell r="BJ86">
            <v>0.30000000000000004</v>
          </cell>
          <cell r="BK86">
            <v>0.31</v>
          </cell>
          <cell r="BL86">
            <v>0.32</v>
          </cell>
          <cell r="BM86">
            <v>0.32</v>
          </cell>
          <cell r="BN86">
            <v>0.34</v>
          </cell>
          <cell r="BO86">
            <v>0.34</v>
          </cell>
          <cell r="BP86">
            <v>0.34</v>
          </cell>
          <cell r="BQ86">
            <v>0.34</v>
          </cell>
        </row>
        <row r="88">
          <cell r="B88" t="str">
            <v>Base Case</v>
          </cell>
        </row>
        <row r="89">
          <cell r="B89" t="str">
            <v>Volume</v>
          </cell>
          <cell r="O89">
            <v>0.01</v>
          </cell>
          <cell r="P89">
            <v>0</v>
          </cell>
          <cell r="Q89">
            <v>0</v>
          </cell>
          <cell r="R89">
            <v>-0.01</v>
          </cell>
          <cell r="S89">
            <v>-0.01</v>
          </cell>
          <cell r="T89">
            <v>-0.01</v>
          </cell>
          <cell r="U89">
            <v>-0.01</v>
          </cell>
          <cell r="BH89">
            <v>0.03</v>
          </cell>
          <cell r="BI89">
            <v>-0.03</v>
          </cell>
          <cell r="BJ89">
            <v>-0.06</v>
          </cell>
          <cell r="BK89">
            <v>0</v>
          </cell>
          <cell r="BL89">
            <v>-0.05</v>
          </cell>
          <cell r="BM89">
            <v>0</v>
          </cell>
          <cell r="BN89">
            <v>-0.01</v>
          </cell>
          <cell r="BO89">
            <v>-0.01</v>
          </cell>
          <cell r="BP89">
            <v>-0.01</v>
          </cell>
          <cell r="BQ89">
            <v>-0.01</v>
          </cell>
        </row>
        <row r="90">
          <cell r="B90" t="str">
            <v>Price</v>
          </cell>
          <cell r="O90">
            <v>0.02</v>
          </cell>
          <cell r="P90">
            <v>0.02</v>
          </cell>
          <cell r="Q90">
            <v>0.01</v>
          </cell>
          <cell r="R90">
            <v>0.01</v>
          </cell>
          <cell r="S90">
            <v>0.01</v>
          </cell>
          <cell r="T90">
            <v>0.01</v>
          </cell>
          <cell r="U90">
            <v>0.01</v>
          </cell>
          <cell r="BH90">
            <v>0.06</v>
          </cell>
          <cell r="BI90">
            <v>0.05</v>
          </cell>
          <cell r="BJ90">
            <v>0.05</v>
          </cell>
          <cell r="BK90">
            <v>0.06</v>
          </cell>
          <cell r="BL90">
            <v>0.06</v>
          </cell>
          <cell r="BM90">
            <v>0.06</v>
          </cell>
          <cell r="BN90">
            <v>0.04</v>
          </cell>
          <cell r="BO90">
            <v>0.03</v>
          </cell>
          <cell r="BP90">
            <v>0.03</v>
          </cell>
          <cell r="BQ90">
            <v>0.03</v>
          </cell>
        </row>
        <row r="91">
          <cell r="B91" t="str">
            <v>EBITDA Margin</v>
          </cell>
          <cell r="O91">
            <v>0.29499999999999998</v>
          </cell>
          <cell r="P91">
            <v>0.33037978666752726</v>
          </cell>
          <cell r="Q91">
            <v>0.31</v>
          </cell>
          <cell r="R91">
            <v>0.3</v>
          </cell>
          <cell r="S91">
            <v>0.28000000000000003</v>
          </cell>
          <cell r="T91">
            <v>0.26</v>
          </cell>
          <cell r="U91">
            <v>0.25</v>
          </cell>
          <cell r="BH91">
            <v>0.28000000000000003</v>
          </cell>
          <cell r="BI91">
            <v>0.26500000000000001</v>
          </cell>
          <cell r="BJ91">
            <v>0.28000000000000003</v>
          </cell>
          <cell r="BK91">
            <v>0.28999999999999998</v>
          </cell>
          <cell r="BL91">
            <v>0.3</v>
          </cell>
          <cell r="BM91">
            <v>0.3</v>
          </cell>
          <cell r="BN91">
            <v>0.32</v>
          </cell>
          <cell r="BO91">
            <v>0.32</v>
          </cell>
          <cell r="BP91">
            <v>0.32</v>
          </cell>
          <cell r="BQ91">
            <v>0.32500000000000001</v>
          </cell>
        </row>
        <row r="93">
          <cell r="B93" t="str">
            <v>Bear Case</v>
          </cell>
        </row>
        <row r="94">
          <cell r="B94" t="str">
            <v>Volume</v>
          </cell>
          <cell r="O94">
            <v>0</v>
          </cell>
          <cell r="P94">
            <v>0.01</v>
          </cell>
          <cell r="Q94">
            <v>0.01</v>
          </cell>
          <cell r="R94">
            <v>0.01</v>
          </cell>
          <cell r="S94">
            <v>0.01</v>
          </cell>
          <cell r="T94">
            <v>0.01</v>
          </cell>
          <cell r="U94">
            <v>0.01</v>
          </cell>
          <cell r="BH94">
            <v>-0.04</v>
          </cell>
          <cell r="BI94">
            <v>-0.04</v>
          </cell>
          <cell r="BJ94">
            <v>-0.04</v>
          </cell>
          <cell r="BK94">
            <v>-0.04</v>
          </cell>
          <cell r="BL94">
            <v>-0.04</v>
          </cell>
          <cell r="BM94">
            <v>-0.04</v>
          </cell>
          <cell r="BN94">
            <v>0</v>
          </cell>
          <cell r="BO94">
            <v>0</v>
          </cell>
          <cell r="BP94">
            <v>0</v>
          </cell>
          <cell r="BQ94">
            <v>0</v>
          </cell>
        </row>
        <row r="95">
          <cell r="B95" t="str">
            <v>Price</v>
          </cell>
          <cell r="O95">
            <v>0</v>
          </cell>
          <cell r="P95">
            <v>0.01</v>
          </cell>
          <cell r="Q95">
            <v>0.01</v>
          </cell>
          <cell r="R95">
            <v>0.01</v>
          </cell>
          <cell r="S95">
            <v>0.01</v>
          </cell>
          <cell r="T95">
            <v>0.01</v>
          </cell>
          <cell r="U95">
            <v>0.01</v>
          </cell>
          <cell r="BH95">
            <v>0.01</v>
          </cell>
          <cell r="BI95">
            <v>0.01</v>
          </cell>
          <cell r="BJ95">
            <v>0.01</v>
          </cell>
          <cell r="BK95">
            <v>0.01</v>
          </cell>
          <cell r="BL95">
            <v>0.01</v>
          </cell>
          <cell r="BM95">
            <v>0.01</v>
          </cell>
          <cell r="BN95">
            <v>0</v>
          </cell>
          <cell r="BO95">
            <v>0</v>
          </cell>
          <cell r="BP95">
            <v>0</v>
          </cell>
          <cell r="BQ95">
            <v>0</v>
          </cell>
        </row>
        <row r="96">
          <cell r="B96" t="str">
            <v>EBITDA Margin</v>
          </cell>
          <cell r="O96">
            <v>0.25</v>
          </cell>
          <cell r="P96">
            <v>0.24</v>
          </cell>
          <cell r="Q96">
            <v>0.24</v>
          </cell>
          <cell r="R96">
            <v>0.23</v>
          </cell>
          <cell r="S96">
            <v>0.22</v>
          </cell>
          <cell r="T96">
            <v>0.22</v>
          </cell>
          <cell r="U96">
            <v>0.22</v>
          </cell>
          <cell r="BH96">
            <v>0.24000000000000002</v>
          </cell>
          <cell r="BI96">
            <v>0.22500000000000001</v>
          </cell>
          <cell r="BJ96">
            <v>0.24000000000000002</v>
          </cell>
          <cell r="BK96">
            <v>0.24999999999999997</v>
          </cell>
          <cell r="BL96">
            <v>0.26</v>
          </cell>
          <cell r="BM96">
            <v>0.26</v>
          </cell>
          <cell r="BN96">
            <v>0.25</v>
          </cell>
          <cell r="BO96">
            <v>0.25</v>
          </cell>
          <cell r="BP96">
            <v>0.25</v>
          </cell>
          <cell r="BQ96">
            <v>0.25</v>
          </cell>
        </row>
        <row r="98">
          <cell r="B98" t="str">
            <v>CapEx</v>
          </cell>
          <cell r="G98">
            <v>75</v>
          </cell>
          <cell r="H98">
            <v>43</v>
          </cell>
          <cell r="I98">
            <v>49</v>
          </cell>
          <cell r="J98">
            <v>50</v>
          </cell>
          <cell r="K98">
            <v>50</v>
          </cell>
          <cell r="L98">
            <v>92</v>
          </cell>
          <cell r="M98">
            <v>74</v>
          </cell>
          <cell r="N98">
            <v>61.5</v>
          </cell>
          <cell r="O98">
            <v>44.093900000000005</v>
          </cell>
          <cell r="P98">
            <v>44.245866000000014</v>
          </cell>
          <cell r="Q98">
            <v>44.688324660000013</v>
          </cell>
          <cell r="R98">
            <v>44.688324660000013</v>
          </cell>
          <cell r="S98">
            <v>44.688324660000013</v>
          </cell>
          <cell r="T98">
            <v>44.688324660000013</v>
          </cell>
          <cell r="U98">
            <v>44.688324660000013</v>
          </cell>
          <cell r="AJ98">
            <v>19</v>
          </cell>
          <cell r="AK98" t="str">
            <v>ND</v>
          </cell>
          <cell r="AL98">
            <v>9</v>
          </cell>
          <cell r="AM98">
            <v>6</v>
          </cell>
          <cell r="AN98">
            <v>11</v>
          </cell>
          <cell r="AO98">
            <v>17</v>
          </cell>
          <cell r="AP98">
            <v>10</v>
          </cell>
          <cell r="AQ98">
            <v>10</v>
          </cell>
          <cell r="AR98">
            <v>15</v>
          </cell>
          <cell r="AS98">
            <v>14</v>
          </cell>
          <cell r="AT98">
            <v>8</v>
          </cell>
          <cell r="AU98">
            <v>10</v>
          </cell>
          <cell r="AV98">
            <v>12</v>
          </cell>
          <cell r="AW98">
            <v>20</v>
          </cell>
          <cell r="AX98">
            <v>6</v>
          </cell>
          <cell r="AY98">
            <v>9</v>
          </cell>
          <cell r="AZ98">
            <v>15</v>
          </cell>
          <cell r="BA98">
            <v>20</v>
          </cell>
          <cell r="BB98">
            <v>13</v>
          </cell>
          <cell r="BC98">
            <v>22</v>
          </cell>
          <cell r="BD98">
            <v>24</v>
          </cell>
          <cell r="BE98">
            <v>33</v>
          </cell>
          <cell r="BF98">
            <v>16</v>
          </cell>
          <cell r="BG98">
            <v>18</v>
          </cell>
          <cell r="BH98">
            <v>20</v>
          </cell>
          <cell r="BI98">
            <v>20</v>
          </cell>
          <cell r="BJ98">
            <v>15</v>
          </cell>
          <cell r="BK98">
            <v>15</v>
          </cell>
          <cell r="BL98">
            <v>15</v>
          </cell>
          <cell r="BM98">
            <v>16.5</v>
          </cell>
          <cell r="BN98">
            <v>11</v>
          </cell>
          <cell r="BO98">
            <v>11.031300000000002</v>
          </cell>
          <cell r="BP98">
            <v>11.031300000000002</v>
          </cell>
          <cell r="BQ98">
            <v>11.031300000000002</v>
          </cell>
        </row>
        <row r="99">
          <cell r="B99" t="str">
            <v>Capex/Depreciation</v>
          </cell>
          <cell r="G99">
            <v>1.9230769230769231</v>
          </cell>
          <cell r="H99">
            <v>0.84313725490196079</v>
          </cell>
          <cell r="I99">
            <v>0.92452830188679247</v>
          </cell>
          <cell r="J99">
            <v>1</v>
          </cell>
          <cell r="K99">
            <v>1.3513513513513513</v>
          </cell>
          <cell r="L99">
            <v>2.5555555555555554</v>
          </cell>
          <cell r="M99">
            <v>1.8974358974358974</v>
          </cell>
          <cell r="N99">
            <v>1.5</v>
          </cell>
          <cell r="O99">
            <v>1</v>
          </cell>
          <cell r="P99">
            <v>1</v>
          </cell>
          <cell r="Q99">
            <v>1</v>
          </cell>
          <cell r="R99">
            <v>1</v>
          </cell>
          <cell r="S99">
            <v>1</v>
          </cell>
          <cell r="T99">
            <v>1</v>
          </cell>
          <cell r="U99">
            <v>1</v>
          </cell>
          <cell r="AL99">
            <v>0.81818181818181823</v>
          </cell>
          <cell r="AM99">
            <v>0.46153846153846156</v>
          </cell>
          <cell r="AN99">
            <v>0.73333333333333328</v>
          </cell>
          <cell r="AO99">
            <v>1.4166666666666667</v>
          </cell>
          <cell r="AP99">
            <v>0.7142857142857143</v>
          </cell>
          <cell r="AQ99">
            <v>0.76923076923076927</v>
          </cell>
          <cell r="AR99">
            <v>1.1538461538461537</v>
          </cell>
          <cell r="AS99">
            <v>1.0769230769230769</v>
          </cell>
          <cell r="AT99">
            <v>0.66666666666666663</v>
          </cell>
          <cell r="AU99">
            <v>0.83333333333333337</v>
          </cell>
          <cell r="AV99">
            <v>0.92307692307692313</v>
          </cell>
          <cell r="AW99">
            <v>1.5384615384615385</v>
          </cell>
          <cell r="AX99">
            <v>0.54545454545454541</v>
          </cell>
          <cell r="AY99">
            <v>1</v>
          </cell>
          <cell r="AZ99">
            <v>1.875</v>
          </cell>
          <cell r="BA99">
            <v>2.2222222222222223</v>
          </cell>
          <cell r="BB99">
            <v>1.625</v>
          </cell>
          <cell r="BC99">
            <v>2.2000000000000002</v>
          </cell>
          <cell r="BD99">
            <v>2.6666666666666665</v>
          </cell>
          <cell r="BE99">
            <v>3.6666666666666665</v>
          </cell>
          <cell r="BF99">
            <v>1.7777777777777777</v>
          </cell>
          <cell r="BG99">
            <v>1.8</v>
          </cell>
          <cell r="BH99">
            <v>2</v>
          </cell>
          <cell r="BI99">
            <v>2</v>
          </cell>
          <cell r="BJ99">
            <v>1.5</v>
          </cell>
          <cell r="BK99">
            <v>1.5</v>
          </cell>
          <cell r="BL99">
            <v>1.5</v>
          </cell>
          <cell r="BM99">
            <v>1.5</v>
          </cell>
          <cell r="BN99">
            <v>1</v>
          </cell>
          <cell r="BO99">
            <v>1</v>
          </cell>
          <cell r="BP99">
            <v>1</v>
          </cell>
          <cell r="BQ99">
            <v>1</v>
          </cell>
        </row>
        <row r="100">
          <cell r="B100" t="str">
            <v>Total Assets</v>
          </cell>
          <cell r="G100">
            <v>1071</v>
          </cell>
          <cell r="H100">
            <v>1157</v>
          </cell>
          <cell r="I100">
            <v>995</v>
          </cell>
          <cell r="J100">
            <v>1083</v>
          </cell>
          <cell r="K100">
            <v>998</v>
          </cell>
          <cell r="L100">
            <v>1154</v>
          </cell>
          <cell r="AJ100" t="str">
            <v>ND</v>
          </cell>
          <cell r="AK100" t="str">
            <v>ND</v>
          </cell>
          <cell r="AL100" t="str">
            <v>ND</v>
          </cell>
          <cell r="AM100" t="str">
            <v>ND</v>
          </cell>
          <cell r="AN100">
            <v>1172</v>
          </cell>
          <cell r="AO100">
            <v>1157</v>
          </cell>
          <cell r="AP100">
            <v>1178</v>
          </cell>
          <cell r="AQ100">
            <v>1194</v>
          </cell>
          <cell r="AR100">
            <v>1058</v>
          </cell>
          <cell r="AS100">
            <v>995</v>
          </cell>
          <cell r="AT100">
            <v>1064</v>
          </cell>
          <cell r="AU100">
            <v>1115</v>
          </cell>
          <cell r="AV100">
            <v>1073</v>
          </cell>
          <cell r="AW100">
            <v>1083</v>
          </cell>
          <cell r="AX100">
            <v>981</v>
          </cell>
          <cell r="AY100">
            <v>1051</v>
          </cell>
          <cell r="AZ100">
            <v>1008</v>
          </cell>
          <cell r="BA100">
            <v>998</v>
          </cell>
          <cell r="BB100">
            <v>1028</v>
          </cell>
          <cell r="BC100">
            <v>1141</v>
          </cell>
          <cell r="BD100">
            <v>1149</v>
          </cell>
          <cell r="BE100">
            <v>1154</v>
          </cell>
          <cell r="BF100">
            <v>1198</v>
          </cell>
          <cell r="BG100">
            <v>1278</v>
          </cell>
        </row>
        <row r="102">
          <cell r="A102">
            <v>2</v>
          </cell>
          <cell r="B102" t="str">
            <v>Industrial Specialties</v>
          </cell>
          <cell r="AT102">
            <v>205.7</v>
          </cell>
          <cell r="AU102">
            <v>218.94000000000003</v>
          </cell>
          <cell r="AV102">
            <v>236</v>
          </cell>
          <cell r="AW102">
            <v>229</v>
          </cell>
          <cell r="BN102" t="str">
            <v xml:space="preserve"> </v>
          </cell>
        </row>
        <row r="103">
          <cell r="A103">
            <v>0.17505914160189254</v>
          </cell>
          <cell r="B103" t="str">
            <v>Sales</v>
          </cell>
          <cell r="G103">
            <v>1281</v>
          </cell>
          <cell r="H103">
            <v>1346</v>
          </cell>
          <cell r="I103">
            <v>1406</v>
          </cell>
          <cell r="J103">
            <v>974</v>
          </cell>
          <cell r="K103">
            <v>1036</v>
          </cell>
          <cell r="L103">
            <v>1223</v>
          </cell>
          <cell r="M103">
            <v>1184</v>
          </cell>
          <cell r="N103">
            <v>1155</v>
          </cell>
          <cell r="O103">
            <v>1224.5643667572463</v>
          </cell>
          <cell r="P103">
            <v>1287.5242115326291</v>
          </cell>
          <cell r="Q103">
            <v>1354.2045515708228</v>
          </cell>
          <cell r="R103">
            <v>1424.8771569973128</v>
          </cell>
          <cell r="S103">
            <v>1499.8371555505894</v>
          </cell>
          <cell r="T103">
            <v>1579.4052232383522</v>
          </cell>
          <cell r="U103">
            <v>1663.929988533195</v>
          </cell>
          <cell r="AD103">
            <v>206</v>
          </cell>
          <cell r="AE103">
            <v>263</v>
          </cell>
          <cell r="AF103">
            <v>305</v>
          </cell>
          <cell r="AG103">
            <v>286</v>
          </cell>
          <cell r="AH103">
            <v>311</v>
          </cell>
          <cell r="AI103">
            <v>326</v>
          </cell>
          <cell r="AJ103">
            <v>335</v>
          </cell>
          <cell r="AK103">
            <v>309</v>
          </cell>
          <cell r="AL103">
            <v>346</v>
          </cell>
          <cell r="AM103">
            <v>355</v>
          </cell>
          <cell r="AN103">
            <v>314</v>
          </cell>
          <cell r="AO103">
            <v>331</v>
          </cell>
          <cell r="AP103">
            <v>365</v>
          </cell>
          <cell r="AQ103">
            <v>386</v>
          </cell>
          <cell r="AR103">
            <v>378</v>
          </cell>
          <cell r="AS103">
            <v>277</v>
          </cell>
          <cell r="AT103">
            <v>242</v>
          </cell>
          <cell r="AU103">
            <v>267</v>
          </cell>
          <cell r="AV103">
            <v>236</v>
          </cell>
          <cell r="AW103">
            <v>229</v>
          </cell>
          <cell r="AX103">
            <v>242</v>
          </cell>
          <cell r="AY103">
            <v>269</v>
          </cell>
          <cell r="AZ103">
            <v>276</v>
          </cell>
          <cell r="BA103">
            <v>249</v>
          </cell>
          <cell r="BB103">
            <v>290</v>
          </cell>
          <cell r="BC103">
            <v>329</v>
          </cell>
          <cell r="BD103">
            <v>332</v>
          </cell>
          <cell r="BE103">
            <v>272</v>
          </cell>
          <cell r="BF103">
            <v>309</v>
          </cell>
          <cell r="BG103">
            <v>327</v>
          </cell>
          <cell r="BH103">
            <v>297</v>
          </cell>
          <cell r="BI103">
            <v>251</v>
          </cell>
          <cell r="BJ103">
            <v>288</v>
          </cell>
          <cell r="BK103">
            <v>295</v>
          </cell>
          <cell r="BL103">
            <v>299</v>
          </cell>
          <cell r="BM103">
            <v>273</v>
          </cell>
          <cell r="BN103">
            <v>312</v>
          </cell>
          <cell r="BO103">
            <v>310.50344658983579</v>
          </cell>
          <cell r="BP103">
            <v>314.71366281478271</v>
          </cell>
          <cell r="BQ103">
            <v>287.34725735262771</v>
          </cell>
        </row>
        <row r="104">
          <cell r="B104" t="str">
            <v>Growth (%)</v>
          </cell>
          <cell r="H104">
            <v>5.0741608118657355E-2</v>
          </cell>
          <cell r="I104">
            <v>4.457652303120363E-2</v>
          </cell>
          <cell r="J104">
            <v>-0.30725462304409668</v>
          </cell>
          <cell r="K104">
            <v>6.3655030800821466E-2</v>
          </cell>
          <cell r="L104">
            <v>0.18050193050193042</v>
          </cell>
          <cell r="M104">
            <v>-3.1888798037612465E-2</v>
          </cell>
          <cell r="N104">
            <v>-2.4493243243243201E-2</v>
          </cell>
          <cell r="O104">
            <v>6.0228888967312821E-2</v>
          </cell>
          <cell r="P104">
            <v>5.1414075474126353E-2</v>
          </cell>
          <cell r="Q104">
            <v>5.1789581462564849E-2</v>
          </cell>
          <cell r="R104">
            <v>5.2187540903265051E-2</v>
          </cell>
          <cell r="S104">
            <v>5.2608042865422977E-2</v>
          </cell>
          <cell r="T104">
            <v>5.3051137847397456E-2</v>
          </cell>
          <cell r="U104">
            <v>5.351683282491404E-2</v>
          </cell>
          <cell r="AC104">
            <v>1.786782286203481E-2</v>
          </cell>
          <cell r="AJ104" t="str">
            <v>NM</v>
          </cell>
          <cell r="AK104" t="str">
            <v>NM</v>
          </cell>
          <cell r="AL104" t="str">
            <v>NM</v>
          </cell>
          <cell r="AM104" t="str">
            <v>NM</v>
          </cell>
          <cell r="AN104">
            <v>-6.2686567164179086E-2</v>
          </cell>
          <cell r="AO104">
            <v>7.1197411003236288E-2</v>
          </cell>
          <cell r="AP104">
            <v>5.4913294797687806E-2</v>
          </cell>
          <cell r="AQ104">
            <v>8.7323943661971937E-2</v>
          </cell>
          <cell r="AR104">
            <v>0.20382165605095537</v>
          </cell>
          <cell r="AS104">
            <v>-0.1631419939577039</v>
          </cell>
          <cell r="AT104">
            <v>-0.33698630136986296</v>
          </cell>
          <cell r="AU104">
            <v>-0.30829015544041449</v>
          </cell>
          <cell r="AV104">
            <v>-0.3756613756613757</v>
          </cell>
          <cell r="AW104">
            <v>-0.1732851985559567</v>
          </cell>
          <cell r="AX104">
            <v>0</v>
          </cell>
          <cell r="AY104">
            <v>7.4906367041198685E-3</v>
          </cell>
          <cell r="AZ104">
            <v>0.16949152542372881</v>
          </cell>
          <cell r="BA104">
            <v>8.7336244541484698E-2</v>
          </cell>
          <cell r="BB104">
            <v>0.19834710743801653</v>
          </cell>
          <cell r="BC104">
            <v>0.22304832713754652</v>
          </cell>
          <cell r="BD104">
            <v>0.20289855072463769</v>
          </cell>
          <cell r="BE104">
            <v>9.2369477911646625E-2</v>
          </cell>
          <cell r="BF104">
            <v>6.5517241379310365E-2</v>
          </cell>
          <cell r="BG104">
            <v>-6.0790273556230456E-3</v>
          </cell>
          <cell r="BH104">
            <v>-0.10542168674698793</v>
          </cell>
          <cell r="BI104">
            <v>-7.7205882352941124E-2</v>
          </cell>
          <cell r="BJ104">
            <v>-6.7961165048543659E-2</v>
          </cell>
          <cell r="BK104">
            <v>-9.7859327217125425E-2</v>
          </cell>
          <cell r="BL104">
            <v>6.7340067340067034E-3</v>
          </cell>
          <cell r="BM104">
            <v>8.7649402390438169E-2</v>
          </cell>
          <cell r="BN104">
            <v>8.3333333333333259E-2</v>
          </cell>
          <cell r="BO104">
            <v>5.2554056236731483E-2</v>
          </cell>
          <cell r="BP104">
            <v>5.2554056236731483E-2</v>
          </cell>
          <cell r="BQ104">
            <v>5.2554056236731483E-2</v>
          </cell>
        </row>
        <row r="105">
          <cell r="B105" t="str">
            <v>Underlying business</v>
          </cell>
          <cell r="H105">
            <v>0.01</v>
          </cell>
          <cell r="I105">
            <v>9.999999999999995E-3</v>
          </cell>
          <cell r="J105">
            <v>-0.2</v>
          </cell>
          <cell r="K105">
            <v>0.16999999999999998</v>
          </cell>
          <cell r="L105">
            <v>0.15</v>
          </cell>
          <cell r="M105">
            <v>2.5000000000000022E-3</v>
          </cell>
          <cell r="N105">
            <v>-3.5000000000000003E-2</v>
          </cell>
          <cell r="O105">
            <v>5.4415542177548612E-2</v>
          </cell>
          <cell r="P105">
            <v>5.1414075474126353E-2</v>
          </cell>
          <cell r="Q105">
            <v>5.1789581462564849E-2</v>
          </cell>
          <cell r="R105">
            <v>5.2187540903265051E-2</v>
          </cell>
          <cell r="S105">
            <v>5.2608042865422977E-2</v>
          </cell>
          <cell r="T105">
            <v>5.3051137847397456E-2</v>
          </cell>
          <cell r="U105">
            <v>5.351683282491404E-2</v>
          </cell>
          <cell r="AX105">
            <v>0.12</v>
          </cell>
          <cell r="AY105">
            <v>0.22</v>
          </cell>
          <cell r="AZ105">
            <v>0.22999999999999998</v>
          </cell>
          <cell r="BA105">
            <v>0.13</v>
          </cell>
          <cell r="BB105">
            <v>0.21000000000000002</v>
          </cell>
          <cell r="BC105">
            <v>0.15</v>
          </cell>
          <cell r="BD105">
            <v>0.15</v>
          </cell>
          <cell r="BE105">
            <v>0.09</v>
          </cell>
          <cell r="BF105">
            <v>0.09</v>
          </cell>
          <cell r="BG105">
            <v>0.04</v>
          </cell>
          <cell r="BH105">
            <v>-0.06</v>
          </cell>
          <cell r="BI105">
            <v>-0.06</v>
          </cell>
          <cell r="BJ105">
            <v>-7.0000000000000007E-2</v>
          </cell>
          <cell r="BK105">
            <v>-0.11000000000000001</v>
          </cell>
          <cell r="BL105">
            <v>-1.9999999999999997E-2</v>
          </cell>
          <cell r="BM105">
            <v>0.06</v>
          </cell>
          <cell r="BN105">
            <v>0.06</v>
          </cell>
          <cell r="BO105">
            <v>5.2554056236731483E-2</v>
          </cell>
          <cell r="BP105">
            <v>5.2554056236731483E-2</v>
          </cell>
          <cell r="BQ105">
            <v>5.2554056236731483E-2</v>
          </cell>
        </row>
        <row r="106">
          <cell r="B106" t="str">
            <v>Volume</v>
          </cell>
          <cell r="G106">
            <v>0.01</v>
          </cell>
          <cell r="H106">
            <v>-0.01</v>
          </cell>
          <cell r="I106">
            <v>-0.1</v>
          </cell>
          <cell r="J106">
            <v>-0.1</v>
          </cell>
          <cell r="K106">
            <v>0.11</v>
          </cell>
          <cell r="L106">
            <v>0.02</v>
          </cell>
          <cell r="M106">
            <v>3.5000000000000003E-2</v>
          </cell>
          <cell r="N106">
            <v>-2.5000000000000022E-3</v>
          </cell>
          <cell r="O106">
            <v>3.9415542177548613E-2</v>
          </cell>
          <cell r="P106">
            <v>3.1414075474126349E-2</v>
          </cell>
          <cell r="Q106">
            <v>3.1789581462564845E-2</v>
          </cell>
          <cell r="R106">
            <v>3.2187540903265047E-2</v>
          </cell>
          <cell r="S106">
            <v>3.2608042865422973E-2</v>
          </cell>
          <cell r="T106">
            <v>3.3051137847397452E-2</v>
          </cell>
          <cell r="U106">
            <v>3.3516832824914036E-2</v>
          </cell>
          <cell r="AJ106" t="str">
            <v>ND</v>
          </cell>
          <cell r="AK106" t="str">
            <v>ND</v>
          </cell>
          <cell r="AL106" t="str">
            <v>ND</v>
          </cell>
          <cell r="AM106" t="str">
            <v>ND</v>
          </cell>
          <cell r="AN106">
            <v>-0.11</v>
          </cell>
          <cell r="AO106">
            <v>-0.03</v>
          </cell>
          <cell r="AP106">
            <v>-0.11</v>
          </cell>
          <cell r="AQ106">
            <v>-0.09</v>
          </cell>
          <cell r="AR106">
            <v>0.01</v>
          </cell>
          <cell r="AS106">
            <v>-0.19</v>
          </cell>
          <cell r="AT106">
            <v>-0.26</v>
          </cell>
          <cell r="AU106">
            <v>-0.14000000000000001</v>
          </cell>
          <cell r="AV106">
            <v>-0.03</v>
          </cell>
          <cell r="AW106">
            <v>0.1</v>
          </cell>
          <cell r="AX106">
            <v>0.16</v>
          </cell>
          <cell r="AY106">
            <v>0.13</v>
          </cell>
          <cell r="AZ106">
            <v>0.12</v>
          </cell>
          <cell r="BA106">
            <v>0.04</v>
          </cell>
          <cell r="BB106">
            <v>0.08</v>
          </cell>
          <cell r="BC106">
            <v>0.03</v>
          </cell>
          <cell r="BD106">
            <v>0</v>
          </cell>
          <cell r="BE106">
            <v>-0.04</v>
          </cell>
          <cell r="BF106">
            <v>0.05</v>
          </cell>
          <cell r="BG106">
            <v>0.05</v>
          </cell>
          <cell r="BH106">
            <v>0.02</v>
          </cell>
          <cell r="BI106">
            <v>0.02</v>
          </cell>
          <cell r="BJ106">
            <v>-0.03</v>
          </cell>
          <cell r="BK106">
            <v>-7.0000000000000007E-2</v>
          </cell>
          <cell r="BL106">
            <v>0.01</v>
          </cell>
          <cell r="BM106">
            <v>0.08</v>
          </cell>
          <cell r="BN106">
            <v>0.06</v>
          </cell>
          <cell r="BO106">
            <v>3.255405623673148E-2</v>
          </cell>
          <cell r="BP106">
            <v>3.255405623673148E-2</v>
          </cell>
          <cell r="BQ106">
            <v>3.255405623673148E-2</v>
          </cell>
        </row>
        <row r="107">
          <cell r="B107" t="str">
            <v>Price</v>
          </cell>
          <cell r="G107">
            <v>0.03</v>
          </cell>
          <cell r="H107">
            <v>0.02</v>
          </cell>
          <cell r="I107">
            <v>0.11</v>
          </cell>
          <cell r="J107">
            <v>-0.1</v>
          </cell>
          <cell r="K107">
            <v>0.06</v>
          </cell>
          <cell r="L107">
            <v>0.13</v>
          </cell>
          <cell r="M107">
            <v>-3.2500000000000001E-2</v>
          </cell>
          <cell r="N107">
            <v>-3.2500000000000001E-2</v>
          </cell>
          <cell r="O107">
            <v>1.4999999999999999E-2</v>
          </cell>
          <cell r="P107">
            <v>0.02</v>
          </cell>
          <cell r="Q107">
            <v>0.02</v>
          </cell>
          <cell r="R107">
            <v>0.02</v>
          </cell>
          <cell r="S107">
            <v>0.02</v>
          </cell>
          <cell r="T107">
            <v>0.02</v>
          </cell>
          <cell r="U107">
            <v>0.02</v>
          </cell>
          <cell r="AJ107" t="str">
            <v>ND</v>
          </cell>
          <cell r="AK107" t="str">
            <v>ND</v>
          </cell>
          <cell r="AL107" t="str">
            <v>ND</v>
          </cell>
          <cell r="AM107" t="str">
            <v>ND</v>
          </cell>
          <cell r="AN107">
            <v>0.03</v>
          </cell>
          <cell r="AO107">
            <v>0.05</v>
          </cell>
          <cell r="AP107">
            <v>0.1</v>
          </cell>
          <cell r="AQ107">
            <v>0.13</v>
          </cell>
          <cell r="AR107">
            <v>0.15</v>
          </cell>
          <cell r="AS107">
            <v>7.0000000000000007E-2</v>
          </cell>
          <cell r="AT107">
            <v>-0.03</v>
          </cell>
          <cell r="AU107">
            <v>-0.12</v>
          </cell>
          <cell r="AV107">
            <v>-0.14000000000000001</v>
          </cell>
          <cell r="AW107">
            <v>-0.12</v>
          </cell>
          <cell r="AX107">
            <v>-0.04</v>
          </cell>
          <cell r="AY107">
            <v>0.09</v>
          </cell>
          <cell r="AZ107">
            <v>0.11</v>
          </cell>
          <cell r="BA107">
            <v>0.09</v>
          </cell>
          <cell r="BB107">
            <v>0.13</v>
          </cell>
          <cell r="BC107">
            <v>0.12</v>
          </cell>
          <cell r="BD107">
            <v>0.15</v>
          </cell>
          <cell r="BE107">
            <v>0.13</v>
          </cell>
          <cell r="BF107">
            <v>0.04</v>
          </cell>
          <cell r="BG107">
            <v>-0.01</v>
          </cell>
          <cell r="BH107">
            <v>-0.08</v>
          </cell>
          <cell r="BI107">
            <v>-0.08</v>
          </cell>
          <cell r="BJ107">
            <v>-0.04</v>
          </cell>
          <cell r="BK107">
            <v>-0.04</v>
          </cell>
          <cell r="BL107">
            <v>-0.03</v>
          </cell>
          <cell r="BM107">
            <v>-0.02</v>
          </cell>
          <cell r="BN107">
            <v>0</v>
          </cell>
          <cell r="BO107">
            <v>0.02</v>
          </cell>
          <cell r="BP107">
            <v>0.02</v>
          </cell>
          <cell r="BQ107">
            <v>0.02</v>
          </cell>
        </row>
        <row r="108">
          <cell r="B108" t="str">
            <v>Acquisitions/divestitures</v>
          </cell>
          <cell r="G108">
            <v>0.16</v>
          </cell>
          <cell r="H108">
            <v>-0.01</v>
          </cell>
          <cell r="I108">
            <v>-0.01</v>
          </cell>
          <cell r="J108">
            <v>-0.09</v>
          </cell>
          <cell r="K108">
            <v>-0.08</v>
          </cell>
          <cell r="L108">
            <v>0</v>
          </cell>
          <cell r="M108">
            <v>0</v>
          </cell>
          <cell r="N108">
            <v>0</v>
          </cell>
          <cell r="O108">
            <v>5.0000000000000001E-3</v>
          </cell>
          <cell r="P108">
            <v>0</v>
          </cell>
          <cell r="Q108">
            <v>0</v>
          </cell>
          <cell r="R108">
            <v>0</v>
          </cell>
          <cell r="S108">
            <v>0</v>
          </cell>
          <cell r="T108">
            <v>0</v>
          </cell>
          <cell r="U108">
            <v>0</v>
          </cell>
          <cell r="AN108">
            <v>-0.02</v>
          </cell>
          <cell r="AO108">
            <v>-0.01</v>
          </cell>
          <cell r="AP108">
            <v>-0.01</v>
          </cell>
          <cell r="AQ108">
            <v>-0.03</v>
          </cell>
          <cell r="AR108">
            <v>-0.08</v>
          </cell>
          <cell r="AV108">
            <v>-0.2</v>
          </cell>
          <cell r="AW108">
            <v>-0.2</v>
          </cell>
          <cell r="AX108">
            <v>-0.15</v>
          </cell>
          <cell r="AY108">
            <v>-0.18</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0.02</v>
          </cell>
          <cell r="BO108">
            <v>0</v>
          </cell>
          <cell r="BP108">
            <v>0</v>
          </cell>
          <cell r="BQ108">
            <v>0</v>
          </cell>
        </row>
        <row r="109">
          <cell r="B109" t="str">
            <v>Currency</v>
          </cell>
          <cell r="G109">
            <v>0.01</v>
          </cell>
          <cell r="H109">
            <v>0.05</v>
          </cell>
          <cell r="I109">
            <v>0.04</v>
          </cell>
          <cell r="J109">
            <v>-0.02</v>
          </cell>
          <cell r="K109">
            <v>-0.03</v>
          </cell>
          <cell r="L109">
            <v>0.03</v>
          </cell>
          <cell r="M109">
            <v>-3.5000000000000003E-2</v>
          </cell>
          <cell r="N109">
            <v>1.7500000000000002E-2</v>
          </cell>
          <cell r="O109">
            <v>0</v>
          </cell>
          <cell r="P109">
            <v>0</v>
          </cell>
          <cell r="Q109">
            <v>0</v>
          </cell>
          <cell r="R109">
            <v>0</v>
          </cell>
          <cell r="S109">
            <v>0</v>
          </cell>
          <cell r="T109">
            <v>0</v>
          </cell>
          <cell r="U109">
            <v>0</v>
          </cell>
          <cell r="AJ109" t="str">
            <v>ND</v>
          </cell>
          <cell r="AK109" t="str">
            <v>ND</v>
          </cell>
          <cell r="AL109" t="str">
            <v>ND</v>
          </cell>
          <cell r="AM109" t="str">
            <v>ND</v>
          </cell>
          <cell r="AN109">
            <v>0.04</v>
          </cell>
          <cell r="AO109">
            <v>0.06</v>
          </cell>
          <cell r="AP109">
            <v>7.0000000000000007E-2</v>
          </cell>
          <cell r="AQ109">
            <v>0.08</v>
          </cell>
          <cell r="AR109">
            <v>0.05</v>
          </cell>
          <cell r="AS109">
            <v>-0.04</v>
          </cell>
          <cell r="AT109">
            <v>-0.05</v>
          </cell>
          <cell r="AU109">
            <v>-0.05</v>
          </cell>
          <cell r="AV109">
            <v>-0.01</v>
          </cell>
          <cell r="AW109">
            <v>0.05</v>
          </cell>
          <cell r="AX109">
            <v>0.03</v>
          </cell>
          <cell r="AY109">
            <v>-0.03</v>
          </cell>
          <cell r="AZ109">
            <v>-0.06</v>
          </cell>
          <cell r="BA109">
            <v>-0.04</v>
          </cell>
          <cell r="BB109">
            <v>-0.01</v>
          </cell>
          <cell r="BC109">
            <v>7.0000000000000007E-2</v>
          </cell>
          <cell r="BD109">
            <v>0.05</v>
          </cell>
          <cell r="BE109">
            <v>0</v>
          </cell>
          <cell r="BF109">
            <v>-0.02</v>
          </cell>
          <cell r="BG109">
            <v>-0.05</v>
          </cell>
          <cell r="BH109">
            <v>-0.05</v>
          </cell>
          <cell r="BI109">
            <v>-0.02</v>
          </cell>
          <cell r="BJ109">
            <v>0</v>
          </cell>
          <cell r="BK109">
            <v>0.01</v>
          </cell>
          <cell r="BL109">
            <v>0.03</v>
          </cell>
          <cell r="BM109">
            <v>0.03</v>
          </cell>
          <cell r="BN109">
            <v>0</v>
          </cell>
          <cell r="BO109">
            <v>0</v>
          </cell>
          <cell r="BP109">
            <v>0</v>
          </cell>
          <cell r="BQ109">
            <v>0</v>
          </cell>
        </row>
        <row r="111">
          <cell r="B111" t="str">
            <v>Operating EBITDA</v>
          </cell>
          <cell r="G111">
            <v>118</v>
          </cell>
          <cell r="H111">
            <v>119</v>
          </cell>
          <cell r="I111">
            <v>117</v>
          </cell>
          <cell r="J111">
            <v>109</v>
          </cell>
          <cell r="K111">
            <v>111</v>
          </cell>
          <cell r="L111">
            <v>150</v>
          </cell>
          <cell r="M111">
            <v>141</v>
          </cell>
          <cell r="N111">
            <v>122</v>
          </cell>
          <cell r="O111">
            <v>124.01463239420022</v>
          </cell>
          <cell r="P111">
            <v>167.37814749924181</v>
          </cell>
          <cell r="Q111">
            <v>162.50454618849872</v>
          </cell>
          <cell r="R111">
            <v>156.73648726970441</v>
          </cell>
          <cell r="S111">
            <v>164.98208711056483</v>
          </cell>
          <cell r="T111">
            <v>173.73457455621875</v>
          </cell>
          <cell r="U111">
            <v>183.03229873865146</v>
          </cell>
          <cell r="AJ111">
            <v>36</v>
          </cell>
          <cell r="AK111">
            <v>25</v>
          </cell>
          <cell r="AL111">
            <v>26</v>
          </cell>
          <cell r="AM111">
            <v>34</v>
          </cell>
          <cell r="AN111">
            <v>18</v>
          </cell>
          <cell r="AO111">
            <v>41</v>
          </cell>
          <cell r="AP111">
            <v>36</v>
          </cell>
          <cell r="AQ111">
            <v>37</v>
          </cell>
          <cell r="AR111">
            <v>36</v>
          </cell>
          <cell r="AS111">
            <v>8</v>
          </cell>
          <cell r="AT111">
            <v>26</v>
          </cell>
          <cell r="AU111">
            <v>35</v>
          </cell>
          <cell r="AV111">
            <v>29</v>
          </cell>
          <cell r="AW111">
            <v>19</v>
          </cell>
          <cell r="AX111">
            <v>22</v>
          </cell>
          <cell r="AY111">
            <v>26</v>
          </cell>
          <cell r="AZ111">
            <v>36</v>
          </cell>
          <cell r="BA111">
            <v>27</v>
          </cell>
          <cell r="BB111">
            <v>36</v>
          </cell>
          <cell r="BC111">
            <v>40</v>
          </cell>
          <cell r="BD111">
            <v>44</v>
          </cell>
          <cell r="BE111">
            <v>30</v>
          </cell>
          <cell r="BF111">
            <v>35</v>
          </cell>
          <cell r="BG111">
            <v>48</v>
          </cell>
          <cell r="BH111">
            <v>38</v>
          </cell>
          <cell r="BI111">
            <v>20</v>
          </cell>
          <cell r="BJ111">
            <v>28</v>
          </cell>
          <cell r="BK111">
            <v>31</v>
          </cell>
          <cell r="BL111">
            <v>38</v>
          </cell>
          <cell r="BM111">
            <v>25</v>
          </cell>
          <cell r="BN111">
            <v>32</v>
          </cell>
          <cell r="BO111">
            <v>32.629175743338678</v>
          </cell>
          <cell r="BP111">
            <v>33.071605244943264</v>
          </cell>
          <cell r="BQ111">
            <v>26.313851405918285</v>
          </cell>
          <cell r="BS111">
            <v>-19</v>
          </cell>
        </row>
        <row r="112">
          <cell r="B112" t="str">
            <v>Adjusted EBITDA</v>
          </cell>
          <cell r="G112">
            <v>119</v>
          </cell>
          <cell r="H112">
            <v>119</v>
          </cell>
          <cell r="I112">
            <v>117</v>
          </cell>
          <cell r="J112">
            <v>109</v>
          </cell>
          <cell r="K112">
            <v>111</v>
          </cell>
          <cell r="L112">
            <v>148</v>
          </cell>
          <cell r="M112">
            <v>141</v>
          </cell>
          <cell r="N112">
            <v>122</v>
          </cell>
          <cell r="O112">
            <v>124.01463239420022</v>
          </cell>
          <cell r="P112">
            <v>167.37814749924181</v>
          </cell>
          <cell r="Q112">
            <v>162.50454618849872</v>
          </cell>
          <cell r="R112">
            <v>156.73648726970441</v>
          </cell>
          <cell r="S112">
            <v>164.98208711056483</v>
          </cell>
          <cell r="T112">
            <v>173.73457455621875</v>
          </cell>
          <cell r="U112">
            <v>183.03229873865146</v>
          </cell>
          <cell r="AJ112">
            <v>36</v>
          </cell>
          <cell r="AK112">
            <v>25</v>
          </cell>
          <cell r="AL112">
            <v>26</v>
          </cell>
          <cell r="AM112">
            <v>34</v>
          </cell>
          <cell r="AN112">
            <v>18</v>
          </cell>
          <cell r="AO112">
            <v>41</v>
          </cell>
          <cell r="AP112">
            <v>36</v>
          </cell>
          <cell r="AQ112">
            <v>37</v>
          </cell>
          <cell r="AR112">
            <v>36</v>
          </cell>
          <cell r="AS112">
            <v>8</v>
          </cell>
          <cell r="AT112">
            <v>26</v>
          </cell>
          <cell r="AU112">
            <v>35</v>
          </cell>
          <cell r="AV112">
            <v>29</v>
          </cell>
          <cell r="AW112">
            <v>19</v>
          </cell>
          <cell r="AX112">
            <v>22</v>
          </cell>
          <cell r="AY112">
            <v>26</v>
          </cell>
          <cell r="AZ112">
            <v>36</v>
          </cell>
          <cell r="BA112">
            <v>27</v>
          </cell>
          <cell r="BB112">
            <v>36</v>
          </cell>
          <cell r="BC112">
            <v>40</v>
          </cell>
          <cell r="BD112">
            <v>43</v>
          </cell>
          <cell r="BE112">
            <v>29</v>
          </cell>
          <cell r="BF112">
            <v>35</v>
          </cell>
          <cell r="BG112">
            <v>48</v>
          </cell>
          <cell r="BH112">
            <v>38</v>
          </cell>
          <cell r="BI112">
            <v>20</v>
          </cell>
          <cell r="BJ112">
            <v>28</v>
          </cell>
          <cell r="BK112">
            <v>31</v>
          </cell>
          <cell r="BL112">
            <v>38</v>
          </cell>
          <cell r="BM112">
            <v>25</v>
          </cell>
          <cell r="BN112">
            <v>32</v>
          </cell>
          <cell r="BO112">
            <v>32.629175743338678</v>
          </cell>
          <cell r="BP112">
            <v>33.071605244943264</v>
          </cell>
          <cell r="BQ112">
            <v>26.313851405918285</v>
          </cell>
        </row>
        <row r="113">
          <cell r="B113" t="str">
            <v>Margin</v>
          </cell>
          <cell r="G113">
            <v>9.2896174863387984E-2</v>
          </cell>
          <cell r="H113">
            <v>8.8410104011887078E-2</v>
          </cell>
          <cell r="I113">
            <v>8.321479374110953E-2</v>
          </cell>
          <cell r="J113">
            <v>0.11190965092402463</v>
          </cell>
          <cell r="K113">
            <v>0.10714285714285714</v>
          </cell>
          <cell r="L113">
            <v>0.12101390024529844</v>
          </cell>
          <cell r="M113">
            <v>0.11908783783783784</v>
          </cell>
          <cell r="N113">
            <v>0.10562770562770563</v>
          </cell>
          <cell r="O113">
            <v>0.1012724490118897</v>
          </cell>
          <cell r="P113">
            <v>0.13</v>
          </cell>
          <cell r="Q113">
            <v>0.12</v>
          </cell>
          <cell r="R113">
            <v>0.11</v>
          </cell>
          <cell r="S113">
            <v>0.11</v>
          </cell>
          <cell r="T113">
            <v>0.11</v>
          </cell>
          <cell r="U113">
            <v>0.11</v>
          </cell>
          <cell r="AD113">
            <v>0</v>
          </cell>
          <cell r="AE113">
            <v>0</v>
          </cell>
          <cell r="AF113">
            <v>0</v>
          </cell>
          <cell r="AG113">
            <v>0</v>
          </cell>
          <cell r="AH113">
            <v>0</v>
          </cell>
          <cell r="AI113">
            <v>0</v>
          </cell>
          <cell r="AJ113">
            <v>0.10746268656716418</v>
          </cell>
          <cell r="AK113">
            <v>8.0906148867313912E-2</v>
          </cell>
          <cell r="AL113">
            <v>7.5144508670520235E-2</v>
          </cell>
          <cell r="AM113">
            <v>9.5774647887323941E-2</v>
          </cell>
          <cell r="AN113">
            <v>5.7324840764331211E-2</v>
          </cell>
          <cell r="AO113">
            <v>0.12386706948640483</v>
          </cell>
          <cell r="AP113">
            <v>9.8630136986301367E-2</v>
          </cell>
          <cell r="AQ113">
            <v>9.585492227979274E-2</v>
          </cell>
          <cell r="AR113">
            <v>9.5238095238095233E-2</v>
          </cell>
          <cell r="AS113">
            <v>2.8880866425992781E-2</v>
          </cell>
          <cell r="AT113">
            <v>0.10743801652892562</v>
          </cell>
          <cell r="AU113">
            <v>0.13108614232209737</v>
          </cell>
          <cell r="AV113">
            <v>0.1228813559322034</v>
          </cell>
          <cell r="AW113">
            <v>8.296943231441048E-2</v>
          </cell>
          <cell r="AX113">
            <v>9.0909090909090912E-2</v>
          </cell>
          <cell r="AY113">
            <v>9.6654275092936809E-2</v>
          </cell>
          <cell r="AZ113">
            <v>0.13043478260869565</v>
          </cell>
          <cell r="BA113">
            <v>0.10843373493975904</v>
          </cell>
          <cell r="BB113">
            <v>0.12413793103448276</v>
          </cell>
          <cell r="BC113">
            <v>0.12158054711246201</v>
          </cell>
          <cell r="BD113">
            <v>0.12951807228915663</v>
          </cell>
          <cell r="BE113">
            <v>0.10661764705882353</v>
          </cell>
          <cell r="BF113">
            <v>0.11326860841423948</v>
          </cell>
          <cell r="BG113">
            <v>0.14678899082568808</v>
          </cell>
          <cell r="BH113">
            <v>0.12794612794612795</v>
          </cell>
          <cell r="BI113">
            <v>7.9681274900398405E-2</v>
          </cell>
          <cell r="BJ113">
            <v>9.7222222222222224E-2</v>
          </cell>
          <cell r="BK113">
            <v>0.10508474576271186</v>
          </cell>
          <cell r="BL113">
            <v>0.12709030100334448</v>
          </cell>
          <cell r="BM113">
            <v>9.1575091575091569E-2</v>
          </cell>
          <cell r="BN113">
            <v>0.10256410256410256</v>
          </cell>
          <cell r="BO113">
            <v>0.10508474576271186</v>
          </cell>
          <cell r="BP113">
            <v>0.10508474576271186</v>
          </cell>
          <cell r="BQ113">
            <v>9.1575091575091569E-2</v>
          </cell>
        </row>
        <row r="114">
          <cell r="B114" t="str">
            <v>Incremental Margin</v>
          </cell>
          <cell r="G114">
            <v>9.2115534738485563E-2</v>
          </cell>
          <cell r="H114">
            <v>1.5384615384615385E-2</v>
          </cell>
          <cell r="I114">
            <v>-3.3333333333333333E-2</v>
          </cell>
          <cell r="J114">
            <v>1.8518518518518517E-2</v>
          </cell>
          <cell r="K114">
            <v>3.2258064516129031E-2</v>
          </cell>
          <cell r="L114">
            <v>0.20855614973262032</v>
          </cell>
          <cell r="M114">
            <v>0.23076923076923078</v>
          </cell>
          <cell r="N114">
            <v>0.65517241379310343</v>
          </cell>
          <cell r="O114">
            <v>2.8960694794082389E-2</v>
          </cell>
          <cell r="P114">
            <v>0.68874876136919272</v>
          </cell>
          <cell r="Q114">
            <v>-7.3089029059413099E-2</v>
          </cell>
          <cell r="R114">
            <v>-8.1616616282725651E-2</v>
          </cell>
          <cell r="S114">
            <v>0.10999999999999996</v>
          </cell>
          <cell r="T114">
            <v>0.11000000000000008</v>
          </cell>
          <cell r="U114">
            <v>0.11000000000000006</v>
          </cell>
        </row>
        <row r="115">
          <cell r="B115" t="str">
            <v>Equity Earnings</v>
          </cell>
          <cell r="G115">
            <v>-1</v>
          </cell>
          <cell r="H115">
            <v>0</v>
          </cell>
          <cell r="I115">
            <v>0</v>
          </cell>
          <cell r="J115">
            <v>0</v>
          </cell>
          <cell r="K115">
            <v>0</v>
          </cell>
          <cell r="L115">
            <v>2</v>
          </cell>
          <cell r="M115">
            <v>0</v>
          </cell>
          <cell r="N115">
            <v>0</v>
          </cell>
          <cell r="O115">
            <v>0</v>
          </cell>
          <cell r="P115">
            <v>0</v>
          </cell>
          <cell r="Q115">
            <v>0</v>
          </cell>
          <cell r="R115">
            <v>0</v>
          </cell>
          <cell r="S115">
            <v>0</v>
          </cell>
          <cell r="T115">
            <v>0</v>
          </cell>
          <cell r="U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1</v>
          </cell>
          <cell r="BE115">
            <v>1</v>
          </cell>
          <cell r="BF115">
            <v>0</v>
          </cell>
          <cell r="BG115">
            <v>0</v>
          </cell>
          <cell r="BH115">
            <v>0</v>
          </cell>
          <cell r="BI115">
            <v>0</v>
          </cell>
          <cell r="BJ115">
            <v>0</v>
          </cell>
          <cell r="BK115">
            <v>0</v>
          </cell>
          <cell r="BL115">
            <v>0</v>
          </cell>
          <cell r="BM115">
            <v>0</v>
          </cell>
          <cell r="BN115">
            <v>0</v>
          </cell>
          <cell r="BO115">
            <v>0</v>
          </cell>
          <cell r="BP115">
            <v>0</v>
          </cell>
          <cell r="BQ115">
            <v>0</v>
          </cell>
        </row>
        <row r="116">
          <cell r="B116" t="str">
            <v>Consolidated Margin</v>
          </cell>
          <cell r="G116">
            <v>9.2115534738485563E-2</v>
          </cell>
          <cell r="H116">
            <v>8.8410104011887078E-2</v>
          </cell>
          <cell r="I116">
            <v>8.321479374110953E-2</v>
          </cell>
          <cell r="J116">
            <v>0.11190965092402463</v>
          </cell>
          <cell r="K116">
            <v>0.10714285714285714</v>
          </cell>
          <cell r="L116">
            <v>0.12264922322158626</v>
          </cell>
          <cell r="M116">
            <v>0.11908783783783784</v>
          </cell>
          <cell r="N116">
            <v>0.10562770562770563</v>
          </cell>
          <cell r="O116">
            <v>0.1012724490118897</v>
          </cell>
          <cell r="P116">
            <v>0.13</v>
          </cell>
          <cell r="Q116">
            <v>0.12</v>
          </cell>
          <cell r="R116">
            <v>0.11</v>
          </cell>
          <cell r="S116">
            <v>0.11</v>
          </cell>
          <cell r="T116">
            <v>0.11</v>
          </cell>
          <cell r="U116">
            <v>0.11000000000000001</v>
          </cell>
          <cell r="AJ116">
            <v>0.10746268656716418</v>
          </cell>
          <cell r="AK116">
            <v>8.0906148867313912E-2</v>
          </cell>
          <cell r="AL116">
            <v>7.5144508670520235E-2</v>
          </cell>
          <cell r="AM116">
            <v>9.5774647887323941E-2</v>
          </cell>
          <cell r="AN116">
            <v>5.7324840764331211E-2</v>
          </cell>
          <cell r="AO116">
            <v>0.12386706948640483</v>
          </cell>
          <cell r="AP116">
            <v>9.8630136986301367E-2</v>
          </cell>
          <cell r="AQ116">
            <v>9.585492227979274E-2</v>
          </cell>
          <cell r="AR116">
            <v>9.5238095238095233E-2</v>
          </cell>
          <cell r="AS116">
            <v>2.8880866425992781E-2</v>
          </cell>
          <cell r="AT116">
            <v>0.10743801652892562</v>
          </cell>
          <cell r="AU116">
            <v>0.13108614232209737</v>
          </cell>
          <cell r="AV116">
            <v>0.1228813559322034</v>
          </cell>
          <cell r="AW116">
            <v>8.296943231441048E-2</v>
          </cell>
          <cell r="AX116">
            <v>9.0909090909090912E-2</v>
          </cell>
          <cell r="AY116">
            <v>9.6654275092936809E-2</v>
          </cell>
          <cell r="AZ116">
            <v>0.13043478260869565</v>
          </cell>
          <cell r="BA116">
            <v>0.10843373493975904</v>
          </cell>
          <cell r="BB116">
            <v>0.12413793103448276</v>
          </cell>
          <cell r="BC116">
            <v>0.12158054711246201</v>
          </cell>
          <cell r="BD116">
            <v>0.13253012048192772</v>
          </cell>
          <cell r="BE116">
            <v>0.11029411764705882</v>
          </cell>
          <cell r="BF116">
            <v>0.11326860841423948</v>
          </cell>
          <cell r="BG116">
            <v>0.14678899082568808</v>
          </cell>
          <cell r="BH116">
            <v>0.12794612794612795</v>
          </cell>
          <cell r="BI116">
            <v>7.9681274900398405E-2</v>
          </cell>
          <cell r="BJ116">
            <v>9.7222222222222224E-2</v>
          </cell>
          <cell r="BK116">
            <v>0.10508474576271186</v>
          </cell>
          <cell r="BL116">
            <v>0.12709030100334448</v>
          </cell>
          <cell r="BM116">
            <v>9.1575091575091569E-2</v>
          </cell>
          <cell r="BN116">
            <v>0.10256410256410256</v>
          </cell>
          <cell r="BO116">
            <v>0.10508474576271187</v>
          </cell>
          <cell r="BP116">
            <v>0.10508474576271185</v>
          </cell>
          <cell r="BQ116">
            <v>9.1575091575091569E-2</v>
          </cell>
        </row>
        <row r="117">
          <cell r="BS117">
            <v>73</v>
          </cell>
        </row>
        <row r="118">
          <cell r="A118">
            <v>9.8199672667757767E-2</v>
          </cell>
          <cell r="B118" t="str">
            <v>Operating income</v>
          </cell>
          <cell r="G118">
            <v>60</v>
          </cell>
          <cell r="H118">
            <v>60</v>
          </cell>
          <cell r="I118">
            <v>60</v>
          </cell>
          <cell r="J118">
            <v>63</v>
          </cell>
          <cell r="K118">
            <v>70</v>
          </cell>
          <cell r="L118">
            <v>103</v>
          </cell>
          <cell r="M118">
            <v>88</v>
          </cell>
          <cell r="N118">
            <v>73</v>
          </cell>
          <cell r="O118">
            <v>75.573632136200231</v>
          </cell>
          <cell r="P118">
            <v>115.87717903793664</v>
          </cell>
          <cell r="Q118">
            <v>108.33636412566581</v>
          </cell>
          <cell r="R118">
            <v>99.741400989811893</v>
          </cell>
          <cell r="S118">
            <v>104.98860088854126</v>
          </cell>
          <cell r="T118">
            <v>110.55836562668466</v>
          </cell>
          <cell r="U118">
            <v>116.47509919732366</v>
          </cell>
          <cell r="AJ118">
            <v>20</v>
          </cell>
          <cell r="AK118">
            <v>11</v>
          </cell>
          <cell r="AL118">
            <v>12</v>
          </cell>
          <cell r="AM118">
            <v>18</v>
          </cell>
          <cell r="AN118">
            <v>5</v>
          </cell>
          <cell r="AO118">
            <v>25</v>
          </cell>
          <cell r="AP118">
            <v>22</v>
          </cell>
          <cell r="AQ118">
            <v>23</v>
          </cell>
          <cell r="AR118">
            <v>21</v>
          </cell>
          <cell r="AS118">
            <v>-6</v>
          </cell>
          <cell r="AT118">
            <v>13</v>
          </cell>
          <cell r="AU118">
            <v>24</v>
          </cell>
          <cell r="AV118">
            <v>18</v>
          </cell>
          <cell r="AW118">
            <v>8</v>
          </cell>
          <cell r="AX118">
            <v>12</v>
          </cell>
          <cell r="AY118">
            <v>16</v>
          </cell>
          <cell r="AZ118">
            <v>25</v>
          </cell>
          <cell r="BA118">
            <v>17</v>
          </cell>
          <cell r="BB118">
            <v>26</v>
          </cell>
          <cell r="BC118">
            <v>28</v>
          </cell>
          <cell r="BD118">
            <v>32</v>
          </cell>
          <cell r="BE118">
            <v>19</v>
          </cell>
          <cell r="BF118">
            <v>22</v>
          </cell>
          <cell r="BG118">
            <v>35</v>
          </cell>
          <cell r="BH118">
            <v>25</v>
          </cell>
          <cell r="BI118">
            <v>6</v>
          </cell>
          <cell r="BJ118">
            <v>16</v>
          </cell>
          <cell r="BK118">
            <v>19</v>
          </cell>
          <cell r="BL118">
            <v>25</v>
          </cell>
          <cell r="BM118">
            <v>13</v>
          </cell>
          <cell r="BN118">
            <v>20</v>
          </cell>
          <cell r="BO118">
            <v>20.482175657338679</v>
          </cell>
          <cell r="BP118">
            <v>20.924605158943265</v>
          </cell>
          <cell r="BQ118">
            <v>14.166851319918285</v>
          </cell>
          <cell r="BS118">
            <v>75.573632136200231</v>
          </cell>
        </row>
        <row r="119">
          <cell r="B119" t="str">
            <v>Reported EBIT</v>
          </cell>
          <cell r="G119">
            <v>44</v>
          </cell>
          <cell r="H119">
            <v>28</v>
          </cell>
          <cell r="I119">
            <v>47</v>
          </cell>
          <cell r="J119">
            <v>89</v>
          </cell>
          <cell r="K119">
            <v>89</v>
          </cell>
          <cell r="L119">
            <v>102</v>
          </cell>
          <cell r="M119">
            <v>86</v>
          </cell>
          <cell r="N119">
            <v>64</v>
          </cell>
          <cell r="O119">
            <v>75.573632136200231</v>
          </cell>
          <cell r="P119">
            <v>115.87717903793664</v>
          </cell>
          <cell r="Q119">
            <v>108.33636412566581</v>
          </cell>
          <cell r="R119">
            <v>99.741400989811893</v>
          </cell>
          <cell r="S119">
            <v>104.98860088854126</v>
          </cell>
          <cell r="T119">
            <v>110.55836562668466</v>
          </cell>
          <cell r="U119">
            <v>116.47509919732366</v>
          </cell>
          <cell r="AJ119">
            <v>17</v>
          </cell>
          <cell r="AK119">
            <v>9</v>
          </cell>
          <cell r="AL119">
            <v>12</v>
          </cell>
          <cell r="AM119">
            <v>-1</v>
          </cell>
          <cell r="AN119">
            <v>-9</v>
          </cell>
          <cell r="AO119">
            <v>26</v>
          </cell>
          <cell r="AP119">
            <v>17</v>
          </cell>
          <cell r="AQ119">
            <v>20</v>
          </cell>
          <cell r="AR119">
            <v>18</v>
          </cell>
          <cell r="AS119">
            <v>-8</v>
          </cell>
          <cell r="AT119">
            <v>10</v>
          </cell>
          <cell r="AU119">
            <v>19</v>
          </cell>
          <cell r="AV119">
            <v>44</v>
          </cell>
          <cell r="AW119">
            <v>16</v>
          </cell>
          <cell r="AX119">
            <v>12</v>
          </cell>
          <cell r="AY119">
            <v>16</v>
          </cell>
          <cell r="AZ119">
            <v>50</v>
          </cell>
          <cell r="BA119">
            <v>11</v>
          </cell>
          <cell r="BB119">
            <v>26</v>
          </cell>
          <cell r="BC119">
            <v>28</v>
          </cell>
          <cell r="BD119">
            <v>31</v>
          </cell>
          <cell r="BE119">
            <v>17</v>
          </cell>
          <cell r="BF119">
            <v>20</v>
          </cell>
          <cell r="BG119">
            <v>35</v>
          </cell>
          <cell r="BH119">
            <v>25</v>
          </cell>
          <cell r="BI119">
            <v>6</v>
          </cell>
          <cell r="BJ119">
            <v>15</v>
          </cell>
          <cell r="BK119">
            <v>18</v>
          </cell>
          <cell r="BL119">
            <v>24</v>
          </cell>
          <cell r="BM119">
            <v>7</v>
          </cell>
          <cell r="BN119">
            <v>20</v>
          </cell>
          <cell r="BO119">
            <v>20.482175657338679</v>
          </cell>
          <cell r="BP119">
            <v>20.924605158943265</v>
          </cell>
          <cell r="BQ119">
            <v>14.166851319918285</v>
          </cell>
          <cell r="BS119">
            <v>2.5736321362002315</v>
          </cell>
        </row>
        <row r="120">
          <cell r="B120" t="str">
            <v>Margin</v>
          </cell>
          <cell r="G120">
            <v>3.4348165495706483E-2</v>
          </cell>
          <cell r="H120">
            <v>2.0802377414561663E-2</v>
          </cell>
          <cell r="I120">
            <v>3.3428165007112376E-2</v>
          </cell>
          <cell r="J120">
            <v>9.1375770020533875E-2</v>
          </cell>
          <cell r="K120">
            <v>8.5907335907335902E-2</v>
          </cell>
          <cell r="L120">
            <v>8.3401471790678652E-2</v>
          </cell>
          <cell r="M120">
            <v>7.2635135135135129E-2</v>
          </cell>
          <cell r="N120">
            <v>5.5411255411255411E-2</v>
          </cell>
          <cell r="O120">
            <v>6.1714707848576252E-2</v>
          </cell>
          <cell r="P120">
            <v>9.0000000000000011E-2</v>
          </cell>
          <cell r="Q120">
            <v>7.9999999999999988E-2</v>
          </cell>
          <cell r="R120">
            <v>6.9999999999999993E-2</v>
          </cell>
          <cell r="S120">
            <v>6.9999999999999993E-2</v>
          </cell>
          <cell r="T120">
            <v>7.0000000000000007E-2</v>
          </cell>
          <cell r="U120">
            <v>7.0000000000000007E-2</v>
          </cell>
          <cell r="AJ120">
            <v>5.0746268656716415E-2</v>
          </cell>
          <cell r="AK120">
            <v>2.9126213592233011E-2</v>
          </cell>
          <cell r="AL120">
            <v>3.4682080924855488E-2</v>
          </cell>
          <cell r="AM120">
            <v>-2.8169014084507044E-3</v>
          </cell>
          <cell r="AN120">
            <v>-2.8662420382165606E-2</v>
          </cell>
          <cell r="AO120">
            <v>7.8549848942598186E-2</v>
          </cell>
          <cell r="AP120">
            <v>4.6575342465753428E-2</v>
          </cell>
          <cell r="AQ120">
            <v>5.181347150259067E-2</v>
          </cell>
          <cell r="AR120">
            <v>4.7619047619047616E-2</v>
          </cell>
          <cell r="AS120">
            <v>-2.8880866425992781E-2</v>
          </cell>
          <cell r="AT120">
            <v>4.1322314049586778E-2</v>
          </cell>
          <cell r="AU120">
            <v>7.116104868913857E-2</v>
          </cell>
          <cell r="AV120">
            <v>0.1864406779661017</v>
          </cell>
          <cell r="AW120">
            <v>6.9868995633187769E-2</v>
          </cell>
          <cell r="AX120">
            <v>4.9586776859504134E-2</v>
          </cell>
          <cell r="AY120">
            <v>5.9479553903345722E-2</v>
          </cell>
          <cell r="AZ120">
            <v>0.18115942028985507</v>
          </cell>
          <cell r="BA120">
            <v>4.4176706827309238E-2</v>
          </cell>
          <cell r="BB120">
            <v>8.9655172413793102E-2</v>
          </cell>
          <cell r="BC120">
            <v>8.5106382978723402E-2</v>
          </cell>
          <cell r="BD120">
            <v>9.337349397590361E-2</v>
          </cell>
          <cell r="BE120">
            <v>6.25E-2</v>
          </cell>
          <cell r="BF120">
            <v>6.4724919093851127E-2</v>
          </cell>
          <cell r="BG120">
            <v>0.10703363914373089</v>
          </cell>
          <cell r="BH120">
            <v>8.4175084175084181E-2</v>
          </cell>
          <cell r="BI120">
            <v>2.3904382470119521E-2</v>
          </cell>
          <cell r="BJ120">
            <v>5.2083333333333336E-2</v>
          </cell>
          <cell r="BK120">
            <v>6.1016949152542375E-2</v>
          </cell>
          <cell r="BL120">
            <v>8.0267558528428096E-2</v>
          </cell>
          <cell r="BM120">
            <v>2.564102564102564E-2</v>
          </cell>
          <cell r="BN120">
            <v>6.4102564102564097E-2</v>
          </cell>
          <cell r="BO120">
            <v>6.596440677966102E-2</v>
          </cell>
          <cell r="BP120">
            <v>6.6487755796156678E-2</v>
          </cell>
          <cell r="BQ120">
            <v>4.9302197802197793E-2</v>
          </cell>
        </row>
        <row r="122">
          <cell r="B122" t="str">
            <v>Special charges</v>
          </cell>
          <cell r="G122">
            <v>16</v>
          </cell>
          <cell r="H122">
            <v>32</v>
          </cell>
          <cell r="I122">
            <v>13</v>
          </cell>
          <cell r="J122">
            <v>-26</v>
          </cell>
          <cell r="K122">
            <v>-19</v>
          </cell>
          <cell r="L122">
            <v>1</v>
          </cell>
          <cell r="M122">
            <v>2</v>
          </cell>
          <cell r="N122">
            <v>9</v>
          </cell>
          <cell r="O122">
            <v>0</v>
          </cell>
          <cell r="P122">
            <v>0</v>
          </cell>
          <cell r="Q122">
            <v>0</v>
          </cell>
          <cell r="R122">
            <v>0</v>
          </cell>
          <cell r="S122">
            <v>0</v>
          </cell>
          <cell r="T122">
            <v>0</v>
          </cell>
          <cell r="U122">
            <v>0</v>
          </cell>
          <cell r="AJ122">
            <v>3</v>
          </cell>
          <cell r="AK122">
            <v>2</v>
          </cell>
          <cell r="AL122">
            <v>0</v>
          </cell>
          <cell r="AM122">
            <v>19</v>
          </cell>
          <cell r="AN122">
            <v>14</v>
          </cell>
          <cell r="AO122">
            <v>-1</v>
          </cell>
          <cell r="AP122">
            <v>5</v>
          </cell>
          <cell r="AQ122">
            <v>3</v>
          </cell>
          <cell r="AR122">
            <v>3</v>
          </cell>
          <cell r="AS122">
            <v>2</v>
          </cell>
          <cell r="AT122">
            <v>3</v>
          </cell>
          <cell r="AU122">
            <v>5</v>
          </cell>
          <cell r="AV122">
            <v>-26</v>
          </cell>
          <cell r="AW122">
            <v>-8</v>
          </cell>
          <cell r="AX122">
            <v>0</v>
          </cell>
          <cell r="AY122">
            <v>0</v>
          </cell>
          <cell r="AZ122">
            <v>-25</v>
          </cell>
          <cell r="BA122">
            <v>6</v>
          </cell>
          <cell r="BB122">
            <v>0</v>
          </cell>
          <cell r="BC122">
            <v>0</v>
          </cell>
          <cell r="BD122">
            <v>0</v>
          </cell>
          <cell r="BE122">
            <v>1</v>
          </cell>
          <cell r="BF122">
            <v>2</v>
          </cell>
          <cell r="BG122">
            <v>0</v>
          </cell>
          <cell r="BH122">
            <v>0</v>
          </cell>
          <cell r="BI122">
            <v>0</v>
          </cell>
          <cell r="BJ122">
            <v>1</v>
          </cell>
          <cell r="BK122">
            <v>1</v>
          </cell>
          <cell r="BL122">
            <v>1</v>
          </cell>
          <cell r="BM122">
            <v>6</v>
          </cell>
          <cell r="BN122">
            <v>0</v>
          </cell>
          <cell r="BO122">
            <v>0</v>
          </cell>
          <cell r="BP122">
            <v>0</v>
          </cell>
          <cell r="BQ122">
            <v>0</v>
          </cell>
        </row>
        <row r="123">
          <cell r="B123" t="str">
            <v>D&amp;A</v>
          </cell>
          <cell r="G123">
            <v>59</v>
          </cell>
          <cell r="H123">
            <v>59</v>
          </cell>
          <cell r="I123">
            <v>57</v>
          </cell>
          <cell r="J123">
            <v>46</v>
          </cell>
          <cell r="K123">
            <v>41</v>
          </cell>
          <cell r="L123">
            <v>45</v>
          </cell>
          <cell r="M123">
            <v>53</v>
          </cell>
          <cell r="N123">
            <v>49</v>
          </cell>
          <cell r="O123">
            <v>48.441000257999995</v>
          </cell>
          <cell r="P123">
            <v>51.500968461305163</v>
          </cell>
          <cell r="Q123">
            <v>54.168182062832912</v>
          </cell>
          <cell r="R123">
            <v>56.995086279892512</v>
          </cell>
          <cell r="S123">
            <v>59.993486222023577</v>
          </cell>
          <cell r="T123">
            <v>63.176208929534091</v>
          </cell>
          <cell r="U123">
            <v>66.557199541327805</v>
          </cell>
          <cell r="AJ123">
            <v>16</v>
          </cell>
          <cell r="AK123">
            <v>14</v>
          </cell>
          <cell r="AL123">
            <v>14</v>
          </cell>
          <cell r="AM123">
            <v>16</v>
          </cell>
          <cell r="AN123">
            <v>13</v>
          </cell>
          <cell r="AO123">
            <v>16</v>
          </cell>
          <cell r="AP123">
            <v>14</v>
          </cell>
          <cell r="AQ123">
            <v>14</v>
          </cell>
          <cell r="AR123">
            <v>15</v>
          </cell>
          <cell r="AS123">
            <v>14</v>
          </cell>
          <cell r="AT123">
            <v>13</v>
          </cell>
          <cell r="AU123">
            <v>11</v>
          </cell>
          <cell r="AV123">
            <v>11</v>
          </cell>
          <cell r="AW123">
            <v>11</v>
          </cell>
          <cell r="AX123">
            <v>10</v>
          </cell>
          <cell r="AY123">
            <v>10</v>
          </cell>
          <cell r="AZ123">
            <v>11</v>
          </cell>
          <cell r="BA123">
            <v>10</v>
          </cell>
          <cell r="BB123">
            <v>10</v>
          </cell>
          <cell r="BC123">
            <v>12</v>
          </cell>
          <cell r="BD123">
            <v>12</v>
          </cell>
          <cell r="BE123">
            <v>11</v>
          </cell>
          <cell r="BF123">
            <v>13</v>
          </cell>
          <cell r="BG123">
            <v>13</v>
          </cell>
          <cell r="BH123">
            <v>13</v>
          </cell>
          <cell r="BI123">
            <v>14</v>
          </cell>
          <cell r="BJ123">
            <v>12</v>
          </cell>
          <cell r="BK123">
            <v>12</v>
          </cell>
          <cell r="BL123">
            <v>13</v>
          </cell>
          <cell r="BM123">
            <v>12</v>
          </cell>
          <cell r="BN123">
            <v>12</v>
          </cell>
          <cell r="BO123">
            <v>12.147000086</v>
          </cell>
          <cell r="BP123">
            <v>12.147000086</v>
          </cell>
          <cell r="BQ123">
            <v>12.147000086</v>
          </cell>
        </row>
        <row r="124">
          <cell r="B124" t="str">
            <v>% of sales</v>
          </cell>
          <cell r="G124">
            <v>4.6057767369242782E-2</v>
          </cell>
          <cell r="H124">
            <v>4.3833580980683504E-2</v>
          </cell>
          <cell r="I124">
            <v>4.0540540540540543E-2</v>
          </cell>
          <cell r="J124">
            <v>4.7227926078028747E-2</v>
          </cell>
          <cell r="K124">
            <v>3.9575289575289573E-2</v>
          </cell>
          <cell r="L124">
            <v>3.6794766966475878E-2</v>
          </cell>
          <cell r="M124">
            <v>4.4763513513513514E-2</v>
          </cell>
          <cell r="N124">
            <v>4.2424242424242427E-2</v>
          </cell>
          <cell r="O124">
            <v>3.9557741163313453E-2</v>
          </cell>
          <cell r="P124">
            <v>0.04</v>
          </cell>
          <cell r="Q124">
            <v>0.04</v>
          </cell>
          <cell r="R124">
            <v>0.04</v>
          </cell>
          <cell r="S124">
            <v>0.04</v>
          </cell>
          <cell r="T124">
            <v>0.04</v>
          </cell>
          <cell r="U124">
            <v>0.04</v>
          </cell>
          <cell r="AJ124">
            <v>4.7761194029850747E-2</v>
          </cell>
          <cell r="AK124">
            <v>4.5307443365695796E-2</v>
          </cell>
          <cell r="AL124">
            <v>4.046242774566474E-2</v>
          </cell>
          <cell r="AM124">
            <v>4.507042253521127E-2</v>
          </cell>
          <cell r="AN124">
            <v>4.1401273885350316E-2</v>
          </cell>
          <cell r="AO124">
            <v>4.8338368580060423E-2</v>
          </cell>
          <cell r="AP124">
            <v>3.8356164383561646E-2</v>
          </cell>
          <cell r="AQ124">
            <v>3.6269430051813469E-2</v>
          </cell>
          <cell r="AR124">
            <v>3.968253968253968E-2</v>
          </cell>
          <cell r="AS124">
            <v>5.0541516245487361E-2</v>
          </cell>
          <cell r="AT124">
            <v>5.3719008264462811E-2</v>
          </cell>
          <cell r="AU124">
            <v>4.1198501872659173E-2</v>
          </cell>
          <cell r="AV124">
            <v>4.6610169491525424E-2</v>
          </cell>
          <cell r="AW124">
            <v>4.8034934497816595E-2</v>
          </cell>
          <cell r="AX124">
            <v>4.1322314049586778E-2</v>
          </cell>
          <cell r="AY124">
            <v>3.717472118959108E-2</v>
          </cell>
          <cell r="AZ124">
            <v>3.9855072463768113E-2</v>
          </cell>
          <cell r="BA124">
            <v>4.0160642570281124E-2</v>
          </cell>
          <cell r="BB124">
            <v>3.4482758620689655E-2</v>
          </cell>
          <cell r="BC124">
            <v>3.64741641337386E-2</v>
          </cell>
          <cell r="BD124">
            <v>3.614457831325301E-2</v>
          </cell>
          <cell r="BE124">
            <v>4.0441176470588237E-2</v>
          </cell>
          <cell r="BF124">
            <v>4.2071197411003236E-2</v>
          </cell>
          <cell r="BG124">
            <v>3.9755351681957186E-2</v>
          </cell>
          <cell r="BH124">
            <v>4.3771043771043773E-2</v>
          </cell>
          <cell r="BI124">
            <v>5.5776892430278883E-2</v>
          </cell>
          <cell r="BJ124">
            <v>4.1666666666666664E-2</v>
          </cell>
          <cell r="BK124">
            <v>4.0677966101694912E-2</v>
          </cell>
          <cell r="BL124">
            <v>4.3478260869565216E-2</v>
          </cell>
          <cell r="BM124">
            <v>4.3956043956043959E-2</v>
          </cell>
          <cell r="BN124">
            <v>3.8461538461538464E-2</v>
          </cell>
          <cell r="BO124">
            <v>3.9120338983050847E-2</v>
          </cell>
          <cell r="BP124">
            <v>3.8596989966555188E-2</v>
          </cell>
          <cell r="BQ124">
            <v>4.2272893772893776E-2</v>
          </cell>
        </row>
        <row r="125">
          <cell r="B125" t="str">
            <v>% of total D&amp;A</v>
          </cell>
          <cell r="G125">
            <v>0.21933085501858737</v>
          </cell>
          <cell r="H125">
            <v>0.20274914089347079</v>
          </cell>
          <cell r="I125">
            <v>0.17325227963525835</v>
          </cell>
          <cell r="J125">
            <v>0.15862068965517243</v>
          </cell>
          <cell r="K125">
            <v>0.15891472868217055</v>
          </cell>
          <cell r="L125">
            <v>0.156794425087108</v>
          </cell>
          <cell r="M125">
            <v>0.17666666666666667</v>
          </cell>
          <cell r="N125">
            <v>0.16225165562913907</v>
          </cell>
          <cell r="O125">
            <v>0.16145121856272582</v>
          </cell>
          <cell r="P125">
            <v>0.16321191500521953</v>
          </cell>
          <cell r="Q125">
            <v>0.1565960064158218</v>
          </cell>
          <cell r="R125">
            <v>0.1559798918365756</v>
          </cell>
          <cell r="S125">
            <v>0.15804562621214654</v>
          </cell>
          <cell r="T125">
            <v>0.16199385207988501</v>
          </cell>
          <cell r="U125">
            <v>0.16605091284071591</v>
          </cell>
          <cell r="AJ125">
            <v>0.24242424242424243</v>
          </cell>
          <cell r="AK125">
            <v>0.21875</v>
          </cell>
          <cell r="AL125">
            <v>0.20588235294117646</v>
          </cell>
          <cell r="AM125">
            <v>0.21917808219178081</v>
          </cell>
          <cell r="AN125">
            <v>0.16883116883116883</v>
          </cell>
          <cell r="AO125">
            <v>0.21917808219178081</v>
          </cell>
          <cell r="AP125">
            <v>0.16867469879518071</v>
          </cell>
          <cell r="AQ125">
            <v>0.17073170731707318</v>
          </cell>
          <cell r="AR125">
            <v>0.17647058823529413</v>
          </cell>
          <cell r="AS125">
            <v>0.17721518987341772</v>
          </cell>
          <cell r="AT125">
            <v>0.18309859154929578</v>
          </cell>
          <cell r="AU125">
            <v>0.15277777777777779</v>
          </cell>
          <cell r="AV125">
            <v>0.15068493150684931</v>
          </cell>
          <cell r="AW125">
            <v>0.14864864864864866</v>
          </cell>
          <cell r="AX125">
            <v>0.15151515151515152</v>
          </cell>
          <cell r="AY125">
            <v>0.15873015873015872</v>
          </cell>
          <cell r="AZ125">
            <v>0.171875</v>
          </cell>
          <cell r="BA125">
            <v>0.15384615384615385</v>
          </cell>
          <cell r="BB125">
            <v>0.15151515151515152</v>
          </cell>
          <cell r="BC125">
            <v>0.17647058823529413</v>
          </cell>
          <cell r="BD125">
            <v>0.15584415584415584</v>
          </cell>
          <cell r="BE125">
            <v>0.14473684210526316</v>
          </cell>
          <cell r="BF125">
            <v>0.18055555555555555</v>
          </cell>
          <cell r="BG125">
            <v>0.17567567567567569</v>
          </cell>
          <cell r="BH125">
            <v>0.17333333333333334</v>
          </cell>
          <cell r="BI125">
            <v>0.17721518987341772</v>
          </cell>
          <cell r="BJ125">
            <v>0.15789473684210525</v>
          </cell>
          <cell r="BK125">
            <v>0.16</v>
          </cell>
          <cell r="BL125">
            <v>0.17105263157894737</v>
          </cell>
          <cell r="BM125">
            <v>0.16</v>
          </cell>
          <cell r="BN125">
            <v>0.16438356164383561</v>
          </cell>
          <cell r="BO125">
            <v>0.16050836332470841</v>
          </cell>
          <cell r="BP125">
            <v>0.16050836332470841</v>
          </cell>
          <cell r="BQ125">
            <v>0.16050836332470841</v>
          </cell>
        </row>
        <row r="127">
          <cell r="B127" t="str">
            <v>Bull Case</v>
          </cell>
        </row>
        <row r="128">
          <cell r="B128" t="str">
            <v>Sales growth</v>
          </cell>
          <cell r="O128">
            <v>7.2519055064935042E-2</v>
          </cell>
          <cell r="P128">
            <v>7.1414075474126357E-2</v>
          </cell>
          <cell r="Q128">
            <v>6.1789581462564851E-2</v>
          </cell>
          <cell r="R128">
            <v>6.2187540903265053E-2</v>
          </cell>
          <cell r="S128">
            <v>6.2608042865422972E-2</v>
          </cell>
          <cell r="T128">
            <v>6.3051137847397451E-2</v>
          </cell>
          <cell r="U128">
            <v>6.3516832824914035E-2</v>
          </cell>
          <cell r="BH128">
            <v>0.08</v>
          </cell>
          <cell r="BI128">
            <v>0.08</v>
          </cell>
          <cell r="BJ128">
            <v>0.08</v>
          </cell>
          <cell r="BK128">
            <v>0.08</v>
          </cell>
          <cell r="BL128">
            <v>0.08</v>
          </cell>
          <cell r="BM128">
            <v>0.08</v>
          </cell>
          <cell r="BN128">
            <v>7.2554056236731487E-2</v>
          </cell>
          <cell r="BO128">
            <v>7.2554056236731487E-2</v>
          </cell>
          <cell r="BP128">
            <v>7.2554056236731487E-2</v>
          </cell>
          <cell r="BQ128">
            <v>7.2554056236731487E-2</v>
          </cell>
        </row>
        <row r="129">
          <cell r="B129" t="str">
            <v>EBITDA Margin</v>
          </cell>
          <cell r="O129">
            <v>0.15</v>
          </cell>
          <cell r="P129">
            <v>0.13</v>
          </cell>
          <cell r="Q129">
            <v>0.12</v>
          </cell>
          <cell r="R129">
            <v>0.12</v>
          </cell>
          <cell r="S129">
            <v>0.12</v>
          </cell>
          <cell r="T129">
            <v>0.12</v>
          </cell>
          <cell r="U129">
            <v>0.12</v>
          </cell>
          <cell r="BH129">
            <v>0.13</v>
          </cell>
          <cell r="BI129">
            <v>0.13</v>
          </cell>
          <cell r="BJ129">
            <v>0.13</v>
          </cell>
          <cell r="BK129">
            <v>0.13</v>
          </cell>
          <cell r="BL129">
            <v>0.13</v>
          </cell>
          <cell r="BM129">
            <v>0.13</v>
          </cell>
          <cell r="BN129">
            <v>0.15</v>
          </cell>
          <cell r="BO129">
            <v>0.15</v>
          </cell>
          <cell r="BP129">
            <v>0.15</v>
          </cell>
          <cell r="BQ129">
            <v>0.15</v>
          </cell>
        </row>
        <row r="131">
          <cell r="B131" t="str">
            <v>Base Case</v>
          </cell>
        </row>
        <row r="132">
          <cell r="B132" t="str">
            <v>Sales growth</v>
          </cell>
          <cell r="O132">
            <v>5.2519055064935039E-2</v>
          </cell>
          <cell r="P132">
            <v>5.1414075474126353E-2</v>
          </cell>
          <cell r="Q132">
            <v>5.1789581462564849E-2</v>
          </cell>
          <cell r="R132">
            <v>5.2187540903265051E-2</v>
          </cell>
          <cell r="S132">
            <v>5.2608042865422977E-2</v>
          </cell>
          <cell r="T132">
            <v>5.3051137847397456E-2</v>
          </cell>
          <cell r="U132">
            <v>5.351683282491404E-2</v>
          </cell>
          <cell r="BH132">
            <v>0.04</v>
          </cell>
          <cell r="BI132">
            <v>-0.06</v>
          </cell>
          <cell r="BJ132">
            <v>-0.02</v>
          </cell>
          <cell r="BK132">
            <v>-0.04</v>
          </cell>
          <cell r="BL132">
            <v>0.01</v>
          </cell>
          <cell r="BM132">
            <v>0.08</v>
          </cell>
          <cell r="BN132">
            <v>5.2554056236731483E-2</v>
          </cell>
          <cell r="BO132">
            <v>5.2554056236731483E-2</v>
          </cell>
          <cell r="BP132">
            <v>5.2554056236731483E-2</v>
          </cell>
          <cell r="BQ132">
            <v>5.2554056236731483E-2</v>
          </cell>
        </row>
        <row r="133">
          <cell r="B133" t="str">
            <v>EBITDA Margin</v>
          </cell>
          <cell r="O133">
            <v>0.125</v>
          </cell>
          <cell r="P133">
            <v>0.13</v>
          </cell>
          <cell r="Q133">
            <v>0.12</v>
          </cell>
          <cell r="R133">
            <v>0.11</v>
          </cell>
          <cell r="S133">
            <v>0.11</v>
          </cell>
          <cell r="T133">
            <v>0.11</v>
          </cell>
          <cell r="U133">
            <v>0.11</v>
          </cell>
          <cell r="BH133">
            <v>0.125</v>
          </cell>
          <cell r="BI133">
            <v>0.105</v>
          </cell>
          <cell r="BJ133">
            <v>0.115</v>
          </cell>
          <cell r="BK133">
            <v>0.1</v>
          </cell>
          <cell r="BL133">
            <v>0.125</v>
          </cell>
          <cell r="BM133">
            <v>0.14000000000000001</v>
          </cell>
          <cell r="BN133">
            <v>9.7222222222222224E-2</v>
          </cell>
          <cell r="BO133">
            <v>0.10508474576271186</v>
          </cell>
          <cell r="BP133">
            <v>0.10508474576271186</v>
          </cell>
          <cell r="BQ133">
            <v>9.1575091575091569E-2</v>
          </cell>
        </row>
        <row r="135">
          <cell r="B135" t="str">
            <v>Bear Case</v>
          </cell>
        </row>
        <row r="136">
          <cell r="B136" t="str">
            <v>Sales growth</v>
          </cell>
          <cell r="O136">
            <v>3.2519055064935035E-2</v>
          </cell>
          <cell r="P136">
            <v>3.1414075474126349E-2</v>
          </cell>
          <cell r="Q136">
            <v>3.1789581462564845E-2</v>
          </cell>
          <cell r="R136">
            <v>3.2187540903265047E-2</v>
          </cell>
          <cell r="S136">
            <v>3.2608042865422973E-2</v>
          </cell>
          <cell r="T136">
            <v>3.3051137847397452E-2</v>
          </cell>
          <cell r="U136">
            <v>3.3516832824914036E-2</v>
          </cell>
          <cell r="BH136">
            <v>-0.03</v>
          </cell>
          <cell r="BI136">
            <v>-0.03</v>
          </cell>
          <cell r="BJ136">
            <v>-0.03</v>
          </cell>
          <cell r="BK136">
            <v>-0.03</v>
          </cell>
          <cell r="BL136">
            <v>-0.03</v>
          </cell>
          <cell r="BM136">
            <v>-0.03</v>
          </cell>
          <cell r="BN136">
            <v>3.255405623673148E-2</v>
          </cell>
          <cell r="BO136">
            <v>3.255405623673148E-2</v>
          </cell>
          <cell r="BP136">
            <v>3.255405623673148E-2</v>
          </cell>
          <cell r="BQ136">
            <v>3.255405623673148E-2</v>
          </cell>
        </row>
        <row r="137">
          <cell r="B137" t="str">
            <v>EBITDA Margin</v>
          </cell>
          <cell r="O137">
            <v>0.1</v>
          </cell>
          <cell r="P137">
            <v>0.09</v>
          </cell>
          <cell r="Q137">
            <v>0.09</v>
          </cell>
          <cell r="R137">
            <v>0.09</v>
          </cell>
          <cell r="S137">
            <v>0.09</v>
          </cell>
          <cell r="T137">
            <v>0.09</v>
          </cell>
          <cell r="U137">
            <v>0.09</v>
          </cell>
          <cell r="BH137">
            <v>0.08</v>
          </cell>
          <cell r="BI137">
            <v>0.08</v>
          </cell>
          <cell r="BJ137">
            <v>0.08</v>
          </cell>
          <cell r="BK137">
            <v>0.08</v>
          </cell>
          <cell r="BL137">
            <v>0.08</v>
          </cell>
          <cell r="BM137">
            <v>0.08</v>
          </cell>
          <cell r="BN137">
            <v>0.1</v>
          </cell>
          <cell r="BO137">
            <v>0.1</v>
          </cell>
          <cell r="BP137">
            <v>0.1</v>
          </cell>
          <cell r="BQ137">
            <v>0.1</v>
          </cell>
        </row>
        <row r="139">
          <cell r="B139" t="str">
            <v>CapEx</v>
          </cell>
          <cell r="G139">
            <v>30</v>
          </cell>
          <cell r="H139">
            <v>63</v>
          </cell>
          <cell r="I139">
            <v>67</v>
          </cell>
          <cell r="J139">
            <v>45</v>
          </cell>
          <cell r="K139">
            <v>55</v>
          </cell>
          <cell r="L139">
            <v>71</v>
          </cell>
          <cell r="M139">
            <v>43</v>
          </cell>
          <cell r="N139">
            <v>49</v>
          </cell>
          <cell r="O139">
            <v>48.441000257999995</v>
          </cell>
          <cell r="P139">
            <v>51.500968461305163</v>
          </cell>
          <cell r="Q139">
            <v>59.585000269116208</v>
          </cell>
          <cell r="R139">
            <v>62.694594907881765</v>
          </cell>
          <cell r="S139">
            <v>65.992834844225939</v>
          </cell>
          <cell r="T139">
            <v>69.493829822487513</v>
          </cell>
          <cell r="U139">
            <v>73.212919495460596</v>
          </cell>
          <cell r="AJ139">
            <v>15</v>
          </cell>
          <cell r="AK139" t="str">
            <v>ND</v>
          </cell>
          <cell r="AL139">
            <v>3</v>
          </cell>
          <cell r="AM139">
            <v>23</v>
          </cell>
          <cell r="AN139">
            <v>18</v>
          </cell>
          <cell r="AO139">
            <v>19</v>
          </cell>
          <cell r="AP139">
            <v>11</v>
          </cell>
          <cell r="AQ139">
            <v>18</v>
          </cell>
          <cell r="AR139">
            <v>18</v>
          </cell>
          <cell r="AS139">
            <v>20</v>
          </cell>
          <cell r="AT139">
            <v>10</v>
          </cell>
          <cell r="AU139">
            <v>16</v>
          </cell>
          <cell r="AV139">
            <v>7</v>
          </cell>
          <cell r="AW139">
            <v>12</v>
          </cell>
          <cell r="AX139">
            <v>5</v>
          </cell>
          <cell r="AY139">
            <v>13</v>
          </cell>
          <cell r="AZ139">
            <v>14</v>
          </cell>
          <cell r="BA139">
            <v>23</v>
          </cell>
          <cell r="BB139">
            <v>12</v>
          </cell>
          <cell r="BC139">
            <v>12</v>
          </cell>
          <cell r="BD139">
            <v>20</v>
          </cell>
          <cell r="BE139">
            <v>27</v>
          </cell>
          <cell r="BF139">
            <v>8</v>
          </cell>
          <cell r="BG139">
            <v>8</v>
          </cell>
          <cell r="BH139">
            <v>13</v>
          </cell>
          <cell r="BI139">
            <v>14</v>
          </cell>
          <cell r="BJ139">
            <v>12</v>
          </cell>
          <cell r="BK139">
            <v>12</v>
          </cell>
          <cell r="BL139">
            <v>13</v>
          </cell>
          <cell r="BM139">
            <v>12</v>
          </cell>
          <cell r="BN139">
            <v>12</v>
          </cell>
          <cell r="BO139">
            <v>12.147000086</v>
          </cell>
          <cell r="BP139">
            <v>12.147000086</v>
          </cell>
          <cell r="BQ139">
            <v>12.147000086</v>
          </cell>
        </row>
        <row r="140">
          <cell r="B140" t="str">
            <v>Capex/Depreciation</v>
          </cell>
          <cell r="G140">
            <v>0.50847457627118642</v>
          </cell>
          <cell r="H140">
            <v>1.0677966101694916</v>
          </cell>
          <cell r="I140">
            <v>1.1754385964912282</v>
          </cell>
          <cell r="J140">
            <v>0.97826086956521741</v>
          </cell>
          <cell r="K140">
            <v>1.3414634146341464</v>
          </cell>
          <cell r="L140">
            <v>1.5777777777777777</v>
          </cell>
          <cell r="M140">
            <v>0.81132075471698117</v>
          </cell>
          <cell r="N140">
            <v>1</v>
          </cell>
          <cell r="O140">
            <v>1</v>
          </cell>
          <cell r="P140">
            <v>1</v>
          </cell>
          <cell r="Q140">
            <v>1.1000000000000001</v>
          </cell>
          <cell r="R140">
            <v>1.1000000000000001</v>
          </cell>
          <cell r="S140">
            <v>1.1000000000000001</v>
          </cell>
          <cell r="T140">
            <v>1.1000000000000001</v>
          </cell>
          <cell r="U140">
            <v>1.1000000000000001</v>
          </cell>
          <cell r="AL140">
            <v>0.21428571428571427</v>
          </cell>
          <cell r="AM140">
            <v>1.4375</v>
          </cell>
          <cell r="AN140">
            <v>1.3846153846153846</v>
          </cell>
          <cell r="AO140">
            <v>1.1875</v>
          </cell>
          <cell r="AP140">
            <v>0.7857142857142857</v>
          </cell>
          <cell r="AQ140">
            <v>1.2857142857142858</v>
          </cell>
          <cell r="AR140">
            <v>1.2</v>
          </cell>
          <cell r="AS140">
            <v>1.4285714285714286</v>
          </cell>
          <cell r="AT140">
            <v>0.76923076923076927</v>
          </cell>
          <cell r="AU140">
            <v>1.4545454545454546</v>
          </cell>
          <cell r="AV140">
            <v>0.63636363636363635</v>
          </cell>
          <cell r="AW140">
            <v>1.0909090909090908</v>
          </cell>
          <cell r="AX140">
            <v>0.5</v>
          </cell>
          <cell r="AY140">
            <v>1.3</v>
          </cell>
          <cell r="AZ140">
            <v>1.2727272727272727</v>
          </cell>
          <cell r="BA140">
            <v>2.2999999999999998</v>
          </cell>
          <cell r="BB140">
            <v>1.2</v>
          </cell>
          <cell r="BC140">
            <v>1</v>
          </cell>
          <cell r="BD140">
            <v>1.6666666666666667</v>
          </cell>
          <cell r="BE140">
            <v>2.4545454545454546</v>
          </cell>
          <cell r="BF140">
            <v>1</v>
          </cell>
          <cell r="BG140">
            <v>0.61538461538461542</v>
          </cell>
          <cell r="BH140">
            <v>1</v>
          </cell>
          <cell r="BI140">
            <v>1</v>
          </cell>
          <cell r="BJ140">
            <v>1</v>
          </cell>
          <cell r="BK140">
            <v>1</v>
          </cell>
          <cell r="BL140">
            <v>1</v>
          </cell>
          <cell r="BM140">
            <v>1</v>
          </cell>
          <cell r="BN140">
            <v>1</v>
          </cell>
          <cell r="BO140">
            <v>1</v>
          </cell>
          <cell r="BP140">
            <v>1</v>
          </cell>
          <cell r="BQ140">
            <v>1</v>
          </cell>
        </row>
        <row r="141">
          <cell r="B141" t="str">
            <v>Total Assets</v>
          </cell>
          <cell r="G141">
            <v>903</v>
          </cell>
          <cell r="H141">
            <v>995</v>
          </cell>
          <cell r="I141">
            <v>903</v>
          </cell>
          <cell r="J141">
            <v>740</v>
          </cell>
          <cell r="K141">
            <v>841</v>
          </cell>
          <cell r="L141">
            <v>901</v>
          </cell>
          <cell r="AJ141" t="str">
            <v>ND</v>
          </cell>
          <cell r="AK141" t="str">
            <v>ND</v>
          </cell>
          <cell r="AL141" t="str">
            <v>ND</v>
          </cell>
          <cell r="AM141" t="str">
            <v>ND</v>
          </cell>
          <cell r="AN141">
            <v>937</v>
          </cell>
          <cell r="AO141">
            <v>995</v>
          </cell>
          <cell r="AP141">
            <v>1055</v>
          </cell>
          <cell r="AQ141">
            <v>1048</v>
          </cell>
          <cell r="AR141">
            <v>1014</v>
          </cell>
          <cell r="AS141">
            <v>903</v>
          </cell>
          <cell r="AT141">
            <v>884</v>
          </cell>
          <cell r="AU141">
            <v>924</v>
          </cell>
          <cell r="AV141">
            <v>770</v>
          </cell>
          <cell r="AW141">
            <v>740</v>
          </cell>
          <cell r="AX141">
            <v>755</v>
          </cell>
          <cell r="AY141">
            <v>765</v>
          </cell>
          <cell r="AZ141">
            <v>854</v>
          </cell>
          <cell r="BA141">
            <v>841</v>
          </cell>
          <cell r="BB141">
            <v>909</v>
          </cell>
          <cell r="BC141">
            <v>978</v>
          </cell>
          <cell r="BD141">
            <v>934</v>
          </cell>
          <cell r="BE141">
            <v>901</v>
          </cell>
          <cell r="BF141">
            <v>968</v>
          </cell>
          <cell r="BG141">
            <v>989</v>
          </cell>
        </row>
        <row r="143">
          <cell r="B143" t="str">
            <v>In US$ millions (except per share data)</v>
          </cell>
          <cell r="C143">
            <v>2002</v>
          </cell>
          <cell r="D143">
            <v>2003</v>
          </cell>
          <cell r="E143">
            <v>2004</v>
          </cell>
          <cell r="G143">
            <v>2006</v>
          </cell>
          <cell r="H143">
            <v>2007</v>
          </cell>
          <cell r="I143">
            <v>2008</v>
          </cell>
          <cell r="J143">
            <v>2009</v>
          </cell>
          <cell r="K143">
            <v>2010</v>
          </cell>
          <cell r="L143">
            <v>2011</v>
          </cell>
          <cell r="M143" t="str">
            <v>2012e</v>
          </cell>
          <cell r="N143" t="str">
            <v>2013e</v>
          </cell>
          <cell r="O143" t="str">
            <v>2014e</v>
          </cell>
          <cell r="P143" t="str">
            <v>2015e</v>
          </cell>
          <cell r="Q143" t="str">
            <v>2016e</v>
          </cell>
          <cell r="R143" t="str">
            <v>2017e</v>
          </cell>
          <cell r="S143" t="str">
            <v>2018e</v>
          </cell>
          <cell r="T143" t="str">
            <v>2019e</v>
          </cell>
          <cell r="U143" t="str">
            <v>2020e</v>
          </cell>
          <cell r="AD143">
            <v>2005</v>
          </cell>
          <cell r="AH143">
            <v>2006</v>
          </cell>
          <cell r="AL143">
            <v>2007</v>
          </cell>
          <cell r="AP143">
            <v>2008</v>
          </cell>
          <cell r="AT143">
            <v>2009</v>
          </cell>
          <cell r="AX143">
            <v>2010</v>
          </cell>
          <cell r="BB143">
            <v>2011</v>
          </cell>
          <cell r="BF143" t="str">
            <v>2012e</v>
          </cell>
          <cell r="BJ143" t="str">
            <v>2013e</v>
          </cell>
          <cell r="BK143" t="str">
            <v>2013e</v>
          </cell>
          <cell r="BO143" t="str">
            <v>2014e</v>
          </cell>
        </row>
        <row r="144">
          <cell r="AD144" t="str">
            <v>Q1</v>
          </cell>
          <cell r="AE144" t="str">
            <v>Q2</v>
          </cell>
          <cell r="AF144" t="str">
            <v>Q3</v>
          </cell>
          <cell r="AG144" t="str">
            <v>Q4</v>
          </cell>
          <cell r="AH144" t="str">
            <v>Q1</v>
          </cell>
          <cell r="AI144" t="str">
            <v>Q2</v>
          </cell>
          <cell r="AJ144" t="str">
            <v>Q3</v>
          </cell>
          <cell r="AK144" t="str">
            <v>Q4</v>
          </cell>
          <cell r="AL144" t="str">
            <v>Q1</v>
          </cell>
          <cell r="AM144" t="str">
            <v>Q2</v>
          </cell>
          <cell r="AN144" t="str">
            <v>Q3</v>
          </cell>
          <cell r="AO144" t="str">
            <v>Q4</v>
          </cell>
          <cell r="AP144" t="str">
            <v>Q1</v>
          </cell>
          <cell r="AQ144" t="str">
            <v>Q2</v>
          </cell>
          <cell r="AR144" t="str">
            <v>Q3</v>
          </cell>
          <cell r="AS144" t="str">
            <v>Q4</v>
          </cell>
          <cell r="AT144" t="str">
            <v>Q1</v>
          </cell>
          <cell r="AU144" t="str">
            <v>Q2</v>
          </cell>
          <cell r="AV144" t="str">
            <v>Q3</v>
          </cell>
          <cell r="AW144" t="str">
            <v>Q4</v>
          </cell>
          <cell r="AX144" t="str">
            <v>Q1 '10</v>
          </cell>
          <cell r="AY144" t="str">
            <v>Q2 '10</v>
          </cell>
          <cell r="AZ144" t="str">
            <v>Q3 '10</v>
          </cell>
          <cell r="BA144" t="str">
            <v>Q4 '10</v>
          </cell>
          <cell r="BB144" t="str">
            <v>Q1e</v>
          </cell>
          <cell r="BC144" t="str">
            <v>Q2</v>
          </cell>
          <cell r="BD144" t="str">
            <v>Q3</v>
          </cell>
          <cell r="BE144" t="str">
            <v>Q4</v>
          </cell>
          <cell r="BF144" t="str">
            <v>Q1e</v>
          </cell>
          <cell r="BG144" t="str">
            <v>Q2</v>
          </cell>
          <cell r="BH144" t="str">
            <v>Q3</v>
          </cell>
          <cell r="BI144" t="str">
            <v>Q4</v>
          </cell>
          <cell r="BJ144" t="str">
            <v>Q1e</v>
          </cell>
          <cell r="BK144" t="str">
            <v>Q2</v>
          </cell>
          <cell r="BL144" t="str">
            <v>Q3</v>
          </cell>
          <cell r="BM144" t="str">
            <v>Q4</v>
          </cell>
          <cell r="BN144" t="str">
            <v>Q1e</v>
          </cell>
          <cell r="BO144" t="str">
            <v>Q1</v>
          </cell>
          <cell r="BP144" t="str">
            <v>Q2</v>
          </cell>
          <cell r="BQ144" t="str">
            <v>Q3</v>
          </cell>
        </row>
        <row r="145">
          <cell r="B145" t="str">
            <v>EPS</v>
          </cell>
          <cell r="AT145">
            <v>0</v>
          </cell>
          <cell r="AU145">
            <v>0</v>
          </cell>
          <cell r="AV145">
            <v>0</v>
          </cell>
          <cell r="AW145">
            <v>0</v>
          </cell>
          <cell r="AX145">
            <v>0</v>
          </cell>
          <cell r="AY145">
            <v>0</v>
          </cell>
          <cell r="AZ145">
            <v>0</v>
          </cell>
          <cell r="BA145">
            <v>0</v>
          </cell>
        </row>
        <row r="146">
          <cell r="B146" t="str">
            <v>New Segment breakdown</v>
          </cell>
        </row>
        <row r="147">
          <cell r="A147">
            <v>2</v>
          </cell>
          <cell r="B147" t="str">
            <v>Acetyl Intermediates</v>
          </cell>
          <cell r="BN147" t="str">
            <v xml:space="preserve"> </v>
          </cell>
        </row>
        <row r="148">
          <cell r="A148">
            <v>0.45167286245353161</v>
          </cell>
          <cell r="B148" t="str">
            <v>Sales</v>
          </cell>
          <cell r="G148">
            <v>3351</v>
          </cell>
          <cell r="H148">
            <v>3615</v>
          </cell>
          <cell r="I148">
            <v>3875</v>
          </cell>
          <cell r="J148">
            <v>2603</v>
          </cell>
          <cell r="K148">
            <v>3082</v>
          </cell>
          <cell r="L148">
            <v>3551</v>
          </cell>
          <cell r="M148">
            <v>3231</v>
          </cell>
          <cell r="N148">
            <v>3241</v>
          </cell>
          <cell r="O148">
            <v>3395.59</v>
          </cell>
          <cell r="P148">
            <v>3506.6683293875626</v>
          </cell>
          <cell r="Q148">
            <v>3842.4313852195942</v>
          </cell>
          <cell r="R148">
            <v>4142.3781533625734</v>
          </cell>
          <cell r="S148">
            <v>4328.0391713080189</v>
          </cell>
          <cell r="T148">
            <v>4434.3957063087328</v>
          </cell>
          <cell r="U148">
            <v>4543.9429373594685</v>
          </cell>
          <cell r="AJ148">
            <v>872</v>
          </cell>
          <cell r="AK148">
            <v>831</v>
          </cell>
          <cell r="AL148">
            <v>839</v>
          </cell>
          <cell r="AM148">
            <v>829</v>
          </cell>
          <cell r="AN148">
            <v>864</v>
          </cell>
          <cell r="AO148">
            <v>1083</v>
          </cell>
          <cell r="AP148">
            <v>1096</v>
          </cell>
          <cell r="AQ148">
            <v>1067</v>
          </cell>
          <cell r="AR148">
            <v>1056</v>
          </cell>
          <cell r="AS148">
            <v>656</v>
          </cell>
          <cell r="AT148">
            <v>572</v>
          </cell>
          <cell r="AU148">
            <v>622</v>
          </cell>
          <cell r="AV148">
            <v>666</v>
          </cell>
          <cell r="AW148">
            <v>743</v>
          </cell>
          <cell r="AX148">
            <v>724</v>
          </cell>
          <cell r="AY148">
            <v>782</v>
          </cell>
          <cell r="AZ148">
            <v>777</v>
          </cell>
          <cell r="BA148">
            <v>799</v>
          </cell>
          <cell r="BB148">
            <v>813</v>
          </cell>
          <cell r="BC148">
            <v>914</v>
          </cell>
          <cell r="BD148">
            <v>975</v>
          </cell>
          <cell r="BE148">
            <v>849</v>
          </cell>
          <cell r="BF148">
            <v>852</v>
          </cell>
          <cell r="BG148">
            <v>821</v>
          </cell>
          <cell r="BH148">
            <v>785</v>
          </cell>
          <cell r="BI148">
            <v>773</v>
          </cell>
          <cell r="BJ148">
            <v>808</v>
          </cell>
          <cell r="BK148">
            <v>809</v>
          </cell>
          <cell r="BL148">
            <v>795</v>
          </cell>
          <cell r="BM148">
            <v>829</v>
          </cell>
          <cell r="BN148">
            <v>841</v>
          </cell>
          <cell r="BO148">
            <v>865.63</v>
          </cell>
          <cell r="BP148">
            <v>826.80000000000007</v>
          </cell>
          <cell r="BQ148">
            <v>862.16000000000008</v>
          </cell>
        </row>
        <row r="149">
          <cell r="B149" t="str">
            <v>Growth (%)</v>
          </cell>
          <cell r="H149">
            <v>7.8782452999104802E-2</v>
          </cell>
          <cell r="I149">
            <v>7.1922544951590561E-2</v>
          </cell>
          <cell r="J149">
            <v>-0.32825806451612904</v>
          </cell>
          <cell r="K149">
            <v>0.18401844026123704</v>
          </cell>
          <cell r="L149">
            <v>0.15217391304347827</v>
          </cell>
          <cell r="M149">
            <v>-9.0115460433680683E-2</v>
          </cell>
          <cell r="N149">
            <v>3.0950170225936269E-3</v>
          </cell>
          <cell r="O149">
            <v>4.7698241283554488E-2</v>
          </cell>
          <cell r="P149">
            <v>3.2712526950415821E-2</v>
          </cell>
          <cell r="Q149">
            <v>9.5749875463891465E-2</v>
          </cell>
          <cell r="R149">
            <v>7.8061710951238483E-2</v>
          </cell>
          <cell r="S149">
            <v>4.481991046489453E-2</v>
          </cell>
          <cell r="T149">
            <v>2.4573838357514477E-2</v>
          </cell>
          <cell r="U149">
            <v>2.4703981851435852E-2</v>
          </cell>
          <cell r="AC149">
            <v>2.7835261752187979E-2</v>
          </cell>
          <cell r="AJ149" t="str">
            <v>NM</v>
          </cell>
          <cell r="AK149" t="str">
            <v>NM</v>
          </cell>
          <cell r="AL149" t="str">
            <v>NM</v>
          </cell>
          <cell r="AM149" t="str">
            <v>NM</v>
          </cell>
          <cell r="AN149">
            <v>-9.1743119266054496E-3</v>
          </cell>
          <cell r="AO149">
            <v>0.30324909747292428</v>
          </cell>
          <cell r="AP149">
            <v>0.30631704410011928</v>
          </cell>
          <cell r="AQ149">
            <v>0.287092882991556</v>
          </cell>
          <cell r="AR149">
            <v>0.22222222222222232</v>
          </cell>
          <cell r="AS149">
            <v>-0.39427516158818099</v>
          </cell>
          <cell r="AT149">
            <v>-0.47810218978102192</v>
          </cell>
          <cell r="AU149">
            <v>-0.41705716963448924</v>
          </cell>
          <cell r="AV149">
            <v>-0.36931818181818177</v>
          </cell>
          <cell r="AW149">
            <v>0.13262195121951215</v>
          </cell>
          <cell r="AX149">
            <v>0.26573426573426584</v>
          </cell>
          <cell r="AY149">
            <v>0.25723472668810299</v>
          </cell>
          <cell r="AZ149">
            <v>4.9999999999999996E-2</v>
          </cell>
          <cell r="BA149">
            <v>7.5370121130551748E-2</v>
          </cell>
          <cell r="BB149">
            <v>0.1229281767955801</v>
          </cell>
          <cell r="BC149">
            <v>0.16879795396419439</v>
          </cell>
          <cell r="BD149">
            <v>0.25482625482625476</v>
          </cell>
          <cell r="BE149">
            <v>6.2578222778473025E-2</v>
          </cell>
          <cell r="BF149">
            <v>4.7970479704797064E-2</v>
          </cell>
          <cell r="BG149">
            <v>-0.10175054704595188</v>
          </cell>
          <cell r="BH149">
            <v>-0.19487179487179485</v>
          </cell>
          <cell r="BI149">
            <v>-8.9517078916372173E-2</v>
          </cell>
          <cell r="BJ149">
            <v>-5.1643192488262879E-2</v>
          </cell>
          <cell r="BK149">
            <v>-1.461632155907433E-2</v>
          </cell>
          <cell r="BL149">
            <v>1.2738853503184711E-2</v>
          </cell>
          <cell r="BM149">
            <v>7.2445019404915989E-2</v>
          </cell>
          <cell r="BN149">
            <v>4.0841584158415767E-2</v>
          </cell>
          <cell r="BO149">
            <v>7.0000000000000007E-2</v>
          </cell>
          <cell r="BP149">
            <v>0.04</v>
          </cell>
          <cell r="BQ149">
            <v>0.04</v>
          </cell>
        </row>
        <row r="150">
          <cell r="B150" t="str">
            <v>Underlying business</v>
          </cell>
          <cell r="H150">
            <v>3.9999999999999994E-2</v>
          </cell>
          <cell r="I150">
            <v>4.0000000000000008E-2</v>
          </cell>
          <cell r="J150">
            <v>-0.32</v>
          </cell>
          <cell r="K150">
            <v>0.2</v>
          </cell>
          <cell r="L150">
            <v>0.12</v>
          </cell>
          <cell r="M150">
            <v>-6.0000000000000012E-2</v>
          </cell>
          <cell r="N150">
            <v>-7.5000000000000015E-3</v>
          </cell>
          <cell r="O150">
            <v>4.250000000000001E-2</v>
          </cell>
          <cell r="P150">
            <v>3.2712526950415821E-2</v>
          </cell>
          <cell r="Q150">
            <v>9.5749875463891465E-2</v>
          </cell>
          <cell r="R150">
            <v>7.8061710951238483E-2</v>
          </cell>
          <cell r="S150">
            <v>4.481991046489453E-2</v>
          </cell>
          <cell r="T150">
            <v>2.4573838357514477E-2</v>
          </cell>
          <cell r="U150">
            <v>2.4703981851435852E-2</v>
          </cell>
          <cell r="AX150">
            <v>0.24000000000000002</v>
          </cell>
          <cell r="AY150">
            <v>0.29000000000000004</v>
          </cell>
          <cell r="AZ150">
            <v>0.09</v>
          </cell>
          <cell r="BA150">
            <v>0.11</v>
          </cell>
          <cell r="BB150">
            <v>0.12</v>
          </cell>
          <cell r="BC150">
            <v>0.11000000000000001</v>
          </cell>
          <cell r="BD150">
            <v>0.21000000000000002</v>
          </cell>
          <cell r="BE150">
            <v>3.9999999999999994E-2</v>
          </cell>
          <cell r="BF150">
            <v>0.06</v>
          </cell>
          <cell r="BG150">
            <v>-6.0000000000000005E-2</v>
          </cell>
          <cell r="BH150">
            <v>-0.16</v>
          </cell>
          <cell r="BI150">
            <v>-0.08</v>
          </cell>
          <cell r="BJ150">
            <v>-0.05</v>
          </cell>
          <cell r="BK150">
            <v>-0.02</v>
          </cell>
          <cell r="BL150">
            <v>-0.01</v>
          </cell>
          <cell r="BM150">
            <v>4.9999999999999996E-2</v>
          </cell>
          <cell r="BN150">
            <v>2.0000000000000004E-2</v>
          </cell>
          <cell r="BO150">
            <v>7.0000000000000007E-2</v>
          </cell>
          <cell r="BP150">
            <v>0.04</v>
          </cell>
          <cell r="BQ150">
            <v>0.04</v>
          </cell>
        </row>
        <row r="151">
          <cell r="B151" t="str">
            <v>Volume</v>
          </cell>
          <cell r="G151">
            <v>0.03</v>
          </cell>
          <cell r="H151">
            <v>-0.05</v>
          </cell>
          <cell r="I151">
            <v>-0.03</v>
          </cell>
          <cell r="J151">
            <v>-0.06</v>
          </cell>
          <cell r="K151">
            <v>0.1</v>
          </cell>
          <cell r="L151">
            <v>-0.04</v>
          </cell>
          <cell r="M151">
            <v>9.9999999999999985E-3</v>
          </cell>
          <cell r="N151">
            <v>7.4999999999999997E-3</v>
          </cell>
          <cell r="O151">
            <v>1.5000000000000003E-2</v>
          </cell>
          <cell r="P151">
            <v>1.2712526950415821E-2</v>
          </cell>
          <cell r="Q151">
            <v>0.12574987546389146</v>
          </cell>
          <cell r="R151">
            <v>0.10806171095123848</v>
          </cell>
          <cell r="S151">
            <v>7.4819910464894529E-2</v>
          </cell>
          <cell r="T151">
            <v>5.4573838357514476E-2</v>
          </cell>
          <cell r="U151">
            <v>5.4703981851435851E-2</v>
          </cell>
          <cell r="AJ151" t="str">
            <v>ND</v>
          </cell>
          <cell r="AK151" t="str">
            <v>ND</v>
          </cell>
          <cell r="AL151" t="str">
            <v>ND</v>
          </cell>
          <cell r="AM151" t="str">
            <v>ND</v>
          </cell>
          <cell r="AN151">
            <v>-0.15</v>
          </cell>
          <cell r="AO151">
            <v>0.12</v>
          </cell>
          <cell r="AP151">
            <v>0.08</v>
          </cell>
          <cell r="AQ151">
            <v>0.1</v>
          </cell>
          <cell r="AR151">
            <v>0.09</v>
          </cell>
          <cell r="AS151">
            <v>-0.3</v>
          </cell>
          <cell r="AT151">
            <v>-0.19</v>
          </cell>
          <cell r="AU151">
            <v>-0.11</v>
          </cell>
          <cell r="AV151">
            <v>-0.06</v>
          </cell>
          <cell r="AW151">
            <v>0.27</v>
          </cell>
          <cell r="AX151">
            <v>0.14000000000000001</v>
          </cell>
          <cell r="AY151">
            <v>0.14000000000000001</v>
          </cell>
          <cell r="AZ151">
            <v>0</v>
          </cell>
          <cell r="BA151">
            <v>0.03</v>
          </cell>
          <cell r="BB151">
            <v>0</v>
          </cell>
          <cell r="BC151">
            <v>-0.09</v>
          </cell>
          <cell r="BD151">
            <v>-0.02</v>
          </cell>
          <cell r="BE151">
            <v>-0.05</v>
          </cell>
          <cell r="BF151">
            <v>0.08</v>
          </cell>
          <cell r="BG151">
            <v>0.04</v>
          </cell>
          <cell r="BH151">
            <v>-0.05</v>
          </cell>
          <cell r="BI151">
            <v>-0.03</v>
          </cell>
          <cell r="BJ151">
            <v>-0.04</v>
          </cell>
          <cell r="BK151">
            <v>0.02</v>
          </cell>
          <cell r="BL151">
            <v>-0.01</v>
          </cell>
          <cell r="BM151">
            <v>0.06</v>
          </cell>
          <cell r="BN151">
            <v>-0.03</v>
          </cell>
          <cell r="BO151">
            <v>0.05</v>
          </cell>
          <cell r="BP151">
            <v>0.02</v>
          </cell>
          <cell r="BQ151">
            <v>0.02</v>
          </cell>
        </row>
        <row r="152">
          <cell r="B152" t="str">
            <v>Price</v>
          </cell>
          <cell r="G152">
            <v>0.05</v>
          </cell>
          <cell r="H152">
            <v>0.09</v>
          </cell>
          <cell r="I152">
            <v>7.0000000000000007E-2</v>
          </cell>
          <cell r="J152">
            <v>-0.26</v>
          </cell>
          <cell r="K152">
            <v>0.1</v>
          </cell>
          <cell r="L152">
            <v>0.16</v>
          </cell>
          <cell r="M152">
            <v>-7.0000000000000007E-2</v>
          </cell>
          <cell r="N152">
            <v>-1.5000000000000001E-2</v>
          </cell>
          <cell r="O152">
            <v>2.7500000000000004E-2</v>
          </cell>
          <cell r="P152">
            <v>0.02</v>
          </cell>
          <cell r="Q152">
            <v>-0.03</v>
          </cell>
          <cell r="R152">
            <v>-0.03</v>
          </cell>
          <cell r="S152">
            <v>-0.03</v>
          </cell>
          <cell r="T152">
            <v>-0.03</v>
          </cell>
          <cell r="U152">
            <v>-0.03</v>
          </cell>
          <cell r="AJ152" t="str">
            <v>ND</v>
          </cell>
          <cell r="AK152" t="str">
            <v>ND</v>
          </cell>
          <cell r="AL152" t="str">
            <v>ND</v>
          </cell>
          <cell r="AM152" t="str">
            <v>ND</v>
          </cell>
          <cell r="AN152">
            <v>0.11</v>
          </cell>
          <cell r="AO152">
            <v>0.13</v>
          </cell>
          <cell r="AP152">
            <v>0.17</v>
          </cell>
          <cell r="AQ152">
            <v>0.13</v>
          </cell>
          <cell r="AR152">
            <v>0.11</v>
          </cell>
          <cell r="AS152">
            <v>-7.0000000000000007E-2</v>
          </cell>
          <cell r="AT152">
            <v>-0.27</v>
          </cell>
          <cell r="AU152">
            <v>-0.28000000000000003</v>
          </cell>
          <cell r="AV152">
            <v>-0.3</v>
          </cell>
          <cell r="AW152">
            <v>-0.18</v>
          </cell>
          <cell r="AX152">
            <v>0.1</v>
          </cell>
          <cell r="AY152">
            <v>0.15</v>
          </cell>
          <cell r="AZ152">
            <v>0.09</v>
          </cell>
          <cell r="BA152">
            <v>0.08</v>
          </cell>
          <cell r="BB152">
            <v>0.12</v>
          </cell>
          <cell r="BC152">
            <v>0.2</v>
          </cell>
          <cell r="BD152">
            <v>0.23</v>
          </cell>
          <cell r="BE152">
            <v>0.09</v>
          </cell>
          <cell r="BF152">
            <v>-0.02</v>
          </cell>
          <cell r="BG152">
            <v>-0.1</v>
          </cell>
          <cell r="BH152">
            <v>-0.11</v>
          </cell>
          <cell r="BI152">
            <v>-0.05</v>
          </cell>
          <cell r="BJ152">
            <v>-0.01</v>
          </cell>
          <cell r="BK152">
            <v>-0.04</v>
          </cell>
          <cell r="BL152">
            <v>0</v>
          </cell>
          <cell r="BM152">
            <v>-0.01</v>
          </cell>
          <cell r="BN152">
            <v>0.05</v>
          </cell>
          <cell r="BO152">
            <v>0.02</v>
          </cell>
          <cell r="BP152">
            <v>0.02</v>
          </cell>
          <cell r="BQ152">
            <v>0.02</v>
          </cell>
        </row>
        <row r="153">
          <cell r="B153" t="str">
            <v>Acquisitions/divestitures</v>
          </cell>
          <cell r="G153">
            <v>0.06</v>
          </cell>
          <cell r="H153">
            <v>0</v>
          </cell>
          <cell r="I153">
            <v>0</v>
          </cell>
          <cell r="J153">
            <v>0</v>
          </cell>
          <cell r="K153">
            <v>0</v>
          </cell>
          <cell r="L153">
            <v>0</v>
          </cell>
          <cell r="M153">
            <v>0</v>
          </cell>
          <cell r="N153">
            <v>0</v>
          </cell>
          <cell r="O153">
            <v>5.0000000000000001E-3</v>
          </cell>
          <cell r="P153">
            <v>0</v>
          </cell>
          <cell r="Q153">
            <v>0</v>
          </cell>
          <cell r="R153">
            <v>0</v>
          </cell>
          <cell r="S153">
            <v>0</v>
          </cell>
          <cell r="T153">
            <v>0</v>
          </cell>
          <cell r="U153">
            <v>0</v>
          </cell>
          <cell r="AJ153" t="str">
            <v>ND</v>
          </cell>
          <cell r="AK153" t="str">
            <v>ND</v>
          </cell>
          <cell r="AL153" t="str">
            <v>ND</v>
          </cell>
          <cell r="AM153" t="str">
            <v>ND</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0.01</v>
          </cell>
          <cell r="BF153">
            <v>0</v>
          </cell>
          <cell r="BG153">
            <v>0</v>
          </cell>
          <cell r="BH153">
            <v>0</v>
          </cell>
          <cell r="BI153">
            <v>0</v>
          </cell>
          <cell r="BJ153">
            <v>0</v>
          </cell>
          <cell r="BK153">
            <v>0</v>
          </cell>
          <cell r="BL153">
            <v>0</v>
          </cell>
          <cell r="BM153">
            <v>0</v>
          </cell>
          <cell r="BN153">
            <v>0.02</v>
          </cell>
          <cell r="BO153">
            <v>0</v>
          </cell>
          <cell r="BP153">
            <v>0</v>
          </cell>
          <cell r="BQ153">
            <v>0</v>
          </cell>
          <cell r="BS153">
            <v>387</v>
          </cell>
        </row>
        <row r="154">
          <cell r="B154" t="str">
            <v>Currency</v>
          </cell>
          <cell r="G154">
            <v>0.01</v>
          </cell>
          <cell r="H154">
            <v>0.04</v>
          </cell>
          <cell r="I154">
            <v>0.03</v>
          </cell>
          <cell r="J154">
            <v>-0.01</v>
          </cell>
          <cell r="K154">
            <v>-0.02</v>
          </cell>
          <cell r="L154">
            <v>0.03</v>
          </cell>
          <cell r="M154">
            <v>-2.2499999999999999E-2</v>
          </cell>
          <cell r="N154">
            <v>1.2500000000000001E-2</v>
          </cell>
          <cell r="O154">
            <v>0</v>
          </cell>
          <cell r="P154">
            <v>0</v>
          </cell>
          <cell r="Q154">
            <v>0</v>
          </cell>
          <cell r="R154">
            <v>0</v>
          </cell>
          <cell r="S154">
            <v>0</v>
          </cell>
          <cell r="T154">
            <v>0</v>
          </cell>
          <cell r="U154">
            <v>0</v>
          </cell>
          <cell r="AJ154" t="str">
            <v>ND</v>
          </cell>
          <cell r="AK154" t="str">
            <v>ND</v>
          </cell>
          <cell r="AL154" t="str">
            <v>ND</v>
          </cell>
          <cell r="AM154" t="str">
            <v>ND</v>
          </cell>
          <cell r="AN154">
            <v>0.03</v>
          </cell>
          <cell r="AO154">
            <v>0.05</v>
          </cell>
          <cell r="AP154">
            <v>0.06</v>
          </cell>
          <cell r="AQ154">
            <v>0.06</v>
          </cell>
          <cell r="AR154">
            <v>0.02</v>
          </cell>
          <cell r="AS154">
            <v>-0.02</v>
          </cell>
          <cell r="AT154">
            <v>-0.02</v>
          </cell>
          <cell r="AU154">
            <v>-0.03</v>
          </cell>
          <cell r="AV154">
            <v>-0.01</v>
          </cell>
          <cell r="AW154">
            <v>0.04</v>
          </cell>
          <cell r="AX154">
            <v>0.03</v>
          </cell>
          <cell r="AY154">
            <v>-0.03</v>
          </cell>
          <cell r="AZ154">
            <v>-0.04</v>
          </cell>
          <cell r="BA154">
            <v>-0.03</v>
          </cell>
          <cell r="BB154">
            <v>0</v>
          </cell>
          <cell r="BC154">
            <v>0.06</v>
          </cell>
          <cell r="BD154">
            <v>0.05</v>
          </cell>
          <cell r="BE154">
            <v>0.01</v>
          </cell>
          <cell r="BF154">
            <v>-0.01</v>
          </cell>
          <cell r="BG154">
            <v>-0.04</v>
          </cell>
          <cell r="BH154">
            <v>-0.03</v>
          </cell>
          <cell r="BI154">
            <v>-0.01</v>
          </cell>
          <cell r="BJ154">
            <v>0</v>
          </cell>
          <cell r="BK154">
            <v>0.01</v>
          </cell>
          <cell r="BL154">
            <v>0.02</v>
          </cell>
          <cell r="BM154">
            <v>0.02</v>
          </cell>
          <cell r="BN154">
            <v>0</v>
          </cell>
          <cell r="BO154">
            <v>0</v>
          </cell>
          <cell r="BP154">
            <v>0</v>
          </cell>
          <cell r="BQ154">
            <v>0</v>
          </cell>
          <cell r="BS154">
            <v>432.12780000000004</v>
          </cell>
        </row>
        <row r="155">
          <cell r="N155">
            <v>5.4495912806539426E-2</v>
          </cell>
          <cell r="BA155">
            <v>101.60000000000001</v>
          </cell>
          <cell r="BS155">
            <v>45.127800000000036</v>
          </cell>
        </row>
        <row r="156">
          <cell r="B156" t="str">
            <v>Operating EBITDA</v>
          </cell>
          <cell r="G156">
            <v>672</v>
          </cell>
          <cell r="H156">
            <v>731</v>
          </cell>
          <cell r="I156">
            <v>676</v>
          </cell>
          <cell r="J156">
            <v>318</v>
          </cell>
          <cell r="K156">
            <v>411</v>
          </cell>
          <cell r="L156">
            <v>561</v>
          </cell>
          <cell r="M156">
            <v>367</v>
          </cell>
          <cell r="N156">
            <v>387</v>
          </cell>
          <cell r="O156">
            <v>432.12780000000004</v>
          </cell>
          <cell r="P156">
            <v>416.1201247106705</v>
          </cell>
          <cell r="Q156">
            <v>428.28282951656678</v>
          </cell>
          <cell r="R156">
            <v>476.79249648587898</v>
          </cell>
          <cell r="S156">
            <v>507.53211727430613</v>
          </cell>
          <cell r="T156">
            <v>520.0287591256872</v>
          </cell>
          <cell r="U156">
            <v>532.90030023260999</v>
          </cell>
          <cell r="AJ156">
            <v>177</v>
          </cell>
          <cell r="AK156">
            <v>169</v>
          </cell>
          <cell r="AL156">
            <v>174</v>
          </cell>
          <cell r="AM156">
            <v>148</v>
          </cell>
          <cell r="AN156">
            <v>178</v>
          </cell>
          <cell r="AO156">
            <v>231</v>
          </cell>
          <cell r="AP156">
            <v>246</v>
          </cell>
          <cell r="AQ156">
            <v>227</v>
          </cell>
          <cell r="AR156">
            <v>182</v>
          </cell>
          <cell r="AS156">
            <v>21</v>
          </cell>
          <cell r="AT156">
            <v>45</v>
          </cell>
          <cell r="AU156">
            <v>74</v>
          </cell>
          <cell r="AV156">
            <v>87</v>
          </cell>
          <cell r="AW156">
            <v>112</v>
          </cell>
          <cell r="AX156">
            <v>78</v>
          </cell>
          <cell r="AY156">
            <v>96</v>
          </cell>
          <cell r="AZ156">
            <v>110</v>
          </cell>
          <cell r="BA156">
            <v>127</v>
          </cell>
          <cell r="BB156">
            <v>122</v>
          </cell>
          <cell r="BC156">
            <v>178</v>
          </cell>
          <cell r="BD156">
            <v>169</v>
          </cell>
          <cell r="BE156">
            <v>92</v>
          </cell>
          <cell r="BF156">
            <v>85</v>
          </cell>
          <cell r="BG156">
            <v>100</v>
          </cell>
          <cell r="BH156">
            <v>92</v>
          </cell>
          <cell r="BI156">
            <v>90</v>
          </cell>
          <cell r="BJ156">
            <v>100</v>
          </cell>
          <cell r="BK156">
            <v>88</v>
          </cell>
          <cell r="BL156">
            <v>94</v>
          </cell>
          <cell r="BM156">
            <v>105</v>
          </cell>
          <cell r="BN156">
            <v>117</v>
          </cell>
          <cell r="BO156">
            <v>89.563000000000002</v>
          </cell>
          <cell r="BP156">
            <v>110.48400000000001</v>
          </cell>
          <cell r="BQ156">
            <v>115.08080000000001</v>
          </cell>
          <cell r="BS156">
            <v>20</v>
          </cell>
        </row>
        <row r="157">
          <cell r="B157" t="str">
            <v>Adjusted EBITDA</v>
          </cell>
          <cell r="G157">
            <v>609</v>
          </cell>
          <cell r="H157">
            <v>653</v>
          </cell>
          <cell r="I157">
            <v>551</v>
          </cell>
          <cell r="J157">
            <v>309</v>
          </cell>
          <cell r="K157">
            <v>402</v>
          </cell>
          <cell r="L157">
            <v>551</v>
          </cell>
          <cell r="M157">
            <v>354</v>
          </cell>
          <cell r="N157">
            <v>382</v>
          </cell>
          <cell r="O157">
            <v>422.12780000000004</v>
          </cell>
          <cell r="P157">
            <v>406.1201247106705</v>
          </cell>
          <cell r="Q157">
            <v>418.28282951656678</v>
          </cell>
          <cell r="R157">
            <v>466.79249648587898</v>
          </cell>
          <cell r="S157">
            <v>497.53211727430613</v>
          </cell>
          <cell r="T157">
            <v>510.02875912568726</v>
          </cell>
          <cell r="U157">
            <v>522.90030023260999</v>
          </cell>
          <cell r="AJ157">
            <v>159</v>
          </cell>
          <cell r="AK157">
            <v>146</v>
          </cell>
          <cell r="AL157">
            <v>169</v>
          </cell>
          <cell r="AM157">
            <v>130</v>
          </cell>
          <cell r="AN157">
            <v>150</v>
          </cell>
          <cell r="AO157">
            <v>204</v>
          </cell>
          <cell r="AP157">
            <v>217</v>
          </cell>
          <cell r="AQ157">
            <v>194</v>
          </cell>
          <cell r="AR157">
            <v>149</v>
          </cell>
          <cell r="AS157">
            <v>-9</v>
          </cell>
          <cell r="AT157">
            <v>44</v>
          </cell>
          <cell r="AU157">
            <v>72</v>
          </cell>
          <cell r="AV157">
            <v>84</v>
          </cell>
          <cell r="AW157">
            <v>109</v>
          </cell>
          <cell r="AX157">
            <v>77</v>
          </cell>
          <cell r="AY157">
            <v>94</v>
          </cell>
          <cell r="AZ157">
            <v>106</v>
          </cell>
          <cell r="BA157">
            <v>125</v>
          </cell>
          <cell r="BB157">
            <v>120</v>
          </cell>
          <cell r="BC157">
            <v>176</v>
          </cell>
          <cell r="BD157">
            <v>166</v>
          </cell>
          <cell r="BE157">
            <v>89</v>
          </cell>
          <cell r="BF157">
            <v>84</v>
          </cell>
          <cell r="BG157">
            <v>98</v>
          </cell>
          <cell r="BH157">
            <v>90</v>
          </cell>
          <cell r="BI157">
            <v>82</v>
          </cell>
          <cell r="BJ157">
            <v>97</v>
          </cell>
          <cell r="BK157">
            <v>85</v>
          </cell>
          <cell r="BL157">
            <v>91</v>
          </cell>
          <cell r="BM157">
            <v>109</v>
          </cell>
          <cell r="BN157">
            <v>116</v>
          </cell>
          <cell r="BO157">
            <v>86.563000000000002</v>
          </cell>
          <cell r="BP157">
            <v>107.48400000000001</v>
          </cell>
          <cell r="BQ157">
            <v>112.08080000000001</v>
          </cell>
        </row>
        <row r="158">
          <cell r="B158" t="str">
            <v>Margin</v>
          </cell>
          <cell r="G158">
            <v>0.18173679498657117</v>
          </cell>
          <cell r="H158">
            <v>0.18063623789764868</v>
          </cell>
          <cell r="I158">
            <v>0.14219354838709677</v>
          </cell>
          <cell r="J158">
            <v>0.11870918171340761</v>
          </cell>
          <cell r="K158">
            <v>0.13043478260869565</v>
          </cell>
          <cell r="L158">
            <v>0.15516755843424387</v>
          </cell>
          <cell r="M158">
            <v>0.10956360259981431</v>
          </cell>
          <cell r="N158">
            <v>0.11786485652576366</v>
          </cell>
          <cell r="O158">
            <v>0.12431648108281625</v>
          </cell>
          <cell r="P158">
            <v>0.11581366886260358</v>
          </cell>
          <cell r="Q158">
            <v>0.10885889364883532</v>
          </cell>
          <cell r="R158">
            <v>0.11268707954800322</v>
          </cell>
          <cell r="S158">
            <v>0.11495554859406278</v>
          </cell>
          <cell r="T158">
            <v>0.11501651925200965</v>
          </cell>
          <cell r="U158">
            <v>0.11507633512151293</v>
          </cell>
          <cell r="AC158">
            <v>8.3012539259493534E-3</v>
          </cell>
          <cell r="AJ158">
            <v>0.18233944954128439</v>
          </cell>
          <cell r="AK158">
            <v>0.17569193742478942</v>
          </cell>
          <cell r="AL158">
            <v>0.20143027413587605</v>
          </cell>
          <cell r="AM158">
            <v>0.15681544028950542</v>
          </cell>
          <cell r="AN158">
            <v>0.1736111111111111</v>
          </cell>
          <cell r="AO158">
            <v>0.18836565096952909</v>
          </cell>
          <cell r="AP158">
            <v>0.197992700729927</v>
          </cell>
          <cell r="AQ158">
            <v>0.18181818181818182</v>
          </cell>
          <cell r="AR158">
            <v>0.14109848484848486</v>
          </cell>
          <cell r="AS158">
            <v>-1.3719512195121951E-2</v>
          </cell>
          <cell r="AT158">
            <v>7.6923076923076927E-2</v>
          </cell>
          <cell r="AU158">
            <v>0.1157556270096463</v>
          </cell>
          <cell r="AV158">
            <v>0.12612612612612611</v>
          </cell>
          <cell r="AW158">
            <v>0.14670255720053835</v>
          </cell>
          <cell r="AX158">
            <v>0.106353591160221</v>
          </cell>
          <cell r="AY158">
            <v>0.12020460358056266</v>
          </cell>
          <cell r="AZ158">
            <v>0.13642213642213641</v>
          </cell>
          <cell r="BA158">
            <v>0.15644555694618273</v>
          </cell>
          <cell r="BB158">
            <v>0.14760147601476015</v>
          </cell>
          <cell r="BC158">
            <v>0.1925601750547046</v>
          </cell>
          <cell r="BD158">
            <v>0.17025641025641025</v>
          </cell>
          <cell r="BE158">
            <v>0.10482921083627797</v>
          </cell>
          <cell r="BF158">
            <v>9.8591549295774641E-2</v>
          </cell>
          <cell r="BG158">
            <v>0.11936662606577345</v>
          </cell>
          <cell r="BH158">
            <v>0.11464968152866242</v>
          </cell>
          <cell r="BI158">
            <v>0.10608020698576973</v>
          </cell>
          <cell r="BJ158">
            <v>0.12004950495049505</v>
          </cell>
          <cell r="BK158">
            <v>0.10506798516687268</v>
          </cell>
          <cell r="BL158">
            <v>0.11446540880503145</v>
          </cell>
          <cell r="BM158">
            <v>0.13148371531966224</v>
          </cell>
          <cell r="BN158">
            <v>0.13793103448275862</v>
          </cell>
          <cell r="BO158">
            <v>0.1</v>
          </cell>
          <cell r="BP158">
            <v>0.13</v>
          </cell>
          <cell r="BQ158">
            <v>0.13</v>
          </cell>
        </row>
        <row r="159">
          <cell r="B159" t="str">
            <v>Equity Earnings</v>
          </cell>
          <cell r="G159">
            <v>63</v>
          </cell>
          <cell r="H159">
            <v>78</v>
          </cell>
          <cell r="I159">
            <v>125</v>
          </cell>
          <cell r="J159">
            <v>9</v>
          </cell>
          <cell r="K159">
            <v>9</v>
          </cell>
          <cell r="L159">
            <v>10</v>
          </cell>
          <cell r="M159">
            <v>13</v>
          </cell>
          <cell r="N159">
            <v>5</v>
          </cell>
          <cell r="O159">
            <v>10</v>
          </cell>
          <cell r="P159">
            <v>10</v>
          </cell>
          <cell r="Q159">
            <v>10</v>
          </cell>
          <cell r="R159">
            <v>10</v>
          </cell>
          <cell r="S159">
            <v>10</v>
          </cell>
          <cell r="T159">
            <v>10</v>
          </cell>
          <cell r="U159">
            <v>10</v>
          </cell>
          <cell r="AJ159">
            <v>18</v>
          </cell>
          <cell r="AK159">
            <v>23</v>
          </cell>
          <cell r="AL159">
            <v>5</v>
          </cell>
          <cell r="AM159">
            <v>18</v>
          </cell>
          <cell r="AN159">
            <v>28</v>
          </cell>
          <cell r="AO159">
            <v>27</v>
          </cell>
          <cell r="AP159">
            <v>29</v>
          </cell>
          <cell r="AQ159">
            <v>33</v>
          </cell>
          <cell r="AR159">
            <v>33</v>
          </cell>
          <cell r="AS159">
            <v>30</v>
          </cell>
          <cell r="AT159">
            <v>1</v>
          </cell>
          <cell r="AU159">
            <v>2</v>
          </cell>
          <cell r="AV159">
            <v>3</v>
          </cell>
          <cell r="AW159">
            <v>3</v>
          </cell>
          <cell r="AX159">
            <v>1</v>
          </cell>
          <cell r="AY159">
            <v>2</v>
          </cell>
          <cell r="AZ159">
            <v>4</v>
          </cell>
          <cell r="BA159">
            <v>2</v>
          </cell>
          <cell r="BB159">
            <v>2</v>
          </cell>
          <cell r="BC159">
            <v>2</v>
          </cell>
          <cell r="BD159">
            <v>3</v>
          </cell>
          <cell r="BE159">
            <v>3</v>
          </cell>
          <cell r="BF159">
            <v>1</v>
          </cell>
          <cell r="BG159">
            <v>2</v>
          </cell>
          <cell r="BH159">
            <v>2</v>
          </cell>
          <cell r="BI159">
            <v>8</v>
          </cell>
          <cell r="BJ159">
            <v>3</v>
          </cell>
          <cell r="BK159">
            <v>3</v>
          </cell>
          <cell r="BL159">
            <v>3</v>
          </cell>
          <cell r="BM159">
            <v>-4</v>
          </cell>
          <cell r="BN159">
            <v>1</v>
          </cell>
          <cell r="BO159">
            <v>3</v>
          </cell>
          <cell r="BP159">
            <v>3</v>
          </cell>
          <cell r="BQ159">
            <v>3</v>
          </cell>
        </row>
        <row r="160">
          <cell r="B160" t="str">
            <v>Consolidated margin</v>
          </cell>
          <cell r="G160">
            <v>0.20053715308863027</v>
          </cell>
          <cell r="H160">
            <v>0.20221300138312587</v>
          </cell>
          <cell r="I160">
            <v>0.17445161290322581</v>
          </cell>
          <cell r="J160">
            <v>0.12216673069535151</v>
          </cell>
          <cell r="K160">
            <v>0.13335496430889032</v>
          </cell>
          <cell r="L160">
            <v>0.15798366657279639</v>
          </cell>
          <cell r="M160">
            <v>0.11358712472918601</v>
          </cell>
          <cell r="N160">
            <v>0.11940759024992287</v>
          </cell>
          <cell r="O160">
            <v>0.12726147738684587</v>
          </cell>
          <cell r="P160">
            <v>0.11866537853705303</v>
          </cell>
          <cell r="Q160">
            <v>0.11146141247024259</v>
          </cell>
          <cell r="R160">
            <v>0.11510115176202416</v>
          </cell>
          <cell r="S160">
            <v>0.11726606372671065</v>
          </cell>
          <cell r="T160">
            <v>0.11727161795368236</v>
          </cell>
          <cell r="U160">
            <v>0.11727706698321431</v>
          </cell>
          <cell r="AJ160">
            <v>0.20298165137614679</v>
          </cell>
          <cell r="AK160">
            <v>0.20336943441636582</v>
          </cell>
          <cell r="AL160">
            <v>0.20738974970202623</v>
          </cell>
          <cell r="AM160">
            <v>0.17852834740651388</v>
          </cell>
          <cell r="AN160">
            <v>0.20601851851851852</v>
          </cell>
          <cell r="AO160">
            <v>0.21329639889196675</v>
          </cell>
          <cell r="AP160">
            <v>0.22445255474452555</v>
          </cell>
          <cell r="AQ160">
            <v>0.21274601686972822</v>
          </cell>
          <cell r="AR160">
            <v>0.17234848484848486</v>
          </cell>
          <cell r="AS160">
            <v>3.201219512195122E-2</v>
          </cell>
          <cell r="AT160">
            <v>7.8671328671328672E-2</v>
          </cell>
          <cell r="AU160">
            <v>0.11897106109324759</v>
          </cell>
          <cell r="AV160">
            <v>0.13063063063063063</v>
          </cell>
          <cell r="AW160">
            <v>0.15074024226110364</v>
          </cell>
          <cell r="AX160">
            <v>0.10773480662983426</v>
          </cell>
          <cell r="AY160">
            <v>0.12276214833759591</v>
          </cell>
          <cell r="AZ160">
            <v>0.14157014157014158</v>
          </cell>
          <cell r="BA160">
            <v>0.15894868585732166</v>
          </cell>
          <cell r="BB160">
            <v>0.15006150061500614</v>
          </cell>
          <cell r="BC160">
            <v>0.19474835886214442</v>
          </cell>
          <cell r="BD160">
            <v>0.17333333333333334</v>
          </cell>
          <cell r="BE160">
            <v>0.10836277974087162</v>
          </cell>
          <cell r="BF160">
            <v>9.9765258215962438E-2</v>
          </cell>
          <cell r="BG160">
            <v>0.1218026796589525</v>
          </cell>
          <cell r="BH160">
            <v>0.11719745222929936</v>
          </cell>
          <cell r="BI160">
            <v>0.11642949547218628</v>
          </cell>
          <cell r="BJ160">
            <v>0.12376237623762376</v>
          </cell>
          <cell r="BK160">
            <v>0.10877626699629171</v>
          </cell>
          <cell r="BL160">
            <v>0.11823899371069183</v>
          </cell>
          <cell r="BM160">
            <v>0.12665862484921592</v>
          </cell>
          <cell r="BN160">
            <v>0.13912009512485138</v>
          </cell>
          <cell r="BO160">
            <v>0.10346568395272808</v>
          </cell>
          <cell r="BP160">
            <v>0.13362844702467344</v>
          </cell>
          <cell r="BQ160">
            <v>0.13347963255080264</v>
          </cell>
        </row>
        <row r="161">
          <cell r="BN161" t="str">
            <v xml:space="preserve"> </v>
          </cell>
        </row>
        <row r="162">
          <cell r="A162">
            <v>0.68248772504091648</v>
          </cell>
          <cell r="B162" t="str">
            <v>Operating income</v>
          </cell>
          <cell r="G162">
            <v>508</v>
          </cell>
          <cell r="H162">
            <v>547</v>
          </cell>
          <cell r="I162">
            <v>417</v>
          </cell>
          <cell r="J162">
            <v>198</v>
          </cell>
          <cell r="K162">
            <v>305</v>
          </cell>
          <cell r="L162">
            <v>455</v>
          </cell>
          <cell r="M162">
            <v>274</v>
          </cell>
          <cell r="N162">
            <v>296</v>
          </cell>
          <cell r="O162">
            <v>335.12779999999998</v>
          </cell>
          <cell r="P162">
            <v>300.92007482904364</v>
          </cell>
          <cell r="Q162">
            <v>283.79773103388095</v>
          </cell>
          <cell r="R162">
            <v>321.80926111818894</v>
          </cell>
          <cell r="S162">
            <v>346.05074627852548</v>
          </cell>
          <cell r="T162">
            <v>354.82490940488162</v>
          </cell>
          <cell r="U162">
            <v>363.8622974250286</v>
          </cell>
          <cell r="AJ162">
            <v>136</v>
          </cell>
          <cell r="AK162">
            <v>123</v>
          </cell>
          <cell r="AL162">
            <v>145</v>
          </cell>
          <cell r="AM162">
            <v>104</v>
          </cell>
          <cell r="AN162">
            <v>119</v>
          </cell>
          <cell r="AO162">
            <v>179</v>
          </cell>
          <cell r="AP162">
            <v>185</v>
          </cell>
          <cell r="AQ162">
            <v>160</v>
          </cell>
          <cell r="AR162">
            <v>113</v>
          </cell>
          <cell r="AS162">
            <v>-41</v>
          </cell>
          <cell r="AT162">
            <v>17</v>
          </cell>
          <cell r="AU162">
            <v>44</v>
          </cell>
          <cell r="AV162">
            <v>57</v>
          </cell>
          <cell r="AW162">
            <v>80</v>
          </cell>
          <cell r="AX162">
            <v>52</v>
          </cell>
          <cell r="AY162">
            <v>70</v>
          </cell>
          <cell r="AZ162">
            <v>83</v>
          </cell>
          <cell r="BA162">
            <v>100</v>
          </cell>
          <cell r="BB162">
            <v>97</v>
          </cell>
          <cell r="BC162">
            <v>153</v>
          </cell>
          <cell r="BD162">
            <v>144</v>
          </cell>
          <cell r="BE162">
            <v>71</v>
          </cell>
          <cell r="BF162">
            <v>65</v>
          </cell>
          <cell r="BG162">
            <v>81</v>
          </cell>
          <cell r="BH162">
            <v>72</v>
          </cell>
          <cell r="BI162">
            <v>69</v>
          </cell>
          <cell r="BJ162">
            <v>76</v>
          </cell>
          <cell r="BK162">
            <v>63</v>
          </cell>
          <cell r="BL162">
            <v>69</v>
          </cell>
          <cell r="BM162">
            <v>88</v>
          </cell>
          <cell r="BN162">
            <v>95</v>
          </cell>
          <cell r="BO162">
            <v>64.563000000000002</v>
          </cell>
          <cell r="BP162">
            <v>85.484000000000009</v>
          </cell>
          <cell r="BQ162">
            <v>90.080800000000011</v>
          </cell>
          <cell r="BS162">
            <v>296</v>
          </cell>
        </row>
        <row r="163">
          <cell r="B163" t="str">
            <v>Reported EBIT</v>
          </cell>
          <cell r="G163">
            <v>456</v>
          </cell>
          <cell r="H163">
            <v>616</v>
          </cell>
          <cell r="I163">
            <v>309</v>
          </cell>
          <cell r="J163">
            <v>95</v>
          </cell>
          <cell r="K163">
            <v>243</v>
          </cell>
          <cell r="L163">
            <v>458</v>
          </cell>
          <cell r="M163">
            <v>269</v>
          </cell>
          <cell r="N163">
            <v>153</v>
          </cell>
          <cell r="O163">
            <v>338.12779999999998</v>
          </cell>
          <cell r="P163">
            <v>300.92007482904364</v>
          </cell>
          <cell r="Q163">
            <v>283.79773103388095</v>
          </cell>
          <cell r="R163">
            <v>321.80926111818894</v>
          </cell>
          <cell r="S163">
            <v>346.05074627852548</v>
          </cell>
          <cell r="T163">
            <v>354.82490940488162</v>
          </cell>
          <cell r="U163">
            <v>363.8622974250286</v>
          </cell>
          <cell r="AJ163">
            <v>126</v>
          </cell>
          <cell r="AK163">
            <v>107</v>
          </cell>
          <cell r="AL163">
            <v>132</v>
          </cell>
          <cell r="AM163">
            <v>91</v>
          </cell>
          <cell r="AN163">
            <v>117</v>
          </cell>
          <cell r="AO163">
            <v>276</v>
          </cell>
          <cell r="AP163">
            <v>177</v>
          </cell>
          <cell r="AQ163">
            <v>148</v>
          </cell>
          <cell r="AR163">
            <v>100</v>
          </cell>
          <cell r="AS163">
            <v>-116</v>
          </cell>
          <cell r="AT163">
            <v>12</v>
          </cell>
          <cell r="AU163">
            <v>40</v>
          </cell>
          <cell r="AV163">
            <v>-30</v>
          </cell>
          <cell r="AW163">
            <v>73</v>
          </cell>
          <cell r="AX163">
            <v>0</v>
          </cell>
          <cell r="AY163">
            <v>68</v>
          </cell>
          <cell r="AZ163">
            <v>81</v>
          </cell>
          <cell r="BA163">
            <v>94</v>
          </cell>
          <cell r="BB163">
            <v>112</v>
          </cell>
          <cell r="BC163">
            <v>153</v>
          </cell>
          <cell r="BD163">
            <v>129</v>
          </cell>
          <cell r="BE163">
            <v>64</v>
          </cell>
          <cell r="BF163">
            <v>62</v>
          </cell>
          <cell r="BG163">
            <v>78</v>
          </cell>
          <cell r="BH163">
            <v>63</v>
          </cell>
          <cell r="BI163">
            <v>66</v>
          </cell>
          <cell r="BJ163">
            <v>75</v>
          </cell>
          <cell r="BK163">
            <v>55</v>
          </cell>
          <cell r="BL163">
            <v>67</v>
          </cell>
          <cell r="BM163">
            <v>-44</v>
          </cell>
          <cell r="BN163">
            <v>98</v>
          </cell>
          <cell r="BO163">
            <v>64.563000000000002</v>
          </cell>
          <cell r="BP163">
            <v>85.484000000000009</v>
          </cell>
          <cell r="BQ163">
            <v>90.080800000000011</v>
          </cell>
          <cell r="BS163">
            <v>335.12779999999998</v>
          </cell>
        </row>
        <row r="164">
          <cell r="B164" t="str">
            <v>Margin</v>
          </cell>
          <cell r="G164">
            <v>0.13607878245299909</v>
          </cell>
          <cell r="H164">
            <v>0.17040110650069157</v>
          </cell>
          <cell r="I164">
            <v>7.9741935483870971E-2</v>
          </cell>
          <cell r="J164">
            <v>3.6496350364963501E-2</v>
          </cell>
          <cell r="K164">
            <v>7.8844905905256321E-2</v>
          </cell>
          <cell r="L164">
            <v>0.12897775274570544</v>
          </cell>
          <cell r="M164">
            <v>8.3255957907768491E-2</v>
          </cell>
          <cell r="N164">
            <v>4.7207651959271832E-2</v>
          </cell>
          <cell r="O164">
            <v>9.9578512128967261E-2</v>
          </cell>
          <cell r="P164">
            <v>8.5813668862603595E-2</v>
          </cell>
          <cell r="Q164">
            <v>7.3858893648835314E-2</v>
          </cell>
          <cell r="R164">
            <v>7.7687079548003232E-2</v>
          </cell>
          <cell r="S164">
            <v>7.9955548594062772E-2</v>
          </cell>
          <cell r="T164">
            <v>8.0016519252009644E-2</v>
          </cell>
          <cell r="U164">
            <v>8.0076335121512923E-2</v>
          </cell>
          <cell r="AJ164">
            <v>0.14449541284403669</v>
          </cell>
          <cell r="AK164">
            <v>0.12876052948255115</v>
          </cell>
          <cell r="AL164">
            <v>0.15733015494636471</v>
          </cell>
          <cell r="AM164">
            <v>0.10977080820265379</v>
          </cell>
          <cell r="AN164">
            <v>0.13541666666666666</v>
          </cell>
          <cell r="AO164">
            <v>0.25484764542936289</v>
          </cell>
          <cell r="AP164">
            <v>0.16149635036496351</v>
          </cell>
          <cell r="AQ164">
            <v>0.13870665417057171</v>
          </cell>
          <cell r="AR164">
            <v>9.4696969696969696E-2</v>
          </cell>
          <cell r="AS164">
            <v>-0.17682926829268292</v>
          </cell>
          <cell r="AT164">
            <v>2.097902097902098E-2</v>
          </cell>
          <cell r="AU164">
            <v>6.4308681672025719E-2</v>
          </cell>
          <cell r="AV164">
            <v>-4.5045045045045043E-2</v>
          </cell>
          <cell r="AW164">
            <v>9.8250336473755043E-2</v>
          </cell>
          <cell r="AX164">
            <v>0</v>
          </cell>
          <cell r="AY164">
            <v>8.6956521739130432E-2</v>
          </cell>
          <cell r="AZ164">
            <v>0.10424710424710425</v>
          </cell>
          <cell r="BA164">
            <v>0.11764705882352941</v>
          </cell>
          <cell r="BB164">
            <v>0.13776137761377613</v>
          </cell>
          <cell r="BC164">
            <v>0.16739606126914661</v>
          </cell>
          <cell r="BD164">
            <v>0.13230769230769232</v>
          </cell>
          <cell r="BE164">
            <v>7.5382803297997639E-2</v>
          </cell>
          <cell r="BF164">
            <v>7.2769953051643188E-2</v>
          </cell>
          <cell r="BG164">
            <v>9.5006090133982951E-2</v>
          </cell>
          <cell r="BH164">
            <v>8.025477707006369E-2</v>
          </cell>
          <cell r="BI164">
            <v>8.538163001293661E-2</v>
          </cell>
          <cell r="BJ164">
            <v>9.2821782178217821E-2</v>
          </cell>
          <cell r="BK164">
            <v>6.7985166872682329E-2</v>
          </cell>
          <cell r="BL164">
            <v>8.4276729559748423E-2</v>
          </cell>
          <cell r="BM164">
            <v>-5.3075995174909532E-2</v>
          </cell>
          <cell r="BN164">
            <v>0.11652794292508918</v>
          </cell>
          <cell r="BO164">
            <v>7.4584984346660818E-2</v>
          </cell>
          <cell r="BP164">
            <v>0.10339138848572811</v>
          </cell>
          <cell r="BQ164">
            <v>0.10448269462744735</v>
          </cell>
          <cell r="BS164">
            <v>39.127799999999979</v>
          </cell>
        </row>
        <row r="165">
          <cell r="BN165" t="str">
            <v xml:space="preserve"> </v>
          </cell>
        </row>
        <row r="166">
          <cell r="B166" t="str">
            <v>Special charges</v>
          </cell>
          <cell r="G166">
            <v>52</v>
          </cell>
          <cell r="H166">
            <v>-69</v>
          </cell>
          <cell r="I166">
            <v>108</v>
          </cell>
          <cell r="J166">
            <v>103</v>
          </cell>
          <cell r="K166">
            <v>62</v>
          </cell>
          <cell r="L166">
            <v>-3</v>
          </cell>
          <cell r="M166">
            <v>5</v>
          </cell>
          <cell r="N166">
            <v>143</v>
          </cell>
          <cell r="O166">
            <v>-3</v>
          </cell>
          <cell r="P166">
            <v>0</v>
          </cell>
          <cell r="Q166">
            <v>0</v>
          </cell>
          <cell r="R166">
            <v>0</v>
          </cell>
          <cell r="S166">
            <v>0</v>
          </cell>
          <cell r="T166">
            <v>0</v>
          </cell>
          <cell r="U166">
            <v>0</v>
          </cell>
          <cell r="AJ166">
            <v>10</v>
          </cell>
          <cell r="AK166">
            <v>16</v>
          </cell>
          <cell r="AL166">
            <v>13</v>
          </cell>
          <cell r="AM166">
            <v>13</v>
          </cell>
          <cell r="AN166">
            <v>2</v>
          </cell>
          <cell r="AO166">
            <v>-97</v>
          </cell>
          <cell r="AP166">
            <v>8</v>
          </cell>
          <cell r="AQ166">
            <v>12</v>
          </cell>
          <cell r="AR166">
            <v>13</v>
          </cell>
          <cell r="AS166">
            <v>75</v>
          </cell>
          <cell r="AT166">
            <v>5</v>
          </cell>
          <cell r="AU166">
            <v>4</v>
          </cell>
          <cell r="AV166">
            <v>87</v>
          </cell>
          <cell r="AW166">
            <v>7</v>
          </cell>
          <cell r="AX166">
            <v>52</v>
          </cell>
          <cell r="AY166">
            <v>2</v>
          </cell>
          <cell r="AZ166">
            <v>2</v>
          </cell>
          <cell r="BA166">
            <v>6</v>
          </cell>
          <cell r="BB166">
            <v>-17</v>
          </cell>
          <cell r="BC166">
            <v>-2</v>
          </cell>
          <cell r="BD166">
            <v>12</v>
          </cell>
          <cell r="BE166">
            <v>4</v>
          </cell>
          <cell r="BF166">
            <v>2</v>
          </cell>
          <cell r="BG166">
            <v>1</v>
          </cell>
          <cell r="BH166">
            <v>7</v>
          </cell>
          <cell r="BI166">
            <v>-5</v>
          </cell>
          <cell r="BJ166">
            <v>1</v>
          </cell>
          <cell r="BK166">
            <v>8</v>
          </cell>
          <cell r="BL166">
            <v>2</v>
          </cell>
          <cell r="BM166">
            <v>132</v>
          </cell>
          <cell r="BN166">
            <v>-3</v>
          </cell>
          <cell r="BO166">
            <v>0</v>
          </cell>
          <cell r="BP166">
            <v>0</v>
          </cell>
          <cell r="BQ166">
            <v>0</v>
          </cell>
        </row>
        <row r="167">
          <cell r="B167" t="str">
            <v>D&amp;A</v>
          </cell>
          <cell r="G167">
            <v>101</v>
          </cell>
          <cell r="H167">
            <v>106</v>
          </cell>
          <cell r="I167">
            <v>134</v>
          </cell>
          <cell r="J167">
            <v>111</v>
          </cell>
          <cell r="K167">
            <v>97</v>
          </cell>
          <cell r="L167">
            <v>96</v>
          </cell>
          <cell r="M167">
            <v>80</v>
          </cell>
          <cell r="N167">
            <v>86</v>
          </cell>
          <cell r="O167">
            <v>87</v>
          </cell>
          <cell r="P167">
            <v>105.20004988162687</v>
          </cell>
          <cell r="Q167">
            <v>134.4850984826858</v>
          </cell>
          <cell r="R167">
            <v>144.98323536769007</v>
          </cell>
          <cell r="S167">
            <v>151.48137099578068</v>
          </cell>
          <cell r="T167">
            <v>155.20384972080566</v>
          </cell>
          <cell r="U167">
            <v>159.03800280758142</v>
          </cell>
          <cell r="AJ167">
            <v>23</v>
          </cell>
          <cell r="AK167">
            <v>23</v>
          </cell>
          <cell r="AL167">
            <v>24</v>
          </cell>
          <cell r="AM167">
            <v>26</v>
          </cell>
          <cell r="AN167">
            <v>31</v>
          </cell>
          <cell r="AO167">
            <v>25</v>
          </cell>
          <cell r="AP167">
            <v>32</v>
          </cell>
          <cell r="AQ167">
            <v>34</v>
          </cell>
          <cell r="AR167">
            <v>36</v>
          </cell>
          <cell r="AS167">
            <v>32</v>
          </cell>
          <cell r="AT167">
            <v>27</v>
          </cell>
          <cell r="AU167">
            <v>28</v>
          </cell>
          <cell r="AV167">
            <v>27</v>
          </cell>
          <cell r="AW167">
            <v>29</v>
          </cell>
          <cell r="AX167">
            <v>25</v>
          </cell>
          <cell r="AY167">
            <v>24</v>
          </cell>
          <cell r="AZ167">
            <v>23</v>
          </cell>
          <cell r="BA167">
            <v>25</v>
          </cell>
          <cell r="BB167">
            <v>25</v>
          </cell>
          <cell r="BC167">
            <v>25</v>
          </cell>
          <cell r="BD167">
            <v>25</v>
          </cell>
          <cell r="BE167">
            <v>21</v>
          </cell>
          <cell r="BF167">
            <v>20</v>
          </cell>
          <cell r="BG167">
            <v>19</v>
          </cell>
          <cell r="BH167">
            <v>20</v>
          </cell>
          <cell r="BI167">
            <v>21</v>
          </cell>
          <cell r="BJ167">
            <v>21</v>
          </cell>
          <cell r="BK167">
            <v>22</v>
          </cell>
          <cell r="BL167">
            <v>22</v>
          </cell>
          <cell r="BM167">
            <v>21</v>
          </cell>
          <cell r="BN167">
            <v>21</v>
          </cell>
          <cell r="BO167">
            <v>22</v>
          </cell>
          <cell r="BP167">
            <v>22</v>
          </cell>
          <cell r="BQ167">
            <v>22</v>
          </cell>
        </row>
        <row r="168">
          <cell r="B168" t="str">
            <v>% of sales</v>
          </cell>
          <cell r="G168">
            <v>3.0140256639809012E-2</v>
          </cell>
          <cell r="H168">
            <v>2.9322268326417704E-2</v>
          </cell>
          <cell r="I168">
            <v>3.4580645161290322E-2</v>
          </cell>
          <cell r="J168">
            <v>4.2643104110641566E-2</v>
          </cell>
          <cell r="K168">
            <v>3.1473069435431537E-2</v>
          </cell>
          <cell r="L168">
            <v>2.7034638130104195E-2</v>
          </cell>
          <cell r="M168">
            <v>2.4760136180748994E-2</v>
          </cell>
          <cell r="N168">
            <v>2.6535020055538414E-2</v>
          </cell>
          <cell r="O168">
            <v>2.5621467845057852E-2</v>
          </cell>
          <cell r="P168">
            <v>0.03</v>
          </cell>
          <cell r="Q168">
            <v>3.5000000000000003E-2</v>
          </cell>
          <cell r="R168">
            <v>3.5000000000000003E-2</v>
          </cell>
          <cell r="S168">
            <v>3.5000000000000003E-2</v>
          </cell>
          <cell r="T168">
            <v>3.5000000000000003E-2</v>
          </cell>
          <cell r="U168">
            <v>3.5000000000000003E-2</v>
          </cell>
          <cell r="AJ168">
            <v>2.6376146788990827E-2</v>
          </cell>
          <cell r="AK168">
            <v>2.7677496991576414E-2</v>
          </cell>
          <cell r="AL168">
            <v>2.8605482717520857E-2</v>
          </cell>
          <cell r="AM168">
            <v>3.1363088057901084E-2</v>
          </cell>
          <cell r="AN168">
            <v>3.5879629629629629E-2</v>
          </cell>
          <cell r="AO168">
            <v>2.3084025854108958E-2</v>
          </cell>
          <cell r="AP168">
            <v>2.9197080291970802E-2</v>
          </cell>
          <cell r="AQ168">
            <v>3.1865042174320526E-2</v>
          </cell>
          <cell r="AR168">
            <v>3.4090909090909088E-2</v>
          </cell>
          <cell r="AS168">
            <v>4.878048780487805E-2</v>
          </cell>
          <cell r="AT168">
            <v>4.72027972027972E-2</v>
          </cell>
          <cell r="AU168">
            <v>4.5016077170418008E-2</v>
          </cell>
          <cell r="AV168">
            <v>4.0540540540540543E-2</v>
          </cell>
          <cell r="AW168">
            <v>3.9030955585464336E-2</v>
          </cell>
          <cell r="AX168">
            <v>3.4530386740331494E-2</v>
          </cell>
          <cell r="AY168">
            <v>3.0690537084398978E-2</v>
          </cell>
          <cell r="AZ168">
            <v>2.9601029601029602E-2</v>
          </cell>
          <cell r="BA168">
            <v>3.1289111389236547E-2</v>
          </cell>
          <cell r="BB168">
            <v>3.0750307503075031E-2</v>
          </cell>
          <cell r="BC168">
            <v>2.7352297592997812E-2</v>
          </cell>
          <cell r="BD168">
            <v>2.564102564102564E-2</v>
          </cell>
          <cell r="BE168">
            <v>2.4734982332155476E-2</v>
          </cell>
          <cell r="BF168">
            <v>2.3474178403755867E-2</v>
          </cell>
          <cell r="BG168">
            <v>2.3142509135200974E-2</v>
          </cell>
          <cell r="BH168">
            <v>2.5477707006369428E-2</v>
          </cell>
          <cell r="BI168">
            <v>2.7166882276843468E-2</v>
          </cell>
          <cell r="BJ168">
            <v>2.5990099009900989E-2</v>
          </cell>
          <cell r="BK168">
            <v>2.7194066749072928E-2</v>
          </cell>
          <cell r="BL168">
            <v>2.7672955974842768E-2</v>
          </cell>
          <cell r="BM168">
            <v>2.5331724969843185E-2</v>
          </cell>
          <cell r="BN168">
            <v>2.4970273483947682E-2</v>
          </cell>
          <cell r="BO168">
            <v>2.5415015653339187E-2</v>
          </cell>
          <cell r="BP168">
            <v>2.660861151427189E-2</v>
          </cell>
          <cell r="BQ168">
            <v>2.5517305372552656E-2</v>
          </cell>
        </row>
        <row r="169">
          <cell r="B169" t="str">
            <v>% of total D&amp;A</v>
          </cell>
          <cell r="G169">
            <v>0.37546468401486988</v>
          </cell>
          <cell r="H169">
            <v>0.36426116838487971</v>
          </cell>
          <cell r="I169">
            <v>0.40729483282674772</v>
          </cell>
          <cell r="J169">
            <v>0.38275862068965516</v>
          </cell>
          <cell r="K169">
            <v>0.37596899224806202</v>
          </cell>
          <cell r="L169">
            <v>0.33449477351916379</v>
          </cell>
          <cell r="M169">
            <v>0.26666666666666666</v>
          </cell>
          <cell r="N169">
            <v>0.28476821192052981</v>
          </cell>
          <cell r="O169">
            <v>0.28996626700823375</v>
          </cell>
          <cell r="P169">
            <v>0.33338987814812465</v>
          </cell>
          <cell r="Q169">
            <v>0.38878597255485775</v>
          </cell>
          <cell r="R169">
            <v>0.39677928128248691</v>
          </cell>
          <cell r="S169">
            <v>0.3990594587202691</v>
          </cell>
          <cell r="T169">
            <v>0.3979673661954618</v>
          </cell>
          <cell r="U169">
            <v>0.39677759467877383</v>
          </cell>
          <cell r="AJ169">
            <v>0.34848484848484851</v>
          </cell>
          <cell r="AK169">
            <v>0.359375</v>
          </cell>
          <cell r="AL169">
            <v>0.35294117647058826</v>
          </cell>
          <cell r="AM169">
            <v>0.35616438356164382</v>
          </cell>
          <cell r="AN169">
            <v>0.40259740259740262</v>
          </cell>
          <cell r="AO169">
            <v>0.34246575342465752</v>
          </cell>
          <cell r="AP169">
            <v>0.38554216867469882</v>
          </cell>
          <cell r="AQ169">
            <v>0.41463414634146339</v>
          </cell>
          <cell r="AR169">
            <v>0.42352941176470588</v>
          </cell>
          <cell r="AS169">
            <v>0.4050632911392405</v>
          </cell>
          <cell r="AT169">
            <v>0.38028169014084506</v>
          </cell>
          <cell r="AU169">
            <v>0.3888888888888889</v>
          </cell>
          <cell r="AV169">
            <v>0.36986301369863012</v>
          </cell>
          <cell r="AW169">
            <v>0.39189189189189189</v>
          </cell>
          <cell r="AX169">
            <v>0.37878787878787878</v>
          </cell>
          <cell r="AY169">
            <v>0.38095238095238093</v>
          </cell>
          <cell r="AZ169">
            <v>0.359375</v>
          </cell>
          <cell r="BA169">
            <v>0.38461538461538464</v>
          </cell>
          <cell r="BB169">
            <v>0.37878787878787878</v>
          </cell>
          <cell r="BC169">
            <v>0.36764705882352944</v>
          </cell>
          <cell r="BD169">
            <v>0.32467532467532467</v>
          </cell>
          <cell r="BE169">
            <v>0.27631578947368424</v>
          </cell>
          <cell r="BF169">
            <v>0.27777777777777779</v>
          </cell>
          <cell r="BG169">
            <v>0.25675675675675674</v>
          </cell>
          <cell r="BH169">
            <v>0.26666666666666666</v>
          </cell>
          <cell r="BI169">
            <v>0.26582278481012656</v>
          </cell>
          <cell r="BJ169">
            <v>0.27631578947368424</v>
          </cell>
          <cell r="BK169">
            <v>0.29333333333333333</v>
          </cell>
          <cell r="BL169">
            <v>0.28947368421052633</v>
          </cell>
          <cell r="BM169">
            <v>0.28000000000000003</v>
          </cell>
          <cell r="BN169">
            <v>0.28767123287671231</v>
          </cell>
          <cell r="BO169">
            <v>0.290704204177412</v>
          </cell>
          <cell r="BP169">
            <v>0.290704204177412</v>
          </cell>
          <cell r="BQ169">
            <v>0.290704204177412</v>
          </cell>
        </row>
        <row r="171">
          <cell r="B171" t="str">
            <v>Bull Case</v>
          </cell>
        </row>
        <row r="172">
          <cell r="B172" t="str">
            <v>Sales growth</v>
          </cell>
          <cell r="O172">
            <v>0.11375952078953432</v>
          </cell>
          <cell r="P172">
            <v>5.2712526950415825E-2</v>
          </cell>
          <cell r="Q172">
            <v>0.11574987546389147</v>
          </cell>
          <cell r="R172">
            <v>9.8061710951238487E-2</v>
          </cell>
          <cell r="S172">
            <v>6.4819910464894534E-2</v>
          </cell>
          <cell r="T172">
            <v>4.4573838357514481E-2</v>
          </cell>
          <cell r="U172">
            <v>4.4703981851435856E-2</v>
          </cell>
          <cell r="BI172">
            <v>-3.9999999999999994E-2</v>
          </cell>
          <cell r="BJ172">
            <v>3.0000000000000002E-2</v>
          </cell>
          <cell r="BK172">
            <v>2.0000000000000004E-2</v>
          </cell>
          <cell r="BL172">
            <v>0.04</v>
          </cell>
          <cell r="BM172">
            <v>0.05</v>
          </cell>
          <cell r="BN172">
            <v>9.0000000000000011E-2</v>
          </cell>
          <cell r="BO172">
            <v>9.0000000000000011E-2</v>
          </cell>
          <cell r="BP172">
            <v>0.06</v>
          </cell>
          <cell r="BQ172">
            <v>0.06</v>
          </cell>
        </row>
        <row r="173">
          <cell r="B173" t="str">
            <v>EBITDA Margin</v>
          </cell>
          <cell r="O173">
            <v>0.18</v>
          </cell>
          <cell r="P173">
            <v>0.15</v>
          </cell>
          <cell r="Q173">
            <v>0.14000000000000001</v>
          </cell>
          <cell r="R173">
            <v>0.14000000000000001</v>
          </cell>
          <cell r="S173">
            <v>0.14000000000000001</v>
          </cell>
          <cell r="T173">
            <v>0.14000000000000001</v>
          </cell>
          <cell r="U173">
            <v>0.14000000000000001</v>
          </cell>
          <cell r="BI173">
            <v>0.15</v>
          </cell>
          <cell r="BJ173">
            <v>0.15</v>
          </cell>
          <cell r="BK173">
            <v>0.15</v>
          </cell>
          <cell r="BL173">
            <v>0.15</v>
          </cell>
          <cell r="BM173">
            <v>0.15</v>
          </cell>
          <cell r="BN173">
            <v>0.18</v>
          </cell>
          <cell r="BO173">
            <v>0.18</v>
          </cell>
          <cell r="BP173">
            <v>0.18</v>
          </cell>
          <cell r="BQ173">
            <v>0.18</v>
          </cell>
        </row>
        <row r="175">
          <cell r="B175" t="str">
            <v>Base Case</v>
          </cell>
        </row>
        <row r="176">
          <cell r="B176" t="str">
            <v>Sales growth</v>
          </cell>
          <cell r="O176">
            <v>9.3759520789534312E-2</v>
          </cell>
          <cell r="P176">
            <v>3.2712526950415821E-2</v>
          </cell>
          <cell r="Q176">
            <v>9.5749875463891465E-2</v>
          </cell>
          <cell r="R176">
            <v>7.8061710951238483E-2</v>
          </cell>
          <cell r="S176">
            <v>4.481991046489453E-2</v>
          </cell>
          <cell r="T176">
            <v>2.4573838357514477E-2</v>
          </cell>
          <cell r="U176">
            <v>2.4703981851435852E-2</v>
          </cell>
          <cell r="BI176">
            <v>-0.09</v>
          </cell>
          <cell r="BJ176">
            <v>-0.02</v>
          </cell>
          <cell r="BK176">
            <v>-0.03</v>
          </cell>
          <cell r="BL176">
            <v>-0.01</v>
          </cell>
          <cell r="BM176">
            <v>0</v>
          </cell>
          <cell r="BN176">
            <v>7.0000000000000007E-2</v>
          </cell>
          <cell r="BO176">
            <v>7.0000000000000007E-2</v>
          </cell>
          <cell r="BP176">
            <v>0.04</v>
          </cell>
          <cell r="BQ176">
            <v>0.04</v>
          </cell>
        </row>
        <row r="177">
          <cell r="B177" t="str">
            <v>EBITDA Margin</v>
          </cell>
          <cell r="O177">
            <v>0.12913365637147523</v>
          </cell>
          <cell r="P177">
            <v>0.11581366886260358</v>
          </cell>
          <cell r="Q177">
            <v>0.10885889364883532</v>
          </cell>
          <cell r="R177">
            <v>0.11268707954800322</v>
          </cell>
          <cell r="S177">
            <v>0.11495554859406278</v>
          </cell>
          <cell r="T177">
            <v>0.11501651925200965</v>
          </cell>
          <cell r="U177">
            <v>0.11507633512151293</v>
          </cell>
          <cell r="BI177">
            <v>0.112</v>
          </cell>
          <cell r="BJ177">
            <v>0.115</v>
          </cell>
          <cell r="BK177">
            <v>0.125</v>
          </cell>
          <cell r="BL177">
            <v>0.125</v>
          </cell>
          <cell r="BM177">
            <v>0.107</v>
          </cell>
          <cell r="BN177">
            <v>0.125</v>
          </cell>
          <cell r="BO177">
            <v>0.1</v>
          </cell>
          <cell r="BP177">
            <v>0.13</v>
          </cell>
          <cell r="BQ177">
            <v>0.13</v>
          </cell>
        </row>
        <row r="179">
          <cell r="B179" t="str">
            <v>Bear Case</v>
          </cell>
        </row>
        <row r="180">
          <cell r="B180" t="str">
            <v>Sales growth</v>
          </cell>
          <cell r="O180">
            <v>0.02</v>
          </cell>
          <cell r="P180">
            <v>0.02</v>
          </cell>
          <cell r="Q180">
            <v>0.02</v>
          </cell>
          <cell r="R180">
            <v>0.02</v>
          </cell>
          <cell r="S180">
            <v>0.02</v>
          </cell>
          <cell r="T180">
            <v>0.02</v>
          </cell>
          <cell r="U180">
            <v>0.02</v>
          </cell>
          <cell r="BI180">
            <v>-0.14000000000000001</v>
          </cell>
          <cell r="BJ180">
            <v>-7.0000000000000007E-2</v>
          </cell>
          <cell r="BK180">
            <v>-0.08</v>
          </cell>
          <cell r="BL180">
            <v>-6.0000000000000005E-2</v>
          </cell>
          <cell r="BM180">
            <v>-0.05</v>
          </cell>
          <cell r="BN180">
            <v>0.02</v>
          </cell>
          <cell r="BO180">
            <v>0.02</v>
          </cell>
          <cell r="BP180">
            <v>0.02</v>
          </cell>
          <cell r="BQ180">
            <v>0.02</v>
          </cell>
        </row>
        <row r="181">
          <cell r="B181" t="str">
            <v>EBITDA Margin</v>
          </cell>
          <cell r="O181">
            <v>0.10913365637147522</v>
          </cell>
          <cell r="P181">
            <v>9.5813668862603577E-2</v>
          </cell>
          <cell r="Q181">
            <v>8.8858893648835313E-2</v>
          </cell>
          <cell r="R181">
            <v>9.2687079548003218E-2</v>
          </cell>
          <cell r="S181">
            <v>9.4955548594062772E-2</v>
          </cell>
          <cell r="T181">
            <v>9.5016519252009643E-2</v>
          </cell>
          <cell r="U181">
            <v>9.5076335121512923E-2</v>
          </cell>
          <cell r="BI181">
            <v>0.1</v>
          </cell>
          <cell r="BJ181">
            <v>0.1</v>
          </cell>
          <cell r="BK181">
            <v>0.1</v>
          </cell>
          <cell r="BL181">
            <v>0.1</v>
          </cell>
          <cell r="BM181">
            <v>0.1</v>
          </cell>
          <cell r="BN181">
            <v>0.105</v>
          </cell>
          <cell r="BO181">
            <v>0.08</v>
          </cell>
          <cell r="BP181">
            <v>0.11</v>
          </cell>
          <cell r="BQ181">
            <v>0.11</v>
          </cell>
        </row>
        <row r="183">
          <cell r="B183" t="str">
            <v>CapEx</v>
          </cell>
          <cell r="G183">
            <v>105</v>
          </cell>
          <cell r="H183">
            <v>130</v>
          </cell>
          <cell r="I183">
            <v>86</v>
          </cell>
          <cell r="J183">
            <v>36</v>
          </cell>
          <cell r="K183">
            <v>49</v>
          </cell>
          <cell r="L183">
            <v>122</v>
          </cell>
          <cell r="M183">
            <v>157</v>
          </cell>
          <cell r="N183">
            <v>172</v>
          </cell>
          <cell r="O183">
            <v>217.5</v>
          </cell>
          <cell r="P183">
            <v>210.40009976325373</v>
          </cell>
          <cell r="Q183">
            <v>268.9701969653716</v>
          </cell>
          <cell r="R183">
            <v>217.47485305153509</v>
          </cell>
          <cell r="S183">
            <v>151.48137099578068</v>
          </cell>
          <cell r="T183">
            <v>155.20384972080566</v>
          </cell>
          <cell r="U183">
            <v>159.03800280758142</v>
          </cell>
          <cell r="AJ183">
            <v>18</v>
          </cell>
          <cell r="AK183" t="str">
            <v>ND</v>
          </cell>
          <cell r="AL183">
            <v>29</v>
          </cell>
          <cell r="AM183">
            <v>28</v>
          </cell>
          <cell r="AN183">
            <v>55</v>
          </cell>
          <cell r="AO183">
            <v>18</v>
          </cell>
          <cell r="AP183">
            <v>24</v>
          </cell>
          <cell r="AQ183">
            <v>17</v>
          </cell>
          <cell r="AR183">
            <v>21</v>
          </cell>
          <cell r="AS183">
            <v>24</v>
          </cell>
          <cell r="AT183">
            <v>8</v>
          </cell>
          <cell r="AU183">
            <v>9</v>
          </cell>
          <cell r="AV183">
            <v>7</v>
          </cell>
          <cell r="AW183">
            <v>12</v>
          </cell>
          <cell r="AX183">
            <v>5</v>
          </cell>
          <cell r="AY183">
            <v>9</v>
          </cell>
          <cell r="AZ183">
            <v>11</v>
          </cell>
          <cell r="BA183">
            <v>24</v>
          </cell>
          <cell r="BB183">
            <v>15</v>
          </cell>
          <cell r="BC183">
            <v>25</v>
          </cell>
          <cell r="BD183">
            <v>39</v>
          </cell>
          <cell r="BE183">
            <v>43</v>
          </cell>
          <cell r="BF183">
            <v>31</v>
          </cell>
          <cell r="BG183">
            <v>44</v>
          </cell>
          <cell r="BH183">
            <v>40</v>
          </cell>
          <cell r="BI183">
            <v>42</v>
          </cell>
          <cell r="BJ183">
            <v>42</v>
          </cell>
          <cell r="BK183">
            <v>44</v>
          </cell>
          <cell r="BL183">
            <v>44</v>
          </cell>
          <cell r="BM183">
            <v>42</v>
          </cell>
          <cell r="BN183">
            <v>52.5</v>
          </cell>
          <cell r="BO183">
            <v>55</v>
          </cell>
          <cell r="BP183">
            <v>55</v>
          </cell>
          <cell r="BQ183">
            <v>55</v>
          </cell>
        </row>
        <row r="184">
          <cell r="B184" t="str">
            <v>Capex/Depreciation</v>
          </cell>
          <cell r="G184">
            <v>1.0396039603960396</v>
          </cell>
          <cell r="H184">
            <v>1.2264150943396226</v>
          </cell>
          <cell r="I184">
            <v>0.64179104477611937</v>
          </cell>
          <cell r="J184">
            <v>0.32432432432432434</v>
          </cell>
          <cell r="K184">
            <v>0.50515463917525771</v>
          </cell>
          <cell r="L184">
            <v>1.2708333333333333</v>
          </cell>
          <cell r="M184">
            <v>1.9624999999999999</v>
          </cell>
          <cell r="N184">
            <v>2</v>
          </cell>
          <cell r="O184">
            <v>2.5</v>
          </cell>
          <cell r="P184">
            <v>2</v>
          </cell>
          <cell r="Q184">
            <v>2</v>
          </cell>
          <cell r="R184">
            <v>1.5</v>
          </cell>
          <cell r="S184">
            <v>1</v>
          </cell>
          <cell r="T184">
            <v>1</v>
          </cell>
          <cell r="U184">
            <v>1</v>
          </cell>
          <cell r="AL184">
            <v>1.2083333333333333</v>
          </cell>
          <cell r="AM184">
            <v>1.0769230769230769</v>
          </cell>
          <cell r="AN184">
            <v>1.7741935483870968</v>
          </cell>
          <cell r="AO184">
            <v>0.72</v>
          </cell>
          <cell r="AP184">
            <v>0.75</v>
          </cell>
          <cell r="AQ184">
            <v>0.5</v>
          </cell>
          <cell r="AR184">
            <v>0.58333333333333337</v>
          </cell>
          <cell r="AS184">
            <v>0.75</v>
          </cell>
          <cell r="AT184">
            <v>0.29629629629629628</v>
          </cell>
          <cell r="AU184">
            <v>0.32142857142857145</v>
          </cell>
          <cell r="AV184">
            <v>0.25925925925925924</v>
          </cell>
          <cell r="AW184">
            <v>0.41379310344827586</v>
          </cell>
          <cell r="AX184">
            <v>0.2</v>
          </cell>
          <cell r="AY184">
            <v>0.375</v>
          </cell>
          <cell r="AZ184">
            <v>0.47826086956521741</v>
          </cell>
          <cell r="BA184">
            <v>0.96</v>
          </cell>
          <cell r="BB184">
            <v>0.6</v>
          </cell>
          <cell r="BC184">
            <v>1</v>
          </cell>
          <cell r="BD184">
            <v>1.56</v>
          </cell>
          <cell r="BE184">
            <v>2.0476190476190474</v>
          </cell>
          <cell r="BF184">
            <v>1.55</v>
          </cell>
          <cell r="BG184">
            <v>2.3157894736842106</v>
          </cell>
          <cell r="BH184">
            <v>2</v>
          </cell>
          <cell r="BI184">
            <v>2</v>
          </cell>
          <cell r="BJ184">
            <v>2</v>
          </cell>
          <cell r="BK184">
            <v>2</v>
          </cell>
          <cell r="BL184">
            <v>2</v>
          </cell>
          <cell r="BM184">
            <v>2</v>
          </cell>
          <cell r="BN184">
            <v>2.5</v>
          </cell>
          <cell r="BO184">
            <v>2.5</v>
          </cell>
          <cell r="BP184">
            <v>2.5</v>
          </cell>
          <cell r="BQ184">
            <v>2.5</v>
          </cell>
        </row>
        <row r="185">
          <cell r="B185" t="str">
            <v>Total Assets</v>
          </cell>
          <cell r="G185">
            <v>2768</v>
          </cell>
          <cell r="H185">
            <v>2530</v>
          </cell>
          <cell r="I185">
            <v>2197</v>
          </cell>
          <cell r="J185">
            <v>1986</v>
          </cell>
          <cell r="K185">
            <v>1909</v>
          </cell>
          <cell r="L185">
            <v>2035</v>
          </cell>
          <cell r="AJ185" t="str">
            <v>ND</v>
          </cell>
          <cell r="AK185" t="str">
            <v>ND</v>
          </cell>
          <cell r="AL185" t="str">
            <v>ND</v>
          </cell>
          <cell r="AM185" t="str">
            <v>ND</v>
          </cell>
          <cell r="AN185">
            <v>2432</v>
          </cell>
          <cell r="AO185">
            <v>2530</v>
          </cell>
          <cell r="AP185">
            <v>2769</v>
          </cell>
          <cell r="AQ185">
            <v>2802</v>
          </cell>
          <cell r="AR185">
            <v>2764</v>
          </cell>
          <cell r="AS185">
            <v>2197</v>
          </cell>
          <cell r="AT185">
            <v>1917</v>
          </cell>
          <cell r="AU185">
            <v>1945</v>
          </cell>
          <cell r="AV185">
            <v>1973</v>
          </cell>
          <cell r="AW185">
            <v>1986</v>
          </cell>
          <cell r="AX185">
            <v>1996</v>
          </cell>
          <cell r="AY185">
            <v>1951</v>
          </cell>
          <cell r="AZ185">
            <v>2074</v>
          </cell>
          <cell r="BA185">
            <v>1909</v>
          </cell>
          <cell r="BB185">
            <v>2013</v>
          </cell>
          <cell r="BC185">
            <v>2029</v>
          </cell>
          <cell r="BD185">
            <v>2104</v>
          </cell>
          <cell r="BE185">
            <v>2035</v>
          </cell>
          <cell r="BF185">
            <v>2153</v>
          </cell>
          <cell r="BG185">
            <v>2124</v>
          </cell>
        </row>
        <row r="186">
          <cell r="BN186" t="str">
            <v xml:space="preserve"> </v>
          </cell>
        </row>
        <row r="187">
          <cell r="B187" t="str">
            <v>Other Revenue</v>
          </cell>
          <cell r="G187">
            <v>22</v>
          </cell>
          <cell r="H187">
            <v>2</v>
          </cell>
          <cell r="I187">
            <v>2</v>
          </cell>
          <cell r="J187">
            <v>2</v>
          </cell>
          <cell r="K187">
            <v>2</v>
          </cell>
          <cell r="L187">
            <v>1</v>
          </cell>
          <cell r="M187">
            <v>0</v>
          </cell>
          <cell r="N187">
            <v>0</v>
          </cell>
          <cell r="O187">
            <v>0</v>
          </cell>
          <cell r="P187">
            <v>2</v>
          </cell>
          <cell r="Q187">
            <v>2</v>
          </cell>
          <cell r="R187">
            <v>2</v>
          </cell>
          <cell r="S187">
            <v>2</v>
          </cell>
          <cell r="T187">
            <v>2</v>
          </cell>
          <cell r="U187">
            <v>2</v>
          </cell>
          <cell r="AJ187">
            <v>5</v>
          </cell>
          <cell r="AK187">
            <v>6</v>
          </cell>
          <cell r="AL187">
            <v>1</v>
          </cell>
          <cell r="AM187">
            <v>0</v>
          </cell>
          <cell r="AN187">
            <v>1</v>
          </cell>
          <cell r="AO187">
            <v>0</v>
          </cell>
          <cell r="AQ187">
            <v>1</v>
          </cell>
          <cell r="AS187">
            <v>1</v>
          </cell>
          <cell r="AT187">
            <v>0</v>
          </cell>
          <cell r="AU187">
            <v>1</v>
          </cell>
          <cell r="AV187">
            <v>0</v>
          </cell>
          <cell r="AW187">
            <v>1</v>
          </cell>
          <cell r="AX187">
            <v>0</v>
          </cell>
          <cell r="AY187">
            <v>1</v>
          </cell>
          <cell r="AZ187">
            <v>0</v>
          </cell>
          <cell r="BA187">
            <v>1</v>
          </cell>
          <cell r="BB187">
            <v>1</v>
          </cell>
          <cell r="BC187">
            <v>0</v>
          </cell>
          <cell r="BD187">
            <v>0</v>
          </cell>
          <cell r="BE187">
            <v>0</v>
          </cell>
          <cell r="BF187">
            <v>0</v>
          </cell>
          <cell r="BG187">
            <v>0</v>
          </cell>
          <cell r="BH187">
            <v>0</v>
          </cell>
          <cell r="BI187">
            <v>0</v>
          </cell>
          <cell r="BJ187">
            <v>0</v>
          </cell>
          <cell r="BK187">
            <v>0</v>
          </cell>
          <cell r="BL187">
            <v>0</v>
          </cell>
          <cell r="BM187">
            <v>0</v>
          </cell>
          <cell r="BN187">
            <v>0</v>
          </cell>
          <cell r="BO187">
            <v>0</v>
          </cell>
          <cell r="BP187">
            <v>0</v>
          </cell>
          <cell r="BQ187">
            <v>0</v>
          </cell>
        </row>
        <row r="188">
          <cell r="B188" t="str">
            <v>Inter-segment elimination</v>
          </cell>
          <cell r="G188">
            <v>-667</v>
          </cell>
          <cell r="H188">
            <v>-660</v>
          </cell>
          <cell r="I188">
            <v>-676</v>
          </cell>
          <cell r="J188">
            <v>-389</v>
          </cell>
          <cell r="K188">
            <v>-409</v>
          </cell>
          <cell r="L188">
            <v>-471</v>
          </cell>
          <cell r="M188">
            <v>-444</v>
          </cell>
          <cell r="N188">
            <v>-452</v>
          </cell>
          <cell r="O188">
            <v>-455.0967</v>
          </cell>
          <cell r="P188">
            <v>-455.86688282038318</v>
          </cell>
          <cell r="Q188">
            <v>-499.51608007854725</v>
          </cell>
          <cell r="R188">
            <v>-579.93294147076028</v>
          </cell>
          <cell r="S188">
            <v>-649.20587569620284</v>
          </cell>
          <cell r="T188">
            <v>-665.15935594630992</v>
          </cell>
          <cell r="U188">
            <v>-681.5914406039202</v>
          </cell>
          <cell r="AJ188">
            <v>-184</v>
          </cell>
          <cell r="AK188">
            <v>-164</v>
          </cell>
          <cell r="AL188">
            <v>-162</v>
          </cell>
          <cell r="AM188">
            <v>-166</v>
          </cell>
          <cell r="AN188">
            <v>-146</v>
          </cell>
          <cell r="AO188">
            <v>-186</v>
          </cell>
          <cell r="AP188">
            <v>-191</v>
          </cell>
          <cell r="AQ188">
            <v>-178</v>
          </cell>
          <cell r="AR188">
            <v>-178</v>
          </cell>
          <cell r="AS188">
            <v>-129</v>
          </cell>
          <cell r="AT188">
            <v>-99</v>
          </cell>
          <cell r="AU188">
            <v>-110</v>
          </cell>
          <cell r="AV188">
            <v>-89</v>
          </cell>
          <cell r="AW188">
            <v>-91</v>
          </cell>
          <cell r="AX188">
            <v>-98</v>
          </cell>
          <cell r="AY188">
            <v>-108</v>
          </cell>
          <cell r="AZ188">
            <v>-106</v>
          </cell>
          <cell r="BA188">
            <v>-97</v>
          </cell>
          <cell r="BB188">
            <v>-109</v>
          </cell>
          <cell r="BC188">
            <v>-127</v>
          </cell>
          <cell r="BD188">
            <v>-130</v>
          </cell>
          <cell r="BE188">
            <v>-105</v>
          </cell>
          <cell r="BF188">
            <v>-109</v>
          </cell>
          <cell r="BG188">
            <v>-123</v>
          </cell>
          <cell r="BH188">
            <v>-109</v>
          </cell>
          <cell r="BI188">
            <v>-103</v>
          </cell>
          <cell r="BJ188">
            <v>-115</v>
          </cell>
          <cell r="BK188">
            <v>-117</v>
          </cell>
          <cell r="BL188">
            <v>-114</v>
          </cell>
          <cell r="BM188">
            <v>-106</v>
          </cell>
          <cell r="BN188">
            <v>-123</v>
          </cell>
          <cell r="BO188">
            <v>-112.53190000000001</v>
          </cell>
          <cell r="BP188">
            <v>-107.48400000000001</v>
          </cell>
          <cell r="BQ188">
            <v>-112.08080000000001</v>
          </cell>
        </row>
        <row r="189">
          <cell r="B189" t="str">
            <v>% of Acetyl Intermediate sales</v>
          </cell>
          <cell r="G189">
            <v>-0.19904506117576842</v>
          </cell>
          <cell r="H189">
            <v>-0.18257261410788381</v>
          </cell>
          <cell r="I189">
            <v>-0.17445161290322581</v>
          </cell>
          <cell r="J189">
            <v>-0.14944295044179792</v>
          </cell>
          <cell r="K189">
            <v>-0.1327060350421804</v>
          </cell>
          <cell r="L189">
            <v>-0.1326386933258237</v>
          </cell>
          <cell r="M189">
            <v>-0.13741875580315691</v>
          </cell>
          <cell r="N189">
            <v>-0.1394631286639926</v>
          </cell>
          <cell r="O189">
            <v>-0.13402580994760852</v>
          </cell>
          <cell r="P189">
            <v>-0.13</v>
          </cell>
          <cell r="Q189">
            <v>-0.13</v>
          </cell>
          <cell r="R189">
            <v>-0.14000000000000001</v>
          </cell>
          <cell r="S189">
            <v>-0.15</v>
          </cell>
          <cell r="T189">
            <v>-0.15</v>
          </cell>
          <cell r="U189">
            <v>-0.15</v>
          </cell>
          <cell r="AJ189">
            <v>-0.21100917431192662</v>
          </cell>
          <cell r="AK189">
            <v>-0.19735258724428401</v>
          </cell>
          <cell r="AL189">
            <v>-0.19308700834326578</v>
          </cell>
          <cell r="AM189">
            <v>-0.20024125452352232</v>
          </cell>
          <cell r="AN189">
            <v>-0.16898148148148148</v>
          </cell>
          <cell r="AO189">
            <v>-0.17174515235457063</v>
          </cell>
          <cell r="AP189">
            <v>-0.17427007299270073</v>
          </cell>
          <cell r="AQ189">
            <v>-0.16682286785379569</v>
          </cell>
          <cell r="AR189">
            <v>-0.16856060606060605</v>
          </cell>
          <cell r="AS189">
            <v>-0.19664634146341464</v>
          </cell>
          <cell r="AT189">
            <v>-0.17307692307692307</v>
          </cell>
          <cell r="AU189">
            <v>-0.17684887459807075</v>
          </cell>
          <cell r="AV189">
            <v>-0.13363363363363365</v>
          </cell>
          <cell r="AW189">
            <v>-0.1224764468371467</v>
          </cell>
          <cell r="AX189">
            <v>-0.13535911602209943</v>
          </cell>
          <cell r="AY189">
            <v>-0.13810741687979539</v>
          </cell>
          <cell r="AZ189">
            <v>-0.13642213642213641</v>
          </cell>
          <cell r="BA189">
            <v>-0.1214017521902378</v>
          </cell>
          <cell r="BB189">
            <v>-0.13407134071340712</v>
          </cell>
          <cell r="BC189">
            <v>-0.1389496717724289</v>
          </cell>
          <cell r="BD189">
            <v>-0.13333333333333333</v>
          </cell>
          <cell r="BE189">
            <v>-0.12367491166077739</v>
          </cell>
          <cell r="BF189">
            <v>-0.12793427230046947</v>
          </cell>
          <cell r="BG189">
            <v>-0.14981729598051158</v>
          </cell>
          <cell r="BH189">
            <v>-0.13885350318471337</v>
          </cell>
          <cell r="BI189">
            <v>-0.13324708926261319</v>
          </cell>
          <cell r="BJ189">
            <v>-0.14232673267326731</v>
          </cell>
          <cell r="BK189">
            <v>-0.14462299134734241</v>
          </cell>
          <cell r="BL189">
            <v>-0.14339622641509434</v>
          </cell>
          <cell r="BM189">
            <v>-0.1278648974668275</v>
          </cell>
          <cell r="BN189">
            <v>-0.13</v>
          </cell>
          <cell r="BO189">
            <v>-0.13</v>
          </cell>
          <cell r="BP189">
            <v>-0.13</v>
          </cell>
          <cell r="BQ189">
            <v>-0.13</v>
          </cell>
        </row>
        <row r="191">
          <cell r="B191" t="str">
            <v>Operating EBITDA</v>
          </cell>
          <cell r="G191">
            <v>-134</v>
          </cell>
          <cell r="H191">
            <v>-82</v>
          </cell>
          <cell r="I191">
            <v>-92</v>
          </cell>
          <cell r="J191">
            <v>-101</v>
          </cell>
          <cell r="K191">
            <v>-134</v>
          </cell>
          <cell r="L191">
            <v>-101</v>
          </cell>
          <cell r="M191">
            <v>-74</v>
          </cell>
          <cell r="N191">
            <v>-39</v>
          </cell>
          <cell r="O191">
            <v>-47.5</v>
          </cell>
          <cell r="P191">
            <v>-95.584058361503466</v>
          </cell>
          <cell r="Q191">
            <v>-107.36934162120775</v>
          </cell>
          <cell r="R191">
            <v>-129.0818941971053</v>
          </cell>
          <cell r="S191">
            <v>-147.78558643797479</v>
          </cell>
          <cell r="T191">
            <v>-152.0930261055037</v>
          </cell>
          <cell r="U191">
            <v>-156.52968896305848</v>
          </cell>
          <cell r="AJ191">
            <v>-28</v>
          </cell>
          <cell r="AK191">
            <v>-36</v>
          </cell>
          <cell r="AL191">
            <v>-12</v>
          </cell>
          <cell r="AM191">
            <v>-28</v>
          </cell>
          <cell r="AN191">
            <v>-17</v>
          </cell>
          <cell r="AO191">
            <v>-25</v>
          </cell>
          <cell r="AP191">
            <v>-26</v>
          </cell>
          <cell r="AQ191">
            <v>-33</v>
          </cell>
          <cell r="AR191">
            <v>-5</v>
          </cell>
          <cell r="AS191">
            <v>-28</v>
          </cell>
          <cell r="AT191">
            <v>-19</v>
          </cell>
          <cell r="AU191">
            <v>-30</v>
          </cell>
          <cell r="AV191">
            <v>-17</v>
          </cell>
          <cell r="AW191">
            <v>-35</v>
          </cell>
          <cell r="AX191">
            <v>-26</v>
          </cell>
          <cell r="AY191">
            <v>-37</v>
          </cell>
          <cell r="AZ191">
            <v>-31</v>
          </cell>
          <cell r="BA191">
            <v>-40</v>
          </cell>
          <cell r="BB191">
            <v>-24</v>
          </cell>
          <cell r="BC191">
            <v>-31</v>
          </cell>
          <cell r="BD191">
            <v>-27</v>
          </cell>
          <cell r="BE191">
            <v>-19</v>
          </cell>
          <cell r="BF191">
            <v>-16</v>
          </cell>
          <cell r="BG191">
            <v>-18</v>
          </cell>
          <cell r="BH191">
            <v>-18</v>
          </cell>
          <cell r="BI191">
            <v>-22</v>
          </cell>
          <cell r="BJ191">
            <v>-8</v>
          </cell>
          <cell r="BK191">
            <v>-12</v>
          </cell>
          <cell r="BL191">
            <v>-3</v>
          </cell>
          <cell r="BM191">
            <v>-16</v>
          </cell>
          <cell r="BN191">
            <v>-22</v>
          </cell>
          <cell r="BO191">
            <v>-8.5</v>
          </cell>
          <cell r="BP191">
            <v>-8.5</v>
          </cell>
          <cell r="BQ191">
            <v>-8.5</v>
          </cell>
        </row>
        <row r="192">
          <cell r="B192" t="str">
            <v>Adjusted EBITDA</v>
          </cell>
          <cell r="G192">
            <v>-156</v>
          </cell>
          <cell r="H192">
            <v>-82</v>
          </cell>
          <cell r="I192">
            <v>-107</v>
          </cell>
          <cell r="J192">
            <v>-119</v>
          </cell>
          <cell r="K192">
            <v>-157</v>
          </cell>
          <cell r="L192">
            <v>-132</v>
          </cell>
          <cell r="M192">
            <v>-113</v>
          </cell>
          <cell r="N192">
            <v>-63</v>
          </cell>
          <cell r="O192">
            <v>-75</v>
          </cell>
          <cell r="P192">
            <v>-123.08405836150347</v>
          </cell>
          <cell r="Q192">
            <v>-134.86934162120775</v>
          </cell>
          <cell r="R192">
            <v>-156.5818941971053</v>
          </cell>
          <cell r="S192">
            <v>-175.28558643797479</v>
          </cell>
          <cell r="T192">
            <v>-179.5930261055037</v>
          </cell>
          <cell r="U192">
            <v>-184.02968896305848</v>
          </cell>
          <cell r="AJ192">
            <v>-38</v>
          </cell>
          <cell r="AK192">
            <v>-48</v>
          </cell>
          <cell r="AL192">
            <v>-16</v>
          </cell>
          <cell r="AM192">
            <v>-26</v>
          </cell>
          <cell r="AN192">
            <v>-7</v>
          </cell>
          <cell r="AO192">
            <v>-33</v>
          </cell>
          <cell r="AP192">
            <v>-30</v>
          </cell>
          <cell r="AQ192">
            <v>-34</v>
          </cell>
          <cell r="AR192">
            <v>-17</v>
          </cell>
          <cell r="AS192">
            <v>-26</v>
          </cell>
          <cell r="AT192">
            <v>-25</v>
          </cell>
          <cell r="AU192">
            <v>-35</v>
          </cell>
          <cell r="AV192">
            <v>-18</v>
          </cell>
          <cell r="AW192">
            <v>-41</v>
          </cell>
          <cell r="AX192">
            <v>-36</v>
          </cell>
          <cell r="AY192">
            <v>-39</v>
          </cell>
          <cell r="AZ192">
            <v>-30</v>
          </cell>
          <cell r="BA192">
            <v>-52</v>
          </cell>
          <cell r="BB192">
            <v>-32</v>
          </cell>
          <cell r="BC192">
            <v>-42</v>
          </cell>
          <cell r="BD192">
            <v>-28</v>
          </cell>
          <cell r="BE192">
            <v>-30</v>
          </cell>
          <cell r="BF192">
            <v>-24</v>
          </cell>
          <cell r="BG192">
            <v>-22</v>
          </cell>
          <cell r="BH192">
            <v>-25</v>
          </cell>
          <cell r="BI192">
            <v>-42</v>
          </cell>
          <cell r="BJ192">
            <v>-16</v>
          </cell>
          <cell r="BK192">
            <v>-22</v>
          </cell>
          <cell r="BL192">
            <v>-9</v>
          </cell>
          <cell r="BM192">
            <v>-16</v>
          </cell>
          <cell r="BN192">
            <v>-27</v>
          </cell>
          <cell r="BO192">
            <v>-16</v>
          </cell>
          <cell r="BP192">
            <v>-16</v>
          </cell>
          <cell r="BQ192">
            <v>-16</v>
          </cell>
        </row>
        <row r="193">
          <cell r="B193" t="str">
            <v>Margin</v>
          </cell>
          <cell r="G193">
            <v>0.23388305847076463</v>
          </cell>
          <cell r="H193">
            <v>0.12424242424242424</v>
          </cell>
          <cell r="I193">
            <v>0.15828402366863906</v>
          </cell>
          <cell r="J193">
            <v>0.3059125964010283</v>
          </cell>
          <cell r="K193">
            <v>0.38386308068459657</v>
          </cell>
          <cell r="L193">
            <v>0.28025477707006369</v>
          </cell>
          <cell r="M193">
            <v>0.25450450450450451</v>
          </cell>
          <cell r="N193">
            <v>0.13938053097345132</v>
          </cell>
          <cell r="O193">
            <v>0.1648001402778794</v>
          </cell>
          <cell r="P193">
            <v>0.27</v>
          </cell>
          <cell r="Q193">
            <v>0.27</v>
          </cell>
          <cell r="R193">
            <v>0.27</v>
          </cell>
          <cell r="S193">
            <v>0.27</v>
          </cell>
          <cell r="T193">
            <v>0.27</v>
          </cell>
          <cell r="U193">
            <v>0.27</v>
          </cell>
          <cell r="AJ193">
            <v>0.20652173913043478</v>
          </cell>
          <cell r="AK193">
            <v>0.29268292682926828</v>
          </cell>
          <cell r="AL193">
            <v>9.8765432098765427E-2</v>
          </cell>
          <cell r="AM193">
            <v>0.15662650602409639</v>
          </cell>
          <cell r="AN193">
            <v>4.7945205479452052E-2</v>
          </cell>
          <cell r="AO193">
            <v>0.17741935483870969</v>
          </cell>
          <cell r="AP193">
            <v>0.15706806282722513</v>
          </cell>
          <cell r="AQ193">
            <v>0.19101123595505617</v>
          </cell>
          <cell r="AR193">
            <v>9.5505617977528087E-2</v>
          </cell>
          <cell r="AS193">
            <v>0.20155038759689922</v>
          </cell>
          <cell r="AT193">
            <v>0.25252525252525254</v>
          </cell>
          <cell r="AU193">
            <v>0.31818181818181818</v>
          </cell>
          <cell r="AV193">
            <v>0.20224719101123595</v>
          </cell>
          <cell r="AW193">
            <v>0.45054945054945056</v>
          </cell>
          <cell r="AX193">
            <v>0.36734693877551022</v>
          </cell>
          <cell r="AY193">
            <v>0.3611111111111111</v>
          </cell>
          <cell r="AZ193">
            <v>0.28301886792452829</v>
          </cell>
          <cell r="BA193">
            <v>0.53608247422680411</v>
          </cell>
          <cell r="BB193">
            <v>0.29357798165137616</v>
          </cell>
          <cell r="BC193">
            <v>0.33070866141732286</v>
          </cell>
          <cell r="BD193">
            <v>0.2153846153846154</v>
          </cell>
          <cell r="BE193">
            <v>0.2857142857142857</v>
          </cell>
          <cell r="BF193">
            <v>0.22018348623853212</v>
          </cell>
          <cell r="BG193">
            <v>0.17886178861788618</v>
          </cell>
          <cell r="BH193">
            <v>0.22935779816513763</v>
          </cell>
          <cell r="BI193">
            <v>0.40776699029126212</v>
          </cell>
          <cell r="BJ193">
            <v>0.1391304347826087</v>
          </cell>
          <cell r="BK193">
            <v>0.18803418803418803</v>
          </cell>
          <cell r="BL193">
            <v>7.8947368421052627E-2</v>
          </cell>
          <cell r="BM193">
            <v>0.15094339622641509</v>
          </cell>
          <cell r="BN193">
            <v>0.21951219512195122</v>
          </cell>
          <cell r="BO193">
            <v>0.14218190575294648</v>
          </cell>
          <cell r="BP193">
            <v>0.14885936511480777</v>
          </cell>
          <cell r="BQ193">
            <v>0.1427541559303645</v>
          </cell>
        </row>
        <row r="194">
          <cell r="B194" t="str">
            <v>Equity Earnings</v>
          </cell>
          <cell r="G194">
            <v>22</v>
          </cell>
          <cell r="H194">
            <v>0</v>
          </cell>
          <cell r="I194">
            <v>15</v>
          </cell>
          <cell r="J194">
            <v>18</v>
          </cell>
          <cell r="K194">
            <v>23</v>
          </cell>
          <cell r="L194">
            <v>31</v>
          </cell>
          <cell r="M194">
            <v>39</v>
          </cell>
          <cell r="N194">
            <v>24</v>
          </cell>
          <cell r="O194">
            <v>27.5</v>
          </cell>
          <cell r="P194">
            <v>27.5</v>
          </cell>
          <cell r="Q194">
            <v>27.5</v>
          </cell>
          <cell r="R194">
            <v>27.5</v>
          </cell>
          <cell r="S194">
            <v>27.5</v>
          </cell>
          <cell r="T194">
            <v>27.5</v>
          </cell>
          <cell r="U194">
            <v>27.5</v>
          </cell>
          <cell r="AJ194">
            <v>10</v>
          </cell>
          <cell r="AK194">
            <v>12</v>
          </cell>
          <cell r="AL194">
            <v>4</v>
          </cell>
          <cell r="AM194">
            <v>-2</v>
          </cell>
          <cell r="AN194">
            <v>-10</v>
          </cell>
          <cell r="AO194">
            <v>8</v>
          </cell>
          <cell r="AP194">
            <v>4</v>
          </cell>
          <cell r="AQ194">
            <v>1</v>
          </cell>
          <cell r="AR194">
            <v>12</v>
          </cell>
          <cell r="AS194">
            <v>-2</v>
          </cell>
          <cell r="AT194">
            <v>6</v>
          </cell>
          <cell r="AU194">
            <v>5</v>
          </cell>
          <cell r="AV194">
            <v>1</v>
          </cell>
          <cell r="AW194">
            <v>6</v>
          </cell>
          <cell r="AX194">
            <v>10</v>
          </cell>
          <cell r="AY194">
            <v>2</v>
          </cell>
          <cell r="AZ194">
            <v>-1</v>
          </cell>
          <cell r="BA194">
            <v>12</v>
          </cell>
          <cell r="BB194">
            <v>8</v>
          </cell>
          <cell r="BC194">
            <v>11</v>
          </cell>
          <cell r="BD194">
            <v>1</v>
          </cell>
          <cell r="BE194">
            <v>11</v>
          </cell>
          <cell r="BF194">
            <v>8</v>
          </cell>
          <cell r="BG194">
            <v>4</v>
          </cell>
          <cell r="BH194">
            <v>7</v>
          </cell>
          <cell r="BI194">
            <v>20</v>
          </cell>
          <cell r="BJ194">
            <v>8</v>
          </cell>
          <cell r="BK194">
            <v>10</v>
          </cell>
          <cell r="BL194">
            <v>6</v>
          </cell>
          <cell r="BM194">
            <v>0</v>
          </cell>
          <cell r="BN194">
            <v>5</v>
          </cell>
          <cell r="BO194">
            <v>7.5</v>
          </cell>
          <cell r="BP194">
            <v>7.5</v>
          </cell>
          <cell r="BQ194">
            <v>7.5</v>
          </cell>
        </row>
        <row r="196">
          <cell r="B196" t="str">
            <v>Other operating income</v>
          </cell>
          <cell r="G196">
            <v>-161</v>
          </cell>
          <cell r="H196">
            <v>-88</v>
          </cell>
          <cell r="I196">
            <v>-116</v>
          </cell>
          <cell r="J196">
            <v>-130</v>
          </cell>
          <cell r="K196">
            <v>-168</v>
          </cell>
          <cell r="L196">
            <v>-145</v>
          </cell>
          <cell r="M196">
            <v>-128</v>
          </cell>
          <cell r="N196">
            <v>-79</v>
          </cell>
          <cell r="O196">
            <v>-88.5</v>
          </cell>
          <cell r="P196">
            <v>-137.08405836150348</v>
          </cell>
          <cell r="Q196">
            <v>-148.86934162120775</v>
          </cell>
          <cell r="R196">
            <v>-170.5818941971053</v>
          </cell>
          <cell r="S196">
            <v>-189.28558643797479</v>
          </cell>
          <cell r="T196">
            <v>-193.5930261055037</v>
          </cell>
          <cell r="U196">
            <v>-198.02968896305848</v>
          </cell>
          <cell r="AJ196">
            <v>-40</v>
          </cell>
          <cell r="AK196">
            <v>-48</v>
          </cell>
          <cell r="AL196">
            <v>-18</v>
          </cell>
          <cell r="AM196">
            <v>-27</v>
          </cell>
          <cell r="AN196">
            <v>-8</v>
          </cell>
          <cell r="AO196">
            <v>-35</v>
          </cell>
          <cell r="AP196">
            <v>-33</v>
          </cell>
          <cell r="AQ196">
            <v>-36</v>
          </cell>
          <cell r="AR196">
            <v>-19</v>
          </cell>
          <cell r="AS196">
            <v>-28</v>
          </cell>
          <cell r="AT196">
            <v>-27</v>
          </cell>
          <cell r="AU196">
            <v>-37</v>
          </cell>
          <cell r="AV196">
            <v>-23</v>
          </cell>
          <cell r="AW196">
            <v>-43</v>
          </cell>
          <cell r="AX196">
            <v>-39</v>
          </cell>
          <cell r="AY196">
            <v>-42</v>
          </cell>
          <cell r="AZ196">
            <v>-33</v>
          </cell>
          <cell r="BA196">
            <v>-54</v>
          </cell>
          <cell r="BB196">
            <v>-28</v>
          </cell>
          <cell r="BC196">
            <v>-33</v>
          </cell>
          <cell r="BD196">
            <v>-31</v>
          </cell>
          <cell r="BE196">
            <v>-22</v>
          </cell>
          <cell r="BF196">
            <v>-19</v>
          </cell>
          <cell r="BG196">
            <v>-22</v>
          </cell>
          <cell r="BH196">
            <v>-21</v>
          </cell>
          <cell r="BI196">
            <v>-27</v>
          </cell>
          <cell r="BJ196">
            <v>-20</v>
          </cell>
          <cell r="BK196">
            <v>-26</v>
          </cell>
          <cell r="BL196">
            <v>-13</v>
          </cell>
          <cell r="BM196">
            <v>-20</v>
          </cell>
          <cell r="BN196">
            <v>-30</v>
          </cell>
          <cell r="BO196">
            <v>-19.5</v>
          </cell>
          <cell r="BP196">
            <v>-19.5</v>
          </cell>
          <cell r="BQ196">
            <v>-19.5</v>
          </cell>
        </row>
        <row r="197">
          <cell r="B197" t="str">
            <v xml:space="preserve">Reported </v>
          </cell>
          <cell r="G197">
            <v>-190</v>
          </cell>
          <cell r="H197">
            <v>-228</v>
          </cell>
          <cell r="I197">
            <v>-138</v>
          </cell>
          <cell r="J197">
            <v>-160</v>
          </cell>
          <cell r="K197">
            <v>-179</v>
          </cell>
          <cell r="L197">
            <v>-466</v>
          </cell>
          <cell r="M197">
            <v>-526</v>
          </cell>
          <cell r="N197">
            <v>41</v>
          </cell>
          <cell r="O197">
            <v>-88.5</v>
          </cell>
          <cell r="P197">
            <v>-137.08405836150348</v>
          </cell>
          <cell r="Q197">
            <v>-148.86934162120775</v>
          </cell>
          <cell r="R197">
            <v>-170.5818941971053</v>
          </cell>
          <cell r="S197">
            <v>-189.28558643797479</v>
          </cell>
          <cell r="T197">
            <v>-193.5930261055037</v>
          </cell>
          <cell r="U197">
            <v>-198.02968896305848</v>
          </cell>
          <cell r="AJ197">
            <v>-43</v>
          </cell>
          <cell r="AK197">
            <v>-46</v>
          </cell>
          <cell r="AL197">
            <v>-22</v>
          </cell>
          <cell r="AM197">
            <v>-99</v>
          </cell>
          <cell r="AN197">
            <v>-30</v>
          </cell>
          <cell r="AO197">
            <v>-77</v>
          </cell>
          <cell r="AP197">
            <v>-40</v>
          </cell>
          <cell r="AQ197">
            <v>-44</v>
          </cell>
          <cell r="AR197">
            <v>-22</v>
          </cell>
          <cell r="AS197">
            <v>-32</v>
          </cell>
          <cell r="AT197">
            <v>-42</v>
          </cell>
          <cell r="AU197">
            <v>-36</v>
          </cell>
          <cell r="AV197">
            <v>-22</v>
          </cell>
          <cell r="AW197">
            <v>-60</v>
          </cell>
          <cell r="AX197">
            <v>-44</v>
          </cell>
          <cell r="AY197">
            <v>-32</v>
          </cell>
          <cell r="AZ197">
            <v>-44</v>
          </cell>
          <cell r="BA197">
            <v>-59</v>
          </cell>
          <cell r="BB197">
            <v>-40</v>
          </cell>
          <cell r="BC197">
            <v>-44</v>
          </cell>
          <cell r="BD197">
            <v>-42</v>
          </cell>
          <cell r="BE197">
            <v>-340</v>
          </cell>
          <cell r="BF197">
            <v>-35</v>
          </cell>
          <cell r="BG197">
            <v>-35</v>
          </cell>
          <cell r="BH197">
            <v>-28</v>
          </cell>
          <cell r="BI197">
            <v>-428</v>
          </cell>
          <cell r="BJ197">
            <v>-20</v>
          </cell>
          <cell r="BK197">
            <v>-26</v>
          </cell>
          <cell r="BL197">
            <v>-13</v>
          </cell>
          <cell r="BM197">
            <v>100</v>
          </cell>
          <cell r="BN197">
            <v>-30</v>
          </cell>
          <cell r="BO197">
            <v>-19.5</v>
          </cell>
          <cell r="BP197">
            <v>-19.5</v>
          </cell>
          <cell r="BQ197">
            <v>-19.5</v>
          </cell>
        </row>
        <row r="199">
          <cell r="B199" t="str">
            <v>Special charges</v>
          </cell>
          <cell r="G199">
            <v>29</v>
          </cell>
          <cell r="H199">
            <v>140</v>
          </cell>
          <cell r="I199">
            <v>22</v>
          </cell>
          <cell r="J199">
            <v>30</v>
          </cell>
          <cell r="K199">
            <v>11</v>
          </cell>
          <cell r="L199">
            <v>321</v>
          </cell>
          <cell r="M199">
            <v>398</v>
          </cell>
          <cell r="N199">
            <v>-120</v>
          </cell>
          <cell r="O199">
            <v>0</v>
          </cell>
          <cell r="P199">
            <v>0</v>
          </cell>
          <cell r="Q199">
            <v>0</v>
          </cell>
          <cell r="R199">
            <v>0</v>
          </cell>
          <cell r="S199">
            <v>0</v>
          </cell>
          <cell r="T199">
            <v>0</v>
          </cell>
          <cell r="U199">
            <v>0</v>
          </cell>
          <cell r="AJ199">
            <v>3</v>
          </cell>
          <cell r="AK199">
            <v>-2</v>
          </cell>
          <cell r="AL199">
            <v>4</v>
          </cell>
          <cell r="AM199">
            <v>72</v>
          </cell>
          <cell r="AN199">
            <v>22</v>
          </cell>
          <cell r="AO199">
            <v>42</v>
          </cell>
          <cell r="AP199">
            <v>7</v>
          </cell>
          <cell r="AQ199">
            <v>8</v>
          </cell>
          <cell r="AR199">
            <v>3</v>
          </cell>
          <cell r="AS199">
            <v>4</v>
          </cell>
          <cell r="AT199">
            <v>15</v>
          </cell>
          <cell r="AU199">
            <v>-1</v>
          </cell>
          <cell r="AV199">
            <v>-1</v>
          </cell>
          <cell r="AW199">
            <v>17</v>
          </cell>
          <cell r="AX199">
            <v>5</v>
          </cell>
          <cell r="AY199">
            <v>-10</v>
          </cell>
          <cell r="AZ199">
            <v>11</v>
          </cell>
          <cell r="BA199">
            <v>5</v>
          </cell>
          <cell r="BB199">
            <v>4</v>
          </cell>
          <cell r="BC199">
            <v>0</v>
          </cell>
          <cell r="BD199">
            <v>10</v>
          </cell>
          <cell r="BE199">
            <v>307</v>
          </cell>
          <cell r="BF199">
            <v>8</v>
          </cell>
          <cell r="BG199">
            <v>9</v>
          </cell>
          <cell r="BH199">
            <v>0</v>
          </cell>
          <cell r="BI199">
            <v>381</v>
          </cell>
          <cell r="BJ199">
            <v>0</v>
          </cell>
          <cell r="BK199">
            <v>0</v>
          </cell>
          <cell r="BL199">
            <v>0</v>
          </cell>
          <cell r="BM199">
            <v>-120</v>
          </cell>
          <cell r="BN199">
            <v>0</v>
          </cell>
          <cell r="BO199">
            <v>0</v>
          </cell>
          <cell r="BP199">
            <v>0</v>
          </cell>
          <cell r="BQ199">
            <v>0</v>
          </cell>
        </row>
        <row r="200">
          <cell r="B200" t="str">
            <v>D&amp;A</v>
          </cell>
          <cell r="G200">
            <v>5</v>
          </cell>
          <cell r="H200">
            <v>6</v>
          </cell>
          <cell r="I200">
            <v>9</v>
          </cell>
          <cell r="J200">
            <v>11</v>
          </cell>
          <cell r="K200">
            <v>11</v>
          </cell>
          <cell r="L200">
            <v>13</v>
          </cell>
          <cell r="M200">
            <v>15</v>
          </cell>
          <cell r="N200">
            <v>16</v>
          </cell>
          <cell r="O200">
            <v>13.5</v>
          </cell>
          <cell r="P200">
            <v>14</v>
          </cell>
          <cell r="Q200">
            <v>14</v>
          </cell>
          <cell r="R200">
            <v>14</v>
          </cell>
          <cell r="S200">
            <v>14</v>
          </cell>
          <cell r="T200">
            <v>14</v>
          </cell>
          <cell r="U200">
            <v>14</v>
          </cell>
          <cell r="AJ200">
            <v>2</v>
          </cell>
          <cell r="AK200">
            <v>0</v>
          </cell>
          <cell r="AL200">
            <v>2</v>
          </cell>
          <cell r="AM200">
            <v>1</v>
          </cell>
          <cell r="AN200">
            <v>1</v>
          </cell>
          <cell r="AO200">
            <v>2</v>
          </cell>
          <cell r="AP200">
            <v>3</v>
          </cell>
          <cell r="AQ200">
            <v>2</v>
          </cell>
          <cell r="AR200">
            <v>2</v>
          </cell>
          <cell r="AS200">
            <v>2</v>
          </cell>
          <cell r="AT200">
            <v>2</v>
          </cell>
          <cell r="AU200">
            <v>2</v>
          </cell>
          <cell r="AV200">
            <v>5</v>
          </cell>
          <cell r="AW200">
            <v>2</v>
          </cell>
          <cell r="AX200">
            <v>3</v>
          </cell>
          <cell r="AY200">
            <v>3</v>
          </cell>
          <cell r="AZ200">
            <v>3</v>
          </cell>
          <cell r="BA200">
            <v>2</v>
          </cell>
          <cell r="BB200">
            <v>4</v>
          </cell>
          <cell r="BC200">
            <v>2</v>
          </cell>
          <cell r="BD200">
            <v>4</v>
          </cell>
          <cell r="BE200">
            <v>3</v>
          </cell>
          <cell r="BF200">
            <v>3</v>
          </cell>
          <cell r="BG200">
            <v>4</v>
          </cell>
          <cell r="BH200">
            <v>3</v>
          </cell>
          <cell r="BI200">
            <v>5</v>
          </cell>
          <cell r="BJ200">
            <v>4</v>
          </cell>
          <cell r="BK200">
            <v>4</v>
          </cell>
          <cell r="BL200">
            <v>4</v>
          </cell>
          <cell r="BM200">
            <v>4</v>
          </cell>
          <cell r="BN200">
            <v>3</v>
          </cell>
          <cell r="BO200">
            <v>3.5</v>
          </cell>
          <cell r="BP200">
            <v>3.5</v>
          </cell>
          <cell r="BQ200">
            <v>3.5</v>
          </cell>
        </row>
        <row r="202">
          <cell r="B202" t="str">
            <v>CapEx</v>
          </cell>
          <cell r="G202">
            <v>7</v>
          </cell>
          <cell r="H202">
            <v>11</v>
          </cell>
          <cell r="I202">
            <v>10</v>
          </cell>
          <cell r="J202">
            <v>9</v>
          </cell>
          <cell r="K202">
            <v>16</v>
          </cell>
          <cell r="L202">
            <v>15</v>
          </cell>
          <cell r="M202">
            <v>29</v>
          </cell>
          <cell r="N202">
            <v>32</v>
          </cell>
          <cell r="O202">
            <v>13.5</v>
          </cell>
          <cell r="P202">
            <v>14</v>
          </cell>
          <cell r="Q202">
            <v>21</v>
          </cell>
          <cell r="R202">
            <v>21</v>
          </cell>
          <cell r="S202">
            <v>21</v>
          </cell>
          <cell r="T202">
            <v>21</v>
          </cell>
          <cell r="U202">
            <v>21</v>
          </cell>
          <cell r="AJ202">
            <v>0</v>
          </cell>
          <cell r="AK202">
            <v>0</v>
          </cell>
          <cell r="AL202">
            <v>2</v>
          </cell>
          <cell r="AM202">
            <v>1</v>
          </cell>
          <cell r="AN202">
            <v>1</v>
          </cell>
          <cell r="AO202">
            <v>7</v>
          </cell>
          <cell r="AP202">
            <v>3</v>
          </cell>
          <cell r="AQ202">
            <v>1</v>
          </cell>
          <cell r="AR202">
            <v>3</v>
          </cell>
          <cell r="AS202">
            <v>3</v>
          </cell>
          <cell r="AT202">
            <v>0</v>
          </cell>
          <cell r="AU202">
            <v>1</v>
          </cell>
          <cell r="AV202">
            <v>3</v>
          </cell>
          <cell r="AW202">
            <v>5</v>
          </cell>
          <cell r="AX202">
            <v>2</v>
          </cell>
          <cell r="AY202">
            <v>1</v>
          </cell>
          <cell r="AZ202">
            <v>5</v>
          </cell>
          <cell r="BA202">
            <v>8</v>
          </cell>
          <cell r="BB202">
            <v>2</v>
          </cell>
          <cell r="BC202">
            <v>2</v>
          </cell>
          <cell r="BD202">
            <v>3</v>
          </cell>
          <cell r="BE202">
            <v>8</v>
          </cell>
          <cell r="BF202">
            <v>8</v>
          </cell>
          <cell r="BG202">
            <v>3</v>
          </cell>
          <cell r="BH202">
            <v>8</v>
          </cell>
          <cell r="BI202">
            <v>10</v>
          </cell>
          <cell r="BJ202">
            <v>8</v>
          </cell>
          <cell r="BK202">
            <v>8</v>
          </cell>
          <cell r="BL202">
            <v>8</v>
          </cell>
          <cell r="BM202">
            <v>8</v>
          </cell>
          <cell r="BN202">
            <v>3</v>
          </cell>
          <cell r="BO202">
            <v>3.5</v>
          </cell>
          <cell r="BP202">
            <v>3.5</v>
          </cell>
          <cell r="BQ202">
            <v>3.5</v>
          </cell>
        </row>
        <row r="203">
          <cell r="B203" t="str">
            <v>Capex/Depreciation</v>
          </cell>
          <cell r="G203">
            <v>1.4</v>
          </cell>
          <cell r="H203">
            <v>1.8333333333333333</v>
          </cell>
          <cell r="I203">
            <v>1.1111111111111112</v>
          </cell>
          <cell r="J203">
            <v>0.81818181818181823</v>
          </cell>
          <cell r="K203">
            <v>1.4545454545454546</v>
          </cell>
          <cell r="L203">
            <v>1.1538461538461537</v>
          </cell>
          <cell r="M203">
            <v>1.9333333333333333</v>
          </cell>
          <cell r="N203">
            <v>2</v>
          </cell>
          <cell r="O203">
            <v>1</v>
          </cell>
          <cell r="P203">
            <v>1</v>
          </cell>
          <cell r="Q203">
            <v>1.5</v>
          </cell>
          <cell r="R203">
            <v>1.5</v>
          </cell>
          <cell r="S203">
            <v>1.5</v>
          </cell>
          <cell r="T203">
            <v>1.5</v>
          </cell>
          <cell r="U203">
            <v>1.5</v>
          </cell>
          <cell r="AL203">
            <v>1</v>
          </cell>
          <cell r="AM203">
            <v>1</v>
          </cell>
          <cell r="AN203">
            <v>1</v>
          </cell>
          <cell r="AO203">
            <v>3.5</v>
          </cell>
          <cell r="AP203">
            <v>1</v>
          </cell>
          <cell r="AQ203">
            <v>0.5</v>
          </cell>
          <cell r="AR203">
            <v>1.5</v>
          </cell>
          <cell r="AS203">
            <v>1.5</v>
          </cell>
          <cell r="AT203">
            <v>0</v>
          </cell>
          <cell r="AU203">
            <v>0.5</v>
          </cell>
          <cell r="AV203">
            <v>0.6</v>
          </cell>
          <cell r="AW203">
            <v>2.5</v>
          </cell>
          <cell r="AX203">
            <v>0.66666666666666663</v>
          </cell>
          <cell r="AY203">
            <v>0.33333333333333331</v>
          </cell>
          <cell r="AZ203">
            <v>1.6666666666666667</v>
          </cell>
          <cell r="BA203">
            <v>4</v>
          </cell>
          <cell r="BB203">
            <v>0.5</v>
          </cell>
          <cell r="BC203">
            <v>1</v>
          </cell>
          <cell r="BD203">
            <v>0.75</v>
          </cell>
          <cell r="BE203">
            <v>2.6666666666666665</v>
          </cell>
          <cell r="BF203">
            <v>1</v>
          </cell>
          <cell r="BG203">
            <v>0.75</v>
          </cell>
          <cell r="BH203">
            <v>2</v>
          </cell>
          <cell r="BI203">
            <v>2</v>
          </cell>
          <cell r="BJ203">
            <v>2</v>
          </cell>
          <cell r="BK203">
            <v>2</v>
          </cell>
          <cell r="BL203">
            <v>2</v>
          </cell>
          <cell r="BM203">
            <v>2</v>
          </cell>
          <cell r="BN203">
            <v>1</v>
          </cell>
          <cell r="BO203">
            <v>1</v>
          </cell>
          <cell r="BP203">
            <v>1</v>
          </cell>
          <cell r="BQ203">
            <v>1</v>
          </cell>
        </row>
        <row r="204">
          <cell r="B204" t="str">
            <v>Total Assets</v>
          </cell>
          <cell r="G204">
            <v>1569</v>
          </cell>
          <cell r="H204">
            <v>1625</v>
          </cell>
          <cell r="I204">
            <v>1204</v>
          </cell>
          <cell r="J204">
            <v>2390</v>
          </cell>
          <cell r="K204">
            <v>1768</v>
          </cell>
          <cell r="L204">
            <v>1641</v>
          </cell>
          <cell r="AJ204" t="str">
            <v>ND</v>
          </cell>
          <cell r="AK204" t="str">
            <v>ND</v>
          </cell>
          <cell r="AL204" t="str">
            <v>ND</v>
          </cell>
          <cell r="AM204" t="str">
            <v>ND</v>
          </cell>
          <cell r="AN204">
            <v>1301</v>
          </cell>
          <cell r="AO204">
            <v>1625</v>
          </cell>
          <cell r="AP204">
            <v>1437</v>
          </cell>
          <cell r="AQ204">
            <v>1667</v>
          </cell>
          <cell r="AR204">
            <v>1220</v>
          </cell>
          <cell r="AS204">
            <v>1204</v>
          </cell>
          <cell r="AT204">
            <v>1657</v>
          </cell>
          <cell r="AU204">
            <v>1674</v>
          </cell>
          <cell r="AV204">
            <v>2303</v>
          </cell>
          <cell r="AW204">
            <v>2390</v>
          </cell>
          <cell r="AX204">
            <v>2207</v>
          </cell>
          <cell r="AY204">
            <v>1958</v>
          </cell>
          <cell r="AZ204">
            <v>1813</v>
          </cell>
          <cell r="BA204">
            <v>1768</v>
          </cell>
          <cell r="BB204">
            <v>1790</v>
          </cell>
          <cell r="BC204">
            <v>1736</v>
          </cell>
          <cell r="BD204">
            <v>1623</v>
          </cell>
          <cell r="BE204">
            <v>1641</v>
          </cell>
          <cell r="BF204">
            <v>1718</v>
          </cell>
          <cell r="BG204">
            <v>1713</v>
          </cell>
        </row>
        <row r="206">
          <cell r="B206" t="str">
            <v>Group</v>
          </cell>
        </row>
        <row r="207">
          <cell r="B207" t="str">
            <v>Total revenue</v>
          </cell>
          <cell r="G207">
            <v>5778</v>
          </cell>
          <cell r="H207">
            <v>6444</v>
          </cell>
          <cell r="I207">
            <v>6823</v>
          </cell>
          <cell r="J207">
            <v>5082</v>
          </cell>
          <cell r="K207">
            <v>5918</v>
          </cell>
          <cell r="L207">
            <v>6763</v>
          </cell>
          <cell r="M207">
            <v>6418</v>
          </cell>
          <cell r="N207">
            <v>6510</v>
          </cell>
          <cell r="O207">
            <v>6863.9613156334472</v>
          </cell>
          <cell r="P207">
            <v>7152.1815308081123</v>
          </cell>
          <cell r="Q207">
            <v>7618.741830649049</v>
          </cell>
          <cell r="R207">
            <v>8011.6911516394021</v>
          </cell>
          <cell r="S207">
            <v>8281.359891516986</v>
          </cell>
          <cell r="T207">
            <v>8509.501103636052</v>
          </cell>
          <cell r="U207">
            <v>8747.4328262274994</v>
          </cell>
          <cell r="AJ207">
            <v>1471</v>
          </cell>
          <cell r="AK207">
            <v>1430</v>
          </cell>
          <cell r="AL207">
            <v>1555</v>
          </cell>
          <cell r="AM207">
            <v>1556</v>
          </cell>
          <cell r="AN207">
            <v>1573</v>
          </cell>
          <cell r="AO207">
            <v>1760</v>
          </cell>
          <cell r="AP207">
            <v>1846</v>
          </cell>
          <cell r="AQ207">
            <v>1868</v>
          </cell>
          <cell r="AR207">
            <v>1823</v>
          </cell>
          <cell r="AS207">
            <v>1286</v>
          </cell>
          <cell r="AT207">
            <v>1146</v>
          </cell>
          <cell r="AU207">
            <v>1244</v>
          </cell>
          <cell r="AV207">
            <v>1304</v>
          </cell>
          <cell r="AW207">
            <v>1388</v>
          </cell>
          <cell r="AX207">
            <v>1388</v>
          </cell>
          <cell r="AY207">
            <v>1517</v>
          </cell>
          <cell r="AZ207">
            <v>1506</v>
          </cell>
          <cell r="BA207">
            <v>1507</v>
          </cell>
          <cell r="BB207">
            <v>1589</v>
          </cell>
          <cell r="BC207">
            <v>1753</v>
          </cell>
          <cell r="BD207">
            <v>1807</v>
          </cell>
          <cell r="BE207">
            <v>1614</v>
          </cell>
          <cell r="BF207">
            <v>1633</v>
          </cell>
          <cell r="BG207">
            <v>1675</v>
          </cell>
          <cell r="BH207">
            <v>1609</v>
          </cell>
          <cell r="BI207">
            <v>1501</v>
          </cell>
          <cell r="BJ207">
            <v>1605</v>
          </cell>
          <cell r="BK207">
            <v>1653</v>
          </cell>
          <cell r="BL207">
            <v>1636</v>
          </cell>
          <cell r="BM207">
            <v>1616</v>
          </cell>
          <cell r="BN207">
            <v>1705</v>
          </cell>
          <cell r="BO207">
            <v>1757.7391462031524</v>
          </cell>
          <cell r="BP207">
            <v>1717.7146897074176</v>
          </cell>
          <cell r="BQ207">
            <v>1683.5074797228774</v>
          </cell>
        </row>
        <row r="208">
          <cell r="B208" t="str">
            <v>Growth (%)</v>
          </cell>
          <cell r="H208">
            <v>0.11526479750778806</v>
          </cell>
          <cell r="I208">
            <v>5.8814400993171922E-2</v>
          </cell>
          <cell r="J208">
            <v>-0.25516634911329328</v>
          </cell>
          <cell r="K208">
            <v>0.16450216450216448</v>
          </cell>
          <cell r="L208">
            <v>0.14278472456911118</v>
          </cell>
          <cell r="M208">
            <v>-5.1012864113559098E-2</v>
          </cell>
          <cell r="N208">
            <v>1.4334683702087903E-2</v>
          </cell>
          <cell r="O208">
            <v>5.4371937885322241E-2</v>
          </cell>
          <cell r="P208">
            <v>4.199036123910127E-2</v>
          </cell>
          <cell r="Q208">
            <v>6.5233285513129458E-2</v>
          </cell>
          <cell r="R208">
            <v>5.1576668395505676E-2</v>
          </cell>
          <cell r="S208">
            <v>3.3659402836865748E-2</v>
          </cell>
          <cell r="T208">
            <v>2.7548761931329935E-2</v>
          </cell>
          <cell r="U208">
            <v>2.7960713524060932E-2</v>
          </cell>
          <cell r="AJ208" t="str">
            <v>NM</v>
          </cell>
          <cell r="AK208" t="str">
            <v>NM</v>
          </cell>
          <cell r="AL208" t="str">
            <v>NM</v>
          </cell>
          <cell r="AM208" t="str">
            <v>NM</v>
          </cell>
          <cell r="AN208">
            <v>6.9340584636301772E-2</v>
          </cell>
          <cell r="AO208">
            <v>0.23076923076923084</v>
          </cell>
          <cell r="AP208">
            <v>0.18713826366559494</v>
          </cell>
          <cell r="AQ208">
            <v>0.2005141388174807</v>
          </cell>
          <cell r="AR208">
            <v>0.15893197711379536</v>
          </cell>
          <cell r="AS208">
            <v>-0.26931818181818179</v>
          </cell>
          <cell r="AT208">
            <v>-0.37919826652221023</v>
          </cell>
          <cell r="AU208">
            <v>-0.33404710920770875</v>
          </cell>
          <cell r="AV208">
            <v>-0.2846955567745475</v>
          </cell>
          <cell r="AW208">
            <v>7.9315707620528864E-2</v>
          </cell>
          <cell r="AX208">
            <v>0.21116928446771377</v>
          </cell>
          <cell r="AY208">
            <v>0.21945337620578775</v>
          </cell>
          <cell r="AZ208">
            <v>0.1549079754601228</v>
          </cell>
          <cell r="BA208">
            <v>8.5734870317002887E-2</v>
          </cell>
          <cell r="BB208">
            <v>0.14481268011527382</v>
          </cell>
          <cell r="BC208">
            <v>0.15557020435069213</v>
          </cell>
          <cell r="BD208">
            <v>0.19986719787516605</v>
          </cell>
          <cell r="BE208">
            <v>7.1001990710019891E-2</v>
          </cell>
          <cell r="BF208">
            <v>2.7690371302706129E-2</v>
          </cell>
          <cell r="BG208">
            <v>-4.4495151169423819E-2</v>
          </cell>
          <cell r="BH208">
            <v>-0.10957387935805207</v>
          </cell>
          <cell r="BI208">
            <v>-7.0012391573729849E-2</v>
          </cell>
          <cell r="BJ208">
            <v>-1.7146356399265206E-2</v>
          </cell>
          <cell r="BK208">
            <v>-1.3134328358208935E-2</v>
          </cell>
          <cell r="BL208">
            <v>1.6780609073959063E-2</v>
          </cell>
          <cell r="BM208">
            <v>7.6615589606928713E-2</v>
          </cell>
          <cell r="BN208">
            <v>6.230529595015577E-2</v>
          </cell>
          <cell r="BO208">
            <v>6.3363064853691586E-2</v>
          </cell>
          <cell r="BP208">
            <v>4.9947854344387199E-2</v>
          </cell>
          <cell r="BQ208">
            <v>4.1774430521582584E-2</v>
          </cell>
        </row>
        <row r="209">
          <cell r="B209" t="str">
            <v>Underlying business</v>
          </cell>
        </row>
        <row r="210">
          <cell r="B210" t="str">
            <v>Volume</v>
          </cell>
          <cell r="G210">
            <v>0.03</v>
          </cell>
          <cell r="H210">
            <v>-0.02</v>
          </cell>
          <cell r="I210">
            <v>-0.05</v>
          </cell>
          <cell r="J210">
            <v>-0.1</v>
          </cell>
          <cell r="K210">
            <v>0.13</v>
          </cell>
          <cell r="L210">
            <v>-0.01</v>
          </cell>
          <cell r="M210">
            <v>-2.2500000000000003E-2</v>
          </cell>
          <cell r="N210">
            <v>-3.7500000000000003E-3</v>
          </cell>
          <cell r="O210">
            <v>4.0871783065684952E-2</v>
          </cell>
          <cell r="P210">
            <v>3.6133259939425288E-2</v>
          </cell>
          <cell r="Q210">
            <v>5.2250430235163292E-2</v>
          </cell>
          <cell r="R210">
            <v>4.5698119915646873E-2</v>
          </cell>
          <cell r="S210">
            <v>3.3074116322405978E-2</v>
          </cell>
          <cell r="T210">
            <v>2.4879642032295257E-2</v>
          </cell>
          <cell r="U210">
            <v>2.5063997639148905E-2</v>
          </cell>
          <cell r="AJ210" t="str">
            <v>ND</v>
          </cell>
          <cell r="AK210" t="str">
            <v>ND</v>
          </cell>
          <cell r="AL210" t="str">
            <v>ND</v>
          </cell>
          <cell r="AM210" t="str">
            <v>ND</v>
          </cell>
          <cell r="AN210">
            <v>-0.1</v>
          </cell>
          <cell r="AO210">
            <v>0.06</v>
          </cell>
          <cell r="AP210">
            <v>0.01</v>
          </cell>
          <cell r="AQ210">
            <v>0.04</v>
          </cell>
          <cell r="AR210">
            <v>0.04</v>
          </cell>
          <cell r="AS210">
            <v>-0.26</v>
          </cell>
          <cell r="AT210">
            <v>-0.25</v>
          </cell>
          <cell r="AU210">
            <v>-0.16</v>
          </cell>
          <cell r="AV210">
            <v>-0.08</v>
          </cell>
          <cell r="AW210">
            <v>0.16</v>
          </cell>
          <cell r="AX210">
            <v>0.18</v>
          </cell>
          <cell r="AY210">
            <v>0.19</v>
          </cell>
          <cell r="AZ210">
            <v>0.17</v>
          </cell>
          <cell r="BA210">
            <v>0.05</v>
          </cell>
          <cell r="BB210">
            <v>0.04</v>
          </cell>
          <cell r="BC210">
            <v>-0.06</v>
          </cell>
          <cell r="BD210">
            <v>-0.01</v>
          </cell>
          <cell r="BE210">
            <v>-0.03</v>
          </cell>
          <cell r="BF210">
            <v>0.04</v>
          </cell>
          <cell r="BG210">
            <v>0.03</v>
          </cell>
          <cell r="BH210">
            <v>-0.01</v>
          </cell>
          <cell r="BI210">
            <v>-2.4999999999999998E-2</v>
          </cell>
          <cell r="BJ210">
            <v>-4.9999999999999992E-3</v>
          </cell>
          <cell r="BK210">
            <v>-0.02</v>
          </cell>
          <cell r="BL210">
            <v>-2.5000000000000022E-3</v>
          </cell>
          <cell r="BM210">
            <v>5.2500000000000005E-2</v>
          </cell>
          <cell r="BN210">
            <v>0.04</v>
          </cell>
          <cell r="BO210">
            <v>3.1162377420913264E-2</v>
          </cell>
          <cell r="BP210">
            <v>2.3662377420913264E-2</v>
          </cell>
          <cell r="BQ210">
            <v>2.3662377420913264E-2</v>
          </cell>
        </row>
        <row r="211">
          <cell r="B211" t="str">
            <v>Price</v>
          </cell>
          <cell r="G211">
            <v>0.04</v>
          </cell>
          <cell r="H211">
            <v>0.06</v>
          </cell>
          <cell r="I211">
            <v>0.08</v>
          </cell>
          <cell r="J211">
            <v>-0.16</v>
          </cell>
          <cell r="K211">
            <v>7.0000000000000007E-2</v>
          </cell>
          <cell r="L211">
            <v>0.13</v>
          </cell>
          <cell r="M211">
            <v>-5.000000000000001E-3</v>
          </cell>
          <cell r="N211">
            <v>5.6250000000000015E-3</v>
          </cell>
          <cell r="O211">
            <v>1.8750000000000003E-2</v>
          </cell>
          <cell r="P211">
            <v>1.7500000000000002E-2</v>
          </cell>
          <cell r="Q211">
            <v>2.5000000000000005E-3</v>
          </cell>
          <cell r="R211">
            <v>2.5000000000000005E-3</v>
          </cell>
          <cell r="S211">
            <v>2.5000000000000005E-3</v>
          </cell>
          <cell r="T211">
            <v>2.5000000000000005E-3</v>
          </cell>
          <cell r="U211">
            <v>2.5000000000000005E-3</v>
          </cell>
          <cell r="AJ211" t="str">
            <v>ND</v>
          </cell>
          <cell r="AK211" t="str">
            <v>ND</v>
          </cell>
          <cell r="AL211" t="str">
            <v>ND</v>
          </cell>
          <cell r="AM211" t="str">
            <v>ND</v>
          </cell>
          <cell r="AN211">
            <v>7.0000000000000007E-2</v>
          </cell>
          <cell r="AO211">
            <v>0.09</v>
          </cell>
          <cell r="AP211">
            <v>0.12</v>
          </cell>
          <cell r="AQ211">
            <v>0.11</v>
          </cell>
          <cell r="AR211">
            <v>0.11</v>
          </cell>
          <cell r="AS211">
            <v>-0.01</v>
          </cell>
          <cell r="AT211">
            <v>-0.14000000000000001</v>
          </cell>
          <cell r="AU211">
            <v>-0.17</v>
          </cell>
          <cell r="AV211">
            <v>-0.2</v>
          </cell>
          <cell r="AW211">
            <v>-0.12</v>
          </cell>
          <cell r="AX211">
            <v>0.03</v>
          </cell>
          <cell r="AY211">
            <v>0.09</v>
          </cell>
          <cell r="AZ211">
            <v>0.06</v>
          </cell>
          <cell r="BA211">
            <v>7.0000000000000007E-2</v>
          </cell>
          <cell r="BB211">
            <v>0.11</v>
          </cell>
          <cell r="BC211">
            <v>0.16</v>
          </cell>
          <cell r="BD211">
            <v>0.17</v>
          </cell>
          <cell r="BE211">
            <v>0.09</v>
          </cell>
          <cell r="BF211">
            <v>0.11</v>
          </cell>
          <cell r="BG211">
            <v>-0.04</v>
          </cell>
          <cell r="BH211">
            <v>-2.5000000000000001E-2</v>
          </cell>
          <cell r="BI211">
            <v>-0.02</v>
          </cell>
          <cell r="BJ211">
            <v>1.5000000000000001E-2</v>
          </cell>
          <cell r="BK211">
            <v>-2.5000000000000022E-3</v>
          </cell>
          <cell r="BL211">
            <v>4.9999999999999992E-3</v>
          </cell>
          <cell r="BM211">
            <v>4.9999999999999992E-3</v>
          </cell>
          <cell r="BN211">
            <v>1.4999999999999999E-2</v>
          </cell>
          <cell r="BO211">
            <v>0.02</v>
          </cell>
          <cell r="BP211">
            <v>0.02</v>
          </cell>
          <cell r="BQ211">
            <v>0.02</v>
          </cell>
        </row>
        <row r="212">
          <cell r="B212" t="str">
            <v>Acquisitions/divestitures</v>
          </cell>
          <cell r="G212">
            <v>0</v>
          </cell>
          <cell r="H212">
            <v>0</v>
          </cell>
          <cell r="I212">
            <v>0</v>
          </cell>
          <cell r="J212">
            <v>0.02</v>
          </cell>
          <cell r="K212">
            <v>-0.02</v>
          </cell>
          <cell r="L212">
            <v>0</v>
          </cell>
          <cell r="M212">
            <v>6.2500000000000001E-4</v>
          </cell>
          <cell r="N212">
            <v>1.25E-3</v>
          </cell>
          <cell r="O212">
            <v>3.1250000000000002E-3</v>
          </cell>
          <cell r="P212">
            <v>0</v>
          </cell>
          <cell r="Q212">
            <v>0</v>
          </cell>
          <cell r="R212">
            <v>0</v>
          </cell>
          <cell r="S212">
            <v>0</v>
          </cell>
          <cell r="T212">
            <v>0</v>
          </cell>
          <cell r="U212">
            <v>0</v>
          </cell>
          <cell r="AJ212" t="str">
            <v>ND</v>
          </cell>
          <cell r="AK212" t="str">
            <v>ND</v>
          </cell>
          <cell r="AL212" t="str">
            <v>ND</v>
          </cell>
          <cell r="AM212" t="str">
            <v>ND</v>
          </cell>
          <cell r="AN212">
            <v>0.06</v>
          </cell>
          <cell r="AO212">
            <v>0.02</v>
          </cell>
          <cell r="AP212">
            <v>-0.01</v>
          </cell>
          <cell r="AQ212">
            <v>-0.01</v>
          </cell>
          <cell r="AR212">
            <v>-0.02</v>
          </cell>
          <cell r="AS212">
            <v>0.03</v>
          </cell>
          <cell r="AT212">
            <v>0.05</v>
          </cell>
          <cell r="AU212">
            <v>0.04</v>
          </cell>
          <cell r="AV212">
            <v>-0.28000000000000003</v>
          </cell>
          <cell r="AW212">
            <v>-0.01</v>
          </cell>
          <cell r="AX212">
            <v>-0.03</v>
          </cell>
          <cell r="AY212">
            <v>-0.03</v>
          </cell>
          <cell r="AZ212">
            <v>-0.02</v>
          </cell>
          <cell r="BA212">
            <v>0</v>
          </cell>
          <cell r="BB212">
            <v>0</v>
          </cell>
          <cell r="BC212">
            <v>0</v>
          </cell>
          <cell r="BD212">
            <v>-0.01</v>
          </cell>
          <cell r="BE212">
            <v>0.01</v>
          </cell>
          <cell r="BF212">
            <v>0</v>
          </cell>
          <cell r="BG212">
            <v>0</v>
          </cell>
          <cell r="BH212">
            <v>0</v>
          </cell>
          <cell r="BI212">
            <v>0</v>
          </cell>
          <cell r="BJ212">
            <v>0</v>
          </cell>
          <cell r="BK212">
            <v>0</v>
          </cell>
          <cell r="BL212">
            <v>5.0000000000000001E-3</v>
          </cell>
          <cell r="BM212">
            <v>0</v>
          </cell>
          <cell r="BN212">
            <v>1.2500000000000001E-2</v>
          </cell>
          <cell r="BO212">
            <v>0</v>
          </cell>
          <cell r="BP212">
            <v>0</v>
          </cell>
          <cell r="BQ212">
            <v>0</v>
          </cell>
        </row>
        <row r="213">
          <cell r="B213" t="str">
            <v>Currency</v>
          </cell>
          <cell r="G213">
            <v>0.01</v>
          </cell>
          <cell r="H213">
            <v>0.04</v>
          </cell>
          <cell r="I213">
            <v>0.03</v>
          </cell>
          <cell r="J213">
            <v>-0.02</v>
          </cell>
          <cell r="K213">
            <v>-0.02</v>
          </cell>
          <cell r="L213">
            <v>0.03</v>
          </cell>
          <cell r="M213">
            <v>-2.4375000000000001E-2</v>
          </cell>
          <cell r="N213">
            <v>9.3750000000000014E-3</v>
          </cell>
          <cell r="O213">
            <v>0</v>
          </cell>
          <cell r="P213">
            <v>0</v>
          </cell>
          <cell r="Q213">
            <v>0</v>
          </cell>
          <cell r="R213">
            <v>0</v>
          </cell>
          <cell r="S213">
            <v>0</v>
          </cell>
          <cell r="T213">
            <v>0</v>
          </cell>
          <cell r="U213">
            <v>0</v>
          </cell>
          <cell r="AJ213" t="str">
            <v>ND</v>
          </cell>
          <cell r="AK213" t="str">
            <v>ND</v>
          </cell>
          <cell r="AL213" t="str">
            <v>ND</v>
          </cell>
          <cell r="AM213" t="str">
            <v>ND</v>
          </cell>
          <cell r="AN213">
            <v>0.04</v>
          </cell>
          <cell r="AO213">
            <v>0.06</v>
          </cell>
          <cell r="AP213">
            <v>7.0000000000000007E-2</v>
          </cell>
          <cell r="AQ213">
            <v>0.06</v>
          </cell>
          <cell r="AR213">
            <v>0.03</v>
          </cell>
          <cell r="AS213">
            <v>-0.03</v>
          </cell>
          <cell r="AT213">
            <v>-0.04</v>
          </cell>
          <cell r="AU213">
            <v>-0.04</v>
          </cell>
          <cell r="AV213">
            <v>-0.01</v>
          </cell>
          <cell r="AW213">
            <v>0.05</v>
          </cell>
          <cell r="AX213">
            <v>0.03</v>
          </cell>
          <cell r="AY213">
            <v>-0.03</v>
          </cell>
          <cell r="AZ213">
            <v>-4.5000000000000005E-2</v>
          </cell>
          <cell r="BA213">
            <v>-0.03</v>
          </cell>
          <cell r="BB213">
            <v>-0.01</v>
          </cell>
          <cell r="BC213">
            <v>0.06</v>
          </cell>
          <cell r="BD213">
            <v>0.05</v>
          </cell>
          <cell r="BE213">
            <v>0</v>
          </cell>
          <cell r="BF213">
            <v>-0.01</v>
          </cell>
          <cell r="BG213">
            <v>-0.04</v>
          </cell>
          <cell r="BH213">
            <v>-3.5000000000000003E-2</v>
          </cell>
          <cell r="BI213">
            <v>-1.2500000000000001E-2</v>
          </cell>
          <cell r="BJ213">
            <v>0</v>
          </cell>
          <cell r="BK213">
            <v>7.4999999999999997E-3</v>
          </cell>
          <cell r="BL213">
            <v>1.2500000000000001E-2</v>
          </cell>
          <cell r="BM213">
            <v>1.7500000000000002E-2</v>
          </cell>
          <cell r="BN213">
            <v>0</v>
          </cell>
          <cell r="BO213">
            <v>0</v>
          </cell>
          <cell r="BP213">
            <v>0</v>
          </cell>
          <cell r="BQ213">
            <v>0</v>
          </cell>
        </row>
        <row r="215">
          <cell r="B215" t="str">
            <v>Operating EBITDA</v>
          </cell>
          <cell r="G215">
            <v>1144</v>
          </cell>
          <cell r="H215">
            <v>1294</v>
          </cell>
          <cell r="I215">
            <v>1164</v>
          </cell>
          <cell r="J215">
            <v>857</v>
          </cell>
          <cell r="K215">
            <v>1122</v>
          </cell>
          <cell r="L215">
            <v>1377</v>
          </cell>
          <cell r="M215">
            <v>1262</v>
          </cell>
          <cell r="N215">
            <v>1358</v>
          </cell>
          <cell r="O215">
            <v>1465.21714581635</v>
          </cell>
          <cell r="P215">
            <v>1510.6085344442367</v>
          </cell>
          <cell r="Q215">
            <v>1509.3220131284843</v>
          </cell>
          <cell r="R215">
            <v>1556.9306015951727</v>
          </cell>
          <cell r="S215">
            <v>1578.6013039674499</v>
          </cell>
          <cell r="T215">
            <v>1593.5854483992621</v>
          </cell>
          <cell r="U215">
            <v>1623.1541076735405</v>
          </cell>
          <cell r="AJ215">
            <v>296</v>
          </cell>
          <cell r="AK215">
            <v>269</v>
          </cell>
          <cell r="AL215">
            <v>315</v>
          </cell>
          <cell r="AM215">
            <v>328</v>
          </cell>
          <cell r="AN215">
            <v>302</v>
          </cell>
          <cell r="AO215">
            <v>349</v>
          </cell>
          <cell r="AP215">
            <v>381</v>
          </cell>
          <cell r="AQ215">
            <v>406</v>
          </cell>
          <cell r="AR215">
            <v>314</v>
          </cell>
          <cell r="AS215">
            <v>63</v>
          </cell>
          <cell r="AT215">
            <v>141</v>
          </cell>
          <cell r="AU215">
            <v>248</v>
          </cell>
          <cell r="AV215">
            <v>240</v>
          </cell>
          <cell r="AW215">
            <v>228</v>
          </cell>
          <cell r="AX215">
            <v>242</v>
          </cell>
          <cell r="AY215">
            <v>332</v>
          </cell>
          <cell r="AZ215">
            <v>286</v>
          </cell>
          <cell r="BA215">
            <v>262</v>
          </cell>
          <cell r="BB215">
            <v>309</v>
          </cell>
          <cell r="BC215">
            <v>442</v>
          </cell>
          <cell r="BD215">
            <v>379</v>
          </cell>
          <cell r="BE215">
            <v>247</v>
          </cell>
          <cell r="BF215">
            <v>268</v>
          </cell>
          <cell r="BG215">
            <v>416</v>
          </cell>
          <cell r="BH215">
            <v>311</v>
          </cell>
          <cell r="BI215">
            <v>267</v>
          </cell>
          <cell r="BJ215">
            <v>345</v>
          </cell>
          <cell r="BK215">
            <v>339</v>
          </cell>
          <cell r="BL215">
            <v>355</v>
          </cell>
          <cell r="BM215">
            <v>319</v>
          </cell>
          <cell r="BN215">
            <v>375</v>
          </cell>
          <cell r="BO215">
            <v>348.40426657772935</v>
          </cell>
          <cell r="BP215">
            <v>388.02095516035627</v>
          </cell>
          <cell r="BQ215">
            <v>353.7919240782644</v>
          </cell>
        </row>
        <row r="216">
          <cell r="B216" t="str">
            <v>Adjusted EBITDA</v>
          </cell>
          <cell r="G216">
            <v>981</v>
          </cell>
          <cell r="H216">
            <v>1121</v>
          </cell>
          <cell r="I216">
            <v>940</v>
          </cell>
          <cell r="J216">
            <v>697</v>
          </cell>
          <cell r="K216">
            <v>874</v>
          </cell>
          <cell r="L216">
            <v>1091</v>
          </cell>
          <cell r="M216">
            <v>930</v>
          </cell>
          <cell r="N216">
            <v>1085</v>
          </cell>
          <cell r="O216">
            <v>1164.71714581635</v>
          </cell>
          <cell r="P216">
            <v>1162.1304076629867</v>
          </cell>
          <cell r="Q216">
            <v>1153.8633222519218</v>
          </cell>
          <cell r="R216">
            <v>1190.373976174782</v>
          </cell>
          <cell r="S216">
            <v>1200.3918472760397</v>
          </cell>
          <cell r="T216">
            <v>1203.1405188732813</v>
          </cell>
          <cell r="U216">
            <v>1219.8619316712607</v>
          </cell>
          <cell r="AJ216">
            <v>254</v>
          </cell>
          <cell r="AK216">
            <v>219</v>
          </cell>
          <cell r="AL216">
            <v>292</v>
          </cell>
          <cell r="AM216">
            <v>261</v>
          </cell>
          <cell r="AN216">
            <v>264</v>
          </cell>
          <cell r="AO216">
            <v>304</v>
          </cell>
          <cell r="AP216">
            <v>339</v>
          </cell>
          <cell r="AQ216">
            <v>313</v>
          </cell>
          <cell r="AR216">
            <v>256</v>
          </cell>
          <cell r="AS216">
            <v>32</v>
          </cell>
          <cell r="AT216">
            <v>131</v>
          </cell>
          <cell r="AU216">
            <v>158</v>
          </cell>
          <cell r="AV216">
            <v>208</v>
          </cell>
          <cell r="AW216">
            <v>200</v>
          </cell>
          <cell r="AX216">
            <v>187</v>
          </cell>
          <cell r="AY216">
            <v>216</v>
          </cell>
          <cell r="AZ216">
            <v>252</v>
          </cell>
          <cell r="BA216">
            <v>219</v>
          </cell>
          <cell r="BB216">
            <v>263</v>
          </cell>
          <cell r="BC216">
            <v>311</v>
          </cell>
          <cell r="BD216">
            <v>321</v>
          </cell>
          <cell r="BE216">
            <v>196</v>
          </cell>
          <cell r="BF216">
            <v>215</v>
          </cell>
          <cell r="BG216">
            <v>271</v>
          </cell>
          <cell r="BH216">
            <v>257</v>
          </cell>
          <cell r="BI216">
            <v>187</v>
          </cell>
          <cell r="BJ216">
            <v>268</v>
          </cell>
          <cell r="BK216">
            <v>257</v>
          </cell>
          <cell r="BL216">
            <v>294</v>
          </cell>
          <cell r="BM216">
            <v>266</v>
          </cell>
          <cell r="BN216">
            <v>306</v>
          </cell>
          <cell r="BO216">
            <v>277.90426657772935</v>
          </cell>
          <cell r="BP216">
            <v>307.52095516035627</v>
          </cell>
          <cell r="BQ216">
            <v>273.2919240782644</v>
          </cell>
        </row>
        <row r="217">
          <cell r="B217" t="str">
            <v>Margin</v>
          </cell>
          <cell r="G217">
            <v>0.16978193146417445</v>
          </cell>
          <cell r="H217">
            <v>0.17396027312228429</v>
          </cell>
          <cell r="I217">
            <v>0.13776930968782061</v>
          </cell>
          <cell r="J217">
            <v>0.13715072805981898</v>
          </cell>
          <cell r="K217">
            <v>0.14768502872592093</v>
          </cell>
          <cell r="L217">
            <v>0.16131894129824043</v>
          </cell>
          <cell r="M217">
            <v>0.14490495481458399</v>
          </cell>
          <cell r="N217">
            <v>0.16666666666666666</v>
          </cell>
          <cell r="O217">
            <v>0.16968585518737922</v>
          </cell>
          <cell r="P217">
            <v>0.16248614533301417</v>
          </cell>
          <cell r="Q217">
            <v>0.15145063947568135</v>
          </cell>
          <cell r="R217">
            <v>0.14857961367260147</v>
          </cell>
          <cell r="S217">
            <v>0.14495105429552235</v>
          </cell>
          <cell r="T217">
            <v>0.14138790326487971</v>
          </cell>
          <cell r="U217">
            <v>0.1394537066936643</v>
          </cell>
          <cell r="AJ217">
            <v>0.17267165193745751</v>
          </cell>
          <cell r="AK217">
            <v>0.15314685314685314</v>
          </cell>
          <cell r="AL217">
            <v>0.18778135048231512</v>
          </cell>
          <cell r="AM217">
            <v>0.16773778920308482</v>
          </cell>
          <cell r="AN217">
            <v>0.16783216783216784</v>
          </cell>
          <cell r="AO217">
            <v>0.17272727272727273</v>
          </cell>
          <cell r="AP217">
            <v>0.18364030335861323</v>
          </cell>
          <cell r="AQ217">
            <v>0.16755888650963596</v>
          </cell>
          <cell r="AR217">
            <v>0.14042786615469008</v>
          </cell>
          <cell r="AS217">
            <v>2.4883359253499222E-2</v>
          </cell>
          <cell r="AT217">
            <v>0.11431064572425829</v>
          </cell>
          <cell r="AU217">
            <v>0.12700964630225081</v>
          </cell>
          <cell r="AV217">
            <v>0.15950920245398773</v>
          </cell>
          <cell r="AW217">
            <v>0.14409221902017291</v>
          </cell>
          <cell r="AX217">
            <v>0.13472622478386168</v>
          </cell>
          <cell r="AY217">
            <v>0.14238628872775214</v>
          </cell>
          <cell r="AZ217">
            <v>0.16733067729083664</v>
          </cell>
          <cell r="BA217">
            <v>0.14532183145321831</v>
          </cell>
          <cell r="BB217">
            <v>0.16551290119572057</v>
          </cell>
          <cell r="BC217">
            <v>0.17741015402167712</v>
          </cell>
          <cell r="BD217">
            <v>0.17764250138350857</v>
          </cell>
          <cell r="BE217">
            <v>0.12143742255266418</v>
          </cell>
          <cell r="BF217">
            <v>0.1316595223515003</v>
          </cell>
          <cell r="BG217">
            <v>0.16179104477611941</v>
          </cell>
          <cell r="BH217">
            <v>0.15972653822249844</v>
          </cell>
          <cell r="BI217">
            <v>0.1245836109260493</v>
          </cell>
          <cell r="BJ217">
            <v>0.16697819314641746</v>
          </cell>
          <cell r="BK217">
            <v>0.15547489413188142</v>
          </cell>
          <cell r="BL217">
            <v>0.17970660146699266</v>
          </cell>
          <cell r="BM217">
            <v>0.16460396039603961</v>
          </cell>
          <cell r="BN217">
            <v>0.17947214076246334</v>
          </cell>
          <cell r="BO217">
            <v>0.15810324710468177</v>
          </cell>
          <cell r="BP217">
            <v>0.17902912340624916</v>
          </cell>
          <cell r="BQ217">
            <v>0.16233484399086309</v>
          </cell>
        </row>
        <row r="218">
          <cell r="B218" t="str">
            <v>Equity Earnings</v>
          </cell>
          <cell r="G218">
            <v>163</v>
          </cell>
          <cell r="H218">
            <v>173</v>
          </cell>
          <cell r="I218">
            <v>224</v>
          </cell>
          <cell r="J218">
            <v>160</v>
          </cell>
          <cell r="K218">
            <v>248</v>
          </cell>
          <cell r="L218">
            <v>286</v>
          </cell>
          <cell r="M218">
            <v>332</v>
          </cell>
          <cell r="N218">
            <v>273</v>
          </cell>
          <cell r="O218">
            <v>300.5</v>
          </cell>
          <cell r="P218">
            <v>348.47812678125001</v>
          </cell>
          <cell r="Q218">
            <v>355.45869087656251</v>
          </cell>
          <cell r="R218">
            <v>366.55662542039067</v>
          </cell>
          <cell r="S218">
            <v>378.2094566914102</v>
          </cell>
          <cell r="T218">
            <v>390.44492952598074</v>
          </cell>
          <cell r="U218">
            <v>403.2921760022798</v>
          </cell>
          <cell r="AJ218">
            <v>42</v>
          </cell>
          <cell r="AK218">
            <v>50</v>
          </cell>
          <cell r="AL218">
            <v>23</v>
          </cell>
          <cell r="AM218">
            <v>67</v>
          </cell>
          <cell r="AN218">
            <v>38</v>
          </cell>
          <cell r="AO218">
            <v>45</v>
          </cell>
          <cell r="AP218">
            <v>42</v>
          </cell>
          <cell r="AQ218">
            <v>93</v>
          </cell>
          <cell r="AR218">
            <v>58</v>
          </cell>
          <cell r="AS218">
            <v>31</v>
          </cell>
          <cell r="AT218">
            <v>10</v>
          </cell>
          <cell r="AU218">
            <v>90</v>
          </cell>
          <cell r="AV218">
            <v>32</v>
          </cell>
          <cell r="AW218">
            <v>28</v>
          </cell>
          <cell r="AX218">
            <v>55</v>
          </cell>
          <cell r="AY218">
            <v>116</v>
          </cell>
          <cell r="AZ218">
            <v>34</v>
          </cell>
          <cell r="BA218">
            <v>43</v>
          </cell>
          <cell r="BB218">
            <v>46</v>
          </cell>
          <cell r="BC218">
            <v>131</v>
          </cell>
          <cell r="BD218">
            <v>58</v>
          </cell>
          <cell r="BE218">
            <v>51</v>
          </cell>
          <cell r="BF218">
            <v>53</v>
          </cell>
          <cell r="BG218">
            <v>145</v>
          </cell>
          <cell r="BH218">
            <v>54</v>
          </cell>
          <cell r="BI218">
            <v>80</v>
          </cell>
          <cell r="BJ218">
            <v>77</v>
          </cell>
          <cell r="BK218">
            <v>82</v>
          </cell>
          <cell r="BL218">
            <v>61</v>
          </cell>
          <cell r="BM218">
            <v>53</v>
          </cell>
          <cell r="BN218">
            <v>69</v>
          </cell>
          <cell r="BO218">
            <v>70.5</v>
          </cell>
          <cell r="BP218">
            <v>80.5</v>
          </cell>
          <cell r="BQ218">
            <v>80.5</v>
          </cell>
        </row>
        <row r="219">
          <cell r="B219" t="str">
            <v>Consolidated margin</v>
          </cell>
          <cell r="G219">
            <v>0.19799238490827276</v>
          </cell>
          <cell r="H219">
            <v>0.20080695220360026</v>
          </cell>
          <cell r="I219">
            <v>0.17059944306023744</v>
          </cell>
          <cell r="J219">
            <v>0.16863439590712317</v>
          </cell>
          <cell r="K219">
            <v>0.1895910780669145</v>
          </cell>
          <cell r="L219">
            <v>0.20360786633150968</v>
          </cell>
          <cell r="M219">
            <v>0.19663446556559677</v>
          </cell>
          <cell r="N219">
            <v>0.2086021505376344</v>
          </cell>
          <cell r="O219">
            <v>0.21346523944987167</v>
          </cell>
          <cell r="P219">
            <v>0.211209478945308</v>
          </cell>
          <cell r="Q219">
            <v>0.19810646517207206</v>
          </cell>
          <cell r="R219">
            <v>0.19433232910839104</v>
          </cell>
          <cell r="S219">
            <v>0.19062102416107898</v>
          </cell>
          <cell r="T219">
            <v>0.1872713134402596</v>
          </cell>
          <cell r="U219">
            <v>0.18555776762375634</v>
          </cell>
          <cell r="AJ219">
            <v>0.20122365737593473</v>
          </cell>
          <cell r="AK219">
            <v>0.18811188811188811</v>
          </cell>
          <cell r="AL219">
            <v>0.20257234726688103</v>
          </cell>
          <cell r="AM219">
            <v>0.21079691516709512</v>
          </cell>
          <cell r="AN219">
            <v>0.19198982835346473</v>
          </cell>
          <cell r="AO219">
            <v>0.19829545454545455</v>
          </cell>
          <cell r="AP219">
            <v>0.20639219934994582</v>
          </cell>
          <cell r="AQ219">
            <v>0.21734475374732334</v>
          </cell>
          <cell r="AR219">
            <v>0.17224355458036203</v>
          </cell>
          <cell r="AS219">
            <v>4.8989113530326596E-2</v>
          </cell>
          <cell r="AT219">
            <v>0.12303664921465969</v>
          </cell>
          <cell r="AU219">
            <v>0.19935691318327975</v>
          </cell>
          <cell r="AV219">
            <v>0.18404907975460122</v>
          </cell>
          <cell r="AW219">
            <v>0.16426512968299711</v>
          </cell>
          <cell r="AX219">
            <v>0.17435158501440923</v>
          </cell>
          <cell r="AY219">
            <v>0.21885299934080421</v>
          </cell>
          <cell r="AZ219">
            <v>0.1899070385126162</v>
          </cell>
          <cell r="BA219">
            <v>0.17385534173855341</v>
          </cell>
          <cell r="BB219">
            <v>0.19446192573945878</v>
          </cell>
          <cell r="BC219">
            <v>0.25213918996006845</v>
          </cell>
          <cell r="BD219">
            <v>0.20973990038738241</v>
          </cell>
          <cell r="BE219">
            <v>0.15303593556381662</v>
          </cell>
          <cell r="BF219">
            <v>0.16411512553582364</v>
          </cell>
          <cell r="BG219">
            <v>0.24835820895522387</v>
          </cell>
          <cell r="BH219">
            <v>0.1932877563704164</v>
          </cell>
          <cell r="BI219">
            <v>0.17788141239173885</v>
          </cell>
          <cell r="BJ219">
            <v>0.21495327102803738</v>
          </cell>
          <cell r="BK219">
            <v>0.20508166969147004</v>
          </cell>
          <cell r="BL219">
            <v>0.2169926650366748</v>
          </cell>
          <cell r="BM219">
            <v>0.19740099009900991</v>
          </cell>
          <cell r="BN219">
            <v>0.21994134897360704</v>
          </cell>
          <cell r="BO219">
            <v>0.19821158749880979</v>
          </cell>
          <cell r="BP219">
            <v>0.22589371650914203</v>
          </cell>
          <cell r="BQ219">
            <v>0.21015167935963205</v>
          </cell>
        </row>
        <row r="221">
          <cell r="B221" t="str">
            <v>Group Operating Income</v>
          </cell>
          <cell r="G221">
            <v>712</v>
          </cell>
          <cell r="H221">
            <v>830</v>
          </cell>
          <cell r="I221">
            <v>611</v>
          </cell>
          <cell r="J221">
            <v>407</v>
          </cell>
          <cell r="K221">
            <v>616</v>
          </cell>
          <cell r="L221">
            <v>804</v>
          </cell>
          <cell r="M221">
            <v>630</v>
          </cell>
          <cell r="N221">
            <v>783</v>
          </cell>
          <cell r="O221">
            <v>864.6822455583499</v>
          </cell>
          <cell r="P221">
            <v>846.58378559401478</v>
          </cell>
          <cell r="Q221">
            <v>807.95295517017212</v>
          </cell>
          <cell r="R221">
            <v>824.97375946218278</v>
          </cell>
          <cell r="S221">
            <v>820.79585553696063</v>
          </cell>
          <cell r="T221">
            <v>813.14912032082498</v>
          </cell>
          <cell r="U221">
            <v>819.03788076602609</v>
          </cell>
          <cell r="AJ221">
            <v>188</v>
          </cell>
          <cell r="AK221">
            <v>155</v>
          </cell>
          <cell r="AL221">
            <v>224</v>
          </cell>
          <cell r="AM221">
            <v>188</v>
          </cell>
          <cell r="AN221">
            <v>187</v>
          </cell>
          <cell r="AO221">
            <v>231</v>
          </cell>
          <cell r="AP221">
            <v>256</v>
          </cell>
          <cell r="AQ221">
            <v>231</v>
          </cell>
          <cell r="AR221">
            <v>171</v>
          </cell>
          <cell r="AS221">
            <v>-47</v>
          </cell>
          <cell r="AT221">
            <v>60</v>
          </cell>
          <cell r="AU221">
            <v>86</v>
          </cell>
          <cell r="AV221">
            <v>135</v>
          </cell>
          <cell r="AW221">
            <v>126</v>
          </cell>
          <cell r="AX221">
            <v>121</v>
          </cell>
          <cell r="AY221">
            <v>153</v>
          </cell>
          <cell r="AZ221">
            <v>188</v>
          </cell>
          <cell r="BA221">
            <v>154</v>
          </cell>
          <cell r="BB221">
            <v>243</v>
          </cell>
          <cell r="BC221">
            <v>374</v>
          </cell>
          <cell r="BD221">
            <v>302</v>
          </cell>
          <cell r="BE221">
            <v>171</v>
          </cell>
          <cell r="BF221">
            <v>196</v>
          </cell>
          <cell r="BG221">
            <v>342</v>
          </cell>
          <cell r="BH221">
            <v>236</v>
          </cell>
          <cell r="BI221">
            <v>188</v>
          </cell>
          <cell r="BJ221">
            <v>192</v>
          </cell>
          <cell r="BK221">
            <v>182</v>
          </cell>
          <cell r="BL221">
            <v>218</v>
          </cell>
          <cell r="BM221">
            <v>191</v>
          </cell>
          <cell r="BN221">
            <v>233</v>
          </cell>
          <cell r="BO221">
            <v>202.22596649172937</v>
          </cell>
          <cell r="BP221">
            <v>231.84265507435626</v>
          </cell>
          <cell r="BQ221">
            <v>197.61362399226437</v>
          </cell>
        </row>
        <row r="222">
          <cell r="B222" t="str">
            <v>Group Reported EBIT</v>
          </cell>
          <cell r="G222">
            <v>620</v>
          </cell>
          <cell r="H222">
            <v>748</v>
          </cell>
          <cell r="I222">
            <v>440</v>
          </cell>
          <cell r="J222">
            <v>290</v>
          </cell>
          <cell r="K222">
            <v>501</v>
          </cell>
          <cell r="L222">
            <v>402</v>
          </cell>
          <cell r="M222">
            <v>175</v>
          </cell>
          <cell r="N222">
            <v>1508</v>
          </cell>
          <cell r="O222">
            <v>875.6822455583499</v>
          </cell>
          <cell r="P222">
            <v>846.58378559401478</v>
          </cell>
          <cell r="Q222">
            <v>807.95295517017212</v>
          </cell>
          <cell r="R222">
            <v>824.97375946218278</v>
          </cell>
          <cell r="S222">
            <v>820.79585553696063</v>
          </cell>
          <cell r="T222">
            <v>813.14912032082498</v>
          </cell>
          <cell r="U222">
            <v>819.03788076602609</v>
          </cell>
          <cell r="AT222">
            <v>27</v>
          </cell>
          <cell r="AU222">
            <v>89</v>
          </cell>
          <cell r="AV222">
            <v>65</v>
          </cell>
          <cell r="AW222">
            <v>109</v>
          </cell>
          <cell r="AX222">
            <v>-14</v>
          </cell>
          <cell r="AY222">
            <v>156</v>
          </cell>
          <cell r="AZ222">
            <v>221</v>
          </cell>
          <cell r="BA222">
            <v>138</v>
          </cell>
          <cell r="BB222">
            <v>193</v>
          </cell>
          <cell r="BC222">
            <v>213</v>
          </cell>
          <cell r="BD222">
            <v>201</v>
          </cell>
          <cell r="BE222">
            <v>-205</v>
          </cell>
          <cell r="BF222">
            <v>111</v>
          </cell>
          <cell r="BG222">
            <v>178</v>
          </cell>
          <cell r="BH222">
            <v>176</v>
          </cell>
          <cell r="BI222">
            <v>-290</v>
          </cell>
          <cell r="BJ222">
            <v>184</v>
          </cell>
          <cell r="BK222">
            <v>169</v>
          </cell>
          <cell r="BL222">
            <v>211</v>
          </cell>
          <cell r="BM222">
            <v>944</v>
          </cell>
          <cell r="BN222">
            <v>244</v>
          </cell>
          <cell r="BO222">
            <v>202.22596649172937</v>
          </cell>
          <cell r="BP222">
            <v>231.84265507435626</v>
          </cell>
          <cell r="BQ222">
            <v>197.61362399226437</v>
          </cell>
        </row>
        <row r="223">
          <cell r="B223" t="str">
            <v>Margin</v>
          </cell>
          <cell r="G223">
            <v>0.12322602976808585</v>
          </cell>
          <cell r="H223">
            <v>0.12880198634388579</v>
          </cell>
          <cell r="I223">
            <v>8.9550051297083391E-2</v>
          </cell>
          <cell r="J223">
            <v>8.0086580086580081E-2</v>
          </cell>
          <cell r="K223">
            <v>0.10408921933085502</v>
          </cell>
          <cell r="L223">
            <v>0.11888215289072897</v>
          </cell>
          <cell r="M223">
            <v>9.8161421003427854E-2</v>
          </cell>
          <cell r="N223">
            <v>0.12027649769585254</v>
          </cell>
          <cell r="O223">
            <v>0.12597423059319091</v>
          </cell>
          <cell r="P223">
            <v>0.11836721173076277</v>
          </cell>
          <cell r="Q223">
            <v>0.10604808157692118</v>
          </cell>
          <cell r="R223">
            <v>0.10297123838746225</v>
          </cell>
          <cell r="S223">
            <v>9.9113656004461675E-2</v>
          </cell>
          <cell r="T223">
            <v>9.5557790100452761E-2</v>
          </cell>
          <cell r="U223">
            <v>9.3631799984825043E-2</v>
          </cell>
          <cell r="AJ223">
            <v>0.12780421481985044</v>
          </cell>
          <cell r="AK223">
            <v>0.10839160839160839</v>
          </cell>
          <cell r="AL223">
            <v>0.14405144694533761</v>
          </cell>
          <cell r="AM223">
            <v>0.12082262210796915</v>
          </cell>
          <cell r="AN223">
            <v>0.11888111888111888</v>
          </cell>
          <cell r="AO223">
            <v>0.13125000000000001</v>
          </cell>
          <cell r="AP223">
            <v>0.13867822318526543</v>
          </cell>
          <cell r="AQ223">
            <v>0.12366167023554604</v>
          </cell>
          <cell r="AR223">
            <v>9.3801426220515627E-2</v>
          </cell>
          <cell r="AS223">
            <v>-3.6547433903576981E-2</v>
          </cell>
          <cell r="AT223">
            <v>5.2356020942408377E-2</v>
          </cell>
          <cell r="AU223">
            <v>6.9131832797427656E-2</v>
          </cell>
          <cell r="AV223">
            <v>0.10352760736196319</v>
          </cell>
          <cell r="AW223">
            <v>9.077809798270893E-2</v>
          </cell>
          <cell r="AX223">
            <v>8.7175792507204614E-2</v>
          </cell>
          <cell r="AY223">
            <v>0.10085695451549111</v>
          </cell>
          <cell r="AZ223">
            <v>0.1248339973439575</v>
          </cell>
          <cell r="BA223">
            <v>0.10218978102189781</v>
          </cell>
          <cell r="BB223">
            <v>0.15292636878539961</v>
          </cell>
          <cell r="BC223">
            <v>0.21334854535082715</v>
          </cell>
          <cell r="BD223">
            <v>0.16712783619258439</v>
          </cell>
          <cell r="BE223">
            <v>0.10594795539033457</v>
          </cell>
          <cell r="BF223">
            <v>0.12002449479485609</v>
          </cell>
          <cell r="BG223">
            <v>0.20417910447761195</v>
          </cell>
          <cell r="BH223">
            <v>0.14667495338719702</v>
          </cell>
          <cell r="BI223">
            <v>0.12524983344437041</v>
          </cell>
          <cell r="BJ223">
            <v>0.11962616822429907</v>
          </cell>
          <cell r="BK223">
            <v>0.11010284331518451</v>
          </cell>
          <cell r="BL223">
            <v>0.1332518337408313</v>
          </cell>
          <cell r="BM223">
            <v>0.11819306930693069</v>
          </cell>
          <cell r="BN223">
            <v>0.13665689149560117</v>
          </cell>
          <cell r="BO223">
            <v>0.11504890639123133</v>
          </cell>
          <cell r="BP223">
            <v>0.13497157383793845</v>
          </cell>
          <cell r="BQ223">
            <v>0.11738208851011081</v>
          </cell>
        </row>
        <row r="225">
          <cell r="B225" t="str">
            <v>Special charges</v>
          </cell>
          <cell r="G225">
            <v>92</v>
          </cell>
          <cell r="H225">
            <v>82</v>
          </cell>
          <cell r="I225">
            <v>171</v>
          </cell>
          <cell r="J225">
            <v>117</v>
          </cell>
          <cell r="K225">
            <v>115</v>
          </cell>
          <cell r="L225">
            <v>402</v>
          </cell>
          <cell r="M225">
            <v>455</v>
          </cell>
          <cell r="N225">
            <v>-725</v>
          </cell>
          <cell r="O225">
            <v>-11</v>
          </cell>
          <cell r="P225">
            <v>0</v>
          </cell>
          <cell r="Q225">
            <v>0</v>
          </cell>
          <cell r="R225">
            <v>0</v>
          </cell>
          <cell r="S225">
            <v>0</v>
          </cell>
          <cell r="T225">
            <v>0</v>
          </cell>
          <cell r="U225">
            <v>0</v>
          </cell>
          <cell r="AJ225">
            <v>16</v>
          </cell>
          <cell r="AK225">
            <v>15</v>
          </cell>
          <cell r="AL225">
            <v>18</v>
          </cell>
          <cell r="AM225">
            <v>117</v>
          </cell>
          <cell r="AN225">
            <v>40</v>
          </cell>
          <cell r="AO225">
            <v>-93</v>
          </cell>
          <cell r="AP225">
            <v>22</v>
          </cell>
          <cell r="AQ225">
            <v>24</v>
          </cell>
          <cell r="AR225">
            <v>20</v>
          </cell>
          <cell r="AS225">
            <v>105</v>
          </cell>
          <cell r="AT225">
            <v>33</v>
          </cell>
          <cell r="AU225">
            <v>-3</v>
          </cell>
          <cell r="AV225">
            <v>70</v>
          </cell>
          <cell r="AW225">
            <v>17</v>
          </cell>
          <cell r="AX225">
            <v>135</v>
          </cell>
          <cell r="AY225">
            <v>-3</v>
          </cell>
          <cell r="AZ225">
            <v>-33</v>
          </cell>
          <cell r="BA225">
            <v>16</v>
          </cell>
          <cell r="BB225">
            <v>4</v>
          </cell>
          <cell r="BC225">
            <v>30</v>
          </cell>
          <cell r="BD225">
            <v>43</v>
          </cell>
          <cell r="BE225">
            <v>325</v>
          </cell>
          <cell r="BF225">
            <v>32</v>
          </cell>
          <cell r="BG225">
            <v>19</v>
          </cell>
          <cell r="BH225">
            <v>6</v>
          </cell>
          <cell r="BI225">
            <v>398</v>
          </cell>
          <cell r="BJ225">
            <v>8</v>
          </cell>
          <cell r="BK225">
            <v>13</v>
          </cell>
          <cell r="BL225">
            <v>7</v>
          </cell>
          <cell r="BM225">
            <v>-753</v>
          </cell>
          <cell r="BN225">
            <v>-11</v>
          </cell>
          <cell r="BO225">
            <v>0</v>
          </cell>
          <cell r="BP225">
            <v>0</v>
          </cell>
          <cell r="BQ225">
            <v>0</v>
          </cell>
        </row>
        <row r="226">
          <cell r="B226" t="str">
            <v>D&amp;A</v>
          </cell>
          <cell r="G226">
            <v>269</v>
          </cell>
          <cell r="H226">
            <v>291</v>
          </cell>
          <cell r="I226">
            <v>329</v>
          </cell>
          <cell r="J226">
            <v>290</v>
          </cell>
          <cell r="K226">
            <v>258</v>
          </cell>
          <cell r="L226">
            <v>287</v>
          </cell>
          <cell r="M226">
            <v>300</v>
          </cell>
          <cell r="N226">
            <v>302</v>
          </cell>
          <cell r="O226">
            <v>300.03490025799999</v>
          </cell>
          <cell r="P226">
            <v>315.54662206897183</v>
          </cell>
          <cell r="Q226">
            <v>345.91036708174943</v>
          </cell>
          <cell r="R226">
            <v>365.40021671259922</v>
          </cell>
          <cell r="S226">
            <v>379.59599173907918</v>
          </cell>
          <cell r="T226">
            <v>389.9913985524563</v>
          </cell>
          <cell r="U226">
            <v>400.82405090523469</v>
          </cell>
          <cell r="AH226">
            <v>69.5</v>
          </cell>
          <cell r="AI226">
            <v>69.5</v>
          </cell>
          <cell r="AJ226">
            <v>66</v>
          </cell>
          <cell r="AK226">
            <v>64</v>
          </cell>
          <cell r="AL226">
            <v>68</v>
          </cell>
          <cell r="AM226">
            <v>73</v>
          </cell>
          <cell r="AN226">
            <v>77</v>
          </cell>
          <cell r="AO226">
            <v>73</v>
          </cell>
          <cell r="AP226">
            <v>83</v>
          </cell>
          <cell r="AQ226">
            <v>82</v>
          </cell>
          <cell r="AR226">
            <v>85</v>
          </cell>
          <cell r="AS226">
            <v>79</v>
          </cell>
          <cell r="AT226">
            <v>71</v>
          </cell>
          <cell r="AU226">
            <v>72</v>
          </cell>
          <cell r="AV226">
            <v>73</v>
          </cell>
          <cell r="AW226">
            <v>74</v>
          </cell>
          <cell r="AX226">
            <v>66</v>
          </cell>
          <cell r="AY226">
            <v>63</v>
          </cell>
          <cell r="AZ226">
            <v>64</v>
          </cell>
          <cell r="BA226">
            <v>65</v>
          </cell>
          <cell r="BB226">
            <v>66</v>
          </cell>
          <cell r="BC226">
            <v>68</v>
          </cell>
          <cell r="BD226">
            <v>77</v>
          </cell>
          <cell r="BE226">
            <v>76</v>
          </cell>
          <cell r="BF226">
            <v>72</v>
          </cell>
          <cell r="BG226">
            <v>74</v>
          </cell>
          <cell r="BH226">
            <v>75</v>
          </cell>
          <cell r="BI226">
            <v>79</v>
          </cell>
          <cell r="BJ226">
            <v>76</v>
          </cell>
          <cell r="BK226">
            <v>75</v>
          </cell>
          <cell r="BL226">
            <v>76</v>
          </cell>
          <cell r="BM226">
            <v>75</v>
          </cell>
          <cell r="BN226">
            <v>73</v>
          </cell>
          <cell r="BO226">
            <v>75.678300086000007</v>
          </cell>
          <cell r="BP226">
            <v>75.678300086000007</v>
          </cell>
          <cell r="BQ226">
            <v>75.678300086000007</v>
          </cell>
        </row>
        <row r="227">
          <cell r="B227" t="str">
            <v>% of sales</v>
          </cell>
          <cell r="G227">
            <v>4.6555901696088614E-2</v>
          </cell>
          <cell r="H227">
            <v>4.5158286778398511E-2</v>
          </cell>
          <cell r="I227">
            <v>4.8219258390737214E-2</v>
          </cell>
          <cell r="J227">
            <v>5.7064147973238881E-2</v>
          </cell>
          <cell r="K227">
            <v>4.3595809395065903E-2</v>
          </cell>
          <cell r="L227">
            <v>4.2436788407511458E-2</v>
          </cell>
          <cell r="M227">
            <v>4.6743533811156125E-2</v>
          </cell>
          <cell r="N227">
            <v>4.6390168970814133E-2</v>
          </cell>
          <cell r="O227">
            <v>4.3711624594188286E-2</v>
          </cell>
          <cell r="P227">
            <v>4.4118933602251394E-2</v>
          </cell>
          <cell r="Q227">
            <v>4.540255789876016E-2</v>
          </cell>
          <cell r="R227">
            <v>4.5608375285139238E-2</v>
          </cell>
          <cell r="S227">
            <v>4.5837398291060684E-2</v>
          </cell>
          <cell r="T227">
            <v>4.583011316442695E-2</v>
          </cell>
          <cell r="U227">
            <v>4.5821906708839268E-2</v>
          </cell>
          <cell r="AJ227">
            <v>4.4867437117607073E-2</v>
          </cell>
          <cell r="AK227">
            <v>4.4755244755244755E-2</v>
          </cell>
          <cell r="AL227">
            <v>4.3729903536977491E-2</v>
          </cell>
          <cell r="AM227">
            <v>4.691516709511568E-2</v>
          </cell>
          <cell r="AN227">
            <v>4.8951048951048952E-2</v>
          </cell>
          <cell r="AO227">
            <v>4.1477272727272731E-2</v>
          </cell>
          <cell r="AP227">
            <v>4.4962080173347782E-2</v>
          </cell>
          <cell r="AQ227">
            <v>4.3897216274089934E-2</v>
          </cell>
          <cell r="AR227">
            <v>4.6626439934174438E-2</v>
          </cell>
          <cell r="AS227">
            <v>6.1430793157076204E-2</v>
          </cell>
          <cell r="AT227">
            <v>6.1954624781849911E-2</v>
          </cell>
          <cell r="AU227">
            <v>5.7877813504823149E-2</v>
          </cell>
          <cell r="AV227">
            <v>5.5981595092024543E-2</v>
          </cell>
          <cell r="AW227">
            <v>5.3314121037463975E-2</v>
          </cell>
          <cell r="AX227">
            <v>4.7550432276657062E-2</v>
          </cell>
          <cell r="AY227">
            <v>4.1529334212261043E-2</v>
          </cell>
          <cell r="AZ227">
            <v>4.2496679946879147E-2</v>
          </cell>
          <cell r="BA227">
            <v>4.3132050431320505E-2</v>
          </cell>
          <cell r="BB227">
            <v>4.1535556954059159E-2</v>
          </cell>
          <cell r="BC227">
            <v>3.8790644609241302E-2</v>
          </cell>
          <cell r="BD227">
            <v>4.2612064194798009E-2</v>
          </cell>
          <cell r="BE227">
            <v>4.7087980173482029E-2</v>
          </cell>
          <cell r="BF227">
            <v>4.4090630740967543E-2</v>
          </cell>
          <cell r="BG227">
            <v>4.417910447761194E-2</v>
          </cell>
          <cell r="BH227">
            <v>4.661280298321939E-2</v>
          </cell>
          <cell r="BI227">
            <v>5.2631578947368418E-2</v>
          </cell>
          <cell r="BJ227">
            <v>4.7352024922118381E-2</v>
          </cell>
          <cell r="BK227">
            <v>4.5372050816696916E-2</v>
          </cell>
          <cell r="BL227">
            <v>4.6454767726161368E-2</v>
          </cell>
          <cell r="BM227">
            <v>4.641089108910891E-2</v>
          </cell>
          <cell r="BN227">
            <v>4.2815249266862171E-2</v>
          </cell>
          <cell r="BO227">
            <v>4.3054340713450448E-2</v>
          </cell>
          <cell r="BP227">
            <v>4.4057549568310712E-2</v>
          </cell>
          <cell r="BQ227">
            <v>4.4952755480752261E-2</v>
          </cell>
        </row>
        <row r="229">
          <cell r="B229" t="str">
            <v>CapEx</v>
          </cell>
          <cell r="G229">
            <v>244</v>
          </cell>
          <cell r="H229">
            <v>306</v>
          </cell>
          <cell r="I229">
            <v>267</v>
          </cell>
          <cell r="J229">
            <v>167</v>
          </cell>
          <cell r="K229">
            <v>222</v>
          </cell>
          <cell r="L229">
            <v>364</v>
          </cell>
          <cell r="M229">
            <v>354.8</v>
          </cell>
          <cell r="N229">
            <v>380.5</v>
          </cell>
          <cell r="O229">
            <v>441.23490025800004</v>
          </cell>
          <cell r="P229">
            <v>430.80664572320268</v>
          </cell>
          <cell r="Q229">
            <v>502.6691599583416</v>
          </cell>
          <cell r="R229">
            <v>461.0647000649351</v>
          </cell>
          <cell r="S229">
            <v>403.53862134740905</v>
          </cell>
          <cell r="T229">
            <v>414.60132096962138</v>
          </cell>
          <cell r="U229">
            <v>426.13382324899999</v>
          </cell>
          <cell r="AN229">
            <v>101</v>
          </cell>
          <cell r="AO229">
            <v>89</v>
          </cell>
          <cell r="AP229">
            <v>61</v>
          </cell>
          <cell r="AQ229">
            <v>60</v>
          </cell>
          <cell r="AR229">
            <v>73</v>
          </cell>
          <cell r="AS229">
            <v>73</v>
          </cell>
          <cell r="AT229">
            <v>30</v>
          </cell>
          <cell r="AU229">
            <v>42</v>
          </cell>
          <cell r="AV229">
            <v>34</v>
          </cell>
          <cell r="AW229">
            <v>61</v>
          </cell>
          <cell r="AX229">
            <v>23</v>
          </cell>
          <cell r="AY229">
            <v>40</v>
          </cell>
          <cell r="AZ229">
            <v>59</v>
          </cell>
          <cell r="BA229">
            <v>100</v>
          </cell>
          <cell r="BB229">
            <v>59</v>
          </cell>
          <cell r="BC229">
            <v>81</v>
          </cell>
          <cell r="BD229">
            <v>99</v>
          </cell>
          <cell r="BE229">
            <v>125</v>
          </cell>
          <cell r="BF229">
            <v>70</v>
          </cell>
          <cell r="BG229">
            <v>83</v>
          </cell>
          <cell r="BH229">
            <v>98.4</v>
          </cell>
          <cell r="BI229">
            <v>103.4</v>
          </cell>
          <cell r="BJ229">
            <v>94.4</v>
          </cell>
          <cell r="BK229">
            <v>95.2</v>
          </cell>
          <cell r="BL229">
            <v>96.2</v>
          </cell>
          <cell r="BM229">
            <v>94.7</v>
          </cell>
          <cell r="BN229">
            <v>107.1</v>
          </cell>
          <cell r="BO229">
            <v>111.378300086</v>
          </cell>
          <cell r="BP229">
            <v>111.378300086</v>
          </cell>
          <cell r="BQ229">
            <v>111.378300086</v>
          </cell>
        </row>
        <row r="230">
          <cell r="B230" t="str">
            <v>Total Assets</v>
          </cell>
          <cell r="G230">
            <v>7895</v>
          </cell>
          <cell r="H230">
            <v>8058</v>
          </cell>
          <cell r="I230">
            <v>7166</v>
          </cell>
          <cell r="J230">
            <v>8410</v>
          </cell>
          <cell r="K230">
            <v>8281</v>
          </cell>
          <cell r="L230">
            <v>8518</v>
          </cell>
          <cell r="M230">
            <v>9000</v>
          </cell>
          <cell r="N230">
            <v>9018</v>
          </cell>
          <cell r="O230">
            <v>9368.4902773346366</v>
          </cell>
          <cell r="P230">
            <v>9855.8439521180881</v>
          </cell>
          <cell r="Q230">
            <v>10345.739497872197</v>
          </cell>
          <cell r="R230">
            <v>10848.304311884</v>
          </cell>
          <cell r="S230">
            <v>11363.466206522073</v>
          </cell>
          <cell r="T230">
            <v>11900.067698871018</v>
          </cell>
          <cell r="U230">
            <v>12465.867433733891</v>
          </cell>
          <cell r="AN230">
            <v>7541</v>
          </cell>
          <cell r="AO230">
            <v>8058</v>
          </cell>
          <cell r="AP230">
            <v>8315</v>
          </cell>
          <cell r="AQ230">
            <v>8614</v>
          </cell>
          <cell r="AR230">
            <v>7972</v>
          </cell>
          <cell r="AS230">
            <v>7166</v>
          </cell>
          <cell r="AT230">
            <v>7337</v>
          </cell>
          <cell r="AU230">
            <v>7623</v>
          </cell>
          <cell r="AV230">
            <v>8250</v>
          </cell>
          <cell r="AW230">
            <v>8410</v>
          </cell>
          <cell r="AX230">
            <v>8202</v>
          </cell>
          <cell r="AY230">
            <v>8105</v>
          </cell>
        </row>
        <row r="231">
          <cell r="B231" t="str">
            <v>Gross PP&amp;E</v>
          </cell>
          <cell r="G231">
            <v>2506</v>
          </cell>
          <cell r="H231">
            <v>2842</v>
          </cell>
          <cell r="I231">
            <v>3200</v>
          </cell>
          <cell r="J231">
            <v>3613</v>
          </cell>
          <cell r="K231">
            <v>3927</v>
          </cell>
          <cell r="L231">
            <v>4148</v>
          </cell>
          <cell r="M231">
            <v>4585</v>
          </cell>
          <cell r="N231">
            <v>4856</v>
          </cell>
          <cell r="O231">
            <v>5097</v>
          </cell>
          <cell r="P231">
            <v>5518.2349002580004</v>
          </cell>
          <cell r="Q231">
            <v>5929.0415459812029</v>
          </cell>
          <cell r="R231">
            <v>6411.7107059395448</v>
          </cell>
          <cell r="S231">
            <v>6812.7754060044799</v>
          </cell>
          <cell r="T231">
            <v>7156.3140273518893</v>
          </cell>
          <cell r="U231">
            <v>7510.9153483215105</v>
          </cell>
        </row>
        <row r="232">
          <cell r="B232" t="str">
            <v>Useful life</v>
          </cell>
          <cell r="G232">
            <v>9.3159851301115246</v>
          </cell>
          <cell r="H232">
            <v>9.7663230240549836</v>
          </cell>
          <cell r="I232">
            <v>9.7264437689969601</v>
          </cell>
          <cell r="J232">
            <v>12.458620689655172</v>
          </cell>
          <cell r="K232">
            <v>15.220930232558139</v>
          </cell>
          <cell r="L232">
            <v>14.452961672473867</v>
          </cell>
          <cell r="M232">
            <v>15.283333333333333</v>
          </cell>
          <cell r="N232">
            <v>16.079470198675498</v>
          </cell>
          <cell r="O232">
            <v>16.988023711965141</v>
          </cell>
          <cell r="P232">
            <v>17.487859207860037</v>
          </cell>
          <cell r="Q232">
            <v>17.140398525783372</v>
          </cell>
          <cell r="R232">
            <v>17.547090594592046</v>
          </cell>
          <cell r="S232">
            <v>17.947437681816567</v>
          </cell>
          <cell r="T232">
            <v>18.34992785459939</v>
          </cell>
          <cell r="U232">
            <v>18.738684296410366</v>
          </cell>
        </row>
        <row r="235">
          <cell r="B235" t="str">
            <v>Geographic segments</v>
          </cell>
        </row>
        <row r="237">
          <cell r="B237" t="str">
            <v>Sales by location of facilities</v>
          </cell>
        </row>
        <row r="238">
          <cell r="B238" t="str">
            <v>US</v>
          </cell>
          <cell r="C238">
            <v>1501</v>
          </cell>
          <cell r="D238">
            <v>1656</v>
          </cell>
          <cell r="E238">
            <v>1700</v>
          </cell>
          <cell r="F238">
            <v>2046</v>
          </cell>
          <cell r="G238">
            <v>1803</v>
          </cell>
          <cell r="H238">
            <v>1754</v>
          </cell>
          <cell r="I238">
            <v>1719</v>
          </cell>
          <cell r="J238">
            <v>1262</v>
          </cell>
          <cell r="K238">
            <v>1555</v>
          </cell>
          <cell r="L238">
            <v>1772</v>
          </cell>
        </row>
        <row r="239">
          <cell r="B239" t="str">
            <v>Non-US</v>
          </cell>
          <cell r="C239">
            <v>2087</v>
          </cell>
          <cell r="D239">
            <v>2392</v>
          </cell>
          <cell r="E239">
            <v>2540</v>
          </cell>
          <cell r="F239">
            <v>3987</v>
          </cell>
          <cell r="G239">
            <v>3975</v>
          </cell>
          <cell r="H239">
            <v>4690</v>
          </cell>
          <cell r="I239">
            <v>5104</v>
          </cell>
          <cell r="J239">
            <v>3820</v>
          </cell>
          <cell r="K239">
            <v>4363</v>
          </cell>
          <cell r="L239">
            <v>4991</v>
          </cell>
        </row>
        <row r="240">
          <cell r="B240" t="str">
            <v>Total</v>
          </cell>
          <cell r="C240">
            <v>3588</v>
          </cell>
          <cell r="D240">
            <v>4048</v>
          </cell>
          <cell r="E240">
            <v>4240</v>
          </cell>
          <cell r="F240">
            <v>6033</v>
          </cell>
          <cell r="G240">
            <v>5778</v>
          </cell>
          <cell r="H240">
            <v>6444</v>
          </cell>
          <cell r="I240">
            <v>6823</v>
          </cell>
          <cell r="J240">
            <v>5082</v>
          </cell>
          <cell r="K240">
            <v>5918</v>
          </cell>
          <cell r="L240">
            <v>6763</v>
          </cell>
        </row>
        <row r="242">
          <cell r="B242" t="str">
            <v>Non-US</v>
          </cell>
        </row>
        <row r="243">
          <cell r="B243" t="str">
            <v>Germany</v>
          </cell>
          <cell r="C243">
            <v>1170</v>
          </cell>
          <cell r="D243">
            <v>1510</v>
          </cell>
          <cell r="E243">
            <v>1672</v>
          </cell>
          <cell r="F243">
            <v>1897</v>
          </cell>
          <cell r="G243">
            <v>1974</v>
          </cell>
          <cell r="H243">
            <v>2348</v>
          </cell>
          <cell r="I243">
            <v>2469</v>
          </cell>
          <cell r="J243">
            <v>1733</v>
          </cell>
          <cell r="K243">
            <v>1950</v>
          </cell>
          <cell r="L243">
            <v>2328</v>
          </cell>
        </row>
        <row r="244">
          <cell r="B244" t="str">
            <v>Singapore</v>
          </cell>
          <cell r="C244">
            <v>391</v>
          </cell>
          <cell r="D244">
            <v>457</v>
          </cell>
          <cell r="E244">
            <v>542</v>
          </cell>
          <cell r="F244">
            <v>696</v>
          </cell>
          <cell r="G244">
            <v>771</v>
          </cell>
          <cell r="H244">
            <v>762</v>
          </cell>
          <cell r="I244">
            <v>783</v>
          </cell>
          <cell r="J244">
            <v>513</v>
          </cell>
          <cell r="K244">
            <v>612</v>
          </cell>
          <cell r="L244">
            <v>722</v>
          </cell>
        </row>
        <row r="245">
          <cell r="B245" t="str">
            <v>Belgium</v>
          </cell>
          <cell r="C245" t="str">
            <v>ND</v>
          </cell>
          <cell r="D245" t="str">
            <v>ND</v>
          </cell>
          <cell r="E245" t="str">
            <v>ND</v>
          </cell>
          <cell r="F245">
            <v>438</v>
          </cell>
          <cell r="G245">
            <v>279</v>
          </cell>
          <cell r="H245">
            <v>295</v>
          </cell>
          <cell r="I245">
            <v>478</v>
          </cell>
          <cell r="J245">
            <v>459</v>
          </cell>
          <cell r="K245">
            <v>451</v>
          </cell>
          <cell r="L245">
            <v>461</v>
          </cell>
        </row>
        <row r="246">
          <cell r="B246" t="str">
            <v>Mexico</v>
          </cell>
          <cell r="C246">
            <v>234</v>
          </cell>
          <cell r="D246">
            <v>264</v>
          </cell>
          <cell r="E246">
            <v>321</v>
          </cell>
          <cell r="F246">
            <v>306</v>
          </cell>
          <cell r="G246">
            <v>303</v>
          </cell>
          <cell r="H246">
            <v>349</v>
          </cell>
          <cell r="I246">
            <v>391</v>
          </cell>
          <cell r="J246">
            <v>277</v>
          </cell>
          <cell r="K246">
            <v>267</v>
          </cell>
          <cell r="L246">
            <v>241</v>
          </cell>
        </row>
        <row r="247">
          <cell r="B247" t="str">
            <v>China</v>
          </cell>
          <cell r="C247">
            <v>433</v>
          </cell>
          <cell r="D247">
            <v>509</v>
          </cell>
          <cell r="E247">
            <v>603</v>
          </cell>
          <cell r="F247" t="str">
            <v>ND</v>
          </cell>
          <cell r="G247">
            <v>14</v>
          </cell>
          <cell r="H247">
            <v>182</v>
          </cell>
          <cell r="I247">
            <v>393</v>
          </cell>
          <cell r="J247">
            <v>460</v>
          </cell>
          <cell r="K247">
            <v>596</v>
          </cell>
          <cell r="L247">
            <v>667</v>
          </cell>
        </row>
        <row r="250">
          <cell r="G250">
            <v>2006</v>
          </cell>
          <cell r="H250">
            <v>2007</v>
          </cell>
          <cell r="I250">
            <v>2008</v>
          </cell>
          <cell r="J250">
            <v>2009</v>
          </cell>
          <cell r="K250">
            <v>2010</v>
          </cell>
          <cell r="L250">
            <v>2011</v>
          </cell>
          <cell r="M250" t="str">
            <v>2012e</v>
          </cell>
          <cell r="N250" t="str">
            <v>2013e</v>
          </cell>
          <cell r="O250" t="str">
            <v>2014e</v>
          </cell>
          <cell r="P250" t="str">
            <v>2015e</v>
          </cell>
          <cell r="Q250" t="str">
            <v>2016e</v>
          </cell>
          <cell r="R250" t="str">
            <v>2017e</v>
          </cell>
          <cell r="S250" t="str">
            <v>2018e</v>
          </cell>
          <cell r="T250" t="str">
            <v>2019e</v>
          </cell>
          <cell r="U250" t="str">
            <v>2020e</v>
          </cell>
        </row>
        <row r="251">
          <cell r="B251" t="str">
            <v>Revenue</v>
          </cell>
        </row>
        <row r="252">
          <cell r="B252" t="str">
            <v xml:space="preserve">  Advanced Engineered Materials</v>
          </cell>
          <cell r="G252">
            <v>915</v>
          </cell>
          <cell r="H252">
            <v>1030</v>
          </cell>
          <cell r="I252">
            <v>1061</v>
          </cell>
          <cell r="J252">
            <v>808</v>
          </cell>
          <cell r="K252">
            <v>1109</v>
          </cell>
          <cell r="L252">
            <v>1298</v>
          </cell>
          <cell r="M252">
            <v>1261</v>
          </cell>
          <cell r="N252">
            <v>1352</v>
          </cell>
          <cell r="O252">
            <v>1459.5236488762007</v>
          </cell>
          <cell r="P252">
            <v>1547.6882727083043</v>
          </cell>
          <cell r="Q252">
            <v>1642.8126979371784</v>
          </cell>
          <cell r="R252">
            <v>1745.5595067502763</v>
          </cell>
          <cell r="S252">
            <v>1823.8801643545821</v>
          </cell>
          <cell r="T252">
            <v>1882.0502540352761</v>
          </cell>
          <cell r="U252">
            <v>1942.3420649387574</v>
          </cell>
        </row>
        <row r="253">
          <cell r="B253" t="str">
            <v xml:space="preserve">  Consumer Specialties</v>
          </cell>
          <cell r="G253">
            <v>876</v>
          </cell>
          <cell r="H253">
            <v>1111</v>
          </cell>
          <cell r="I253">
            <v>1155</v>
          </cell>
          <cell r="J253">
            <v>1084</v>
          </cell>
          <cell r="K253">
            <v>1098</v>
          </cell>
          <cell r="L253">
            <v>1161</v>
          </cell>
          <cell r="M253">
            <v>1186</v>
          </cell>
          <cell r="N253">
            <v>1214</v>
          </cell>
          <cell r="O253">
            <v>1239.3800000000001</v>
          </cell>
          <cell r="P253">
            <v>1264.1676000000002</v>
          </cell>
          <cell r="Q253">
            <v>1276.8092760000002</v>
          </cell>
          <cell r="R253">
            <v>1276.8092760000002</v>
          </cell>
          <cell r="S253">
            <v>1276.8092760000002</v>
          </cell>
          <cell r="T253">
            <v>1276.8092760000002</v>
          </cell>
          <cell r="U253">
            <v>1276.8092760000002</v>
          </cell>
        </row>
        <row r="254">
          <cell r="B254" t="str">
            <v xml:space="preserve">  Industrial Specialties</v>
          </cell>
          <cell r="G254">
            <v>1281</v>
          </cell>
          <cell r="H254">
            <v>1346</v>
          </cell>
          <cell r="I254">
            <v>1406</v>
          </cell>
          <cell r="J254">
            <v>974</v>
          </cell>
          <cell r="K254">
            <v>1036</v>
          </cell>
          <cell r="L254">
            <v>1223</v>
          </cell>
          <cell r="M254">
            <v>1184</v>
          </cell>
          <cell r="N254">
            <v>1155</v>
          </cell>
          <cell r="O254">
            <v>1224.5643667572463</v>
          </cell>
          <cell r="P254">
            <v>1287.5242115326291</v>
          </cell>
          <cell r="Q254">
            <v>1354.2045515708228</v>
          </cell>
          <cell r="R254">
            <v>1424.8771569973128</v>
          </cell>
          <cell r="S254">
            <v>1499.8371555505894</v>
          </cell>
          <cell r="T254">
            <v>1579.4052232383522</v>
          </cell>
          <cell r="U254">
            <v>1663.929988533195</v>
          </cell>
        </row>
        <row r="255">
          <cell r="B255" t="str">
            <v xml:space="preserve">  Acetyl Intermediates</v>
          </cell>
          <cell r="G255">
            <v>3351</v>
          </cell>
          <cell r="H255">
            <v>3615</v>
          </cell>
          <cell r="I255">
            <v>3875</v>
          </cell>
          <cell r="J255">
            <v>2603</v>
          </cell>
          <cell r="K255">
            <v>3082</v>
          </cell>
          <cell r="L255">
            <v>3551</v>
          </cell>
          <cell r="M255">
            <v>3231</v>
          </cell>
          <cell r="N255">
            <v>3241</v>
          </cell>
          <cell r="O255">
            <v>3395.59</v>
          </cell>
          <cell r="P255">
            <v>3506.6683293875626</v>
          </cell>
          <cell r="Q255">
            <v>3842.4313852195942</v>
          </cell>
          <cell r="R255">
            <v>4142.3781533625734</v>
          </cell>
          <cell r="S255">
            <v>4328.0391713080189</v>
          </cell>
          <cell r="T255">
            <v>4434.3957063087328</v>
          </cell>
          <cell r="U255">
            <v>4543.9429373594685</v>
          </cell>
        </row>
        <row r="256">
          <cell r="B256" t="str">
            <v xml:space="preserve">  Other / Elim</v>
          </cell>
          <cell r="G256">
            <v>-645</v>
          </cell>
          <cell r="H256">
            <v>-658</v>
          </cell>
          <cell r="I256">
            <v>-674</v>
          </cell>
          <cell r="J256">
            <v>-387</v>
          </cell>
          <cell r="K256">
            <v>-407</v>
          </cell>
          <cell r="L256">
            <v>-470</v>
          </cell>
          <cell r="M256">
            <v>-444</v>
          </cell>
          <cell r="N256">
            <v>-452</v>
          </cell>
          <cell r="O256">
            <v>-455.09670000000006</v>
          </cell>
          <cell r="P256">
            <v>-453.86688282038403</v>
          </cell>
          <cell r="Q256">
            <v>-497.51608007854657</v>
          </cell>
          <cell r="R256">
            <v>-577.93294147076062</v>
          </cell>
          <cell r="S256">
            <v>-647.20587569620443</v>
          </cell>
          <cell r="T256">
            <v>-663.15935594630901</v>
          </cell>
          <cell r="U256">
            <v>-679.59144060392146</v>
          </cell>
        </row>
        <row r="257">
          <cell r="B257" t="str">
            <v>Total Celanese</v>
          </cell>
          <cell r="G257">
            <v>5778</v>
          </cell>
          <cell r="H257">
            <v>6444</v>
          </cell>
          <cell r="I257">
            <v>6823</v>
          </cell>
          <cell r="J257">
            <v>5082</v>
          </cell>
          <cell r="K257">
            <v>5918</v>
          </cell>
          <cell r="L257">
            <v>6763</v>
          </cell>
          <cell r="M257">
            <v>6418</v>
          </cell>
          <cell r="N257">
            <v>6510</v>
          </cell>
          <cell r="O257">
            <v>6863.9613156334472</v>
          </cell>
          <cell r="P257">
            <v>7152.1815308081123</v>
          </cell>
          <cell r="Q257">
            <v>7618.741830649049</v>
          </cell>
          <cell r="R257">
            <v>8011.6911516394021</v>
          </cell>
          <cell r="S257">
            <v>8281.359891516986</v>
          </cell>
          <cell r="T257">
            <v>8509.501103636052</v>
          </cell>
          <cell r="U257">
            <v>8747.4328262274994</v>
          </cell>
        </row>
        <row r="258">
          <cell r="B258" t="str">
            <v>Growth</v>
          </cell>
          <cell r="H258">
            <v>0.11526479750778806</v>
          </cell>
          <cell r="I258">
            <v>5.8814400993171922E-2</v>
          </cell>
          <cell r="J258">
            <v>-0.25516634911329328</v>
          </cell>
          <cell r="K258">
            <v>0.16450216450216448</v>
          </cell>
          <cell r="L258">
            <v>0.14278472456911118</v>
          </cell>
          <cell r="M258">
            <v>-5.1012864113559098E-2</v>
          </cell>
          <cell r="N258">
            <v>1.4334683702087903E-2</v>
          </cell>
          <cell r="O258">
            <v>5.4371937885322241E-2</v>
          </cell>
          <cell r="P258">
            <v>4.199036123910127E-2</v>
          </cell>
          <cell r="Q258">
            <v>6.5233285513129458E-2</v>
          </cell>
          <cell r="R258">
            <v>5.1576668395505676E-2</v>
          </cell>
          <cell r="S258">
            <v>3.3659402836865748E-2</v>
          </cell>
          <cell r="T258">
            <v>2.7548761931329935E-2</v>
          </cell>
          <cell r="U258">
            <v>2.7960713524060932E-2</v>
          </cell>
        </row>
        <row r="260">
          <cell r="B260" t="str">
            <v>% of Revenue</v>
          </cell>
        </row>
        <row r="261">
          <cell r="B261" t="str">
            <v xml:space="preserve">  Advanced Engineered Materials</v>
          </cell>
          <cell r="G261">
            <v>0.15835929387331257</v>
          </cell>
          <cell r="H261">
            <v>0.15983860955927995</v>
          </cell>
          <cell r="I261">
            <v>0.15550344423274221</v>
          </cell>
          <cell r="J261">
            <v>0.15899252262888627</v>
          </cell>
          <cell r="K261">
            <v>0.18739438999662048</v>
          </cell>
          <cell r="L261">
            <v>0.19192665976637588</v>
          </cell>
          <cell r="M261">
            <v>0.19647865378622623</v>
          </cell>
          <cell r="N261">
            <v>0.20768049155145929</v>
          </cell>
          <cell r="O261">
            <v>0.2126357626101375</v>
          </cell>
          <cell r="P261">
            <v>0.21639387451809181</v>
          </cell>
          <cell r="Q261">
            <v>0.21562782076804216</v>
          </cell>
          <cell r="R261">
            <v>0.21787653489277217</v>
          </cell>
          <cell r="S261">
            <v>0.22023921049764719</v>
          </cell>
          <cell r="T261">
            <v>0.22117045771709093</v>
          </cell>
          <cell r="U261">
            <v>0.22204709696255309</v>
          </cell>
        </row>
        <row r="262">
          <cell r="B262" t="str">
            <v xml:space="preserve">  Consumer Specialties</v>
          </cell>
          <cell r="G262">
            <v>0.15160955347871236</v>
          </cell>
          <cell r="H262">
            <v>0.17240844196151459</v>
          </cell>
          <cell r="I262">
            <v>0.16928037520152425</v>
          </cell>
          <cell r="J262">
            <v>0.21330184966548604</v>
          </cell>
          <cell r="K262">
            <v>0.18553565393714092</v>
          </cell>
          <cell r="L262">
            <v>0.17166937749519445</v>
          </cell>
          <cell r="M262">
            <v>0.18479277033343722</v>
          </cell>
          <cell r="N262">
            <v>0.18648233486943164</v>
          </cell>
          <cell r="O262">
            <v>0.18056337193759706</v>
          </cell>
          <cell r="P262">
            <v>0.17675272845838466</v>
          </cell>
          <cell r="Q262">
            <v>0.1675879435714161</v>
          </cell>
          <cell r="R262">
            <v>0.15936825968868401</v>
          </cell>
          <cell r="S262">
            <v>0.15417869682344082</v>
          </cell>
          <cell r="T262">
            <v>0.15004513900990368</v>
          </cell>
          <cell r="U262">
            <v>0.14596388464644536</v>
          </cell>
        </row>
        <row r="263">
          <cell r="B263" t="str">
            <v xml:space="preserve">  Industrial Specialties</v>
          </cell>
          <cell r="G263">
            <v>0.2217030114226376</v>
          </cell>
          <cell r="H263">
            <v>0.20887647423960273</v>
          </cell>
          <cell r="I263">
            <v>0.2060677121500806</v>
          </cell>
          <cell r="J263">
            <v>0.19165682802046438</v>
          </cell>
          <cell r="K263">
            <v>0.17505914160189254</v>
          </cell>
          <cell r="L263">
            <v>0.18083690669821084</v>
          </cell>
          <cell r="M263">
            <v>0.18448114677469618</v>
          </cell>
          <cell r="N263">
            <v>0.17741935483870969</v>
          </cell>
          <cell r="O263">
            <v>0.17840490504632692</v>
          </cell>
          <cell r="P263">
            <v>0.18001839103028947</v>
          </cell>
          <cell r="Q263">
            <v>0.17774648120022418</v>
          </cell>
          <cell r="R263">
            <v>0.17784973609544916</v>
          </cell>
          <cell r="S263">
            <v>0.18111000792115653</v>
          </cell>
          <cell r="T263">
            <v>0.18560491431906426</v>
          </cell>
          <cell r="U263">
            <v>0.1902192359276221</v>
          </cell>
        </row>
        <row r="264">
          <cell r="B264" t="str">
            <v xml:space="preserve">  Acetyl Intermediates</v>
          </cell>
          <cell r="G264">
            <v>0.57995846313603328</v>
          </cell>
          <cell r="H264">
            <v>0.56098696461824948</v>
          </cell>
          <cell r="I264">
            <v>0.56793199472372857</v>
          </cell>
          <cell r="J264">
            <v>0.51219992129083036</v>
          </cell>
          <cell r="K264">
            <v>0.52078404866508954</v>
          </cell>
          <cell r="L264">
            <v>0.52506284193405295</v>
          </cell>
          <cell r="M264">
            <v>0.5034278591461514</v>
          </cell>
          <cell r="N264">
            <v>0.49784946236559141</v>
          </cell>
          <cell r="O264">
            <v>0.49469830085815902</v>
          </cell>
          <cell r="P264">
            <v>0.4902935299226599</v>
          </cell>
          <cell r="Q264">
            <v>0.50433936083279163</v>
          </cell>
          <cell r="R264">
            <v>0.51704166760284243</v>
          </cell>
          <cell r="S264">
            <v>0.52262421003360182</v>
          </cell>
          <cell r="T264">
            <v>0.52111112652819869</v>
          </cell>
          <cell r="U264">
            <v>0.51946016935795458</v>
          </cell>
        </row>
        <row r="265">
          <cell r="B265" t="str">
            <v xml:space="preserve">  Other / Elim</v>
          </cell>
          <cell r="G265">
            <v>-0.11163032191069575</v>
          </cell>
          <cell r="H265">
            <v>-0.10211049037864681</v>
          </cell>
          <cell r="I265">
            <v>-9.8783526308075631E-2</v>
          </cell>
          <cell r="J265">
            <v>-7.615112160566706E-2</v>
          </cell>
          <cell r="K265">
            <v>-6.8773234200743494E-2</v>
          </cell>
          <cell r="L265">
            <v>-6.9495785893834094E-2</v>
          </cell>
          <cell r="M265">
            <v>-6.9180430040511068E-2</v>
          </cell>
          <cell r="N265">
            <v>-6.943164362519201E-2</v>
          </cell>
          <cell r="O265">
            <v>-6.6302340452220485E-2</v>
          </cell>
          <cell r="P265">
            <v>-6.3458523929425831E-2</v>
          </cell>
          <cell r="Q265">
            <v>-6.530160637247405E-2</v>
          </cell>
          <cell r="R265">
            <v>-7.2136198279747765E-2</v>
          </cell>
          <cell r="S265">
            <v>-7.8152125275846307E-2</v>
          </cell>
          <cell r="T265">
            <v>-7.7931637574257501E-2</v>
          </cell>
          <cell r="U265">
            <v>-7.7690386894575164E-2</v>
          </cell>
        </row>
        <row r="266">
          <cell r="B266" t="str">
            <v>Total Celanese</v>
          </cell>
          <cell r="G266">
            <v>1</v>
          </cell>
          <cell r="H266">
            <v>1</v>
          </cell>
          <cell r="I266">
            <v>1</v>
          </cell>
          <cell r="J266">
            <v>1</v>
          </cell>
          <cell r="K266">
            <v>1</v>
          </cell>
          <cell r="L266">
            <v>1</v>
          </cell>
          <cell r="M266">
            <v>1</v>
          </cell>
          <cell r="N266">
            <v>1</v>
          </cell>
          <cell r="O266">
            <v>1</v>
          </cell>
          <cell r="P266">
            <v>1</v>
          </cell>
          <cell r="Q266">
            <v>1</v>
          </cell>
          <cell r="R266">
            <v>1</v>
          </cell>
          <cell r="S266">
            <v>1</v>
          </cell>
          <cell r="T266">
            <v>1</v>
          </cell>
          <cell r="U266">
            <v>1</v>
          </cell>
        </row>
        <row r="268">
          <cell r="B268" t="str">
            <v>EBITDA</v>
          </cell>
        </row>
        <row r="269">
          <cell r="B269" t="str">
            <v xml:space="preserve">  Advanced Engineered Materials</v>
          </cell>
          <cell r="G269">
            <v>205</v>
          </cell>
          <cell r="H269">
            <v>197</v>
          </cell>
          <cell r="I269">
            <v>133</v>
          </cell>
          <cell r="J269">
            <v>107</v>
          </cell>
          <cell r="K269">
            <v>220</v>
          </cell>
          <cell r="L269">
            <v>236</v>
          </cell>
          <cell r="M269">
            <v>224</v>
          </cell>
          <cell r="N269">
            <v>262</v>
          </cell>
          <cell r="O269">
            <v>284.10861342214969</v>
          </cell>
          <cell r="P269">
            <v>294.06077181457783</v>
          </cell>
          <cell r="Q269">
            <v>312.13441260806388</v>
          </cell>
          <cell r="R269">
            <v>340.38410381630388</v>
          </cell>
          <cell r="S269">
            <v>355.65663204914352</v>
          </cell>
          <cell r="T269">
            <v>366.99979953687887</v>
          </cell>
          <cell r="U269">
            <v>378.75670266305769</v>
          </cell>
        </row>
        <row r="270">
          <cell r="B270" t="str">
            <v xml:space="preserve">  Consumer Specialties</v>
          </cell>
          <cell r="G270">
            <v>204</v>
          </cell>
          <cell r="H270">
            <v>234</v>
          </cell>
          <cell r="I270">
            <v>246</v>
          </cell>
          <cell r="J270">
            <v>291</v>
          </cell>
          <cell r="K270">
            <v>298</v>
          </cell>
          <cell r="L270">
            <v>288</v>
          </cell>
          <cell r="M270">
            <v>324</v>
          </cell>
          <cell r="N270">
            <v>382</v>
          </cell>
          <cell r="O270">
            <v>409.46609999999998</v>
          </cell>
          <cell r="P270">
            <v>417.65542199999999</v>
          </cell>
          <cell r="Q270">
            <v>395.81087556000006</v>
          </cell>
          <cell r="R270">
            <v>383.04278280000005</v>
          </cell>
          <cell r="S270">
            <v>357.50659728000011</v>
          </cell>
          <cell r="T270">
            <v>331.97041176000005</v>
          </cell>
          <cell r="U270">
            <v>319.20231900000005</v>
          </cell>
        </row>
        <row r="271">
          <cell r="B271" t="str">
            <v xml:space="preserve">  Industrial Specialties</v>
          </cell>
          <cell r="G271">
            <v>119</v>
          </cell>
          <cell r="H271">
            <v>119</v>
          </cell>
          <cell r="I271">
            <v>117</v>
          </cell>
          <cell r="J271">
            <v>109</v>
          </cell>
          <cell r="K271">
            <v>111</v>
          </cell>
          <cell r="L271">
            <v>148</v>
          </cell>
          <cell r="M271">
            <v>141</v>
          </cell>
          <cell r="N271">
            <v>122</v>
          </cell>
          <cell r="O271">
            <v>124.01463239420022</v>
          </cell>
          <cell r="P271">
            <v>167.37814749924181</v>
          </cell>
          <cell r="Q271">
            <v>162.50454618849872</v>
          </cell>
          <cell r="R271">
            <v>156.73648726970441</v>
          </cell>
          <cell r="S271">
            <v>164.98208711056483</v>
          </cell>
          <cell r="T271">
            <v>173.73457455621875</v>
          </cell>
          <cell r="U271">
            <v>183.03229873865146</v>
          </cell>
        </row>
        <row r="272">
          <cell r="B272" t="str">
            <v xml:space="preserve">  Acetyl Intermediates</v>
          </cell>
          <cell r="G272">
            <v>609</v>
          </cell>
          <cell r="H272">
            <v>653</v>
          </cell>
          <cell r="I272">
            <v>551</v>
          </cell>
          <cell r="J272">
            <v>309</v>
          </cell>
          <cell r="K272">
            <v>402</v>
          </cell>
          <cell r="L272">
            <v>551</v>
          </cell>
          <cell r="M272">
            <v>354</v>
          </cell>
          <cell r="N272">
            <v>382</v>
          </cell>
          <cell r="O272">
            <v>422.12780000000004</v>
          </cell>
          <cell r="P272">
            <v>406.1201247106705</v>
          </cell>
          <cell r="Q272">
            <v>418.28282951656678</v>
          </cell>
          <cell r="R272">
            <v>466.79249648587898</v>
          </cell>
          <cell r="S272">
            <v>497.53211727430613</v>
          </cell>
          <cell r="T272">
            <v>510.02875912568726</v>
          </cell>
          <cell r="U272">
            <v>522.90030023260999</v>
          </cell>
        </row>
        <row r="273">
          <cell r="B273" t="str">
            <v xml:space="preserve">  Other / Elim</v>
          </cell>
          <cell r="G273">
            <v>-156</v>
          </cell>
          <cell r="H273">
            <v>-82</v>
          </cell>
          <cell r="I273">
            <v>-107</v>
          </cell>
          <cell r="J273">
            <v>-119</v>
          </cell>
          <cell r="K273">
            <v>-157</v>
          </cell>
          <cell r="L273">
            <v>-132</v>
          </cell>
          <cell r="M273">
            <v>-113</v>
          </cell>
          <cell r="N273">
            <v>-63</v>
          </cell>
          <cell r="O273">
            <v>-74.999999999999886</v>
          </cell>
          <cell r="P273">
            <v>-123.08405836150342</v>
          </cell>
          <cell r="Q273">
            <v>-134.8693416212077</v>
          </cell>
          <cell r="R273">
            <v>-156.58189419710527</v>
          </cell>
          <cell r="S273">
            <v>-175.28558643797487</v>
          </cell>
          <cell r="T273">
            <v>-179.59302610550355</v>
          </cell>
          <cell r="U273">
            <v>-184.0296889630585</v>
          </cell>
        </row>
        <row r="274">
          <cell r="B274" t="str">
            <v>Total Celanese</v>
          </cell>
          <cell r="G274">
            <v>981</v>
          </cell>
          <cell r="H274">
            <v>1121</v>
          </cell>
          <cell r="I274">
            <v>940</v>
          </cell>
          <cell r="J274">
            <v>697</v>
          </cell>
          <cell r="K274">
            <v>874</v>
          </cell>
          <cell r="L274">
            <v>1091</v>
          </cell>
          <cell r="M274">
            <v>930</v>
          </cell>
          <cell r="N274">
            <v>1085</v>
          </cell>
          <cell r="O274">
            <v>1164.71714581635</v>
          </cell>
          <cell r="P274">
            <v>1162.1304076629867</v>
          </cell>
          <cell r="Q274">
            <v>1153.8633222519218</v>
          </cell>
          <cell r="R274">
            <v>1190.373976174782</v>
          </cell>
          <cell r="S274">
            <v>1200.3918472760397</v>
          </cell>
          <cell r="T274">
            <v>1203.1405188732813</v>
          </cell>
          <cell r="U274">
            <v>1219.8619316712607</v>
          </cell>
        </row>
        <row r="275">
          <cell r="B275" t="str">
            <v>Margin</v>
          </cell>
          <cell r="G275">
            <v>0.16978193146417445</v>
          </cell>
          <cell r="H275">
            <v>0.17396027312228429</v>
          </cell>
          <cell r="I275">
            <v>0.13776930968782061</v>
          </cell>
          <cell r="J275">
            <v>0.13715072805981898</v>
          </cell>
          <cell r="K275">
            <v>0.14768502872592093</v>
          </cell>
          <cell r="L275">
            <v>0.16131894129824043</v>
          </cell>
          <cell r="M275">
            <v>0.14490495481458399</v>
          </cell>
          <cell r="N275">
            <v>0.16666666666666666</v>
          </cell>
          <cell r="O275">
            <v>0.16968585518737922</v>
          </cell>
          <cell r="P275">
            <v>0.16248614533301417</v>
          </cell>
          <cell r="Q275">
            <v>0.15145063947568135</v>
          </cell>
          <cell r="R275">
            <v>0.14857961367260147</v>
          </cell>
          <cell r="S275">
            <v>0.14495105429552235</v>
          </cell>
          <cell r="T275">
            <v>0.14138790326487971</v>
          </cell>
          <cell r="U275">
            <v>0.1394537066936643</v>
          </cell>
        </row>
        <row r="277">
          <cell r="B277" t="str">
            <v>% of EBITDA</v>
          </cell>
        </row>
        <row r="278">
          <cell r="B278" t="str">
            <v xml:space="preserve">  Advanced Engineered Materials</v>
          </cell>
          <cell r="G278">
            <v>0.2089704383282365</v>
          </cell>
          <cell r="H278">
            <v>0.17573595004460305</v>
          </cell>
          <cell r="I278">
            <v>0.14148936170212767</v>
          </cell>
          <cell r="J278">
            <v>0.15351506456241032</v>
          </cell>
          <cell r="K278">
            <v>0.25171624713958812</v>
          </cell>
          <cell r="L278">
            <v>0.21631530705774518</v>
          </cell>
          <cell r="M278">
            <v>0.24086021505376345</v>
          </cell>
          <cell r="N278">
            <v>0.24147465437788018</v>
          </cell>
          <cell r="O278">
            <v>0.2439292788319159</v>
          </cell>
          <cell r="P278">
            <v>0.25303595007545343</v>
          </cell>
          <cell r="Q278">
            <v>0.2705124658949129</v>
          </cell>
          <cell r="R278">
            <v>0.28594719863593981</v>
          </cell>
          <cell r="S278">
            <v>0.29628377838137504</v>
          </cell>
          <cell r="T278">
            <v>0.30503485983546408</v>
          </cell>
          <cell r="U278">
            <v>0.31049145221225616</v>
          </cell>
        </row>
        <row r="279">
          <cell r="B279" t="str">
            <v xml:space="preserve">  Consumer Specialties</v>
          </cell>
          <cell r="G279">
            <v>0.20795107033639143</v>
          </cell>
          <cell r="H279">
            <v>0.2087421944692239</v>
          </cell>
          <cell r="I279">
            <v>0.26170212765957446</v>
          </cell>
          <cell r="J279">
            <v>0.41750358680057387</v>
          </cell>
          <cell r="K279">
            <v>0.34096109839816935</v>
          </cell>
          <cell r="L279">
            <v>0.26397800183318054</v>
          </cell>
          <cell r="M279">
            <v>0.34838709677419355</v>
          </cell>
          <cell r="N279">
            <v>0.35207373271889403</v>
          </cell>
          <cell r="O279">
            <v>0.35155840323188964</v>
          </cell>
          <cell r="P279">
            <v>0.35938774103664828</v>
          </cell>
          <cell r="Q279">
            <v>0.34303098809616472</v>
          </cell>
          <cell r="R279">
            <v>0.32178356589320972</v>
          </cell>
          <cell r="S279">
            <v>0.29782491283264156</v>
          </cell>
          <cell r="T279">
            <v>0.27591990008854839</v>
          </cell>
          <cell r="U279">
            <v>0.26167085857223188</v>
          </cell>
        </row>
        <row r="280">
          <cell r="B280" t="str">
            <v xml:space="preserve">  Industrial Specialties</v>
          </cell>
          <cell r="G280">
            <v>0.12130479102956167</v>
          </cell>
          <cell r="H280">
            <v>0.10615521855486174</v>
          </cell>
          <cell r="I280">
            <v>0.12446808510638298</v>
          </cell>
          <cell r="J280">
            <v>0.15638450502152079</v>
          </cell>
          <cell r="K280">
            <v>0.12700228832951946</v>
          </cell>
          <cell r="L280">
            <v>0.13565536205316223</v>
          </cell>
          <cell r="M280">
            <v>0.15161290322580645</v>
          </cell>
          <cell r="N280">
            <v>0.11244239631336406</v>
          </cell>
          <cell r="O280">
            <v>0.10647617993747176</v>
          </cell>
          <cell r="P280">
            <v>0.14402699249203435</v>
          </cell>
          <cell r="Q280">
            <v>0.14083517783661667</v>
          </cell>
          <cell r="R280">
            <v>0.13166995449058008</v>
          </cell>
          <cell r="S280">
            <v>0.13744019295444773</v>
          </cell>
          <cell r="T280">
            <v>0.1444009006686251</v>
          </cell>
          <cell r="U280">
            <v>0.15004345490795809</v>
          </cell>
        </row>
        <row r="281">
          <cell r="B281" t="str">
            <v xml:space="preserve">  Acetyl Intermediates</v>
          </cell>
          <cell r="G281">
            <v>0.62079510703363916</v>
          </cell>
          <cell r="H281">
            <v>0.58251561106155214</v>
          </cell>
          <cell r="I281">
            <v>0.58617021276595749</v>
          </cell>
          <cell r="J281">
            <v>0.44332855093256812</v>
          </cell>
          <cell r="K281">
            <v>0.459954233409611</v>
          </cell>
          <cell r="L281">
            <v>0.50504124656278648</v>
          </cell>
          <cell r="M281">
            <v>0.38064516129032255</v>
          </cell>
          <cell r="N281">
            <v>0.35207373271889403</v>
          </cell>
          <cell r="O281">
            <v>0.36242945466740834</v>
          </cell>
          <cell r="P281">
            <v>0.34946174889904763</v>
          </cell>
          <cell r="Q281">
            <v>0.36250639174510785</v>
          </cell>
          <cell r="R281">
            <v>0.39213936613928468</v>
          </cell>
          <cell r="S281">
            <v>0.41447475539201545</v>
          </cell>
          <cell r="T281">
            <v>0.42391453959452691</v>
          </cell>
          <cell r="U281">
            <v>0.42865531471763796</v>
          </cell>
        </row>
        <row r="282">
          <cell r="B282" t="str">
            <v xml:space="preserve">  Other / Elim</v>
          </cell>
          <cell r="G282">
            <v>-0.15902140672782875</v>
          </cell>
          <cell r="H282">
            <v>-7.3148974130240851E-2</v>
          </cell>
          <cell r="I282">
            <v>-0.11382978723404255</v>
          </cell>
          <cell r="J282">
            <v>-0.17073170731707318</v>
          </cell>
          <cell r="K282">
            <v>-0.17963386727688788</v>
          </cell>
          <cell r="L282">
            <v>-0.12098991750687443</v>
          </cell>
          <cell r="M282">
            <v>-0.12150537634408602</v>
          </cell>
          <cell r="N282">
            <v>-5.8064516129032261E-2</v>
          </cell>
          <cell r="O282">
            <v>-6.4393316668685599E-2</v>
          </cell>
          <cell r="P282">
            <v>-0.10591243250318369</v>
          </cell>
          <cell r="Q282">
            <v>-0.11688502357280216</v>
          </cell>
          <cell r="R282">
            <v>-0.1315400851590143</v>
          </cell>
          <cell r="S282">
            <v>-0.14602363956047976</v>
          </cell>
          <cell r="T282">
            <v>-0.14927020018716441</v>
          </cell>
          <cell r="U282">
            <v>-0.15086108041008406</v>
          </cell>
        </row>
        <row r="283">
          <cell r="B283" t="str">
            <v>Total Celanese</v>
          </cell>
          <cell r="G283">
            <v>1</v>
          </cell>
          <cell r="H283">
            <v>1</v>
          </cell>
          <cell r="I283">
            <v>1</v>
          </cell>
          <cell r="J283">
            <v>1</v>
          </cell>
          <cell r="K283">
            <v>1</v>
          </cell>
          <cell r="L283">
            <v>1</v>
          </cell>
          <cell r="M283">
            <v>1</v>
          </cell>
          <cell r="N283">
            <v>1</v>
          </cell>
          <cell r="O283">
            <v>1</v>
          </cell>
          <cell r="P283">
            <v>1</v>
          </cell>
          <cell r="Q283">
            <v>1</v>
          </cell>
          <cell r="R283">
            <v>1</v>
          </cell>
          <cell r="S283">
            <v>1</v>
          </cell>
          <cell r="T283">
            <v>1</v>
          </cell>
          <cell r="U283">
            <v>1</v>
          </cell>
        </row>
        <row r="286">
          <cell r="B286" t="str">
            <v>Old Segment Breakdown</v>
          </cell>
        </row>
        <row r="290">
          <cell r="B290" t="str">
            <v>Sales</v>
          </cell>
          <cell r="C290">
            <v>2419</v>
          </cell>
          <cell r="D290">
            <v>3065</v>
          </cell>
          <cell r="E290">
            <v>3381</v>
          </cell>
          <cell r="F290">
            <v>4299</v>
          </cell>
          <cell r="AH290">
            <v>1015</v>
          </cell>
          <cell r="AI290">
            <v>977</v>
          </cell>
        </row>
        <row r="291">
          <cell r="B291" t="str">
            <v>Growth (%)</v>
          </cell>
          <cell r="D291">
            <v>0.26705250103348499</v>
          </cell>
          <cell r="E291">
            <v>0.10309951060358902</v>
          </cell>
          <cell r="F291">
            <v>0.27151730257320317</v>
          </cell>
          <cell r="AH291" t="str">
            <v>NM</v>
          </cell>
          <cell r="AI291" t="str">
            <v>NM</v>
          </cell>
        </row>
        <row r="292">
          <cell r="B292" t="str">
            <v>Underlying business</v>
          </cell>
        </row>
        <row r="293">
          <cell r="B293" t="str">
            <v>Volume</v>
          </cell>
          <cell r="C293" t="str">
            <v>ND</v>
          </cell>
          <cell r="D293">
            <v>0.02</v>
          </cell>
          <cell r="E293">
            <v>4.2500000000000003E-2</v>
          </cell>
          <cell r="F293">
            <v>-2.5000000000000005E-2</v>
          </cell>
          <cell r="AH293">
            <v>-0.01</v>
          </cell>
          <cell r="AI293">
            <v>0.01</v>
          </cell>
        </row>
        <row r="294">
          <cell r="B294" t="str">
            <v>Price</v>
          </cell>
          <cell r="C294" t="str">
            <v>ND</v>
          </cell>
          <cell r="D294">
            <v>0.09</v>
          </cell>
          <cell r="E294">
            <v>0.08</v>
          </cell>
          <cell r="F294">
            <v>0.16749999999999998</v>
          </cell>
          <cell r="AH294">
            <v>0.08</v>
          </cell>
          <cell r="AI294">
            <v>0.01</v>
          </cell>
        </row>
        <row r="295">
          <cell r="B295" t="str">
            <v>Acquisitions/divestitures</v>
          </cell>
          <cell r="C295" t="str">
            <v>ND</v>
          </cell>
          <cell r="D295">
            <v>0.11</v>
          </cell>
          <cell r="E295">
            <v>-5.7500000000000002E-2</v>
          </cell>
          <cell r="F295">
            <v>0.13</v>
          </cell>
          <cell r="AH295">
            <v>0.08</v>
          </cell>
          <cell r="AI295">
            <v>7.0000000000000007E-2</v>
          </cell>
        </row>
        <row r="296">
          <cell r="B296" t="str">
            <v>Currency</v>
          </cell>
          <cell r="C296" t="str">
            <v>ND</v>
          </cell>
          <cell r="D296">
            <v>0.05</v>
          </cell>
          <cell r="E296">
            <v>4.2500000000000003E-2</v>
          </cell>
          <cell r="F296">
            <v>2.2500000000000003E-2</v>
          </cell>
          <cell r="AH296">
            <v>-0.03</v>
          </cell>
          <cell r="AI296">
            <v>0.01</v>
          </cell>
        </row>
        <row r="298">
          <cell r="B298" t="str">
            <v>Operating income</v>
          </cell>
          <cell r="C298">
            <v>150</v>
          </cell>
          <cell r="D298">
            <v>138</v>
          </cell>
          <cell r="E298">
            <v>317</v>
          </cell>
          <cell r="F298">
            <v>570</v>
          </cell>
          <cell r="AH298">
            <v>133</v>
          </cell>
          <cell r="AI298">
            <v>138</v>
          </cell>
        </row>
        <row r="299">
          <cell r="B299" t="str">
            <v xml:space="preserve">Reported </v>
          </cell>
          <cell r="C299">
            <v>152</v>
          </cell>
          <cell r="D299">
            <v>138</v>
          </cell>
          <cell r="E299">
            <v>313</v>
          </cell>
          <cell r="F299">
            <v>585</v>
          </cell>
          <cell r="AH299">
            <v>134</v>
          </cell>
          <cell r="AI299">
            <v>130</v>
          </cell>
        </row>
        <row r="300">
          <cell r="B300" t="str">
            <v>Adjustment</v>
          </cell>
          <cell r="C300">
            <v>-2</v>
          </cell>
          <cell r="D300">
            <v>0</v>
          </cell>
          <cell r="E300">
            <v>4</v>
          </cell>
          <cell r="F300">
            <v>-15</v>
          </cell>
          <cell r="AH300">
            <v>-1</v>
          </cell>
          <cell r="AI300">
            <v>8</v>
          </cell>
        </row>
        <row r="301">
          <cell r="B301" t="str">
            <v>Margin</v>
          </cell>
          <cell r="C301">
            <v>6.2009094667217858E-2</v>
          </cell>
          <cell r="D301">
            <v>4.502446982055465E-2</v>
          </cell>
          <cell r="E301">
            <v>9.3759242827565814E-2</v>
          </cell>
          <cell r="F301">
            <v>0.13258897418004187</v>
          </cell>
          <cell r="AH301">
            <v>0.1310344827586207</v>
          </cell>
          <cell r="AI301">
            <v>0.14124872057318322</v>
          </cell>
        </row>
        <row r="302">
          <cell r="B302" t="str">
            <v>EBITDA</v>
          </cell>
          <cell r="AH302">
            <v>174</v>
          </cell>
          <cell r="AI302">
            <v>207</v>
          </cell>
        </row>
        <row r="303">
          <cell r="B303" t="str">
            <v>D&amp;A</v>
          </cell>
          <cell r="C303" t="str">
            <v>ND</v>
          </cell>
          <cell r="D303">
            <v>157</v>
          </cell>
          <cell r="E303">
            <v>128</v>
          </cell>
          <cell r="F303">
            <v>167</v>
          </cell>
          <cell r="AH303">
            <v>34</v>
          </cell>
          <cell r="AI303">
            <v>42</v>
          </cell>
        </row>
        <row r="304">
          <cell r="B304" t="str">
            <v>CapEx</v>
          </cell>
          <cell r="C304" t="str">
            <v>ND</v>
          </cell>
          <cell r="D304" t="str">
            <v>ND</v>
          </cell>
          <cell r="E304">
            <v>79</v>
          </cell>
          <cell r="F304">
            <v>111</v>
          </cell>
          <cell r="AH304">
            <v>21</v>
          </cell>
          <cell r="AI304">
            <v>41</v>
          </cell>
        </row>
        <row r="305">
          <cell r="B305" t="str">
            <v>Total Assets</v>
          </cell>
          <cell r="C305" t="str">
            <v>ND</v>
          </cell>
          <cell r="D305" t="str">
            <v>ND</v>
          </cell>
          <cell r="E305">
            <v>2993</v>
          </cell>
          <cell r="F305">
            <v>3280</v>
          </cell>
          <cell r="AH305">
            <v>3395</v>
          </cell>
          <cell r="AI305">
            <v>3380</v>
          </cell>
        </row>
        <row r="307">
          <cell r="B307" t="str">
            <v>Technical Polymer Ticona</v>
          </cell>
        </row>
        <row r="308">
          <cell r="B308" t="str">
            <v>Sales</v>
          </cell>
          <cell r="C308">
            <v>656</v>
          </cell>
          <cell r="D308">
            <v>762</v>
          </cell>
          <cell r="E308">
            <v>863</v>
          </cell>
          <cell r="F308">
            <v>887</v>
          </cell>
          <cell r="AH308">
            <v>231</v>
          </cell>
          <cell r="AI308">
            <v>230</v>
          </cell>
        </row>
        <row r="309">
          <cell r="B309" t="str">
            <v>Growth (%)</v>
          </cell>
          <cell r="D309">
            <v>0.16158536585365857</v>
          </cell>
          <cell r="E309">
            <v>0.13254593175853024</v>
          </cell>
          <cell r="F309">
            <v>2.7809965237543421E-2</v>
          </cell>
        </row>
        <row r="310">
          <cell r="B310" t="str">
            <v>Underlying business</v>
          </cell>
        </row>
        <row r="311">
          <cell r="B311" t="str">
            <v>Volume</v>
          </cell>
          <cell r="C311" t="str">
            <v>ND</v>
          </cell>
          <cell r="D311">
            <v>0.11</v>
          </cell>
          <cell r="E311">
            <v>0.11499999999999999</v>
          </cell>
          <cell r="F311">
            <v>-2.5000000000000001E-3</v>
          </cell>
          <cell r="AH311">
            <v>0.01</v>
          </cell>
          <cell r="AI311">
            <v>7.0000000000000007E-2</v>
          </cell>
        </row>
        <row r="312">
          <cell r="B312" t="str">
            <v>Price</v>
          </cell>
          <cell r="C312" t="str">
            <v>ND</v>
          </cell>
          <cell r="D312">
            <v>-0.03</v>
          </cell>
          <cell r="E312">
            <v>-4.2500000000000003E-2</v>
          </cell>
          <cell r="F312">
            <v>0.03</v>
          </cell>
          <cell r="AH312">
            <v>0.03</v>
          </cell>
          <cell r="AI312">
            <v>-0.02</v>
          </cell>
        </row>
        <row r="313">
          <cell r="B313" t="str">
            <v>Acquisitions/divestitures</v>
          </cell>
          <cell r="C313" t="str">
            <v>ND</v>
          </cell>
          <cell r="D313">
            <v>0</v>
          </cell>
          <cell r="E313">
            <v>0</v>
          </cell>
          <cell r="F313">
            <v>0</v>
          </cell>
          <cell r="AH313">
            <v>-0.02</v>
          </cell>
          <cell r="AI313">
            <v>-0.02</v>
          </cell>
        </row>
        <row r="314">
          <cell r="B314" t="str">
            <v>Currency</v>
          </cell>
          <cell r="C314" t="str">
            <v>ND</v>
          </cell>
          <cell r="D314">
            <v>0.08</v>
          </cell>
          <cell r="E314">
            <v>0</v>
          </cell>
          <cell r="F314">
            <v>0</v>
          </cell>
          <cell r="AH314">
            <v>-0.05</v>
          </cell>
          <cell r="AI314">
            <v>0</v>
          </cell>
        </row>
        <row r="316">
          <cell r="B316" t="str">
            <v>Operating income</v>
          </cell>
          <cell r="C316">
            <v>29</v>
          </cell>
          <cell r="D316">
            <v>122</v>
          </cell>
          <cell r="E316">
            <v>57</v>
          </cell>
          <cell r="F316">
            <v>56</v>
          </cell>
          <cell r="AH316">
            <v>39</v>
          </cell>
          <cell r="AI316">
            <v>36</v>
          </cell>
        </row>
        <row r="317">
          <cell r="B317" t="str">
            <v xml:space="preserve">Reported </v>
          </cell>
          <cell r="C317">
            <v>23</v>
          </cell>
          <cell r="D317">
            <v>122</v>
          </cell>
          <cell r="E317">
            <v>19</v>
          </cell>
          <cell r="F317">
            <v>60</v>
          </cell>
          <cell r="AH317">
            <v>41</v>
          </cell>
          <cell r="AI317">
            <v>38</v>
          </cell>
        </row>
        <row r="318">
          <cell r="B318" t="str">
            <v>Adjustment</v>
          </cell>
          <cell r="C318">
            <v>6</v>
          </cell>
          <cell r="D318">
            <v>0</v>
          </cell>
          <cell r="E318">
            <v>38</v>
          </cell>
          <cell r="F318">
            <v>-4</v>
          </cell>
          <cell r="AH318">
            <v>-2</v>
          </cell>
          <cell r="AI318">
            <v>-2</v>
          </cell>
        </row>
        <row r="319">
          <cell r="B319" t="str">
            <v>Margin</v>
          </cell>
          <cell r="C319">
            <v>4.4207317073170729E-2</v>
          </cell>
          <cell r="D319">
            <v>0.16010498687664043</v>
          </cell>
          <cell r="E319">
            <v>6.6048667439165695E-2</v>
          </cell>
          <cell r="F319">
            <v>6.3134160090191654E-2</v>
          </cell>
          <cell r="AH319">
            <v>0.16883116883116883</v>
          </cell>
          <cell r="AI319">
            <v>0.15652173913043479</v>
          </cell>
        </row>
        <row r="320">
          <cell r="B320" t="str">
            <v>EBITDA</v>
          </cell>
          <cell r="AH320">
            <v>69</v>
          </cell>
          <cell r="AI320">
            <v>66</v>
          </cell>
        </row>
        <row r="321">
          <cell r="B321" t="str">
            <v>D&amp;A</v>
          </cell>
          <cell r="C321" t="str">
            <v>ND</v>
          </cell>
          <cell r="D321">
            <v>57</v>
          </cell>
          <cell r="E321">
            <v>64</v>
          </cell>
          <cell r="F321">
            <v>60</v>
          </cell>
          <cell r="AH321">
            <v>16</v>
          </cell>
          <cell r="AI321">
            <v>16</v>
          </cell>
        </row>
        <row r="322">
          <cell r="B322" t="str">
            <v>CapEx</v>
          </cell>
          <cell r="C322">
            <v>61</v>
          </cell>
          <cell r="D322">
            <v>56</v>
          </cell>
          <cell r="E322">
            <v>84</v>
          </cell>
          <cell r="F322">
            <v>54</v>
          </cell>
          <cell r="AH322">
            <v>5</v>
          </cell>
          <cell r="AI322">
            <v>6</v>
          </cell>
        </row>
        <row r="323">
          <cell r="B323" t="str">
            <v>Total Assets</v>
          </cell>
          <cell r="C323">
            <v>1348</v>
          </cell>
          <cell r="D323">
            <v>1466</v>
          </cell>
          <cell r="E323">
            <v>1604</v>
          </cell>
          <cell r="F323">
            <v>1583</v>
          </cell>
          <cell r="AH323">
            <v>1608</v>
          </cell>
          <cell r="AI323">
            <v>740</v>
          </cell>
        </row>
        <row r="325">
          <cell r="B325" t="str">
            <v>Acetate Products</v>
          </cell>
        </row>
        <row r="326">
          <cell r="B326" t="str">
            <v>Sales</v>
          </cell>
          <cell r="C326">
            <v>632</v>
          </cell>
          <cell r="D326">
            <v>655</v>
          </cell>
          <cell r="E326">
            <v>588</v>
          </cell>
          <cell r="F326">
            <v>659</v>
          </cell>
          <cell r="AH326">
            <v>167</v>
          </cell>
          <cell r="AI326">
            <v>176</v>
          </cell>
        </row>
        <row r="327">
          <cell r="B327" t="str">
            <v>Growth (%)</v>
          </cell>
          <cell r="D327">
            <v>3.6392405063291111E-2</v>
          </cell>
          <cell r="E327">
            <v>-0.10229007633587783</v>
          </cell>
          <cell r="F327">
            <v>0.12074829931972797</v>
          </cell>
        </row>
        <row r="328">
          <cell r="B328" t="str">
            <v>Underlying business</v>
          </cell>
        </row>
        <row r="329">
          <cell r="B329" t="str">
            <v>Volume</v>
          </cell>
          <cell r="C329" t="str">
            <v>ND</v>
          </cell>
          <cell r="D329">
            <v>0.02</v>
          </cell>
          <cell r="E329">
            <v>-9.2499999999999985E-2</v>
          </cell>
          <cell r="F329">
            <v>7.5000000000000011E-2</v>
          </cell>
          <cell r="AH329">
            <v>-0.06</v>
          </cell>
          <cell r="AI329">
            <v>-0.05</v>
          </cell>
        </row>
        <row r="330">
          <cell r="B330" t="str">
            <v>Price</v>
          </cell>
          <cell r="C330" t="str">
            <v>ND</v>
          </cell>
          <cell r="D330">
            <v>0.02</v>
          </cell>
          <cell r="E330">
            <v>-7.4999999999999997E-3</v>
          </cell>
          <cell r="F330">
            <v>4.5000000000000005E-2</v>
          </cell>
          <cell r="AH330">
            <v>7.0000000000000007E-2</v>
          </cell>
          <cell r="AI330">
            <v>7.0000000000000007E-2</v>
          </cell>
        </row>
        <row r="331">
          <cell r="B331" t="str">
            <v>Acquisitions/divestitures</v>
          </cell>
          <cell r="C331" t="str">
            <v>ND</v>
          </cell>
          <cell r="D331">
            <v>0</v>
          </cell>
          <cell r="E331">
            <v>0</v>
          </cell>
          <cell r="F331">
            <v>0</v>
          </cell>
          <cell r="AH331">
            <v>0</v>
          </cell>
          <cell r="AI331">
            <v>0</v>
          </cell>
        </row>
        <row r="332">
          <cell r="B332" t="str">
            <v>Currency</v>
          </cell>
          <cell r="C332" t="str">
            <v>ND</v>
          </cell>
          <cell r="D332">
            <v>0</v>
          </cell>
          <cell r="E332">
            <v>0</v>
          </cell>
          <cell r="F332">
            <v>0</v>
          </cell>
          <cell r="AH332">
            <v>0</v>
          </cell>
          <cell r="AI332">
            <v>0</v>
          </cell>
        </row>
        <row r="334">
          <cell r="B334" t="str">
            <v>Operating income</v>
          </cell>
          <cell r="C334">
            <v>31</v>
          </cell>
          <cell r="D334">
            <v>13</v>
          </cell>
          <cell r="E334">
            <v>28</v>
          </cell>
          <cell r="F334">
            <v>76</v>
          </cell>
          <cell r="AH334">
            <v>23</v>
          </cell>
          <cell r="AI334">
            <v>29</v>
          </cell>
        </row>
        <row r="335">
          <cell r="B335" t="str">
            <v xml:space="preserve">Reported </v>
          </cell>
          <cell r="C335">
            <v>31</v>
          </cell>
          <cell r="D335">
            <v>13</v>
          </cell>
          <cell r="E335">
            <v>-13</v>
          </cell>
          <cell r="F335">
            <v>67</v>
          </cell>
          <cell r="AH335">
            <v>23</v>
          </cell>
          <cell r="AI335">
            <v>29</v>
          </cell>
        </row>
        <row r="336">
          <cell r="B336" t="str">
            <v>Adjustment</v>
          </cell>
          <cell r="C336">
            <v>0</v>
          </cell>
          <cell r="D336">
            <v>0</v>
          </cell>
          <cell r="E336">
            <v>41</v>
          </cell>
          <cell r="F336">
            <v>9</v>
          </cell>
          <cell r="AH336">
            <v>0</v>
          </cell>
          <cell r="AI336">
            <v>0</v>
          </cell>
        </row>
        <row r="337">
          <cell r="B337" t="str">
            <v>Margin</v>
          </cell>
          <cell r="C337">
            <v>4.9050632911392403E-2</v>
          </cell>
          <cell r="D337">
            <v>1.984732824427481E-2</v>
          </cell>
          <cell r="E337">
            <v>4.7619047619047616E-2</v>
          </cell>
          <cell r="F337">
            <v>0.11532625189681335</v>
          </cell>
          <cell r="AH337">
            <v>0.1377245508982036</v>
          </cell>
          <cell r="AI337">
            <v>0.16477272727272727</v>
          </cell>
        </row>
        <row r="338">
          <cell r="B338" t="str">
            <v>EBITDA</v>
          </cell>
          <cell r="C338" t="str">
            <v>ND</v>
          </cell>
          <cell r="D338" t="str">
            <v>ND</v>
          </cell>
          <cell r="E338" t="str">
            <v>ND</v>
          </cell>
          <cell r="F338" t="str">
            <v>ND</v>
          </cell>
          <cell r="AH338">
            <v>30</v>
          </cell>
          <cell r="AI338">
            <v>55</v>
          </cell>
        </row>
        <row r="339">
          <cell r="B339" t="str">
            <v>D&amp;A</v>
          </cell>
          <cell r="C339">
            <v>52</v>
          </cell>
          <cell r="D339">
            <v>66</v>
          </cell>
          <cell r="E339">
            <v>41</v>
          </cell>
          <cell r="F339">
            <v>29</v>
          </cell>
          <cell r="AH339">
            <v>7</v>
          </cell>
          <cell r="AI339">
            <v>5</v>
          </cell>
        </row>
        <row r="340">
          <cell r="B340" t="str">
            <v>CapEx</v>
          </cell>
          <cell r="C340">
            <v>30</v>
          </cell>
          <cell r="D340">
            <v>39</v>
          </cell>
          <cell r="E340">
            <v>49</v>
          </cell>
          <cell r="F340">
            <v>35</v>
          </cell>
          <cell r="AH340">
            <v>16</v>
          </cell>
          <cell r="AI340">
            <v>21</v>
          </cell>
        </row>
        <row r="341">
          <cell r="B341" t="str">
            <v>Total Assets</v>
          </cell>
          <cell r="C341">
            <v>844</v>
          </cell>
          <cell r="D341">
            <v>920</v>
          </cell>
          <cell r="E341">
            <v>766</v>
          </cell>
          <cell r="F341">
            <v>691</v>
          </cell>
          <cell r="AH341">
            <v>725</v>
          </cell>
          <cell r="AI341">
            <v>1629</v>
          </cell>
        </row>
        <row r="343">
          <cell r="B343" t="str">
            <v>Performance Products</v>
          </cell>
        </row>
        <row r="344">
          <cell r="B344" t="str">
            <v>Sales</v>
          </cell>
          <cell r="C344">
            <v>151</v>
          </cell>
          <cell r="D344">
            <v>169</v>
          </cell>
          <cell r="E344">
            <v>175</v>
          </cell>
          <cell r="F344">
            <v>180</v>
          </cell>
          <cell r="AH344">
            <v>49</v>
          </cell>
          <cell r="AI344">
            <v>48</v>
          </cell>
        </row>
        <row r="345">
          <cell r="B345" t="str">
            <v>Growth (%)</v>
          </cell>
          <cell r="D345">
            <v>0.11920529801324498</v>
          </cell>
          <cell r="E345">
            <v>3.5502958579881616E-2</v>
          </cell>
          <cell r="F345">
            <v>2.857142857142847E-2</v>
          </cell>
        </row>
        <row r="346">
          <cell r="B346" t="str">
            <v>Underlying business</v>
          </cell>
        </row>
        <row r="347">
          <cell r="B347" t="str">
            <v>Volume</v>
          </cell>
          <cell r="C347" t="str">
            <v>ND</v>
          </cell>
          <cell r="D347">
            <v>0.06</v>
          </cell>
          <cell r="E347">
            <v>0.12250000000000001</v>
          </cell>
          <cell r="F347">
            <v>6.7500000000000004E-2</v>
          </cell>
          <cell r="AH347">
            <v>0.23</v>
          </cell>
          <cell r="AI347">
            <v>0.13</v>
          </cell>
        </row>
        <row r="348">
          <cell r="B348" t="str">
            <v>Price</v>
          </cell>
          <cell r="C348" t="str">
            <v>ND</v>
          </cell>
          <cell r="D348">
            <v>-0.11</v>
          </cell>
          <cell r="E348">
            <v>-0.1575</v>
          </cell>
          <cell r="F348">
            <v>-4.7500000000000007E-2</v>
          </cell>
          <cell r="AH348">
            <v>-0.12</v>
          </cell>
          <cell r="AI348">
            <v>-0.11</v>
          </cell>
        </row>
        <row r="349">
          <cell r="B349" t="str">
            <v>Acquisitions/divestitures</v>
          </cell>
          <cell r="C349" t="str">
            <v>ND</v>
          </cell>
          <cell r="D349">
            <v>0</v>
          </cell>
          <cell r="E349">
            <v>0</v>
          </cell>
          <cell r="F349">
            <v>0</v>
          </cell>
          <cell r="AH349">
            <v>0</v>
          </cell>
          <cell r="AI349">
            <v>0</v>
          </cell>
        </row>
        <row r="350">
          <cell r="B350" t="str">
            <v>Currency</v>
          </cell>
          <cell r="C350" t="str">
            <v>ND</v>
          </cell>
          <cell r="D350">
            <v>0.17</v>
          </cell>
          <cell r="E350">
            <v>6.7499999999999991E-2</v>
          </cell>
          <cell r="F350">
            <v>1.2500000000000002E-2</v>
          </cell>
          <cell r="AH350">
            <v>-7.0000000000000007E-2</v>
          </cell>
          <cell r="AI350">
            <v>0</v>
          </cell>
        </row>
        <row r="352">
          <cell r="B352" t="str">
            <v>Operating income</v>
          </cell>
          <cell r="C352">
            <v>45</v>
          </cell>
          <cell r="D352">
            <v>-44</v>
          </cell>
          <cell r="E352">
            <v>29</v>
          </cell>
          <cell r="F352">
            <v>52</v>
          </cell>
          <cell r="AH352">
            <v>17</v>
          </cell>
          <cell r="AI352">
            <v>16</v>
          </cell>
        </row>
        <row r="353">
          <cell r="B353" t="str">
            <v xml:space="preserve">Reported </v>
          </cell>
          <cell r="C353">
            <v>45</v>
          </cell>
          <cell r="D353">
            <v>-44</v>
          </cell>
          <cell r="E353">
            <v>29</v>
          </cell>
          <cell r="F353">
            <v>51</v>
          </cell>
          <cell r="AH353">
            <v>17</v>
          </cell>
          <cell r="AI353">
            <v>16</v>
          </cell>
        </row>
        <row r="354">
          <cell r="B354" t="str">
            <v>Adjustment</v>
          </cell>
          <cell r="C354">
            <v>0</v>
          </cell>
          <cell r="D354">
            <v>0</v>
          </cell>
          <cell r="E354">
            <v>0</v>
          </cell>
          <cell r="F354">
            <v>1</v>
          </cell>
          <cell r="AH354">
            <v>0</v>
          </cell>
          <cell r="AI354">
            <v>0</v>
          </cell>
        </row>
        <row r="355">
          <cell r="B355" t="str">
            <v>Margin</v>
          </cell>
          <cell r="C355">
            <v>0.29801324503311261</v>
          </cell>
          <cell r="D355">
            <v>-0.26035502958579881</v>
          </cell>
          <cell r="E355">
            <v>0.1657142857142857</v>
          </cell>
          <cell r="F355">
            <v>0.28888888888888886</v>
          </cell>
          <cell r="AH355">
            <v>0.34693877551020408</v>
          </cell>
          <cell r="AI355">
            <v>0.33333333333333331</v>
          </cell>
        </row>
        <row r="356">
          <cell r="B356" t="str">
            <v>EBITDA</v>
          </cell>
          <cell r="C356" t="str">
            <v>ND</v>
          </cell>
          <cell r="D356" t="str">
            <v>ND</v>
          </cell>
          <cell r="E356" t="str">
            <v>ND</v>
          </cell>
          <cell r="F356" t="str">
            <v>ND</v>
          </cell>
          <cell r="AH356">
            <v>21</v>
          </cell>
          <cell r="AI356">
            <v>21</v>
          </cell>
        </row>
        <row r="357">
          <cell r="B357" t="str">
            <v>D&amp;A</v>
          </cell>
          <cell r="C357">
            <v>7</v>
          </cell>
          <cell r="D357">
            <v>7</v>
          </cell>
          <cell r="E357">
            <v>12</v>
          </cell>
          <cell r="F357">
            <v>13</v>
          </cell>
          <cell r="AH357">
            <v>4</v>
          </cell>
          <cell r="AI357">
            <v>4</v>
          </cell>
        </row>
        <row r="358">
          <cell r="B358" t="str">
            <v>CapEx</v>
          </cell>
          <cell r="C358">
            <v>4</v>
          </cell>
          <cell r="D358">
            <v>2</v>
          </cell>
          <cell r="E358">
            <v>3</v>
          </cell>
          <cell r="F358">
            <v>3</v>
          </cell>
          <cell r="AH358">
            <v>0</v>
          </cell>
          <cell r="AI358">
            <v>0</v>
          </cell>
        </row>
        <row r="359">
          <cell r="B359" t="str">
            <v>Total Assets</v>
          </cell>
          <cell r="C359">
            <v>87</v>
          </cell>
          <cell r="D359">
            <v>172</v>
          </cell>
          <cell r="E359">
            <v>143</v>
          </cell>
          <cell r="F359">
            <v>140</v>
          </cell>
          <cell r="AH359">
            <v>355</v>
          </cell>
          <cell r="AI359">
            <v>368</v>
          </cell>
        </row>
        <row r="361">
          <cell r="B361" t="str">
            <v>Other Activities</v>
          </cell>
        </row>
        <row r="362">
          <cell r="B362" t="str">
            <v>Sales</v>
          </cell>
          <cell r="C362">
            <v>52</v>
          </cell>
          <cell r="D362">
            <v>49</v>
          </cell>
          <cell r="E362">
            <v>56</v>
          </cell>
          <cell r="F362">
            <v>144</v>
          </cell>
          <cell r="AH362">
            <v>61</v>
          </cell>
          <cell r="AI362">
            <v>68</v>
          </cell>
        </row>
        <row r="363">
          <cell r="B363" t="str">
            <v>Inter-segment elimination</v>
          </cell>
          <cell r="C363">
            <v>-74</v>
          </cell>
          <cell r="D363">
            <v>-97</v>
          </cell>
          <cell r="E363">
            <v>-111</v>
          </cell>
          <cell r="F363">
            <v>-136</v>
          </cell>
          <cell r="AH363">
            <v>-25</v>
          </cell>
          <cell r="AI363">
            <v>-42</v>
          </cell>
        </row>
        <row r="364">
          <cell r="B364" t="str">
            <v>Growth (%)</v>
          </cell>
          <cell r="D364">
            <v>-5.7692307692307709E-2</v>
          </cell>
          <cell r="E364">
            <v>0.14285714285714279</v>
          </cell>
          <cell r="F364">
            <v>1.5714285714285716</v>
          </cell>
        </row>
        <row r="365">
          <cell r="B365" t="str">
            <v>Underlying business</v>
          </cell>
          <cell r="AH365" t="str">
            <v>ND</v>
          </cell>
          <cell r="AI365" t="str">
            <v>ND</v>
          </cell>
        </row>
        <row r="366">
          <cell r="B366" t="str">
            <v>Volume</v>
          </cell>
          <cell r="C366" t="str">
            <v>ND</v>
          </cell>
          <cell r="D366" t="str">
            <v>ND</v>
          </cell>
          <cell r="E366" t="str">
            <v>ND</v>
          </cell>
          <cell r="F366" t="str">
            <v>ND</v>
          </cell>
          <cell r="AH366" t="str">
            <v>ND</v>
          </cell>
          <cell r="AI366" t="str">
            <v>ND</v>
          </cell>
        </row>
        <row r="367">
          <cell r="B367" t="str">
            <v>Price</v>
          </cell>
          <cell r="C367" t="str">
            <v>ND</v>
          </cell>
          <cell r="D367" t="str">
            <v>ND</v>
          </cell>
          <cell r="E367" t="str">
            <v>ND</v>
          </cell>
          <cell r="F367" t="str">
            <v>ND</v>
          </cell>
          <cell r="AH367" t="str">
            <v>ND</v>
          </cell>
          <cell r="AI367" t="str">
            <v>ND</v>
          </cell>
        </row>
        <row r="368">
          <cell r="B368" t="str">
            <v>Acquisitions/divestitures</v>
          </cell>
          <cell r="C368" t="str">
            <v>ND</v>
          </cell>
          <cell r="D368" t="str">
            <v>ND</v>
          </cell>
          <cell r="E368" t="str">
            <v>ND</v>
          </cell>
          <cell r="F368" t="str">
            <v>ND</v>
          </cell>
          <cell r="AH368" t="str">
            <v>ND</v>
          </cell>
          <cell r="AI368" t="str">
            <v>ND</v>
          </cell>
        </row>
        <row r="369">
          <cell r="B369" t="str">
            <v>Currency</v>
          </cell>
          <cell r="C369" t="str">
            <v>ND</v>
          </cell>
          <cell r="D369" t="str">
            <v>ND</v>
          </cell>
          <cell r="E369" t="str">
            <v>ND</v>
          </cell>
          <cell r="F369" t="str">
            <v>ND</v>
          </cell>
        </row>
        <row r="372">
          <cell r="B372" t="str">
            <v xml:space="preserve">Reported </v>
          </cell>
          <cell r="C372">
            <v>-78</v>
          </cell>
          <cell r="D372">
            <v>-111</v>
          </cell>
          <cell r="E372">
            <v>-229</v>
          </cell>
          <cell r="F372">
            <v>-190</v>
          </cell>
          <cell r="AH372">
            <v>-46</v>
          </cell>
          <cell r="AI372">
            <v>-61</v>
          </cell>
        </row>
        <row r="373">
          <cell r="B373" t="str">
            <v>Adjustment</v>
          </cell>
          <cell r="C373">
            <v>-9</v>
          </cell>
          <cell r="D373">
            <v>0</v>
          </cell>
          <cell r="E373">
            <v>128</v>
          </cell>
          <cell r="F373">
            <v>61</v>
          </cell>
          <cell r="AH373">
            <v>13</v>
          </cell>
          <cell r="AI373">
            <v>19</v>
          </cell>
        </row>
        <row r="374">
          <cell r="B374" t="str">
            <v>Margin</v>
          </cell>
          <cell r="C374">
            <v>0</v>
          </cell>
          <cell r="D374">
            <v>0</v>
          </cell>
          <cell r="E374">
            <v>0</v>
          </cell>
          <cell r="F374">
            <v>0</v>
          </cell>
          <cell r="AH374">
            <v>0</v>
          </cell>
          <cell r="AI374">
            <v>0</v>
          </cell>
        </row>
        <row r="375">
          <cell r="B375" t="str">
            <v>EBITDA</v>
          </cell>
          <cell r="C375" t="str">
            <v>ND</v>
          </cell>
          <cell r="D375">
            <v>7</v>
          </cell>
          <cell r="E375">
            <v>6</v>
          </cell>
          <cell r="F375">
            <v>17</v>
          </cell>
          <cell r="AH375">
            <v>-25</v>
          </cell>
          <cell r="AI375">
            <v>-39</v>
          </cell>
        </row>
        <row r="376">
          <cell r="B376" t="str">
            <v>D&amp;A</v>
          </cell>
          <cell r="C376" t="str">
            <v>ND</v>
          </cell>
          <cell r="D376" t="str">
            <v>ND</v>
          </cell>
          <cell r="E376" t="str">
            <v>ND</v>
          </cell>
          <cell r="F376" t="str">
            <v>ND</v>
          </cell>
          <cell r="AH376">
            <v>5</v>
          </cell>
          <cell r="AI376">
            <v>7</v>
          </cell>
        </row>
        <row r="377">
          <cell r="B377" t="str">
            <v>CapEx</v>
          </cell>
          <cell r="C377" t="str">
            <v>ND</v>
          </cell>
          <cell r="D377" t="str">
            <v>ND</v>
          </cell>
          <cell r="E377" t="str">
            <v>ND</v>
          </cell>
          <cell r="F377" t="str">
            <v>ND</v>
          </cell>
          <cell r="AH377">
            <v>0</v>
          </cell>
          <cell r="AI377">
            <v>0</v>
          </cell>
        </row>
        <row r="378">
          <cell r="B378" t="str">
            <v>Total Assets</v>
          </cell>
          <cell r="C378" t="str">
            <v>ND</v>
          </cell>
          <cell r="D378" t="str">
            <v>ND</v>
          </cell>
          <cell r="E378" t="str">
            <v>ND</v>
          </cell>
          <cell r="F378" t="str">
            <v>ND</v>
          </cell>
          <cell r="AH378">
            <v>1438</v>
          </cell>
          <cell r="AI378">
            <v>1451</v>
          </cell>
        </row>
        <row r="380">
          <cell r="B380" t="str">
            <v>Total revenue</v>
          </cell>
          <cell r="C380">
            <v>3836</v>
          </cell>
          <cell r="D380">
            <v>4603</v>
          </cell>
          <cell r="E380">
            <v>4952</v>
          </cell>
          <cell r="F380">
            <v>6033</v>
          </cell>
          <cell r="AH380">
            <v>1498</v>
          </cell>
          <cell r="AI380">
            <v>1457</v>
          </cell>
        </row>
        <row r="381">
          <cell r="B381" t="str">
            <v>Growth (%)</v>
          </cell>
          <cell r="C381">
            <v>0</v>
          </cell>
          <cell r="D381">
            <v>0</v>
          </cell>
          <cell r="E381">
            <v>0.1</v>
          </cell>
          <cell r="F381">
            <v>0</v>
          </cell>
          <cell r="AH381">
            <v>0</v>
          </cell>
          <cell r="AI381">
            <v>0.11</v>
          </cell>
        </row>
        <row r="382">
          <cell r="B382" t="str">
            <v>Underlying business</v>
          </cell>
        </row>
        <row r="383">
          <cell r="B383" t="str">
            <v>Volume</v>
          </cell>
          <cell r="C383" t="str">
            <v>ND</v>
          </cell>
          <cell r="D383" t="str">
            <v>ND</v>
          </cell>
          <cell r="E383">
            <v>6.5000000000000002E-2</v>
          </cell>
          <cell r="F383" t="str">
            <v>ND</v>
          </cell>
          <cell r="AH383" t="str">
            <v>ND</v>
          </cell>
          <cell r="AI383">
            <v>0.02</v>
          </cell>
        </row>
        <row r="384">
          <cell r="B384" t="str">
            <v>Price</v>
          </cell>
          <cell r="C384" t="str">
            <v>ND</v>
          </cell>
          <cell r="D384" t="str">
            <v>ND</v>
          </cell>
          <cell r="E384">
            <v>3.5000000000000003E-2</v>
          </cell>
          <cell r="F384" t="str">
            <v>ND</v>
          </cell>
          <cell r="AH384" t="str">
            <v>ND</v>
          </cell>
          <cell r="AI384">
            <v>0</v>
          </cell>
        </row>
        <row r="385">
          <cell r="B385" t="str">
            <v>Acquisitions/divestitures</v>
          </cell>
          <cell r="C385" t="str">
            <v>ND</v>
          </cell>
          <cell r="D385" t="str">
            <v>ND</v>
          </cell>
          <cell r="E385">
            <v>3.7499999999999999E-2</v>
          </cell>
          <cell r="F385" t="str">
            <v>ND</v>
          </cell>
          <cell r="AH385" t="str">
            <v>ND</v>
          </cell>
          <cell r="AI385">
            <v>0.09</v>
          </cell>
        </row>
        <row r="386">
          <cell r="B386" t="str">
            <v>Currency</v>
          </cell>
          <cell r="C386" t="str">
            <v>ND</v>
          </cell>
          <cell r="D386" t="str">
            <v>ND</v>
          </cell>
          <cell r="E386">
            <v>-3.7499999999999999E-2</v>
          </cell>
          <cell r="F386" t="str">
            <v>ND</v>
          </cell>
          <cell r="AH386" t="str">
            <v>ND</v>
          </cell>
          <cell r="AI386">
            <v>0</v>
          </cell>
        </row>
        <row r="388">
          <cell r="B388" t="str">
            <v>Total Operating Income</v>
          </cell>
          <cell r="C388">
            <v>255</v>
          </cell>
          <cell r="D388">
            <v>229</v>
          </cell>
          <cell r="E388">
            <v>431</v>
          </cell>
          <cell r="F388">
            <v>754</v>
          </cell>
          <cell r="AH388">
            <v>212</v>
          </cell>
          <cell r="AI388">
            <v>219</v>
          </cell>
        </row>
        <row r="389">
          <cell r="B389" t="str">
            <v>Margin</v>
          </cell>
        </row>
        <row r="390">
          <cell r="B390" t="str">
            <v>Total EBITDA</v>
          </cell>
        </row>
        <row r="391">
          <cell r="B391" t="str">
            <v>Margin</v>
          </cell>
        </row>
        <row r="392">
          <cell r="B392" t="str">
            <v>Check for EBIT</v>
          </cell>
          <cell r="C392">
            <v>24</v>
          </cell>
          <cell r="D392">
            <v>50</v>
          </cell>
          <cell r="E392">
            <v>269</v>
          </cell>
          <cell r="F392">
            <v>41</v>
          </cell>
          <cell r="AH392">
            <v>212</v>
          </cell>
          <cell r="AI392">
            <v>221</v>
          </cell>
        </row>
        <row r="393">
          <cell r="B393" t="str">
            <v>Check for Revenue</v>
          </cell>
          <cell r="C393">
            <v>0</v>
          </cell>
          <cell r="D393">
            <v>118</v>
          </cell>
          <cell r="E393">
            <v>25</v>
          </cell>
          <cell r="F393">
            <v>0</v>
          </cell>
          <cell r="AH393">
            <v>0</v>
          </cell>
          <cell r="AI393">
            <v>0</v>
          </cell>
        </row>
        <row r="395">
          <cell r="B395" t="str">
            <v>Equity affiliate net sales (100%)</v>
          </cell>
        </row>
        <row r="396">
          <cell r="B396" t="str">
            <v>Equity affiliate net income (100%)</v>
          </cell>
          <cell r="G396">
            <v>197</v>
          </cell>
          <cell r="H396">
            <v>204</v>
          </cell>
          <cell r="I396">
            <v>633</v>
          </cell>
          <cell r="J396">
            <v>336</v>
          </cell>
          <cell r="K396">
            <v>566</v>
          </cell>
        </row>
      </sheetData>
      <sheetData sheetId="7"/>
      <sheetData sheetId="8"/>
      <sheetData sheetId="9"/>
      <sheetData sheetId="10" refreshError="1"/>
      <sheetData sheetId="11"/>
      <sheetData sheetId="12" refreshError="1"/>
      <sheetData sheetId="13" refreshError="1"/>
      <sheetData sheetId="14"/>
      <sheetData sheetId="15"/>
      <sheetData sheetId="16"/>
      <sheetData sheetId="17" refreshError="1"/>
      <sheetData sheetId="18" refreshError="1">
        <row r="1">
          <cell r="B1" t="str">
            <v>CE</v>
          </cell>
          <cell r="C1">
            <v>47</v>
          </cell>
        </row>
        <row r="2">
          <cell r="B2" t="str">
            <v>DCF Date</v>
          </cell>
          <cell r="C2">
            <v>40908</v>
          </cell>
        </row>
        <row r="4">
          <cell r="B4" t="str">
            <v>CE (USD mm)</v>
          </cell>
        </row>
        <row r="5">
          <cell r="C5">
            <v>40543</v>
          </cell>
          <cell r="D5">
            <v>40908</v>
          </cell>
          <cell r="E5">
            <v>41274</v>
          </cell>
          <cell r="F5">
            <v>41639</v>
          </cell>
          <cell r="G5">
            <v>42004</v>
          </cell>
          <cell r="H5">
            <v>42369</v>
          </cell>
          <cell r="I5">
            <v>42735</v>
          </cell>
          <cell r="J5">
            <v>43100</v>
          </cell>
          <cell r="K5">
            <v>43465</v>
          </cell>
          <cell r="L5">
            <v>43830</v>
          </cell>
          <cell r="M5">
            <v>44196</v>
          </cell>
        </row>
        <row r="6">
          <cell r="B6" t="str">
            <v>Period</v>
          </cell>
          <cell r="D6">
            <v>0</v>
          </cell>
          <cell r="E6">
            <v>0</v>
          </cell>
          <cell r="F6">
            <v>0</v>
          </cell>
          <cell r="G6">
            <v>1</v>
          </cell>
          <cell r="H6">
            <v>2</v>
          </cell>
          <cell r="I6">
            <v>3</v>
          </cell>
          <cell r="J6">
            <v>4</v>
          </cell>
          <cell r="K6">
            <v>5</v>
          </cell>
          <cell r="L6">
            <v>6</v>
          </cell>
          <cell r="M6">
            <v>7</v>
          </cell>
        </row>
        <row r="7">
          <cell r="B7" t="str">
            <v>PV Factor</v>
          </cell>
          <cell r="D7">
            <v>1</v>
          </cell>
          <cell r="E7">
            <v>1</v>
          </cell>
          <cell r="F7">
            <v>1</v>
          </cell>
          <cell r="G7">
            <v>0.90718985071411795</v>
          </cell>
          <cell r="H7">
            <v>0.82299342523870367</v>
          </cell>
          <cell r="I7">
            <v>0.74661128258100018</v>
          </cell>
          <cell r="J7">
            <v>0.6773181779861337</v>
          </cell>
          <cell r="K7">
            <v>0.61445617677319897</v>
          </cell>
          <cell r="L7">
            <v>0.55742840727724607</v>
          </cell>
          <cell r="M7">
            <v>0.50569339358165344</v>
          </cell>
        </row>
        <row r="8">
          <cell r="D8">
            <v>2011</v>
          </cell>
          <cell r="E8" t="str">
            <v>2012E</v>
          </cell>
          <cell r="F8" t="str">
            <v>2013E</v>
          </cell>
          <cell r="G8" t="str">
            <v>2014E</v>
          </cell>
          <cell r="H8">
            <v>2015</v>
          </cell>
          <cell r="I8">
            <v>2016</v>
          </cell>
          <cell r="J8">
            <v>2017</v>
          </cell>
          <cell r="K8">
            <v>2018</v>
          </cell>
          <cell r="L8">
            <v>2019</v>
          </cell>
          <cell r="M8">
            <v>2020</v>
          </cell>
        </row>
        <row r="10">
          <cell r="B10" t="str">
            <v>Sales</v>
          </cell>
          <cell r="D10">
            <v>6763</v>
          </cell>
          <cell r="E10">
            <v>6418</v>
          </cell>
          <cell r="F10">
            <v>6510</v>
          </cell>
          <cell r="G10">
            <v>6863.9613156334472</v>
          </cell>
          <cell r="H10">
            <v>7152.1815308081123</v>
          </cell>
          <cell r="I10">
            <v>7618.741830649049</v>
          </cell>
          <cell r="J10">
            <v>8011.6911516394021</v>
          </cell>
          <cell r="K10">
            <v>8281.359891516986</v>
          </cell>
          <cell r="L10">
            <v>8509.501103636052</v>
          </cell>
          <cell r="M10">
            <v>8747.4328262274994</v>
          </cell>
        </row>
        <row r="11">
          <cell r="B11" t="str">
            <v>EBIT</v>
          </cell>
          <cell r="D11">
            <v>1090</v>
          </cell>
          <cell r="E11">
            <v>962</v>
          </cell>
          <cell r="F11">
            <v>1056</v>
          </cell>
          <cell r="G11">
            <v>1165.1822455583501</v>
          </cell>
          <cell r="H11">
            <v>1195.0619123752649</v>
          </cell>
          <cell r="I11">
            <v>1163.4116460467346</v>
          </cell>
          <cell r="J11">
            <v>1191.5303848825733</v>
          </cell>
          <cell r="K11">
            <v>1199.0053122283707</v>
          </cell>
          <cell r="L11">
            <v>1203.5940498468058</v>
          </cell>
          <cell r="M11">
            <v>1222.3300567683059</v>
          </cell>
        </row>
        <row r="12">
          <cell r="B12" t="str">
            <v>Sales Growth</v>
          </cell>
          <cell r="D12">
            <v>0.14278472456911118</v>
          </cell>
          <cell r="E12">
            <v>-5.1012864113559098E-2</v>
          </cell>
          <cell r="F12">
            <v>1.4334683702087903E-2</v>
          </cell>
          <cell r="G12">
            <v>5.4371937885322241E-2</v>
          </cell>
          <cell r="H12">
            <v>4.199036123910127E-2</v>
          </cell>
          <cell r="I12">
            <v>6.5233285513129458E-2</v>
          </cell>
          <cell r="J12">
            <v>5.1576668395505676E-2</v>
          </cell>
          <cell r="K12">
            <v>3.3659402836865748E-2</v>
          </cell>
          <cell r="L12">
            <v>2.7548761931329935E-2</v>
          </cell>
          <cell r="M12">
            <v>2.7960713524060932E-2</v>
          </cell>
        </row>
        <row r="13">
          <cell r="B13" t="str">
            <v>EBIT Growth</v>
          </cell>
          <cell r="D13">
            <v>0.25866050808314078</v>
          </cell>
          <cell r="E13">
            <v>-0.11743119266055047</v>
          </cell>
          <cell r="F13">
            <v>9.7713097713097774E-2</v>
          </cell>
          <cell r="G13">
            <v>0.10339227799086181</v>
          </cell>
          <cell r="H13">
            <v>2.5643771118909031E-2</v>
          </cell>
          <cell r="I13">
            <v>-2.6484206383603381E-2</v>
          </cell>
          <cell r="J13">
            <v>2.416920866435035E-2</v>
          </cell>
          <cell r="K13">
            <v>6.2733837429869155E-3</v>
          </cell>
          <cell r="L13">
            <v>3.8271203401982756E-3</v>
          </cell>
          <cell r="M13">
            <v>1.5566716139785441E-2</v>
          </cell>
        </row>
        <row r="14">
          <cell r="B14" t="str">
            <v>EBIT Margins</v>
          </cell>
          <cell r="D14">
            <v>0.16117107792399823</v>
          </cell>
          <cell r="E14">
            <v>0.14989093175444063</v>
          </cell>
          <cell r="F14">
            <v>0.16221198156682029</v>
          </cell>
          <cell r="G14">
            <v>0.16975361485568341</v>
          </cell>
          <cell r="H14">
            <v>0.16709054534305662</v>
          </cell>
          <cell r="I14">
            <v>0.15270390727331187</v>
          </cell>
          <cell r="J14">
            <v>0.14872395382325179</v>
          </cell>
          <cell r="K14">
            <v>0.14478362587001831</v>
          </cell>
          <cell r="L14">
            <v>0.14144120027583265</v>
          </cell>
          <cell r="M14">
            <v>0.13973586091491708</v>
          </cell>
        </row>
        <row r="15">
          <cell r="B15" t="str">
            <v>EBITDA Margins</v>
          </cell>
          <cell r="D15">
            <v>0.20360786633150968</v>
          </cell>
          <cell r="E15">
            <v>0.19663446556559677</v>
          </cell>
          <cell r="F15">
            <v>0.2086021505376344</v>
          </cell>
          <cell r="G15">
            <v>0.2134652394498717</v>
          </cell>
          <cell r="H15">
            <v>0.211209478945308</v>
          </cell>
          <cell r="I15">
            <v>0.19810646517207203</v>
          </cell>
          <cell r="J15">
            <v>0.19433232910839102</v>
          </cell>
          <cell r="K15">
            <v>0.19062102416107898</v>
          </cell>
          <cell r="L15">
            <v>0.1872713134402596</v>
          </cell>
          <cell r="M15">
            <v>0.18555776762375636</v>
          </cell>
        </row>
        <row r="17">
          <cell r="B17" t="str">
            <v>- Taxes</v>
          </cell>
          <cell r="D17">
            <v>-196.82285714285715</v>
          </cell>
          <cell r="E17">
            <v>-163.19642857142858</v>
          </cell>
          <cell r="F17">
            <v>-200.23476297968398</v>
          </cell>
          <cell r="G17">
            <v>-244.42152860681679</v>
          </cell>
          <cell r="H17">
            <v>-265.30374454730884</v>
          </cell>
          <cell r="I17">
            <v>-255.95056213028161</v>
          </cell>
          <cell r="J17">
            <v>-250.22138082534039</v>
          </cell>
          <cell r="K17">
            <v>-239.80106244567415</v>
          </cell>
          <cell r="L17">
            <v>-229.08005550734254</v>
          </cell>
          <cell r="M17">
            <v>-232.12047778030131</v>
          </cell>
        </row>
        <row r="18">
          <cell r="B18" t="str">
            <v>Tax rate</v>
          </cell>
          <cell r="D18">
            <v>0.18057142857142858</v>
          </cell>
          <cell r="E18">
            <v>0.16964285714285715</v>
          </cell>
          <cell r="F18">
            <v>0.18961625282167044</v>
          </cell>
          <cell r="G18">
            <v>0.20977107189759064</v>
          </cell>
          <cell r="H18">
            <v>0.222</v>
          </cell>
          <cell r="I18">
            <v>0.22</v>
          </cell>
          <cell r="J18">
            <v>0.21</v>
          </cell>
          <cell r="K18">
            <v>0.2</v>
          </cell>
          <cell r="L18">
            <v>0.19033</v>
          </cell>
          <cell r="M18">
            <v>0.18990000000000001</v>
          </cell>
        </row>
        <row r="19">
          <cell r="B19" t="str">
            <v>= NOPAT</v>
          </cell>
          <cell r="D19">
            <v>893.17714285714283</v>
          </cell>
          <cell r="E19">
            <v>798.80357142857144</v>
          </cell>
          <cell r="F19">
            <v>855.76523702031602</v>
          </cell>
          <cell r="G19">
            <v>920.76071695153337</v>
          </cell>
          <cell r="H19">
            <v>929.75816782795607</v>
          </cell>
          <cell r="I19">
            <v>907.46108391645305</v>
          </cell>
          <cell r="J19">
            <v>941.30900405723298</v>
          </cell>
          <cell r="K19">
            <v>959.20424978269659</v>
          </cell>
          <cell r="L19">
            <v>974.51399433946324</v>
          </cell>
          <cell r="M19">
            <v>990.20957898800452</v>
          </cell>
        </row>
        <row r="20">
          <cell r="B20" t="str">
            <v>+ D&amp;A</v>
          </cell>
          <cell r="D20">
            <v>287</v>
          </cell>
          <cell r="E20">
            <v>300</v>
          </cell>
          <cell r="F20">
            <v>302</v>
          </cell>
          <cell r="G20">
            <v>300.03490025799999</v>
          </cell>
          <cell r="H20">
            <v>315.54662206897183</v>
          </cell>
          <cell r="I20">
            <v>345.91036708174943</v>
          </cell>
          <cell r="J20">
            <v>365.40021671259922</v>
          </cell>
          <cell r="K20">
            <v>379.59599173907918</v>
          </cell>
          <cell r="L20">
            <v>389.9913985524563</v>
          </cell>
          <cell r="M20">
            <v>400.82405090523469</v>
          </cell>
        </row>
        <row r="21">
          <cell r="B21" t="str">
            <v>as % of sales</v>
          </cell>
          <cell r="D21">
            <v>4.2436788407511458E-2</v>
          </cell>
          <cell r="E21">
            <v>4.6743533811156125E-2</v>
          </cell>
          <cell r="F21">
            <v>4.6390168970814133E-2</v>
          </cell>
          <cell r="G21">
            <v>4.3711624594188286E-2</v>
          </cell>
          <cell r="H21">
            <v>4.4118933602251394E-2</v>
          </cell>
          <cell r="I21">
            <v>4.540255789876016E-2</v>
          </cell>
          <cell r="J21">
            <v>4.5608375285139238E-2</v>
          </cell>
          <cell r="K21">
            <v>4.5837398291060684E-2</v>
          </cell>
          <cell r="L21">
            <v>4.583011316442695E-2</v>
          </cell>
          <cell r="M21">
            <v>4.5821906708839268E-2</v>
          </cell>
        </row>
        <row r="22">
          <cell r="B22" t="str">
            <v>+ Changes in Deferred Taxes</v>
          </cell>
          <cell r="D22">
            <v>0</v>
          </cell>
          <cell r="E22">
            <v>0</v>
          </cell>
          <cell r="F22">
            <v>0</v>
          </cell>
          <cell r="G22">
            <v>0</v>
          </cell>
          <cell r="H22">
            <v>0</v>
          </cell>
          <cell r="I22">
            <v>0</v>
          </cell>
          <cell r="J22">
            <v>0</v>
          </cell>
          <cell r="K22">
            <v>0</v>
          </cell>
          <cell r="L22">
            <v>0</v>
          </cell>
          <cell r="M22">
            <v>0</v>
          </cell>
        </row>
        <row r="23">
          <cell r="B23" t="str">
            <v>- Changes in working capital</v>
          </cell>
          <cell r="D23">
            <v>-418</v>
          </cell>
          <cell r="E23">
            <v>-179</v>
          </cell>
          <cell r="F23">
            <v>-94</v>
          </cell>
          <cell r="G23">
            <v>-65.987831470423316</v>
          </cell>
          <cell r="H23">
            <v>-53.802482424640914</v>
          </cell>
          <cell r="I23">
            <v>-93.962168338540494</v>
          </cell>
          <cell r="J23">
            <v>-81.320303736642927</v>
          </cell>
          <cell r="K23">
            <v>-59.262738528960938</v>
          </cell>
          <cell r="L23">
            <v>-52.486000546821913</v>
          </cell>
          <cell r="M23">
            <v>-55.500271011638006</v>
          </cell>
        </row>
        <row r="24">
          <cell r="B24" t="str">
            <v>- CapEx and acquisitions</v>
          </cell>
          <cell r="D24">
            <v>-349</v>
          </cell>
          <cell r="E24">
            <v>-361</v>
          </cell>
          <cell r="F24">
            <v>-370</v>
          </cell>
          <cell r="G24">
            <v>-441.23490025800004</v>
          </cell>
          <cell r="H24">
            <v>-430.80664572320268</v>
          </cell>
          <cell r="I24">
            <v>-502.6691599583416</v>
          </cell>
          <cell r="J24">
            <v>-461.0647000649351</v>
          </cell>
          <cell r="K24">
            <v>-403.53862134740905</v>
          </cell>
          <cell r="L24">
            <v>-414.60132096962138</v>
          </cell>
          <cell r="M24">
            <v>-426.13382324899999</v>
          </cell>
        </row>
        <row r="25">
          <cell r="B25" t="str">
            <v>Working Capital to Sales</v>
          </cell>
        </row>
        <row r="26">
          <cell r="B26" t="str">
            <v>Depreciation to Sales</v>
          </cell>
        </row>
        <row r="27">
          <cell r="B27" t="str">
            <v>Capex to sales</v>
          </cell>
        </row>
        <row r="28">
          <cell r="B28" t="str">
            <v>Capex to depreciation</v>
          </cell>
        </row>
        <row r="30">
          <cell r="B30" t="str">
            <v>Unlevered FCF</v>
          </cell>
          <cell r="D30">
            <v>413.17714285714283</v>
          </cell>
          <cell r="E30">
            <v>558.80357142857156</v>
          </cell>
          <cell r="F30">
            <v>693.76523702031591</v>
          </cell>
          <cell r="G30">
            <v>713.57288548110989</v>
          </cell>
          <cell r="H30">
            <v>760.69566174908448</v>
          </cell>
          <cell r="I30">
            <v>656.74012270132016</v>
          </cell>
          <cell r="J30">
            <v>764.32421696825418</v>
          </cell>
          <cell r="K30">
            <v>875.99888164540573</v>
          </cell>
          <cell r="L30">
            <v>897.4180713754763</v>
          </cell>
          <cell r="M30">
            <v>909.39953563260133</v>
          </cell>
        </row>
        <row r="32">
          <cell r="B32" t="str">
            <v xml:space="preserve">+ Present Enterprise Value of CE (USD mm) Year 2014E </v>
          </cell>
          <cell r="C32">
            <v>9152.1405272327447</v>
          </cell>
          <cell r="E32" t="str">
            <v>Perpetual Growth Rate</v>
          </cell>
        </row>
        <row r="33">
          <cell r="B33" t="str">
            <v xml:space="preserve"> -Minority Interest</v>
          </cell>
          <cell r="C33">
            <v>0</v>
          </cell>
          <cell r="E33" t="str">
            <v>Long Term Growth Rate Assumption</v>
          </cell>
          <cell r="I33">
            <v>0.02</v>
          </cell>
        </row>
        <row r="34">
          <cell r="B34" t="str">
            <v xml:space="preserve">- CE (USD mm) Net Debt 2014E </v>
          </cell>
          <cell r="C34">
            <v>1627.3038574793268</v>
          </cell>
          <cell r="E34" t="str">
            <v>Terminal Value  MS Estimates</v>
          </cell>
          <cell r="I34">
            <v>11270.109814504789</v>
          </cell>
        </row>
        <row r="35">
          <cell r="B35" t="str">
            <v xml:space="preserve">= Implied Market Cap. Of CE (USD mm) Year 2014E </v>
          </cell>
          <cell r="C35">
            <v>7524.8366697534184</v>
          </cell>
          <cell r="E35" t="str">
            <v>Terminal value Weight</v>
          </cell>
          <cell r="I35">
            <v>0.62271990483280426</v>
          </cell>
        </row>
        <row r="36">
          <cell r="B36" t="str">
            <v>Fully-diluted shares</v>
          </cell>
          <cell r="C36">
            <v>156.05000000000001</v>
          </cell>
          <cell r="E36" t="str">
            <v>NPV of TV</v>
          </cell>
          <cell r="I36">
            <v>5699.2200781348256</v>
          </cell>
        </row>
        <row r="37">
          <cell r="B37" t="str">
            <v>Implied Value per  Share</v>
          </cell>
          <cell r="C37">
            <v>48.220677153177945</v>
          </cell>
          <cell r="E37" t="str">
            <v>Implied Multiple</v>
          </cell>
          <cell r="I37">
            <v>7.4670015520043957</v>
          </cell>
        </row>
        <row r="38">
          <cell r="B38" t="str">
            <v>Current Share price</v>
          </cell>
          <cell r="C38">
            <v>59.56</v>
          </cell>
        </row>
        <row r="39">
          <cell r="B39" t="str">
            <v>Upside/Downside</v>
          </cell>
          <cell r="C39">
            <v>-0.19038486982575653</v>
          </cell>
          <cell r="E39" t="str">
            <v>Valuation Window</v>
          </cell>
        </row>
        <row r="40">
          <cell r="E40" t="str">
            <v>DCF</v>
          </cell>
          <cell r="F40" t="str">
            <v>Mid-Cycle</v>
          </cell>
          <cell r="G40" t="str">
            <v>EV/EBITDA</v>
          </cell>
          <cell r="H40" t="str">
            <v>Average</v>
          </cell>
        </row>
        <row r="41">
          <cell r="E41">
            <v>48.220677153177945</v>
          </cell>
          <cell r="F41">
            <v>71.227206894427127</v>
          </cell>
          <cell r="G41">
            <v>57.27929066998702</v>
          </cell>
          <cell r="H41">
            <v>58.909058239197371</v>
          </cell>
        </row>
        <row r="43">
          <cell r="B43" t="str">
            <v xml:space="preserve">+ Present Enterprise Value of CE (USD mm) Year 2014E </v>
          </cell>
          <cell r="C43">
            <v>11040.112175341899</v>
          </cell>
          <cell r="E43" t="str">
            <v>Exit Multiple</v>
          </cell>
        </row>
        <row r="44">
          <cell r="B44" t="str">
            <v xml:space="preserve"> -Minority Interest</v>
          </cell>
          <cell r="C44">
            <v>0</v>
          </cell>
          <cell r="E44" t="str">
            <v>Exit Multiple Assumption</v>
          </cell>
          <cell r="I44">
            <v>8</v>
          </cell>
        </row>
        <row r="45">
          <cell r="B45" t="str">
            <v xml:space="preserve">- CE (USD mm) Net Debt 2014E </v>
          </cell>
          <cell r="C45">
            <v>1627.3038574793268</v>
          </cell>
          <cell r="E45" t="str">
            <v>Terminal Value EBIT MS Estimates</v>
          </cell>
          <cell r="I45">
            <v>12985.232861388326</v>
          </cell>
        </row>
        <row r="46">
          <cell r="B46" t="str">
            <v xml:space="preserve">= Implied Market Cap. Of CE (USD mm) Year 2014E </v>
          </cell>
          <cell r="C46">
            <v>9412.8083178625729</v>
          </cell>
          <cell r="E46" t="str">
            <v>Terminal value Weight</v>
          </cell>
          <cell r="I46">
            <v>0.71748750498140978</v>
          </cell>
        </row>
        <row r="47">
          <cell r="B47" t="str">
            <v>Fully-diluted shares</v>
          </cell>
          <cell r="C47">
            <v>156.05000000000001</v>
          </cell>
          <cell r="E47" t="str">
            <v>NPV of TV</v>
          </cell>
          <cell r="I47">
            <v>6566.5464721234666</v>
          </cell>
        </row>
        <row r="48">
          <cell r="B48" t="str">
            <v>Implied Value per  Share</v>
          </cell>
          <cell r="C48">
            <v>60.319181787007835</v>
          </cell>
          <cell r="E48" t="str">
            <v>Implied Growth Rate</v>
          </cell>
        </row>
        <row r="49">
          <cell r="B49" t="str">
            <v>Current Share price</v>
          </cell>
          <cell r="C49">
            <v>59.56</v>
          </cell>
        </row>
        <row r="50">
          <cell r="B50" t="str">
            <v>Upside/Downside</v>
          </cell>
          <cell r="C50">
            <v>1.2746504147210125E-2</v>
          </cell>
        </row>
        <row r="51">
          <cell r="B51" t="str">
            <v>Capital Structure</v>
          </cell>
          <cell r="C51" t="str">
            <v>Target</v>
          </cell>
        </row>
        <row r="52">
          <cell r="B52" t="str">
            <v>Debt Weight</v>
          </cell>
          <cell r="C52">
            <v>0.14899809742112366</v>
          </cell>
        </row>
        <row r="53">
          <cell r="B53" t="str">
            <v>Equity Weight</v>
          </cell>
          <cell r="C53">
            <v>0.85100190257887631</v>
          </cell>
        </row>
        <row r="55">
          <cell r="B55" t="str">
            <v>Cost of Debt</v>
          </cell>
        </row>
        <row r="56">
          <cell r="B56" t="str">
            <v>Rating of the Stock</v>
          </cell>
          <cell r="C56" t="str">
            <v>Ba2</v>
          </cell>
        </row>
        <row r="57">
          <cell r="B57" t="str">
            <v xml:space="preserve"> Cost of Long-term Debt</v>
          </cell>
          <cell r="C57">
            <v>5.5E-2</v>
          </cell>
        </row>
        <row r="58">
          <cell r="B58" t="str">
            <v>CE (USD mm) After tax Cost of Long-term Debt</v>
          </cell>
          <cell r="C58">
            <v>4.407698523769249E-2</v>
          </cell>
        </row>
        <row r="60">
          <cell r="B60" t="str">
            <v>Cost of Equity</v>
          </cell>
        </row>
        <row r="61">
          <cell r="B61" t="str">
            <v>Current Market cap</v>
          </cell>
          <cell r="C61">
            <v>9294.3380000000016</v>
          </cell>
        </row>
        <row r="62">
          <cell r="B62" t="str">
            <v xml:space="preserve">Risk Free Rate </v>
          </cell>
          <cell r="C62">
            <v>0.05</v>
          </cell>
        </row>
        <row r="63">
          <cell r="B63" t="str">
            <v>Rm (Market Normalised Return)</v>
          </cell>
          <cell r="C63">
            <v>0.1</v>
          </cell>
        </row>
        <row r="64">
          <cell r="B64" t="str">
            <v>Market Risk Premium</v>
          </cell>
          <cell r="C64">
            <v>0.05</v>
          </cell>
        </row>
        <row r="65">
          <cell r="B65" t="str">
            <v>Beta</v>
          </cell>
          <cell r="C65">
            <v>1.25</v>
          </cell>
        </row>
        <row r="66">
          <cell r="B66" t="str">
            <v>CE (USD mm) Cost of Equity</v>
          </cell>
          <cell r="C66">
            <v>0.1125</v>
          </cell>
        </row>
        <row r="68">
          <cell r="B68" t="str">
            <v xml:space="preserve"> WACC</v>
          </cell>
          <cell r="C68">
            <v>0.10230510098059872</v>
          </cell>
        </row>
        <row r="69">
          <cell r="B69" t="str">
            <v>LT Growth rate assumption</v>
          </cell>
          <cell r="C69">
            <v>0.02</v>
          </cell>
        </row>
      </sheetData>
      <sheetData sheetId="19"/>
      <sheetData sheetId="20"/>
      <sheetData sheetId="21"/>
      <sheetData sheetId="22"/>
      <sheetData sheetId="23" refreshError="1">
        <row r="3">
          <cell r="B3" t="str">
            <v xml:space="preserve">Sales Breakdown by End Market </v>
          </cell>
        </row>
        <row r="5">
          <cell r="F5">
            <v>2007</v>
          </cell>
          <cell r="G5">
            <v>2008</v>
          </cell>
          <cell r="H5">
            <v>2009</v>
          </cell>
          <cell r="I5">
            <v>2010</v>
          </cell>
          <cell r="J5">
            <v>2011</v>
          </cell>
          <cell r="K5" t="str">
            <v>Segment</v>
          </cell>
        </row>
        <row r="6">
          <cell r="A6" t="str">
            <v>APAC</v>
          </cell>
          <cell r="B6" t="str">
            <v>Textiles</v>
          </cell>
          <cell r="F6">
            <v>0.06</v>
          </cell>
          <cell r="G6">
            <v>0.06</v>
          </cell>
          <cell r="H6">
            <v>0.06</v>
          </cell>
          <cell r="I6">
            <v>0.05</v>
          </cell>
          <cell r="L6" t="str">
            <v>Textiles</v>
          </cell>
        </row>
        <row r="7">
          <cell r="B7" t="str">
            <v>Automotive</v>
          </cell>
          <cell r="F7">
            <v>0.09</v>
          </cell>
          <cell r="G7">
            <v>0.08</v>
          </cell>
          <cell r="H7">
            <v>0.08</v>
          </cell>
          <cell r="I7">
            <v>0.15</v>
          </cell>
          <cell r="K7" t="str">
            <v>AEM</v>
          </cell>
          <cell r="L7" t="str">
            <v>Autos</v>
          </cell>
        </row>
        <row r="8">
          <cell r="B8" t="str">
            <v>Consumer &amp; Medical Applications</v>
          </cell>
          <cell r="F8">
            <v>0.11</v>
          </cell>
          <cell r="G8">
            <v>0.1</v>
          </cell>
          <cell r="H8">
            <v>0.11</v>
          </cell>
          <cell r="I8">
            <v>0.11</v>
          </cell>
          <cell r="L8" t="str">
            <v>Consumer &amp; Medical</v>
          </cell>
        </row>
        <row r="9">
          <cell r="B9" t="str">
            <v>Performance Industrial Applications</v>
          </cell>
          <cell r="F9">
            <v>0.04</v>
          </cell>
          <cell r="G9">
            <v>0.05</v>
          </cell>
          <cell r="H9">
            <v>0.05</v>
          </cell>
          <cell r="I9">
            <v>0.1</v>
          </cell>
          <cell r="L9" t="str">
            <v>Performance Industrial</v>
          </cell>
        </row>
        <row r="10">
          <cell r="A10" t="str">
            <v>EU/AF</v>
          </cell>
          <cell r="B10" t="str">
            <v>Filter Media</v>
          </cell>
          <cell r="F10">
            <v>0.16</v>
          </cell>
          <cell r="G10">
            <v>0.15</v>
          </cell>
          <cell r="H10">
            <v>0.2</v>
          </cell>
          <cell r="I10">
            <v>0.18</v>
          </cell>
          <cell r="L10" t="str">
            <v>Filter Media</v>
          </cell>
        </row>
        <row r="11">
          <cell r="B11" t="str">
            <v>Paints &amp; Coatings</v>
          </cell>
          <cell r="F11">
            <v>0.15</v>
          </cell>
          <cell r="G11">
            <v>0.15</v>
          </cell>
          <cell r="H11">
            <v>0.15</v>
          </cell>
          <cell r="I11">
            <v>0.11</v>
          </cell>
          <cell r="L11" t="str">
            <v>Paints &amp; Coating</v>
          </cell>
        </row>
        <row r="12">
          <cell r="A12" t="str">
            <v>Americas</v>
          </cell>
          <cell r="B12" t="str">
            <v>Paper &amp; Packaging</v>
          </cell>
          <cell r="F12">
            <v>0.08</v>
          </cell>
          <cell r="G12">
            <v>0.05</v>
          </cell>
          <cell r="H12">
            <v>0.04</v>
          </cell>
          <cell r="I12">
            <v>0.03</v>
          </cell>
          <cell r="L12" t="str">
            <v>Paper &amp; Packaging</v>
          </cell>
        </row>
        <row r="13">
          <cell r="B13" t="str">
            <v>Chemical Additives</v>
          </cell>
          <cell r="F13">
            <v>0.05</v>
          </cell>
          <cell r="G13">
            <v>0.06</v>
          </cell>
          <cell r="H13">
            <v>0.04</v>
          </cell>
          <cell r="I13">
            <v>0.03</v>
          </cell>
          <cell r="L13" t="str">
            <v>Chemicals</v>
          </cell>
        </row>
        <row r="14">
          <cell r="B14" t="str">
            <v>Construction</v>
          </cell>
          <cell r="F14">
            <v>7.0000000000000007E-2</v>
          </cell>
          <cell r="G14">
            <v>0.05</v>
          </cell>
          <cell r="H14">
            <v>0.04</v>
          </cell>
          <cell r="I14">
            <v>0.04</v>
          </cell>
          <cell r="L14" t="str">
            <v>Construction</v>
          </cell>
        </row>
        <row r="15">
          <cell r="B15" t="str">
            <v>Consumer &amp; Industrial Adhesives</v>
          </cell>
          <cell r="F15">
            <v>0.04</v>
          </cell>
          <cell r="G15">
            <v>0.1</v>
          </cell>
          <cell r="H15">
            <v>0.1</v>
          </cell>
          <cell r="I15">
            <v>0.09</v>
          </cell>
          <cell r="L15" t="str">
            <v>Adhesives</v>
          </cell>
        </row>
        <row r="16">
          <cell r="B16" t="str">
            <v>Food &amp; Beverage</v>
          </cell>
          <cell r="F16">
            <v>0.05</v>
          </cell>
          <cell r="G16">
            <v>0.05</v>
          </cell>
          <cell r="H16">
            <v>0.05</v>
          </cell>
          <cell r="I16">
            <v>0.04</v>
          </cell>
          <cell r="L16" t="str">
            <v>Food &amp; Beverage</v>
          </cell>
        </row>
        <row r="17">
          <cell r="B17" t="str">
            <v>Other</v>
          </cell>
          <cell r="F17">
            <v>0.1</v>
          </cell>
          <cell r="G17">
            <v>0.1</v>
          </cell>
          <cell r="H17">
            <v>7.9999999999999849E-2</v>
          </cell>
          <cell r="I17">
            <v>7.0000000000000007E-2</v>
          </cell>
          <cell r="L17" t="str">
            <v>Other</v>
          </cell>
        </row>
        <row r="19">
          <cell r="B19" t="str">
            <v>Total Sales</v>
          </cell>
          <cell r="F19">
            <v>1.0000000000000002</v>
          </cell>
          <cell r="G19">
            <v>1.0000000000000002</v>
          </cell>
          <cell r="H19">
            <v>1</v>
          </cell>
          <cell r="I19">
            <v>1.0000000000000002</v>
          </cell>
        </row>
        <row r="21">
          <cell r="B21" t="str">
            <v>Total Revenue</v>
          </cell>
          <cell r="F21">
            <v>6444</v>
          </cell>
          <cell r="G21">
            <v>6823</v>
          </cell>
          <cell r="H21">
            <v>5082</v>
          </cell>
          <cell r="I21">
            <v>5918</v>
          </cell>
        </row>
        <row r="23">
          <cell r="B23" t="str">
            <v>Textiles</v>
          </cell>
          <cell r="F23">
            <v>386.64</v>
          </cell>
          <cell r="G23">
            <v>409.38</v>
          </cell>
          <cell r="H23">
            <v>304.92</v>
          </cell>
          <cell r="I23">
            <v>295.90000000000003</v>
          </cell>
        </row>
        <row r="24">
          <cell r="B24" t="str">
            <v>Automotive</v>
          </cell>
          <cell r="F24">
            <v>579.95999999999992</v>
          </cell>
          <cell r="G24">
            <v>545.84</v>
          </cell>
          <cell r="H24">
            <v>406.56</v>
          </cell>
          <cell r="I24">
            <v>887.69999999999993</v>
          </cell>
        </row>
        <row r="25">
          <cell r="B25" t="str">
            <v>Consumer &amp; Medical Applications</v>
          </cell>
          <cell r="F25">
            <v>708.84</v>
          </cell>
          <cell r="G25">
            <v>682.30000000000007</v>
          </cell>
          <cell r="H25">
            <v>559.02</v>
          </cell>
          <cell r="I25">
            <v>650.98</v>
          </cell>
        </row>
        <row r="26">
          <cell r="B26" t="str">
            <v>Performance Industrial Applications</v>
          </cell>
          <cell r="F26">
            <v>257.76</v>
          </cell>
          <cell r="G26">
            <v>341.15000000000003</v>
          </cell>
          <cell r="H26">
            <v>254.10000000000002</v>
          </cell>
          <cell r="I26">
            <v>591.80000000000007</v>
          </cell>
        </row>
        <row r="27">
          <cell r="B27" t="str">
            <v>Filter Media</v>
          </cell>
          <cell r="F27">
            <v>1031.04</v>
          </cell>
          <cell r="G27">
            <v>1023.4499999999999</v>
          </cell>
          <cell r="H27">
            <v>1016.4000000000001</v>
          </cell>
          <cell r="I27">
            <v>1065.24</v>
          </cell>
        </row>
        <row r="28">
          <cell r="B28" t="str">
            <v>Paints &amp; Coatings</v>
          </cell>
          <cell r="F28">
            <v>966.59999999999991</v>
          </cell>
          <cell r="G28">
            <v>1023.4499999999999</v>
          </cell>
          <cell r="H28">
            <v>762.3</v>
          </cell>
          <cell r="I28">
            <v>650.98</v>
          </cell>
        </row>
        <row r="29">
          <cell r="B29" t="str">
            <v>Paper &amp; Packaging</v>
          </cell>
          <cell r="F29">
            <v>515.52</v>
          </cell>
          <cell r="G29">
            <v>341.15000000000003</v>
          </cell>
          <cell r="H29">
            <v>203.28</v>
          </cell>
          <cell r="I29">
            <v>177.54</v>
          </cell>
        </row>
        <row r="30">
          <cell r="B30" t="str">
            <v>Chemical Additives</v>
          </cell>
          <cell r="F30">
            <v>322.20000000000005</v>
          </cell>
          <cell r="G30">
            <v>409.38</v>
          </cell>
          <cell r="H30">
            <v>203.28</v>
          </cell>
          <cell r="I30">
            <v>177.54</v>
          </cell>
        </row>
        <row r="31">
          <cell r="B31" t="str">
            <v>Construction</v>
          </cell>
          <cell r="F31">
            <v>451.08000000000004</v>
          </cell>
          <cell r="G31">
            <v>341.15000000000003</v>
          </cell>
          <cell r="H31">
            <v>203.28</v>
          </cell>
          <cell r="I31">
            <v>236.72</v>
          </cell>
        </row>
        <row r="32">
          <cell r="B32" t="str">
            <v>Consumer &amp; Industrial Adhesives</v>
          </cell>
          <cell r="F32">
            <v>257.76</v>
          </cell>
          <cell r="G32">
            <v>682.30000000000007</v>
          </cell>
          <cell r="H32">
            <v>508.20000000000005</v>
          </cell>
          <cell r="I32">
            <v>532.62</v>
          </cell>
        </row>
        <row r="33">
          <cell r="B33" t="str">
            <v>Food &amp; Beverage</v>
          </cell>
          <cell r="F33">
            <v>322.20000000000005</v>
          </cell>
          <cell r="G33">
            <v>341.15000000000003</v>
          </cell>
          <cell r="H33">
            <v>254.10000000000002</v>
          </cell>
          <cell r="I33">
            <v>236.72</v>
          </cell>
        </row>
        <row r="34">
          <cell r="B34" t="str">
            <v>Other</v>
          </cell>
          <cell r="F34">
            <v>644.40000000000009</v>
          </cell>
          <cell r="G34">
            <v>682.30000000000007</v>
          </cell>
          <cell r="H34">
            <v>406.55999999999921</v>
          </cell>
          <cell r="I34">
            <v>414.26000000000005</v>
          </cell>
        </row>
        <row r="36">
          <cell r="B36" t="str">
            <v>Sales breakdown by Destination</v>
          </cell>
        </row>
        <row r="37">
          <cell r="B37" t="str">
            <v>Americas</v>
          </cell>
          <cell r="H37">
            <v>0.25</v>
          </cell>
          <cell r="I37">
            <v>0.27</v>
          </cell>
        </row>
        <row r="38">
          <cell r="B38" t="str">
            <v>EU</v>
          </cell>
          <cell r="H38">
            <v>0.36</v>
          </cell>
          <cell r="I38">
            <v>0.34</v>
          </cell>
        </row>
        <row r="39">
          <cell r="B39" t="str">
            <v>China</v>
          </cell>
          <cell r="H39">
            <v>0.18</v>
          </cell>
          <cell r="I39">
            <v>0.2</v>
          </cell>
        </row>
        <row r="40">
          <cell r="B40" t="str">
            <v>Japan</v>
          </cell>
          <cell r="H40">
            <v>9.0299999999999991E-2</v>
          </cell>
        </row>
        <row r="41">
          <cell r="B41" t="str">
            <v>India</v>
          </cell>
          <cell r="H41">
            <v>2.9400000000000003E-2</v>
          </cell>
        </row>
        <row r="42">
          <cell r="B42" t="str">
            <v>Other Asia</v>
          </cell>
          <cell r="H42">
            <v>9.0299999999999991E-2</v>
          </cell>
          <cell r="I42">
            <v>0.19</v>
          </cell>
        </row>
        <row r="67">
          <cell r="B67" t="str">
            <v>2011 Sales by GEO</v>
          </cell>
        </row>
        <row r="68">
          <cell r="B68" t="str">
            <v>North America</v>
          </cell>
          <cell r="C68">
            <v>0.27</v>
          </cell>
        </row>
        <row r="69">
          <cell r="B69" t="str">
            <v>Europe &amp; Africa</v>
          </cell>
          <cell r="C69">
            <v>0.41</v>
          </cell>
        </row>
        <row r="70">
          <cell r="B70" t="str">
            <v>Asia-Pacific</v>
          </cell>
          <cell r="C70">
            <v>0.28999999999999998</v>
          </cell>
        </row>
        <row r="71">
          <cell r="B71" t="str">
            <v>South America</v>
          </cell>
          <cell r="C71">
            <v>0.03</v>
          </cell>
        </row>
      </sheetData>
      <sheetData sheetId="24"/>
      <sheetData sheetId="25"/>
      <sheetData sheetId="26"/>
      <sheetData sheetId="27"/>
      <sheetData sheetId="28"/>
      <sheetData sheetId="29"/>
      <sheetData sheetId="30"/>
      <sheetData sheetId="31"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odel Summary"/>
      <sheetName val="BS"/>
      <sheetName val="CF"/>
      <sheetName val="IS"/>
      <sheetName val="Inputs"/>
      <sheetName val="Petchem inputs"/>
      <sheetName val="Preview"/>
      <sheetName val="Exhibit"/>
      <sheetName val="Links"/>
      <sheetName val="PE Pricing"/>
      <sheetName val="Earnings Charts"/>
      <sheetName val="Cashflow Breakdown"/>
      <sheetName val="DCF"/>
      <sheetName val="Debt"/>
      <sheetName val="__FDSCACHE__"/>
      <sheetName val="Ratios"/>
      <sheetName val="Basell Financials"/>
      <sheetName val="mwareDates"/>
      <sheetName val="MWA RR"/>
      <sheetName val="AFOSHEET"/>
      <sheetName val="LYB.N"/>
      <sheetName val="mwareSettings"/>
      <sheetName val="MW-Cache"/>
      <sheetName val="Segment Data"/>
      <sheetName val="Updates to Estimates"/>
      <sheetName val="O&amp;P Americas"/>
      <sheetName val="O&amp;P EAI"/>
      <sheetName val="I&amp;D"/>
      <sheetName val="Refining"/>
      <sheetName val="Legacy Inputs"/>
    </sheetNames>
    <sheetDataSet>
      <sheetData sheetId="0" refreshError="1">
        <row r="1">
          <cell r="B1" t="str">
            <v>LyondellBasell (LYB.N): Valuation and Model Summary</v>
          </cell>
        </row>
        <row r="3">
          <cell r="B3" t="str">
            <v>In US$ millions (except per share data)</v>
          </cell>
          <cell r="D3">
            <v>1991</v>
          </cell>
          <cell r="E3">
            <v>1992</v>
          </cell>
          <cell r="F3">
            <v>1993</v>
          </cell>
          <cell r="G3">
            <v>1994</v>
          </cell>
          <cell r="H3">
            <v>1995</v>
          </cell>
          <cell r="I3">
            <v>1996</v>
          </cell>
          <cell r="J3">
            <v>1997</v>
          </cell>
          <cell r="K3">
            <v>1998</v>
          </cell>
          <cell r="L3">
            <v>1999</v>
          </cell>
          <cell r="M3">
            <v>2000</v>
          </cell>
          <cell r="N3">
            <v>2001</v>
          </cell>
          <cell r="O3">
            <v>2002</v>
          </cell>
          <cell r="P3">
            <v>2003</v>
          </cell>
          <cell r="Q3">
            <v>2004</v>
          </cell>
        </row>
        <row r="5">
          <cell r="B5" t="str">
            <v>Price</v>
          </cell>
          <cell r="S5">
            <v>76</v>
          </cell>
        </row>
        <row r="6">
          <cell r="B6" t="str">
            <v>MS Price Target</v>
          </cell>
          <cell r="S6">
            <v>83</v>
          </cell>
        </row>
        <row r="7">
          <cell r="B7" t="str">
            <v>Upside Potential (%)</v>
          </cell>
          <cell r="S7">
            <v>9.210526315789469E-2</v>
          </cell>
        </row>
        <row r="8">
          <cell r="B8" t="str">
            <v>MS Rating</v>
          </cell>
          <cell r="S8" t="str">
            <v>Overweight</v>
          </cell>
        </row>
        <row r="9">
          <cell r="B9" t="str">
            <v>Diluted share count</v>
          </cell>
          <cell r="S9">
            <v>572.75</v>
          </cell>
        </row>
        <row r="10">
          <cell r="B10" t="str">
            <v>2012e net debt (inc. pension)</v>
          </cell>
          <cell r="S10">
            <v>3220</v>
          </cell>
        </row>
        <row r="11">
          <cell r="B11" t="str">
            <v>Market Capitalisation</v>
          </cell>
          <cell r="S11">
            <v>43529</v>
          </cell>
        </row>
        <row r="12">
          <cell r="B12" t="str">
            <v>Enterprise Value</v>
          </cell>
          <cell r="S12">
            <v>46749</v>
          </cell>
        </row>
        <row r="13">
          <cell r="B13" t="str">
            <v>Diluted share count</v>
          </cell>
          <cell r="W13">
            <v>565.75</v>
          </cell>
          <cell r="X13">
            <v>572.75</v>
          </cell>
          <cell r="Y13">
            <v>574.30361149999999</v>
          </cell>
          <cell r="Z13">
            <v>562.06543947500006</v>
          </cell>
          <cell r="AA13">
            <v>523.79283694875016</v>
          </cell>
          <cell r="AB13">
            <v>485.18452420269278</v>
          </cell>
          <cell r="AC13">
            <v>464.21787450133172</v>
          </cell>
          <cell r="AD13">
            <v>450.38345766120767</v>
          </cell>
          <cell r="AE13">
            <v>438.88961363299813</v>
          </cell>
          <cell r="AF13">
            <v>431.19612943683563</v>
          </cell>
          <cell r="AG13">
            <v>426.60555096620453</v>
          </cell>
        </row>
        <row r="14">
          <cell r="B14" t="str">
            <v>Market cap</v>
          </cell>
          <cell r="W14">
            <v>42997</v>
          </cell>
          <cell r="X14">
            <v>43529</v>
          </cell>
          <cell r="Y14">
            <v>43647.074474000001</v>
          </cell>
          <cell r="Z14">
            <v>42716.973400100003</v>
          </cell>
          <cell r="AA14">
            <v>39808.255608105013</v>
          </cell>
          <cell r="AB14">
            <v>36874.023839404654</v>
          </cell>
          <cell r="AC14">
            <v>35280.558462101209</v>
          </cell>
          <cell r="AD14">
            <v>34229.14278225178</v>
          </cell>
          <cell r="AE14">
            <v>33355.610636107856</v>
          </cell>
          <cell r="AF14">
            <v>32770.905837199505</v>
          </cell>
          <cell r="AG14">
            <v>32422.021873431546</v>
          </cell>
        </row>
        <row r="15">
          <cell r="B15" t="str">
            <v>Net debt (inc. pension)</v>
          </cell>
          <cell r="W15">
            <v>3426</v>
          </cell>
          <cell r="X15">
            <v>4464</v>
          </cell>
          <cell r="Y15">
            <v>3220</v>
          </cell>
          <cell r="Z15">
            <v>2644.8893832881849</v>
          </cell>
          <cell r="AA15">
            <v>5310.2201656697989</v>
          </cell>
          <cell r="AB15">
            <v>6784.829171454131</v>
          </cell>
          <cell r="AC15">
            <v>6566.0365291588305</v>
          </cell>
          <cell r="AD15">
            <v>6324.9363237149464</v>
          </cell>
          <cell r="AE15">
            <v>6095.7944171952795</v>
          </cell>
          <cell r="AF15">
            <v>5984.6475514028107</v>
          </cell>
          <cell r="AG15">
            <v>5853.2049358963004</v>
          </cell>
        </row>
        <row r="17">
          <cell r="B17" t="str">
            <v>Profit and Loss Summary</v>
          </cell>
          <cell r="D17">
            <v>1991</v>
          </cell>
          <cell r="E17">
            <v>1992</v>
          </cell>
          <cell r="F17">
            <v>1993</v>
          </cell>
          <cell r="G17">
            <v>1994</v>
          </cell>
          <cell r="H17">
            <v>1995</v>
          </cell>
          <cell r="I17">
            <v>1996</v>
          </cell>
          <cell r="J17">
            <v>1997</v>
          </cell>
          <cell r="K17">
            <v>1998</v>
          </cell>
          <cell r="L17">
            <v>1999</v>
          </cell>
          <cell r="M17">
            <v>2000</v>
          </cell>
          <cell r="N17">
            <v>2001</v>
          </cell>
          <cell r="O17">
            <v>2002</v>
          </cell>
          <cell r="P17">
            <v>2003</v>
          </cell>
          <cell r="Q17">
            <v>2004</v>
          </cell>
          <cell r="R17">
            <v>2005</v>
          </cell>
          <cell r="S17">
            <v>2006</v>
          </cell>
          <cell r="T17">
            <v>2007</v>
          </cell>
          <cell r="U17">
            <v>2008</v>
          </cell>
          <cell r="V17" t="str">
            <v>2009</v>
          </cell>
          <cell r="W17" t="str">
            <v>2010</v>
          </cell>
          <cell r="X17" t="str">
            <v>2011</v>
          </cell>
          <cell r="Y17" t="str">
            <v>2012</v>
          </cell>
          <cell r="Z17" t="str">
            <v>2013e</v>
          </cell>
          <cell r="AA17" t="str">
            <v>2014e</v>
          </cell>
          <cell r="AB17" t="str">
            <v>2015e</v>
          </cell>
          <cell r="AC17" t="str">
            <v>2016e</v>
          </cell>
          <cell r="AD17" t="str">
            <v>2017e</v>
          </cell>
          <cell r="AE17" t="str">
            <v>2018e</v>
          </cell>
          <cell r="AF17" t="str">
            <v>2019e</v>
          </cell>
          <cell r="AG17" t="str">
            <v>2020e</v>
          </cell>
        </row>
        <row r="19">
          <cell r="B19" t="str">
            <v>Revenues</v>
          </cell>
          <cell r="D19">
            <v>5735</v>
          </cell>
          <cell r="E19">
            <v>4809</v>
          </cell>
          <cell r="F19">
            <v>3850</v>
          </cell>
          <cell r="G19">
            <v>3857</v>
          </cell>
          <cell r="H19">
            <v>4936</v>
          </cell>
          <cell r="I19">
            <v>2644</v>
          </cell>
          <cell r="J19">
            <v>2878</v>
          </cell>
          <cell r="K19">
            <v>1447</v>
          </cell>
          <cell r="L19">
            <v>3693</v>
          </cell>
          <cell r="M19">
            <v>4036</v>
          </cell>
          <cell r="N19">
            <v>3193</v>
          </cell>
          <cell r="O19">
            <v>3262</v>
          </cell>
          <cell r="P19">
            <v>3801</v>
          </cell>
          <cell r="Q19">
            <v>5946</v>
          </cell>
          <cell r="R19">
            <v>18606</v>
          </cell>
          <cell r="S19">
            <v>20882</v>
          </cell>
          <cell r="T19">
            <v>17120</v>
          </cell>
          <cell r="U19">
            <v>50706</v>
          </cell>
          <cell r="V19">
            <v>30828</v>
          </cell>
          <cell r="W19">
            <v>41151</v>
          </cell>
          <cell r="X19">
            <v>51035</v>
          </cell>
          <cell r="Y19">
            <v>45497</v>
          </cell>
          <cell r="Z19">
            <v>44062</v>
          </cell>
          <cell r="AA19">
            <v>45396.546093082739</v>
          </cell>
          <cell r="AB19">
            <v>50646.657072479749</v>
          </cell>
          <cell r="AC19">
            <v>50756.766540219469</v>
          </cell>
          <cell r="AD19">
            <v>49977.184351634925</v>
          </cell>
          <cell r="AE19">
            <v>49385.611601109151</v>
          </cell>
          <cell r="AF19">
            <v>48987.732052513718</v>
          </cell>
          <cell r="AG19">
            <v>48679.99538159059</v>
          </cell>
        </row>
        <row r="20">
          <cell r="B20" t="str">
            <v>Revenue growth (%)</v>
          </cell>
          <cell r="E20">
            <v>-0.16146469049694856</v>
          </cell>
          <cell r="F20">
            <v>-0.19941775836972342</v>
          </cell>
          <cell r="G20">
            <v>1.8181818181817189E-3</v>
          </cell>
          <cell r="H20">
            <v>0.27975110189266261</v>
          </cell>
          <cell r="I20">
            <v>-0.46434359805510539</v>
          </cell>
          <cell r="J20">
            <v>8.8502269288956104E-2</v>
          </cell>
          <cell r="K20">
            <v>-0.49722029186935368</v>
          </cell>
          <cell r="L20">
            <v>1.5521769177608844</v>
          </cell>
          <cell r="M20">
            <v>9.2878418629840143E-2</v>
          </cell>
          <cell r="N20">
            <v>-0.20887016848364715</v>
          </cell>
          <cell r="O20">
            <v>2.1609771374882625E-2</v>
          </cell>
          <cell r="P20">
            <v>0.16523605150214582</v>
          </cell>
          <cell r="Q20">
            <v>0.56432517758484613</v>
          </cell>
          <cell r="R20">
            <v>2.1291624621594347</v>
          </cell>
          <cell r="S20">
            <v>0.12232613135547665</v>
          </cell>
          <cell r="T20">
            <v>-0.18015515755195866</v>
          </cell>
          <cell r="U20">
            <v>1.9617990654205606</v>
          </cell>
          <cell r="V20">
            <v>-0.39202461247189679</v>
          </cell>
          <cell r="W20">
            <v>0.334857921370183</v>
          </cell>
          <cell r="X20">
            <v>0.24018857378921532</v>
          </cell>
          <cell r="Y20">
            <v>-0.10851376506319188</v>
          </cell>
          <cell r="Z20">
            <v>-3.1540541134580269E-2</v>
          </cell>
          <cell r="AA20">
            <v>3.0287914599490318E-2</v>
          </cell>
          <cell r="AB20">
            <v>0.11565000933401381</v>
          </cell>
          <cell r="AC20">
            <v>2.1740717769811457E-3</v>
          </cell>
          <cell r="AD20">
            <v>-1.5359177538758373E-2</v>
          </cell>
          <cell r="AE20">
            <v>-1.1836856321547073E-2</v>
          </cell>
          <cell r="AF20">
            <v>-8.0565884616177197E-3</v>
          </cell>
          <cell r="AG20">
            <v>-6.2819130020805858E-3</v>
          </cell>
        </row>
        <row r="21">
          <cell r="B21" t="str">
            <v>EBIT (Pre exceptionals)</v>
          </cell>
          <cell r="D21">
            <v>399</v>
          </cell>
          <cell r="E21">
            <v>104</v>
          </cell>
          <cell r="F21">
            <v>93</v>
          </cell>
          <cell r="G21">
            <v>424</v>
          </cell>
          <cell r="H21">
            <v>706</v>
          </cell>
          <cell r="I21">
            <v>246</v>
          </cell>
          <cell r="J21">
            <v>574</v>
          </cell>
          <cell r="K21">
            <v>400</v>
          </cell>
          <cell r="L21">
            <v>495</v>
          </cell>
          <cell r="M21">
            <v>538</v>
          </cell>
          <cell r="N21">
            <v>182</v>
          </cell>
          <cell r="O21">
            <v>188</v>
          </cell>
          <cell r="P21">
            <v>-104</v>
          </cell>
          <cell r="Q21">
            <v>613</v>
          </cell>
          <cell r="R21">
            <v>1718</v>
          </cell>
          <cell r="S21">
            <v>1894</v>
          </cell>
          <cell r="T21">
            <v>1096</v>
          </cell>
          <cell r="U21">
            <v>573</v>
          </cell>
          <cell r="V21">
            <v>280</v>
          </cell>
          <cell r="W21">
            <v>3030</v>
          </cell>
          <cell r="X21">
            <v>4498</v>
          </cell>
          <cell r="Y21">
            <v>4748</v>
          </cell>
          <cell r="Z21">
            <v>5290</v>
          </cell>
          <cell r="AA21">
            <v>5367.677710193906</v>
          </cell>
          <cell r="AB21">
            <v>5510.492024915744</v>
          </cell>
          <cell r="AC21">
            <v>5622.8408488808273</v>
          </cell>
          <cell r="AD21">
            <v>5437.0794214429361</v>
          </cell>
          <cell r="AE21">
            <v>5133.8356278706733</v>
          </cell>
          <cell r="AF21">
            <v>3413.8617812252937</v>
          </cell>
          <cell r="AG21">
            <v>3101.3517904236419</v>
          </cell>
        </row>
        <row r="22">
          <cell r="B22" t="str">
            <v>EBIT Growth (%)</v>
          </cell>
          <cell r="E22">
            <v>-0.73934837092731831</v>
          </cell>
          <cell r="F22">
            <v>-0.10576923076923073</v>
          </cell>
          <cell r="G22">
            <v>3.559139784946237</v>
          </cell>
          <cell r="H22">
            <v>0.66509433962264142</v>
          </cell>
          <cell r="I22">
            <v>-0.65155807365439089</v>
          </cell>
          <cell r="J22">
            <v>1.3333333333333335</v>
          </cell>
          <cell r="K22">
            <v>-0.30313588850174211</v>
          </cell>
          <cell r="L22">
            <v>0.23750000000000004</v>
          </cell>
          <cell r="M22">
            <v>8.6868686868686762E-2</v>
          </cell>
          <cell r="N22">
            <v>-0.66171003717472121</v>
          </cell>
          <cell r="O22">
            <v>3.2967032967033072E-2</v>
          </cell>
          <cell r="P22">
            <v>-1.5531914893617023</v>
          </cell>
          <cell r="Q22">
            <v>-6.8942307692307692</v>
          </cell>
          <cell r="R22">
            <v>1.8026101141924959</v>
          </cell>
          <cell r="S22">
            <v>0.10244470314318965</v>
          </cell>
          <cell r="T22">
            <v>-0.42133051742344241</v>
          </cell>
          <cell r="U22">
            <v>-0.4771897810218978</v>
          </cell>
          <cell r="V22">
            <v>-0.51134380453752182</v>
          </cell>
          <cell r="W22">
            <v>9.8214285714285712</v>
          </cell>
          <cell r="X22">
            <v>0.4844884488448844</v>
          </cell>
          <cell r="Y22">
            <v>5.5580257892396512E-2</v>
          </cell>
          <cell r="Z22">
            <v>0.11415332771693354</v>
          </cell>
          <cell r="AA22">
            <v>1.4683877163309322E-2</v>
          </cell>
          <cell r="AB22">
            <v>2.6606350536027001E-2</v>
          </cell>
          <cell r="AC22">
            <v>2.0388165604286579E-2</v>
          </cell>
          <cell r="AD22">
            <v>-3.3036934964087661E-2</v>
          </cell>
          <cell r="AE22">
            <v>-5.5773287470534227E-2</v>
          </cell>
          <cell r="AF22">
            <v>-0.33502705799693899</v>
          </cell>
          <cell r="AG22">
            <v>-9.1541489031663925E-2</v>
          </cell>
        </row>
        <row r="23">
          <cell r="B23" t="str">
            <v>EBITDA</v>
          </cell>
          <cell r="D23">
            <v>438</v>
          </cell>
          <cell r="E23">
            <v>143</v>
          </cell>
          <cell r="F23">
            <v>151</v>
          </cell>
          <cell r="G23">
            <v>489</v>
          </cell>
          <cell r="H23">
            <v>792</v>
          </cell>
          <cell r="I23">
            <v>356</v>
          </cell>
          <cell r="J23">
            <v>658</v>
          </cell>
          <cell r="K23">
            <v>538</v>
          </cell>
          <cell r="L23">
            <v>825</v>
          </cell>
          <cell r="M23">
            <v>817</v>
          </cell>
          <cell r="N23">
            <v>436</v>
          </cell>
          <cell r="O23">
            <v>432</v>
          </cell>
          <cell r="P23">
            <v>146</v>
          </cell>
          <cell r="Q23">
            <v>902</v>
          </cell>
          <cell r="R23">
            <v>2447</v>
          </cell>
          <cell r="S23">
            <v>2605</v>
          </cell>
          <cell r="T23">
            <v>1568</v>
          </cell>
          <cell r="U23">
            <v>2484</v>
          </cell>
          <cell r="V23">
            <v>2054</v>
          </cell>
          <cell r="W23">
            <v>4153</v>
          </cell>
          <cell r="X23">
            <v>5429</v>
          </cell>
          <cell r="Y23">
            <v>5731</v>
          </cell>
          <cell r="Z23">
            <v>6312</v>
          </cell>
          <cell r="AA23">
            <v>6374.1382199977124</v>
          </cell>
          <cell r="AB23">
            <v>6525.9792035768969</v>
          </cell>
          <cell r="AC23">
            <v>6634.03500280548</v>
          </cell>
          <cell r="AD23">
            <v>6443.6090130066314</v>
          </cell>
          <cell r="AE23">
            <v>6135.5121264816871</v>
          </cell>
          <cell r="AF23">
            <v>4410.6599026975364</v>
          </cell>
          <cell r="AG23">
            <v>4089.7107189453986</v>
          </cell>
        </row>
        <row r="24">
          <cell r="B24" t="str">
            <v>EBITDA Growth (%)</v>
          </cell>
          <cell r="E24">
            <v>-0.67351598173515981</v>
          </cell>
          <cell r="F24">
            <v>5.5944055944056048E-2</v>
          </cell>
          <cell r="G24">
            <v>2.23841059602649</v>
          </cell>
          <cell r="H24">
            <v>0.61963190184049077</v>
          </cell>
          <cell r="I24">
            <v>-0.5505050505050505</v>
          </cell>
          <cell r="J24">
            <v>0.848314606741573</v>
          </cell>
          <cell r="K24">
            <v>-0.18237082066869303</v>
          </cell>
          <cell r="L24">
            <v>0.53345724907063197</v>
          </cell>
          <cell r="M24">
            <v>-9.6969696969696484E-3</v>
          </cell>
          <cell r="N24">
            <v>-0.46634026927784578</v>
          </cell>
          <cell r="O24">
            <v>-9.1743119266054496E-3</v>
          </cell>
          <cell r="P24">
            <v>-0.66203703703703698</v>
          </cell>
          <cell r="Q24">
            <v>5.1780821917808222</v>
          </cell>
          <cell r="R24">
            <v>1.7128603104212861</v>
          </cell>
          <cell r="S24">
            <v>6.4568859828361358E-2</v>
          </cell>
          <cell r="T24">
            <v>-0.39808061420345486</v>
          </cell>
          <cell r="U24">
            <v>0.58418367346938771</v>
          </cell>
          <cell r="V24">
            <v>-0.17310789049919484</v>
          </cell>
          <cell r="W24">
            <v>1.0219084712755597</v>
          </cell>
          <cell r="X24">
            <v>0.30724777269443782</v>
          </cell>
          <cell r="Y24">
            <v>5.5627187327316197E-2</v>
          </cell>
          <cell r="Z24">
            <v>0.10137846798115513</v>
          </cell>
          <cell r="AA24">
            <v>9.8444581745424919E-3</v>
          </cell>
          <cell r="AB24">
            <v>2.3821413709356198E-2</v>
          </cell>
          <cell r="AC24">
            <v>1.6557790924212279E-2</v>
          </cell>
          <cell r="AD24">
            <v>-2.870439931630131E-2</v>
          </cell>
          <cell r="AE24">
            <v>-4.7814336019308512E-2</v>
          </cell>
          <cell r="AF24">
            <v>-0.28112603939603653</v>
          </cell>
          <cell r="AG24">
            <v>-7.2766704038061736E-2</v>
          </cell>
        </row>
        <row r="25">
          <cell r="B25" t="str">
            <v>EPS (Pre exceptionals)</v>
          </cell>
          <cell r="D25">
            <v>2.7749999999999999</v>
          </cell>
          <cell r="E25">
            <v>0.32500000000000001</v>
          </cell>
          <cell r="F25">
            <v>0.05</v>
          </cell>
          <cell r="G25">
            <v>2.7875000000000001</v>
          </cell>
          <cell r="H25">
            <v>4.8624999999999998</v>
          </cell>
          <cell r="I25">
            <v>1.325</v>
          </cell>
          <cell r="J25">
            <v>3.8966083219525638</v>
          </cell>
          <cell r="K25">
            <v>1.0869123154738156</v>
          </cell>
          <cell r="L25">
            <v>-0.41999410665463133</v>
          </cell>
          <cell r="M25">
            <v>0.44131257091232651</v>
          </cell>
          <cell r="N25">
            <v>-1.0818114157950471</v>
          </cell>
          <cell r="O25">
            <v>-1.1114017603107917</v>
          </cell>
          <cell r="P25">
            <v>-1.8438078511115636</v>
          </cell>
          <cell r="Q25">
            <v>0.51397849462365586</v>
          </cell>
          <cell r="R25">
            <v>2.8974220854174684</v>
          </cell>
          <cell r="S25">
            <v>4.0107568190549365</v>
          </cell>
          <cell r="T25" t="str">
            <v>NA</v>
          </cell>
          <cell r="U25" t="str">
            <v>NA</v>
          </cell>
          <cell r="V25" t="str">
            <v>NA</v>
          </cell>
          <cell r="W25">
            <v>2.2199045677333435</v>
          </cell>
          <cell r="X25">
            <v>4.7699694456569182</v>
          </cell>
          <cell r="Y25">
            <v>5.209705372616984</v>
          </cell>
          <cell r="Z25">
            <v>6.8604111357597706</v>
          </cell>
          <cell r="AA25">
            <v>6.5374343219591946</v>
          </cell>
          <cell r="AB25">
            <v>7.0472738055029724</v>
          </cell>
          <cell r="AC25">
            <v>7.511721746533726</v>
          </cell>
          <cell r="AD25">
            <v>7.3933055756999453</v>
          </cell>
          <cell r="AE25">
            <v>7.092262079255776</v>
          </cell>
          <cell r="AF25">
            <v>4.5772006021674887</v>
          </cell>
          <cell r="AG25">
            <v>4.2645811417106172</v>
          </cell>
        </row>
        <row r="26">
          <cell r="B26" t="str">
            <v>EPS (Pre exceptionals) growth (%)</v>
          </cell>
          <cell r="E26">
            <v>-0.88288288288288286</v>
          </cell>
          <cell r="F26">
            <v>-0.84615384615384615</v>
          </cell>
          <cell r="G26">
            <v>54.75</v>
          </cell>
          <cell r="H26">
            <v>0.74439461883408065</v>
          </cell>
          <cell r="I26">
            <v>-0.72750642673521848</v>
          </cell>
          <cell r="J26">
            <v>1.9408364693981612</v>
          </cell>
          <cell r="K26">
            <v>-0.72106195294240627</v>
          </cell>
          <cell r="L26">
            <v>-1.3864102933377327</v>
          </cell>
          <cell r="M26">
            <v>-2.0507589604709042</v>
          </cell>
          <cell r="N26">
            <v>-3.4513496489769504</v>
          </cell>
          <cell r="O26">
            <v>2.7352590371768182E-2</v>
          </cell>
          <cell r="P26">
            <v>0.65899309948543028</v>
          </cell>
          <cell r="Q26">
            <v>-1.2787592504901186</v>
          </cell>
          <cell r="R26">
            <v>4.637243806356163</v>
          </cell>
          <cell r="S26">
            <v>0.38425010261390891</v>
          </cell>
          <cell r="T26" t="str">
            <v>NM</v>
          </cell>
          <cell r="U26" t="str">
            <v>NM</v>
          </cell>
          <cell r="V26" t="str">
            <v>NM</v>
          </cell>
          <cell r="W26" t="str">
            <v>NM</v>
          </cell>
          <cell r="X26">
            <v>1.1487272538599913</v>
          </cell>
          <cell r="Y26">
            <v>9.2188415873491136E-2</v>
          </cell>
          <cell r="Z26">
            <v>0.31685203770239112</v>
          </cell>
          <cell r="AA26">
            <v>-4.7078346677659755E-2</v>
          </cell>
          <cell r="AB26">
            <v>7.7987702581000518E-2</v>
          </cell>
          <cell r="AC26">
            <v>6.5904625511794768E-2</v>
          </cell>
          <cell r="AD26">
            <v>-1.5764184940479709E-2</v>
          </cell>
          <cell r="AE26">
            <v>-4.0718389543322631E-2</v>
          </cell>
          <cell r="AF26">
            <v>-0.35462049329009071</v>
          </cell>
          <cell r="AG26">
            <v>-6.8299270149714153E-2</v>
          </cell>
        </row>
        <row r="27">
          <cell r="B27" t="str">
            <v>Reported EPS</v>
          </cell>
          <cell r="D27">
            <v>2.7749999999999999</v>
          </cell>
          <cell r="E27">
            <v>0.2</v>
          </cell>
          <cell r="F27">
            <v>0.32500000000000001</v>
          </cell>
          <cell r="G27">
            <v>2.7875000000000001</v>
          </cell>
          <cell r="H27">
            <v>4.8624999999999998</v>
          </cell>
          <cell r="I27">
            <v>1.575</v>
          </cell>
          <cell r="J27">
            <v>3.5833761417312968</v>
          </cell>
          <cell r="K27">
            <v>0.66924928248754811</v>
          </cell>
          <cell r="L27">
            <v>-1.1152596615429375</v>
          </cell>
          <cell r="M27">
            <v>3.7103703577917777</v>
          </cell>
          <cell r="N27">
            <v>-1.2759116388659697</v>
          </cell>
          <cell r="O27">
            <v>-1.1049476269756537</v>
          </cell>
          <cell r="P27">
            <v>-1.8381010346926352</v>
          </cell>
          <cell r="Q27">
            <v>0.29032258064516131</v>
          </cell>
          <cell r="R27">
            <v>2.0430934974990382</v>
          </cell>
          <cell r="S27">
            <v>0.71456012293507487</v>
          </cell>
          <cell r="T27" t="str">
            <v>NA</v>
          </cell>
          <cell r="U27" t="str">
            <v>NA</v>
          </cell>
          <cell r="V27" t="str">
            <v>NA</v>
          </cell>
          <cell r="W27">
            <v>17.951563188022899</v>
          </cell>
          <cell r="X27">
            <v>3.7363596682671321</v>
          </cell>
          <cell r="Y27">
            <v>4.9116117850953209</v>
          </cell>
          <cell r="Z27">
            <v>6.8479570699012857</v>
          </cell>
          <cell r="AA27">
            <v>6.5374343219591946</v>
          </cell>
          <cell r="AB27">
            <v>7.0472738055029724</v>
          </cell>
          <cell r="AC27">
            <v>7.511721746533726</v>
          </cell>
          <cell r="AD27">
            <v>7.3933055756999453</v>
          </cell>
          <cell r="AE27">
            <v>7.092262079255776</v>
          </cell>
          <cell r="AF27">
            <v>4.5772006021674887</v>
          </cell>
          <cell r="AG27">
            <v>4.2645811417106172</v>
          </cell>
        </row>
        <row r="28">
          <cell r="B28" t="str">
            <v>Regular DPS</v>
          </cell>
          <cell r="D28">
            <v>1.75</v>
          </cell>
          <cell r="E28">
            <v>1.8</v>
          </cell>
          <cell r="F28">
            <v>1.35</v>
          </cell>
          <cell r="G28">
            <v>0.9</v>
          </cell>
          <cell r="H28">
            <v>0.9</v>
          </cell>
          <cell r="I28">
            <v>0.9</v>
          </cell>
          <cell r="J28">
            <v>0.9</v>
          </cell>
          <cell r="K28">
            <v>0.9</v>
          </cell>
          <cell r="L28">
            <v>0.9</v>
          </cell>
          <cell r="M28">
            <v>0.9</v>
          </cell>
          <cell r="N28">
            <v>0.9</v>
          </cell>
          <cell r="O28">
            <v>0.9</v>
          </cell>
          <cell r="P28">
            <v>0.9</v>
          </cell>
          <cell r="Q28">
            <v>0.9</v>
          </cell>
          <cell r="R28">
            <v>0.9</v>
          </cell>
          <cell r="S28">
            <v>0.9</v>
          </cell>
          <cell r="T28" t="str">
            <v>NA</v>
          </cell>
          <cell r="U28" t="str">
            <v>NA</v>
          </cell>
          <cell r="V28" t="str">
            <v>NA</v>
          </cell>
          <cell r="W28">
            <v>0</v>
          </cell>
          <cell r="X28">
            <v>0.55000000000000004</v>
          </cell>
          <cell r="Y28">
            <v>1.4500000000000002</v>
          </cell>
          <cell r="Z28">
            <v>1.8</v>
          </cell>
          <cell r="AA28">
            <v>1.89</v>
          </cell>
          <cell r="AB28">
            <v>2.8189095222011891</v>
          </cell>
          <cell r="AC28">
            <v>3.0046886986134904</v>
          </cell>
          <cell r="AD28">
            <v>2.9573222302799782</v>
          </cell>
          <cell r="AE28">
            <v>2.8369048317023102</v>
          </cell>
          <cell r="AF28">
            <v>1.8308802408669957</v>
          </cell>
          <cell r="AG28">
            <v>1.7058324566842469</v>
          </cell>
        </row>
        <row r="29">
          <cell r="B29" t="str">
            <v>Free cash flow per share</v>
          </cell>
          <cell r="E29">
            <v>0.81499999999999984</v>
          </cell>
          <cell r="F29">
            <v>0.33126250000000007</v>
          </cell>
          <cell r="G29">
            <v>-0.69359999999999999</v>
          </cell>
          <cell r="H29">
            <v>-5.8652499999999996</v>
          </cell>
          <cell r="I29">
            <v>-3.4540999999999995</v>
          </cell>
          <cell r="J29">
            <v>2.1468181875133121</v>
          </cell>
          <cell r="K29">
            <v>-72.931080194082298</v>
          </cell>
          <cell r="L29">
            <v>5.2427647995703088</v>
          </cell>
          <cell r="M29">
            <v>22.713997819705163</v>
          </cell>
          <cell r="N29">
            <v>3.1240398187581953</v>
          </cell>
          <cell r="O29">
            <v>3.8618394028817256</v>
          </cell>
          <cell r="P29">
            <v>-7.1214995134654333E-2</v>
          </cell>
          <cell r="Q29">
            <v>1.6327956989247312</v>
          </cell>
          <cell r="R29">
            <v>5.5564447864563293</v>
          </cell>
          <cell r="S29">
            <v>-4.4092463035581595</v>
          </cell>
          <cell r="T29" t="str">
            <v>NA</v>
          </cell>
          <cell r="U29" t="str">
            <v>NA</v>
          </cell>
          <cell r="V29" t="str">
            <v>NA</v>
          </cell>
          <cell r="W29">
            <v>2.4462166222002999</v>
          </cell>
          <cell r="X29">
            <v>2.979046307296537</v>
          </cell>
          <cell r="Y29">
            <v>6.1885723946355728</v>
          </cell>
          <cell r="Z29">
            <v>5.1941149112207281</v>
          </cell>
          <cell r="AA29">
            <v>5.2768641409630614</v>
          </cell>
          <cell r="AB29">
            <v>5.5586483342433732</v>
          </cell>
          <cell r="AC29">
            <v>7.4934159372854516</v>
          </cell>
          <cell r="AD29">
            <v>7.5692566505610346</v>
          </cell>
          <cell r="AE29">
            <v>7.2979493252981023</v>
          </cell>
          <cell r="AF29">
            <v>4.8421951414481237</v>
          </cell>
          <cell r="AG29">
            <v>4.5784019549625494</v>
          </cell>
        </row>
        <row r="31">
          <cell r="B31" t="str">
            <v>Valuation summary</v>
          </cell>
          <cell r="D31">
            <v>1991</v>
          </cell>
          <cell r="E31">
            <v>1992</v>
          </cell>
          <cell r="F31">
            <v>1993</v>
          </cell>
          <cell r="G31">
            <v>1994</v>
          </cell>
          <cell r="H31">
            <v>1995</v>
          </cell>
          <cell r="I31">
            <v>1996</v>
          </cell>
          <cell r="J31">
            <v>1997</v>
          </cell>
          <cell r="K31">
            <v>1998</v>
          </cell>
          <cell r="L31">
            <v>1999</v>
          </cell>
          <cell r="M31">
            <v>2000</v>
          </cell>
          <cell r="N31">
            <v>2001</v>
          </cell>
          <cell r="O31">
            <v>2002</v>
          </cell>
          <cell r="P31">
            <v>2003</v>
          </cell>
          <cell r="Q31">
            <v>2004</v>
          </cell>
          <cell r="R31">
            <v>2005</v>
          </cell>
          <cell r="S31">
            <v>2006</v>
          </cell>
          <cell r="T31">
            <v>2007</v>
          </cell>
          <cell r="U31">
            <v>2008</v>
          </cell>
          <cell r="V31" t="str">
            <v>2009</v>
          </cell>
          <cell r="W31" t="str">
            <v>2010</v>
          </cell>
          <cell r="X31" t="str">
            <v>2011</v>
          </cell>
          <cell r="Y31" t="str">
            <v>2012</v>
          </cell>
          <cell r="Z31" t="str">
            <v>2013e</v>
          </cell>
          <cell r="AA31" t="str">
            <v>2014e</v>
          </cell>
          <cell r="AB31" t="str">
            <v>2015e</v>
          </cell>
          <cell r="AC31" t="str">
            <v>2016e</v>
          </cell>
          <cell r="AD31" t="str">
            <v>2017e</v>
          </cell>
          <cell r="AE31" t="str">
            <v>2018e</v>
          </cell>
          <cell r="AF31" t="str">
            <v>2019e</v>
          </cell>
          <cell r="AG31" t="str">
            <v>2020e</v>
          </cell>
        </row>
        <row r="33">
          <cell r="B33" t="str">
            <v>P/E (x)</v>
          </cell>
          <cell r="W33">
            <v>34.235705941900278</v>
          </cell>
          <cell r="X33">
            <v>15.933016105417277</v>
          </cell>
          <cell r="Y33">
            <v>14.588157019294744</v>
          </cell>
          <cell r="Z33">
            <v>11.07805326766079</v>
          </cell>
          <cell r="AA33">
            <v>11.625355798178584</v>
          </cell>
          <cell r="AB33">
            <v>10.784312075494247</v>
          </cell>
          <cell r="AC33">
            <v>10.117520664962077</v>
          </cell>
          <cell r="AD33">
            <v>10.279569702866619</v>
          </cell>
          <cell r="AE33">
            <v>10.71590405863499</v>
          </cell>
          <cell r="AF33">
            <v>16.60403521838456</v>
          </cell>
          <cell r="AG33">
            <v>17.821210917214422</v>
          </cell>
        </row>
        <row r="34">
          <cell r="B34" t="str">
            <v>EV/ EBITDA (x)</v>
          </cell>
          <cell r="W34">
            <v>11.178184444979532</v>
          </cell>
          <cell r="X34">
            <v>8.8401178854300984</v>
          </cell>
          <cell r="Y34">
            <v>8.1778179155470259</v>
          </cell>
          <cell r="Z34">
            <v>7.1866069048460375</v>
          </cell>
          <cell r="AA34">
            <v>7.0783648262009304</v>
          </cell>
          <cell r="AB34">
            <v>6.6900079894415416</v>
          </cell>
          <cell r="AC34">
            <v>6.3078646666114144</v>
          </cell>
          <cell r="AD34">
            <v>6.293690232307239</v>
          </cell>
          <cell r="AE34">
            <v>6.4300101181489993</v>
          </cell>
          <cell r="AF34">
            <v>8.7867925080552283</v>
          </cell>
          <cell r="AG34">
            <v>9.3589081085905672</v>
          </cell>
        </row>
        <row r="35">
          <cell r="B35" t="str">
            <v>EV/ Sales (x)</v>
          </cell>
          <cell r="W35">
            <v>1.1360355762921921</v>
          </cell>
          <cell r="X35">
            <v>0.91601841873224255</v>
          </cell>
          <cell r="Y35">
            <v>1.0275182979097524</v>
          </cell>
          <cell r="Z35">
            <v>1.0609822522808769</v>
          </cell>
          <cell r="AA35">
            <v>1.0297920001258276</v>
          </cell>
          <cell r="AB35">
            <v>0.92304216511463211</v>
          </cell>
          <cell r="AC35">
            <v>0.92103975857004738</v>
          </cell>
          <cell r="AD35">
            <v>0.93540683827000515</v>
          </cell>
          <cell r="AE35">
            <v>0.94661174549370297</v>
          </cell>
          <cell r="AF35">
            <v>0.95430014906356864</v>
          </cell>
          <cell r="AG35">
            <v>0.96033287664770739</v>
          </cell>
        </row>
        <row r="36">
          <cell r="B36" t="str">
            <v>Price/ Free cash flow</v>
          </cell>
          <cell r="W36">
            <v>43.791750503018108</v>
          </cell>
          <cell r="X36">
            <v>30.082239115411195</v>
          </cell>
          <cell r="Y36">
            <v>12.635413642960813</v>
          </cell>
          <cell r="Z36">
            <v>12.935304947087538</v>
          </cell>
          <cell r="AA36">
            <v>15.250485465704626</v>
          </cell>
          <cell r="AB36">
            <v>16.367125893939779</v>
          </cell>
          <cell r="AC36">
            <v>12.653643125574831</v>
          </cell>
          <cell r="AD36">
            <v>13.042895045195825</v>
          </cell>
          <cell r="AE36">
            <v>13.978033541119116</v>
          </cell>
          <cell r="AF36">
            <v>21.958098881815204</v>
          </cell>
          <cell r="AG36">
            <v>22.871654066886627</v>
          </cell>
        </row>
        <row r="37">
          <cell r="B37" t="str">
            <v>Free cash flow yield</v>
          </cell>
          <cell r="W37">
            <v>2.2835351145213536E-2</v>
          </cell>
          <cell r="X37">
            <v>3.324220634519516E-2</v>
          </cell>
          <cell r="Y37">
            <v>7.9142640538491585E-2</v>
          </cell>
          <cell r="Z37">
            <v>7.7307802490203845E-2</v>
          </cell>
          <cell r="AA37">
            <v>6.9432422907408697E-2</v>
          </cell>
          <cell r="AB37">
            <v>7.3140109661097019E-2</v>
          </cell>
          <cell r="AC37">
            <v>9.8597578122176996E-2</v>
          </cell>
          <cell r="AD37">
            <v>9.959548224422414E-2</v>
          </cell>
          <cell r="AE37">
            <v>9.6025649017080286E-2</v>
          </cell>
          <cell r="AF37">
            <v>6.3713093966422676E-2</v>
          </cell>
          <cell r="AG37">
            <v>6.0242130986349333E-2</v>
          </cell>
        </row>
        <row r="38">
          <cell r="B38" t="str">
            <v>Regular Dividend Yield (%)</v>
          </cell>
          <cell r="W38">
            <v>0</v>
          </cell>
          <cell r="X38">
            <v>7.2368421052631587E-3</v>
          </cell>
          <cell r="Y38">
            <v>1.9078947368421056E-2</v>
          </cell>
          <cell r="Z38">
            <v>2.368421052631579E-2</v>
          </cell>
          <cell r="AA38">
            <v>2.4868421052631578E-2</v>
          </cell>
          <cell r="AB38">
            <v>3.7090914765805116E-2</v>
          </cell>
          <cell r="AC38">
            <v>3.95353776133354E-2</v>
          </cell>
          <cell r="AD38">
            <v>3.8912134608947081E-2</v>
          </cell>
          <cell r="AE38">
            <v>3.7327695153977769E-2</v>
          </cell>
          <cell r="AF38">
            <v>2.4090529485092049E-2</v>
          </cell>
          <cell r="AG38">
            <v>2.244516390374009E-2</v>
          </cell>
        </row>
        <row r="40">
          <cell r="B40" t="str">
            <v>Key financial ratios</v>
          </cell>
          <cell r="D40">
            <v>1991</v>
          </cell>
          <cell r="E40">
            <v>1992</v>
          </cell>
          <cell r="F40">
            <v>1993</v>
          </cell>
          <cell r="G40">
            <v>1994</v>
          </cell>
          <cell r="H40">
            <v>1995</v>
          </cell>
          <cell r="I40">
            <v>1996</v>
          </cell>
          <cell r="J40">
            <v>1997</v>
          </cell>
          <cell r="K40">
            <v>1998</v>
          </cell>
          <cell r="L40">
            <v>1999</v>
          </cell>
          <cell r="M40">
            <v>2000</v>
          </cell>
          <cell r="N40">
            <v>2001</v>
          </cell>
          <cell r="O40">
            <v>2002</v>
          </cell>
          <cell r="P40">
            <v>2003</v>
          </cell>
          <cell r="Q40">
            <v>2004</v>
          </cell>
          <cell r="R40">
            <v>2005</v>
          </cell>
          <cell r="S40">
            <v>2006</v>
          </cell>
          <cell r="T40">
            <v>2007</v>
          </cell>
          <cell r="U40">
            <v>2008</v>
          </cell>
          <cell r="V40" t="str">
            <v>2009</v>
          </cell>
          <cell r="W40" t="str">
            <v>2010</v>
          </cell>
          <cell r="X40" t="str">
            <v>2011</v>
          </cell>
          <cell r="Y40" t="str">
            <v>2012</v>
          </cell>
          <cell r="Z40" t="str">
            <v>2013e</v>
          </cell>
          <cell r="AA40" t="str">
            <v>2014e</v>
          </cell>
          <cell r="AB40" t="str">
            <v>2015e</v>
          </cell>
          <cell r="AC40" t="str">
            <v>2016e</v>
          </cell>
          <cell r="AD40" t="str">
            <v>2017e</v>
          </cell>
          <cell r="AE40" t="str">
            <v>2018e</v>
          </cell>
          <cell r="AF40" t="str">
            <v>2019e</v>
          </cell>
          <cell r="AG40" t="str">
            <v>2020e</v>
          </cell>
        </row>
        <row r="42">
          <cell r="B42" t="str">
            <v>Gross margin (%)</v>
          </cell>
          <cell r="D42">
            <v>9.8343504795117692E-2</v>
          </cell>
          <cell r="E42">
            <v>5.6144728633811605E-2</v>
          </cell>
          <cell r="F42">
            <v>7.2987012987012989E-2</v>
          </cell>
          <cell r="G42">
            <v>0.16230230749287011</v>
          </cell>
          <cell r="H42">
            <v>0.20178282009724474</v>
          </cell>
          <cell r="I42">
            <v>0.1989409984871407</v>
          </cell>
          <cell r="J42">
            <v>0.24739402362751911</v>
          </cell>
          <cell r="K42">
            <v>0.34277816171389081</v>
          </cell>
          <cell r="L42">
            <v>0.31058759815867859</v>
          </cell>
          <cell r="M42">
            <v>0.23389494549058473</v>
          </cell>
          <cell r="N42">
            <v>0.18321327904791732</v>
          </cell>
          <cell r="O42">
            <v>0.18638871857755979</v>
          </cell>
          <cell r="P42">
            <v>0.11891607471717969</v>
          </cell>
          <cell r="Q42">
            <v>0.13101244534140599</v>
          </cell>
          <cell r="R42">
            <v>0.15973341932709878</v>
          </cell>
          <cell r="S42">
            <v>0.1488363183603103</v>
          </cell>
          <cell r="T42">
            <v>0.1399532710280374</v>
          </cell>
          <cell r="U42">
            <v>7.5671518163530946E-2</v>
          </cell>
          <cell r="V42">
            <v>0.10477487997923965</v>
          </cell>
          <cell r="W42">
            <v>0.12172243687881218</v>
          </cell>
          <cell r="X42">
            <v>0.12416968746938375</v>
          </cell>
          <cell r="Y42">
            <v>0.14660307273007012</v>
          </cell>
          <cell r="Z42">
            <v>0.16179474377014208</v>
          </cell>
          <cell r="AA42">
            <v>0.16964275895350517</v>
          </cell>
          <cell r="AB42">
            <v>0.15637651588199725</v>
          </cell>
          <cell r="AC42">
            <v>0.15845650503080716</v>
          </cell>
          <cell r="AD42">
            <v>0.15685978237763493</v>
          </cell>
          <cell r="AE42">
            <v>0.15231869837843401</v>
          </cell>
          <cell r="AF42">
            <v>0.11839091180523413</v>
          </cell>
          <cell r="AG42">
            <v>0.11276798313229082</v>
          </cell>
        </row>
        <row r="43">
          <cell r="B43" t="str">
            <v>EBITDA margin (%)</v>
          </cell>
          <cell r="D43">
            <v>7.6373147340889277E-2</v>
          </cell>
          <cell r="E43">
            <v>2.9735911831981703E-2</v>
          </cell>
          <cell r="F43">
            <v>3.9220779220779219E-2</v>
          </cell>
          <cell r="G43">
            <v>0.12678247342494167</v>
          </cell>
          <cell r="H43">
            <v>0.16045380875202594</v>
          </cell>
          <cell r="I43">
            <v>0.1346444780635401</v>
          </cell>
          <cell r="J43">
            <v>0.22863099374565671</v>
          </cell>
          <cell r="K43">
            <v>0.37180373185901866</v>
          </cell>
          <cell r="L43">
            <v>0.22339561332250202</v>
          </cell>
          <cell r="M43">
            <v>0.20242814667988107</v>
          </cell>
          <cell r="N43">
            <v>0.13654870028186658</v>
          </cell>
          <cell r="O43">
            <v>0.13243408951563457</v>
          </cell>
          <cell r="P43">
            <v>3.8410944488292555E-2</v>
          </cell>
          <cell r="Q43">
            <v>0.15169862092162797</v>
          </cell>
          <cell r="R43">
            <v>0.13151671503815973</v>
          </cell>
          <cell r="S43">
            <v>0.12474858730006705</v>
          </cell>
          <cell r="T43">
            <v>9.1588785046728974E-2</v>
          </cell>
          <cell r="U43">
            <v>4.898828541001065E-2</v>
          </cell>
          <cell r="V43">
            <v>6.6627741014661998E-2</v>
          </cell>
          <cell r="W43">
            <v>0.10092099827464703</v>
          </cell>
          <cell r="X43">
            <v>0.10637797589889292</v>
          </cell>
          <cell r="Y43">
            <v>0.12596434929775591</v>
          </cell>
          <cell r="Z43">
            <v>0.14325268939222005</v>
          </cell>
          <cell r="AA43">
            <v>0.14041020228560883</v>
          </cell>
          <cell r="AB43">
            <v>0.12885310859189888</v>
          </cell>
          <cell r="AC43">
            <v>0.13070247486211903</v>
          </cell>
          <cell r="AD43">
            <v>0.12893101315332181</v>
          </cell>
          <cell r="AE43">
            <v>0.12423683594401187</v>
          </cell>
          <cell r="AF43">
            <v>9.0036009382296181E-2</v>
          </cell>
          <cell r="AG43">
            <v>8.4012142706406515E-2</v>
          </cell>
        </row>
        <row r="44">
          <cell r="B44" t="str">
            <v>Capex/ depreciation</v>
          </cell>
          <cell r="D44">
            <v>0</v>
          </cell>
          <cell r="E44">
            <v>2.4871794871794872</v>
          </cell>
          <cell r="F44">
            <v>1.1896551724137931</v>
          </cell>
          <cell r="G44">
            <v>3.8769230769230769</v>
          </cell>
          <cell r="H44">
            <v>11.418604651162791</v>
          </cell>
          <cell r="I44">
            <v>5.5363636363636362</v>
          </cell>
          <cell r="J44">
            <v>0.6901408450704225</v>
          </cell>
          <cell r="K44">
            <v>0.85333333333333339</v>
          </cell>
          <cell r="L44">
            <v>0.65829145728643212</v>
          </cell>
          <cell r="M44">
            <v>0.65</v>
          </cell>
          <cell r="N44">
            <v>0.54838709677419351</v>
          </cell>
          <cell r="O44">
            <v>0.16058394160583941</v>
          </cell>
          <cell r="P44">
            <v>1.4725274725274726</v>
          </cell>
          <cell r="Q44">
            <v>0.34653465346534651</v>
          </cell>
          <cell r="R44">
            <v>0.46025878003696857</v>
          </cell>
          <cell r="S44">
            <v>0.65789473684210531</v>
          </cell>
          <cell r="T44">
            <v>1.0378787878787878</v>
          </cell>
          <cell r="U44">
            <v>0.61425061425061422</v>
          </cell>
          <cell r="V44">
            <v>0.51419141914191424</v>
          </cell>
          <cell r="W44">
            <v>0.75877192982456143</v>
          </cell>
          <cell r="X44">
            <v>1.4423076923076923</v>
          </cell>
          <cell r="Y44">
            <v>1.3118811881188119</v>
          </cell>
          <cell r="Z44">
            <v>1.7710548909051993</v>
          </cell>
          <cell r="AA44">
            <v>1.7373211756280924</v>
          </cell>
          <cell r="AB44">
            <v>1.3838719817840741</v>
          </cell>
          <cell r="AC44">
            <v>1.1112357457286326</v>
          </cell>
          <cell r="AD44">
            <v>1.1031062132055978</v>
          </cell>
          <cell r="AE44">
            <v>1.0991103970046747</v>
          </cell>
          <cell r="AF44">
            <v>1.0988606676370956</v>
          </cell>
          <cell r="AG44">
            <v>1.0189566178734319</v>
          </cell>
        </row>
        <row r="45">
          <cell r="B45" t="str">
            <v>Net Debt/(Cash) on B/S (m)</v>
          </cell>
          <cell r="E45">
            <v>633</v>
          </cell>
          <cell r="F45">
            <v>730</v>
          </cell>
          <cell r="G45">
            <v>891</v>
          </cell>
          <cell r="H45">
            <v>1406</v>
          </cell>
          <cell r="I45">
            <v>1847</v>
          </cell>
          <cell r="J45">
            <v>264</v>
          </cell>
          <cell r="K45">
            <v>6977</v>
          </cell>
          <cell r="L45">
            <v>6166</v>
          </cell>
          <cell r="M45">
            <v>3775</v>
          </cell>
          <cell r="N45">
            <v>3883</v>
          </cell>
          <cell r="O45">
            <v>3762</v>
          </cell>
          <cell r="P45">
            <v>3868</v>
          </cell>
          <cell r="Q45">
            <v>7240</v>
          </cell>
          <cell r="R45">
            <v>5880</v>
          </cell>
          <cell r="S45">
            <v>7768</v>
          </cell>
          <cell r="T45">
            <v>23999</v>
          </cell>
          <cell r="U45">
            <v>23214</v>
          </cell>
          <cell r="V45">
            <v>6544</v>
          </cell>
          <cell r="W45">
            <v>1921</v>
          </cell>
          <cell r="X45">
            <v>3021</v>
          </cell>
          <cell r="Y45">
            <v>1708</v>
          </cell>
          <cell r="Z45">
            <v>1212.5864564589167</v>
          </cell>
          <cell r="AA45">
            <v>3838.1897790958665</v>
          </cell>
          <cell r="AB45">
            <v>5243.7043274743137</v>
          </cell>
          <cell r="AC45">
            <v>4973.6539501269681</v>
          </cell>
          <cell r="AD45">
            <v>4706.5910357065886</v>
          </cell>
          <cell r="AE45">
            <v>4476.6147177253879</v>
          </cell>
          <cell r="AF45">
            <v>4377.4971316768551</v>
          </cell>
          <cell r="AG45">
            <v>4285.793454637791</v>
          </cell>
        </row>
        <row r="46">
          <cell r="B46" t="str">
            <v>Net debt to capital</v>
          </cell>
          <cell r="E46">
            <v>0.84625668449197866</v>
          </cell>
          <cell r="F46">
            <v>1.1459968602825745</v>
          </cell>
          <cell r="G46">
            <v>1.1423076923076922</v>
          </cell>
          <cell r="H46">
            <v>1.0516080777860883</v>
          </cell>
          <cell r="I46">
            <v>1.0633275762809442</v>
          </cell>
          <cell r="J46">
            <v>0.27385892116182575</v>
          </cell>
          <cell r="K46">
            <v>0.92190803382663844</v>
          </cell>
          <cell r="L46">
            <v>0.84721077219016216</v>
          </cell>
          <cell r="M46">
            <v>0.75515103020604124</v>
          </cell>
          <cell r="N46">
            <v>0.84376358105171667</v>
          </cell>
          <cell r="O46">
            <v>0.736780258519389</v>
          </cell>
          <cell r="P46">
            <v>0.72884869040889388</v>
          </cell>
          <cell r="Q46">
            <v>0.68716780561883073</v>
          </cell>
          <cell r="R46">
            <v>0.63219008708740998</v>
          </cell>
          <cell r="S46">
            <v>0.69184182401140004</v>
          </cell>
          <cell r="T46">
            <v>0.91126215066828675</v>
          </cell>
          <cell r="U46">
            <v>1.2977415026833632</v>
          </cell>
          <cell r="V46">
            <v>-3.285140562248996</v>
          </cell>
          <cell r="W46">
            <v>0.10904240222512346</v>
          </cell>
          <cell r="X46">
            <v>0.20656410256410257</v>
          </cell>
          <cell r="Y46">
            <v>0.10991698307484395</v>
          </cell>
          <cell r="Z46">
            <v>7.4906042724766114E-2</v>
          </cell>
          <cell r="AA46">
            <v>0.20907124173457961</v>
          </cell>
          <cell r="AB46">
            <v>0.2861586211892358</v>
          </cell>
          <cell r="AC46">
            <v>0.25530885586937352</v>
          </cell>
          <cell r="AD46">
            <v>0.22374984048673915</v>
          </cell>
          <cell r="AE46">
            <v>0.21375601848820908</v>
          </cell>
          <cell r="AF46">
            <v>0.22355940912254874</v>
          </cell>
          <cell r="AG46">
            <v>0.23604720134285145</v>
          </cell>
        </row>
        <row r="47">
          <cell r="B47" t="str">
            <v>Net debt/ EBITDA</v>
          </cell>
          <cell r="E47">
            <v>4.4265734265734267</v>
          </cell>
          <cell r="F47">
            <v>4.8344370860927155</v>
          </cell>
          <cell r="G47">
            <v>1.8220858895705521</v>
          </cell>
          <cell r="H47">
            <v>1.7752525252525253</v>
          </cell>
          <cell r="I47">
            <v>5.1882022471910112</v>
          </cell>
          <cell r="J47">
            <v>0.40121580547112462</v>
          </cell>
          <cell r="K47">
            <v>12.968401486988848</v>
          </cell>
          <cell r="L47">
            <v>7.4739393939393937</v>
          </cell>
          <cell r="M47">
            <v>4.6205630354957163</v>
          </cell>
          <cell r="N47">
            <v>8.9059633027522942</v>
          </cell>
          <cell r="O47">
            <v>8.7083333333333339</v>
          </cell>
          <cell r="P47">
            <v>26.493150684931507</v>
          </cell>
          <cell r="Q47">
            <v>8.0266075388026614</v>
          </cell>
          <cell r="R47">
            <v>2.4029423784225581</v>
          </cell>
          <cell r="S47">
            <v>2.9819577735124758</v>
          </cell>
          <cell r="T47">
            <v>15.305484693877551</v>
          </cell>
          <cell r="U47">
            <v>9.345410628019323</v>
          </cell>
          <cell r="V47">
            <v>3.1859785783836418</v>
          </cell>
          <cell r="W47">
            <v>0.46255718757524683</v>
          </cell>
          <cell r="X47">
            <v>0.5564560692576902</v>
          </cell>
          <cell r="Y47">
            <v>0.29802826731809456</v>
          </cell>
          <cell r="Z47">
            <v>0.1921081204782821</v>
          </cell>
          <cell r="AA47">
            <v>0.60215038435379953</v>
          </cell>
          <cell r="AB47">
            <v>0.80351226442772494</v>
          </cell>
          <cell r="AC47">
            <v>0.7497177732742818</v>
          </cell>
          <cell r="AD47">
            <v>0.73042778141972675</v>
          </cell>
          <cell r="AE47">
            <v>0.72962364435785609</v>
          </cell>
          <cell r="AF47">
            <v>0.99248122236756475</v>
          </cell>
          <cell r="AG47">
            <v>1.0479453802891359</v>
          </cell>
        </row>
        <row r="48">
          <cell r="B48" t="str">
            <v>RNOA</v>
          </cell>
          <cell r="E48">
            <v>0.11196172248803828</v>
          </cell>
          <cell r="F48">
            <v>6.5791021671826627E-2</v>
          </cell>
          <cell r="G48">
            <v>0.27773305954825461</v>
          </cell>
          <cell r="H48">
            <v>0.23545791424033882</v>
          </cell>
          <cell r="I48">
            <v>6.7129170230966637E-2</v>
          </cell>
          <cell r="J48">
            <v>-0.95465263157894742</v>
          </cell>
          <cell r="K48">
            <v>3.2875019310984091E-2</v>
          </cell>
          <cell r="L48">
            <v>5.6268268918480024E-2</v>
          </cell>
          <cell r="M48">
            <v>0.11502123572129608</v>
          </cell>
          <cell r="N48">
            <v>4.4278713808789373E-2</v>
          </cell>
          <cell r="O48">
            <v>5.1856178608515061E-2</v>
          </cell>
          <cell r="P48">
            <v>-2.3080103747697627E-2</v>
          </cell>
          <cell r="Q48">
            <v>4.5678092399403875E-2</v>
          </cell>
          <cell r="R48">
            <v>0.140747567844342</v>
          </cell>
          <cell r="S48">
            <v>0.11842302005840169</v>
          </cell>
          <cell r="T48">
            <v>3.8465447105478577E-2</v>
          </cell>
          <cell r="U48">
            <v>2.4965917091125344E-2</v>
          </cell>
          <cell r="V48">
            <v>1.3938422541975295E-2</v>
          </cell>
          <cell r="W48">
            <v>0.17344340916919579</v>
          </cell>
          <cell r="X48">
            <v>0.25374159964237286</v>
          </cell>
          <cell r="Y48">
            <v>0.29440160033261126</v>
          </cell>
          <cell r="Z48">
            <v>0.32316108366396268</v>
          </cell>
          <cell r="AA48">
            <v>0.30725474160519889</v>
          </cell>
          <cell r="AB48">
            <v>0.29635977717489709</v>
          </cell>
          <cell r="AC48">
            <v>0.30138290339784857</v>
          </cell>
          <cell r="AD48">
            <v>0.29128019994754462</v>
          </cell>
          <cell r="AE48">
            <v>0.27438248436564827</v>
          </cell>
          <cell r="AF48">
            <v>0.18173835546743092</v>
          </cell>
          <cell r="AG48">
            <v>0.16493550252715294</v>
          </cell>
        </row>
        <row r="49">
          <cell r="B49" t="str">
            <v>ROE</v>
          </cell>
          <cell r="E49">
            <v>-4.333333333333333</v>
          </cell>
          <cell r="F49">
            <v>-4.5454545454545456E-2</v>
          </cell>
          <cell r="G49">
            <v>3.5396825396825395</v>
          </cell>
          <cell r="H49">
            <v>1.0236842105263158</v>
          </cell>
          <cell r="I49">
            <v>0.24593967517401391</v>
          </cell>
          <cell r="J49">
            <v>0.50242326332794829</v>
          </cell>
          <cell r="K49">
            <v>0.14712891986062718</v>
          </cell>
          <cell r="L49">
            <v>-4.3006645787182031E-2</v>
          </cell>
          <cell r="M49">
            <v>4.5394682949268114E-2</v>
          </cell>
          <cell r="N49">
            <v>-0.16980106204955023</v>
          </cell>
          <cell r="O49">
            <v>-0.12626334688830229</v>
          </cell>
          <cell r="P49">
            <v>-0.26205677330244803</v>
          </cell>
          <cell r="Q49">
            <v>3.5765057987280205E-2</v>
          </cell>
          <cell r="R49">
            <v>0.25034574468085108</v>
          </cell>
          <cell r="S49">
            <v>0.32747804265997493</v>
          </cell>
          <cell r="T49">
            <v>0.34409161894846435</v>
          </cell>
          <cell r="U49">
            <v>0.52315854327606959</v>
          </cell>
          <cell r="V49">
            <v>9.1056601929568159E-2</v>
          </cell>
          <cell r="W49">
            <v>0.10926318321028225</v>
          </cell>
          <cell r="X49">
            <v>0.25790616444822051</v>
          </cell>
          <cell r="Y49">
            <v>0.26986264476164828</v>
          </cell>
          <cell r="Z49">
            <v>0.32435799100373475</v>
          </cell>
          <cell r="AA49">
            <v>0.34338381481745206</v>
          </cell>
          <cell r="AB49">
            <v>0.36630413353807773</v>
          </cell>
          <cell r="AC49">
            <v>0.36034970075837858</v>
          </cell>
          <cell r="AD49">
            <v>0.33375570772145979</v>
          </cell>
          <cell r="AE49">
            <v>0.30343442000270948</v>
          </cell>
          <cell r="AF49">
            <v>0.18938850186227763</v>
          </cell>
          <cell r="AG49">
            <v>0.17275224029188979</v>
          </cell>
        </row>
        <row r="50">
          <cell r="W50">
            <v>37.388994647075307</v>
          </cell>
          <cell r="X50">
            <v>17.400530746705712</v>
          </cell>
          <cell r="Y50">
            <v>15.931803060545576</v>
          </cell>
          <cell r="Z50">
            <v>12.098400279155863</v>
          </cell>
          <cell r="AA50">
            <v>12.696112253273979</v>
          </cell>
          <cell r="AB50">
            <v>11.777603977184507</v>
          </cell>
          <cell r="AC50">
            <v>11.049397568313848</v>
          </cell>
          <cell r="AD50">
            <v>11.226372175499071</v>
          </cell>
          <cell r="AE50">
            <v>11.702895221930318</v>
          </cell>
          <cell r="AF50">
            <v>18.133354251656822</v>
          </cell>
          <cell r="AG50">
            <v>19.462638238536805</v>
          </cell>
        </row>
        <row r="51">
          <cell r="W51">
            <v>12.131772212858175</v>
          </cell>
          <cell r="X51">
            <v>9.5786056363971266</v>
          </cell>
          <cell r="Y51">
            <v>8.8792880395218976</v>
          </cell>
          <cell r="Z51">
            <v>7.8099367648468307</v>
          </cell>
          <cell r="AA51">
            <v>7.6535876613660214</v>
          </cell>
          <cell r="AB51">
            <v>7.2104343597182554</v>
          </cell>
          <cell r="AC51">
            <v>6.7976910121364416</v>
          </cell>
          <cell r="AD51">
            <v>6.782963277469455</v>
          </cell>
          <cell r="AE51">
            <v>6.9307388645189798</v>
          </cell>
          <cell r="AF51">
            <v>9.4711284062304291</v>
          </cell>
          <cell r="AG51">
            <v>10.089091503452655</v>
          </cell>
        </row>
        <row r="60">
          <cell r="B60" t="str">
            <v>BULL CASE</v>
          </cell>
        </row>
        <row r="61">
          <cell r="B61" t="str">
            <v>Diluted share count</v>
          </cell>
          <cell r="W61">
            <v>567.75</v>
          </cell>
          <cell r="X61">
            <v>575.00410199999999</v>
          </cell>
          <cell r="Y61">
            <v>583.83320400000002</v>
          </cell>
          <cell r="Z61">
            <v>506.06028185151467</v>
          </cell>
          <cell r="AA61">
            <v>361.43087742051478</v>
          </cell>
          <cell r="AB61">
            <v>238.51566931664397</v>
          </cell>
          <cell r="AC61">
            <v>136.61399086899291</v>
          </cell>
          <cell r="AD61">
            <v>52.116829634254529</v>
          </cell>
          <cell r="AE61">
            <v>-5.9139009044856916</v>
          </cell>
          <cell r="AF61">
            <v>-32.54776997467296</v>
          </cell>
          <cell r="AG61">
            <v>-42.775358638917275</v>
          </cell>
        </row>
        <row r="62">
          <cell r="B62" t="str">
            <v>Market cap</v>
          </cell>
          <cell r="W62">
            <v>20439</v>
          </cell>
          <cell r="X62">
            <v>20700.147671999999</v>
          </cell>
          <cell r="Y62">
            <v>21017.995344000003</v>
          </cell>
          <cell r="Z62">
            <v>18218.170146654527</v>
          </cell>
          <cell r="AA62">
            <v>13011.511587138531</v>
          </cell>
          <cell r="AB62">
            <v>8586.5640953991824</v>
          </cell>
          <cell r="AC62">
            <v>4918.1036712837449</v>
          </cell>
          <cell r="AD62">
            <v>1876.2058668331631</v>
          </cell>
          <cell r="AE62">
            <v>-212.90043256148491</v>
          </cell>
          <cell r="AF62">
            <v>-1171.7197190882266</v>
          </cell>
          <cell r="AG62">
            <v>-1539.9129110010219</v>
          </cell>
        </row>
        <row r="63">
          <cell r="B63" t="str">
            <v>Net debt (inc. pension)</v>
          </cell>
          <cell r="W63">
            <v>3302.72</v>
          </cell>
          <cell r="X63">
            <v>4845.1276063656978</v>
          </cell>
          <cell r="Y63">
            <v>2808.4497157264532</v>
          </cell>
          <cell r="Z63">
            <v>6112.5210800104824</v>
          </cell>
          <cell r="AA63">
            <v>8275.8677237085994</v>
          </cell>
          <cell r="AB63">
            <v>10138.21040608518</v>
          </cell>
          <cell r="AC63">
            <v>11346.290005155213</v>
          </cell>
          <cell r="AD63">
            <v>13060.953183377433</v>
          </cell>
          <cell r="AE63">
            <v>12306.559259584286</v>
          </cell>
          <cell r="AF63">
            <v>10625.378824809868</v>
          </cell>
          <cell r="AG63">
            <v>8603.0553049797145</v>
          </cell>
        </row>
        <row r="65">
          <cell r="B65" t="str">
            <v>Profit and Loss Summary</v>
          </cell>
          <cell r="D65">
            <v>1991</v>
          </cell>
          <cell r="E65">
            <v>1992</v>
          </cell>
          <cell r="F65">
            <v>1993</v>
          </cell>
          <cell r="G65">
            <v>1994</v>
          </cell>
          <cell r="H65">
            <v>1995</v>
          </cell>
          <cell r="I65">
            <v>1996</v>
          </cell>
          <cell r="J65">
            <v>1997</v>
          </cell>
          <cell r="K65">
            <v>1998</v>
          </cell>
          <cell r="L65">
            <v>1999</v>
          </cell>
          <cell r="M65">
            <v>2000</v>
          </cell>
          <cell r="N65">
            <v>2001</v>
          </cell>
          <cell r="O65">
            <v>2002</v>
          </cell>
          <cell r="P65">
            <v>2003</v>
          </cell>
          <cell r="Q65">
            <v>2004</v>
          </cell>
          <cell r="R65">
            <v>2005</v>
          </cell>
          <cell r="S65">
            <v>2006</v>
          </cell>
          <cell r="T65">
            <v>2007</v>
          </cell>
          <cell r="U65">
            <v>2008</v>
          </cell>
          <cell r="V65" t="str">
            <v>2009</v>
          </cell>
          <cell r="W65" t="str">
            <v>2010</v>
          </cell>
          <cell r="X65" t="str">
            <v>2011</v>
          </cell>
          <cell r="Y65" t="str">
            <v>2012e</v>
          </cell>
          <cell r="Z65" t="str">
            <v>2013e</v>
          </cell>
          <cell r="AA65" t="str">
            <v>2014e</v>
          </cell>
          <cell r="AB65" t="str">
            <v>2015e</v>
          </cell>
          <cell r="AC65" t="str">
            <v>2016e</v>
          </cell>
          <cell r="AD65" t="str">
            <v>2017e</v>
          </cell>
          <cell r="AE65" t="str">
            <v>2018e</v>
          </cell>
          <cell r="AF65" t="str">
            <v>2019e</v>
          </cell>
          <cell r="AG65" t="str">
            <v>2020e</v>
          </cell>
        </row>
        <row r="67">
          <cell r="B67" t="str">
            <v>Revenues</v>
          </cell>
          <cell r="D67">
            <v>5735</v>
          </cell>
          <cell r="E67">
            <v>4809</v>
          </cell>
          <cell r="F67">
            <v>3850</v>
          </cell>
          <cell r="G67">
            <v>3857</v>
          </cell>
          <cell r="H67">
            <v>4936</v>
          </cell>
          <cell r="I67">
            <v>2644</v>
          </cell>
          <cell r="J67">
            <v>2878</v>
          </cell>
          <cell r="K67">
            <v>1447</v>
          </cell>
          <cell r="L67">
            <v>3693</v>
          </cell>
          <cell r="M67">
            <v>4036</v>
          </cell>
          <cell r="N67">
            <v>3193</v>
          </cell>
          <cell r="O67">
            <v>3262</v>
          </cell>
          <cell r="P67">
            <v>3801</v>
          </cell>
          <cell r="Q67">
            <v>5946</v>
          </cell>
          <cell r="R67">
            <v>18606</v>
          </cell>
          <cell r="S67">
            <v>20882</v>
          </cell>
          <cell r="T67">
            <v>17120</v>
          </cell>
          <cell r="U67">
            <v>50706</v>
          </cell>
          <cell r="V67">
            <v>30828</v>
          </cell>
          <cell r="W67">
            <v>41151</v>
          </cell>
          <cell r="X67">
            <v>51035</v>
          </cell>
          <cell r="Y67">
            <v>50585.492598652796</v>
          </cell>
          <cell r="Z67">
            <v>50198.893749313909</v>
          </cell>
          <cell r="AA67">
            <v>49029.735208456892</v>
          </cell>
          <cell r="AB67">
            <v>47920.419437260898</v>
          </cell>
          <cell r="AC67">
            <v>47076.846329122476</v>
          </cell>
          <cell r="AD67">
            <v>46286.323163406691</v>
          </cell>
          <cell r="AE67">
            <v>45871.781184266139</v>
          </cell>
          <cell r="AF67">
            <v>45510.297989766201</v>
          </cell>
          <cell r="AG67">
            <v>45422.113863134306</v>
          </cell>
        </row>
        <row r="68">
          <cell r="B68" t="str">
            <v>Revenue growth (%)</v>
          </cell>
          <cell r="E68">
            <v>-0.16146469049694856</v>
          </cell>
          <cell r="F68">
            <v>-0.19941775836972342</v>
          </cell>
          <cell r="G68">
            <v>1.8181818181817189E-3</v>
          </cell>
          <cell r="H68">
            <v>0.27975110189266261</v>
          </cell>
          <cell r="I68">
            <v>-0.46434359805510539</v>
          </cell>
          <cell r="J68">
            <v>8.8502269288956104E-2</v>
          </cell>
          <cell r="K68">
            <v>-0.49722029186935368</v>
          </cell>
          <cell r="L68">
            <v>1.5521769177608844</v>
          </cell>
          <cell r="M68">
            <v>9.2878418629840143E-2</v>
          </cell>
          <cell r="N68">
            <v>-0.20887016848364715</v>
          </cell>
          <cell r="O68">
            <v>2.1609771374882625E-2</v>
          </cell>
          <cell r="P68">
            <v>0.16523605150214582</v>
          </cell>
          <cell r="Q68">
            <v>0.56432517758484613</v>
          </cell>
          <cell r="R68">
            <v>2.1291624621594347</v>
          </cell>
          <cell r="S68">
            <v>0.12232613135547665</v>
          </cell>
          <cell r="T68">
            <v>-0.18015515755195866</v>
          </cell>
          <cell r="U68">
            <v>1.9617990654205606</v>
          </cell>
          <cell r="V68">
            <v>-0.39202461247189679</v>
          </cell>
          <cell r="W68">
            <v>0.334857921370183</v>
          </cell>
          <cell r="X68">
            <v>0.24018857378921532</v>
          </cell>
          <cell r="Y68">
            <v>-8.8078260281611032E-3</v>
          </cell>
          <cell r="Z68">
            <v>-7.6424846231344379E-3</v>
          </cell>
          <cell r="AA68">
            <v>-2.3290524024207171E-2</v>
          </cell>
          <cell r="AB68">
            <v>-2.262536737103682E-2</v>
          </cell>
          <cell r="AC68">
            <v>-1.7603625303047599E-2</v>
          </cell>
          <cell r="AD68">
            <v>-1.6792186124556796E-2</v>
          </cell>
          <cell r="AE68">
            <v>-8.9560360557712215E-3</v>
          </cell>
          <cell r="AF68">
            <v>-7.880295579713148E-3</v>
          </cell>
          <cell r="AG68">
            <v>-1.9376741205193726E-3</v>
          </cell>
        </row>
        <row r="69">
          <cell r="B69" t="str">
            <v>EBIT (Pre exceptionals)</v>
          </cell>
          <cell r="D69">
            <v>399</v>
          </cell>
          <cell r="E69">
            <v>104</v>
          </cell>
          <cell r="F69">
            <v>93</v>
          </cell>
          <cell r="G69">
            <v>424</v>
          </cell>
          <cell r="H69">
            <v>706</v>
          </cell>
          <cell r="I69">
            <v>246</v>
          </cell>
          <cell r="J69">
            <v>574</v>
          </cell>
          <cell r="K69">
            <v>400</v>
          </cell>
          <cell r="L69">
            <v>495</v>
          </cell>
          <cell r="M69">
            <v>538</v>
          </cell>
          <cell r="N69">
            <v>182</v>
          </cell>
          <cell r="O69">
            <v>188</v>
          </cell>
          <cell r="P69">
            <v>-104</v>
          </cell>
          <cell r="Q69">
            <v>613</v>
          </cell>
          <cell r="R69">
            <v>1718</v>
          </cell>
          <cell r="S69">
            <v>1894</v>
          </cell>
          <cell r="T69">
            <v>1096</v>
          </cell>
          <cell r="U69">
            <v>573</v>
          </cell>
          <cell r="V69">
            <v>280</v>
          </cell>
          <cell r="W69">
            <v>3030</v>
          </cell>
          <cell r="X69">
            <v>4498</v>
          </cell>
          <cell r="Y69">
            <v>5887.0423544156511</v>
          </cell>
          <cell r="Z69">
            <v>8308.0392222499831</v>
          </cell>
          <cell r="AA69">
            <v>9951.6364567909441</v>
          </cell>
          <cell r="AB69">
            <v>9904.7248811531608</v>
          </cell>
          <cell r="AC69">
            <v>9833.5738012648326</v>
          </cell>
          <cell r="AD69">
            <v>8453.01399546828</v>
          </cell>
          <cell r="AE69">
            <v>7475.6289550948404</v>
          </cell>
          <cell r="AF69">
            <v>6892.6566027507442</v>
          </cell>
          <cell r="AG69">
            <v>3643.436158974464</v>
          </cell>
        </row>
        <row r="70">
          <cell r="B70" t="str">
            <v>EBIT Growth (%)</v>
          </cell>
          <cell r="E70">
            <v>-0.73934837092731831</v>
          </cell>
          <cell r="F70">
            <v>-0.10576923076923073</v>
          </cell>
          <cell r="G70">
            <v>3.559139784946237</v>
          </cell>
          <cell r="H70">
            <v>0.66509433962264142</v>
          </cell>
          <cell r="I70">
            <v>-0.65155807365439089</v>
          </cell>
          <cell r="J70">
            <v>1.3333333333333335</v>
          </cell>
          <cell r="K70">
            <v>-0.30313588850174211</v>
          </cell>
          <cell r="L70">
            <v>0.23749999999999999</v>
          </cell>
          <cell r="M70">
            <v>8.6868686868686762E-2</v>
          </cell>
          <cell r="N70">
            <v>-0.66171003717472121</v>
          </cell>
          <cell r="O70">
            <v>3.2967032967033072E-2</v>
          </cell>
          <cell r="P70">
            <v>-1.5531914893617023</v>
          </cell>
          <cell r="Q70">
            <v>-6.8942307692307692</v>
          </cell>
          <cell r="R70">
            <v>1.8026101141924959</v>
          </cell>
          <cell r="S70">
            <v>0.10244470314318965</v>
          </cell>
          <cell r="T70">
            <v>-0.42133051742344241</v>
          </cell>
          <cell r="U70">
            <v>-0.4771897810218978</v>
          </cell>
          <cell r="V70">
            <v>-0.51134380453752182</v>
          </cell>
          <cell r="W70">
            <v>9.8214285714285712</v>
          </cell>
          <cell r="X70">
            <v>0.4844884488448844</v>
          </cell>
          <cell r="Y70">
            <v>0.30881332912753479</v>
          </cell>
          <cell r="Z70">
            <v>0.41124162560482214</v>
          </cell>
          <cell r="AA70">
            <v>0.1978321467403763</v>
          </cell>
          <cell r="AB70">
            <v>-4.7139559248842167E-3</v>
          </cell>
          <cell r="AC70">
            <v>-7.1835493405491002E-3</v>
          </cell>
          <cell r="AD70">
            <v>-0.14039247924482756</v>
          </cell>
          <cell r="AE70">
            <v>-0.11562562665783149</v>
          </cell>
          <cell r="AF70">
            <v>-7.798305077016765E-2</v>
          </cell>
          <cell r="AG70">
            <v>-0.47140320939238012</v>
          </cell>
        </row>
        <row r="71">
          <cell r="B71" t="str">
            <v>EBITDA</v>
          </cell>
          <cell r="D71">
            <v>438</v>
          </cell>
          <cell r="E71">
            <v>143</v>
          </cell>
          <cell r="F71">
            <v>151</v>
          </cell>
          <cell r="G71">
            <v>489</v>
          </cell>
          <cell r="H71">
            <v>792</v>
          </cell>
          <cell r="I71">
            <v>356</v>
          </cell>
          <cell r="J71">
            <v>658</v>
          </cell>
          <cell r="K71">
            <v>538</v>
          </cell>
          <cell r="L71">
            <v>825</v>
          </cell>
          <cell r="M71">
            <v>817</v>
          </cell>
          <cell r="N71">
            <v>436</v>
          </cell>
          <cell r="O71">
            <v>432</v>
          </cell>
          <cell r="P71">
            <v>146</v>
          </cell>
          <cell r="Q71">
            <v>902</v>
          </cell>
          <cell r="R71">
            <v>2447</v>
          </cell>
          <cell r="S71">
            <v>2605</v>
          </cell>
          <cell r="T71">
            <v>1568</v>
          </cell>
          <cell r="U71">
            <v>2484</v>
          </cell>
          <cell r="V71">
            <v>2054</v>
          </cell>
          <cell r="W71">
            <v>4153</v>
          </cell>
          <cell r="X71">
            <v>5429</v>
          </cell>
          <cell r="Y71">
            <v>6840.7610132002364</v>
          </cell>
          <cell r="Z71">
            <v>9285.0662513650186</v>
          </cell>
          <cell r="AA71">
            <v>10923.217065975165</v>
          </cell>
          <cell r="AB71">
            <v>10870.36819959393</v>
          </cell>
          <cell r="AC71">
            <v>10793.003406349351</v>
          </cell>
          <cell r="AD71">
            <v>9405.9762952220408</v>
          </cell>
          <cell r="AE71">
            <v>8422.1779810495264</v>
          </cell>
          <cell r="AF71">
            <v>7832.8866136925662</v>
          </cell>
          <cell r="AG71">
            <v>4577.6566640145429</v>
          </cell>
        </row>
        <row r="72">
          <cell r="B72" t="str">
            <v>EBITDA Growth (%)</v>
          </cell>
          <cell r="E72">
            <v>-0.67351598173515981</v>
          </cell>
          <cell r="F72">
            <v>5.5944055944056048E-2</v>
          </cell>
          <cell r="G72">
            <v>2.23841059602649</v>
          </cell>
          <cell r="H72">
            <v>0.61963190184049077</v>
          </cell>
          <cell r="I72">
            <v>-0.5505050505050505</v>
          </cell>
          <cell r="J72">
            <v>0.848314606741573</v>
          </cell>
          <cell r="K72">
            <v>-0.18237082066869303</v>
          </cell>
          <cell r="L72">
            <v>0.53345724907063197</v>
          </cell>
          <cell r="M72">
            <v>-9.6969696969696484E-3</v>
          </cell>
          <cell r="N72">
            <v>-0.46634026927784578</v>
          </cell>
          <cell r="O72">
            <v>-9.1743119266054496E-3</v>
          </cell>
          <cell r="P72">
            <v>-0.66203703703703698</v>
          </cell>
          <cell r="Q72">
            <v>5.1780821917808222</v>
          </cell>
          <cell r="R72">
            <v>1.7128603104212861</v>
          </cell>
          <cell r="S72">
            <v>6.4568859828361358E-2</v>
          </cell>
          <cell r="T72">
            <v>-0.39808061420345486</v>
          </cell>
          <cell r="U72">
            <v>0.58418367346938771</v>
          </cell>
          <cell r="V72">
            <v>-0.17310789049919484</v>
          </cell>
          <cell r="W72">
            <v>1.0219084712755597</v>
          </cell>
          <cell r="X72">
            <v>0.30724777269443782</v>
          </cell>
          <cell r="Y72">
            <v>0.26004070974401117</v>
          </cell>
          <cell r="Z72">
            <v>0.35731481240875729</v>
          </cell>
          <cell r="AA72">
            <v>0.17642855422483583</v>
          </cell>
          <cell r="AB72">
            <v>-4.8382144254786041E-3</v>
          </cell>
          <cell r="AC72">
            <v>-7.1170352120609737E-3</v>
          </cell>
          <cell r="AD72">
            <v>-0.12851169029663645</v>
          </cell>
          <cell r="AE72">
            <v>-0.10459289746161227</v>
          </cell>
          <cell r="AF72">
            <v>-6.9968999548917887E-2</v>
          </cell>
          <cell r="AG72">
            <v>-0.41558497016765172</v>
          </cell>
        </row>
        <row r="73">
          <cell r="B73" t="str">
            <v>EPS (Pre exceptionals)</v>
          </cell>
          <cell r="D73">
            <v>2.7749999999999999</v>
          </cell>
          <cell r="E73">
            <v>0.32500000000000001</v>
          </cell>
          <cell r="F73">
            <v>0.05</v>
          </cell>
          <cell r="G73">
            <v>2.7875000000000001</v>
          </cell>
          <cell r="H73">
            <v>4.8624999999999998</v>
          </cell>
          <cell r="I73">
            <v>1.325</v>
          </cell>
          <cell r="J73">
            <v>3.8966083219525638</v>
          </cell>
          <cell r="K73">
            <v>1.0869123154738156</v>
          </cell>
          <cell r="L73">
            <v>-0.41999410665463133</v>
          </cell>
          <cell r="M73">
            <v>0.44131257091232651</v>
          </cell>
          <cell r="N73">
            <v>-1.0818114157950471</v>
          </cell>
          <cell r="O73">
            <v>-1.1114017603107917</v>
          </cell>
          <cell r="P73">
            <v>-1.8438078511115636</v>
          </cell>
          <cell r="Q73">
            <v>0.51397849462365586</v>
          </cell>
          <cell r="R73">
            <v>2.8974220854174684</v>
          </cell>
          <cell r="S73">
            <v>4.0107568190549365</v>
          </cell>
          <cell r="T73" t="str">
            <v>NA</v>
          </cell>
          <cell r="U73" t="str">
            <v>NA</v>
          </cell>
          <cell r="V73" t="str">
            <v>NA</v>
          </cell>
          <cell r="W73">
            <v>2.2199045677333435</v>
          </cell>
          <cell r="X73">
            <v>4.7699694456569182</v>
          </cell>
          <cell r="Y73">
            <v>6.5163188376493153</v>
          </cell>
          <cell r="Z73">
            <v>11.068560513396292</v>
          </cell>
          <cell r="AA73">
            <v>20.936034182501235</v>
          </cell>
          <cell r="AB73">
            <v>44.277334537013765</v>
          </cell>
          <cell r="AC73">
            <v>223.74388561179626</v>
          </cell>
          <cell r="AD73">
            <v>-80.254104450388198</v>
          </cell>
          <cell r="AE73">
            <v>-37.518754607988278</v>
          </cell>
          <cell r="AF73">
            <v>-29.936156453540118</v>
          </cell>
          <cell r="AG73">
            <v>-14.246737349258977</v>
          </cell>
        </row>
        <row r="74">
          <cell r="B74" t="str">
            <v>EPS (Pre exceptionals) growth (%)</v>
          </cell>
          <cell r="E74">
            <v>-0.88288288288288286</v>
          </cell>
          <cell r="F74">
            <v>-0.84615384615384615</v>
          </cell>
          <cell r="G74">
            <v>54.75</v>
          </cell>
          <cell r="H74">
            <v>0.74439461883408065</v>
          </cell>
          <cell r="I74">
            <v>-0.72750642673521848</v>
          </cell>
          <cell r="J74">
            <v>1.9408364693981612</v>
          </cell>
          <cell r="K74">
            <v>-0.72106195294240627</v>
          </cell>
          <cell r="L74">
            <v>-1.3864102933377327</v>
          </cell>
          <cell r="M74">
            <v>-2.0507589604709042</v>
          </cell>
          <cell r="N74">
            <v>-3.4513496489769504</v>
          </cell>
          <cell r="O74">
            <v>2.7352590371768182E-2</v>
          </cell>
          <cell r="P74">
            <v>0.65899309948543028</v>
          </cell>
          <cell r="Q74">
            <v>-1.2787592504901186</v>
          </cell>
          <cell r="R74">
            <v>4.637243806356163</v>
          </cell>
          <cell r="S74">
            <v>0.38425010261390891</v>
          </cell>
          <cell r="T74" t="str">
            <v>NM</v>
          </cell>
          <cell r="U74" t="str">
            <v>NM</v>
          </cell>
          <cell r="V74" t="str">
            <v>NM</v>
          </cell>
          <cell r="W74" t="str">
            <v>NM</v>
          </cell>
          <cell r="X74">
            <v>1.1487272538599913</v>
          </cell>
          <cell r="Y74">
            <v>0.36611332879342817</v>
          </cell>
          <cell r="Z74">
            <v>0.69859099733510654</v>
          </cell>
          <cell r="AA74">
            <v>0.89148662621145069</v>
          </cell>
          <cell r="AB74">
            <v>1.1148864274410513</v>
          </cell>
          <cell r="AC74">
            <v>4.0532374622676741</v>
          </cell>
          <cell r="AD74">
            <v>-1.3586873635940693</v>
          </cell>
          <cell r="AE74">
            <v>-0.53250048872974753</v>
          </cell>
          <cell r="AF74">
            <v>-0.20210154184685325</v>
          </cell>
          <cell r="AG74">
            <v>-0.52409597500035043</v>
          </cell>
        </row>
        <row r="75">
          <cell r="B75" t="str">
            <v>Reported EPS</v>
          </cell>
          <cell r="D75">
            <v>2.7749999999999999</v>
          </cell>
          <cell r="E75">
            <v>0.2</v>
          </cell>
          <cell r="F75">
            <v>0.32500000000000001</v>
          </cell>
          <cell r="G75">
            <v>2.7875000000000001</v>
          </cell>
          <cell r="H75">
            <v>4.8624999999999998</v>
          </cell>
          <cell r="I75">
            <v>1.575</v>
          </cell>
          <cell r="J75">
            <v>3.5833761417312968</v>
          </cell>
          <cell r="K75">
            <v>0.66924928248754811</v>
          </cell>
          <cell r="L75">
            <v>-1.1152596615429375</v>
          </cell>
          <cell r="M75">
            <v>3.7103703577917777</v>
          </cell>
          <cell r="N75">
            <v>-1.2759116388659697</v>
          </cell>
          <cell r="O75">
            <v>-1.1049476269756537</v>
          </cell>
          <cell r="P75">
            <v>-1.8381010346926352</v>
          </cell>
          <cell r="Q75">
            <v>0.29032258064516131</v>
          </cell>
          <cell r="R75">
            <v>2.0430934974990382</v>
          </cell>
          <cell r="S75">
            <v>0.71456012293507487</v>
          </cell>
          <cell r="T75" t="str">
            <v>NA</v>
          </cell>
          <cell r="U75" t="str">
            <v>NA</v>
          </cell>
          <cell r="V75" t="str">
            <v>NA</v>
          </cell>
          <cell r="W75">
            <v>17.951563188022899</v>
          </cell>
          <cell r="X75">
            <v>3.7363596682671321</v>
          </cell>
          <cell r="Y75">
            <v>6.369048873809728</v>
          </cell>
          <cell r="Z75">
            <v>11.068560513396292</v>
          </cell>
          <cell r="AA75">
            <v>20.936034182501235</v>
          </cell>
          <cell r="AB75">
            <v>44.277334537013765</v>
          </cell>
          <cell r="AC75">
            <v>223.74388561179626</v>
          </cell>
          <cell r="AD75">
            <v>-80.254104450388198</v>
          </cell>
          <cell r="AE75">
            <v>-37.518754607988278</v>
          </cell>
          <cell r="AF75">
            <v>-29.936156453540118</v>
          </cell>
          <cell r="AG75">
            <v>-14.246737349258977</v>
          </cell>
        </row>
        <row r="76">
          <cell r="B76" t="str">
            <v>DPS</v>
          </cell>
          <cell r="D76">
            <v>1.75</v>
          </cell>
          <cell r="E76">
            <v>1.8</v>
          </cell>
          <cell r="F76">
            <v>1.35</v>
          </cell>
          <cell r="G76">
            <v>0.9</v>
          </cell>
          <cell r="H76">
            <v>0.9</v>
          </cell>
          <cell r="I76">
            <v>0.9</v>
          </cell>
          <cell r="J76">
            <v>0.9</v>
          </cell>
          <cell r="K76">
            <v>0.9</v>
          </cell>
          <cell r="L76">
            <v>0.9</v>
          </cell>
          <cell r="M76">
            <v>0.9</v>
          </cell>
          <cell r="N76">
            <v>0.9</v>
          </cell>
          <cell r="O76">
            <v>0.9</v>
          </cell>
          <cell r="P76">
            <v>0.9</v>
          </cell>
          <cell r="Q76">
            <v>0.9</v>
          </cell>
          <cell r="R76">
            <v>0.9</v>
          </cell>
          <cell r="S76">
            <v>0.9</v>
          </cell>
          <cell r="T76" t="str">
            <v>NA</v>
          </cell>
          <cell r="U76" t="str">
            <v>NA</v>
          </cell>
          <cell r="V76" t="str">
            <v>NA</v>
          </cell>
          <cell r="W76">
            <v>0</v>
          </cell>
          <cell r="X76">
            <v>0.55000000000000004</v>
          </cell>
          <cell r="Y76">
            <v>1</v>
          </cell>
          <cell r="Z76">
            <v>2.490426115514166</v>
          </cell>
          <cell r="AA76">
            <v>4.7106076910627781</v>
          </cell>
          <cell r="AB76">
            <v>9.9624002708280965</v>
          </cell>
          <cell r="AC76">
            <v>50.342374262654161</v>
          </cell>
          <cell r="AD76">
            <v>-18.057173501337346</v>
          </cell>
          <cell r="AE76">
            <v>-8.4417197867973623</v>
          </cell>
          <cell r="AF76">
            <v>-6.7356352020465264</v>
          </cell>
          <cell r="AG76">
            <v>-3.2055159035832701</v>
          </cell>
        </row>
        <row r="77">
          <cell r="B77" t="str">
            <v>Free cash flow per share</v>
          </cell>
          <cell r="E77">
            <v>0.81499999999999995</v>
          </cell>
          <cell r="F77">
            <v>0.33126250000000007</v>
          </cell>
          <cell r="G77">
            <v>-0.69359999999999999</v>
          </cell>
          <cell r="H77">
            <v>-5.8652499999999996</v>
          </cell>
          <cell r="I77">
            <v>-3.4540999999999995</v>
          </cell>
          <cell r="J77">
            <v>2.1468181875133121</v>
          </cell>
          <cell r="K77">
            <v>-72.931080194082298</v>
          </cell>
          <cell r="L77">
            <v>5.2427647995703088</v>
          </cell>
          <cell r="M77">
            <v>22.713997819705163</v>
          </cell>
          <cell r="N77">
            <v>3.1240398187581953</v>
          </cell>
          <cell r="O77">
            <v>3.8618394028817256</v>
          </cell>
          <cell r="P77">
            <v>-7.1214995134654333E-2</v>
          </cell>
          <cell r="Q77">
            <v>1.6327956989247312</v>
          </cell>
          <cell r="R77">
            <v>5.5564447864563293</v>
          </cell>
          <cell r="S77">
            <v>-4.4092463035581595</v>
          </cell>
          <cell r="T77" t="str">
            <v>NA</v>
          </cell>
          <cell r="U77" t="str">
            <v>NA</v>
          </cell>
          <cell r="V77" t="str">
            <v>NA</v>
          </cell>
          <cell r="W77">
            <v>2.4462166222002999</v>
          </cell>
          <cell r="X77">
            <v>2.9637844038183552</v>
          </cell>
          <cell r="Y77">
            <v>5.4042442123499548</v>
          </cell>
          <cell r="Z77">
            <v>10.264400843962633</v>
          </cell>
          <cell r="AA77">
            <v>22.527290626425057</v>
          </cell>
          <cell r="AB77">
            <v>46.152158606654638</v>
          </cell>
          <cell r="AC77">
            <v>235.36843443840829</v>
          </cell>
          <cell r="AD77">
            <v>-85.960400145020984</v>
          </cell>
          <cell r="AE77">
            <v>-40.58652351816032</v>
          </cell>
          <cell r="AF77">
            <v>-32.299110430069788</v>
          </cell>
          <cell r="AG77">
            <v>-16.338872558344612</v>
          </cell>
        </row>
        <row r="79">
          <cell r="B79" t="str">
            <v>Valuation summary</v>
          </cell>
          <cell r="D79">
            <v>1991</v>
          </cell>
          <cell r="E79">
            <v>1992</v>
          </cell>
          <cell r="F79">
            <v>1993</v>
          </cell>
          <cell r="G79">
            <v>1994</v>
          </cell>
          <cell r="H79">
            <v>1995</v>
          </cell>
          <cell r="I79">
            <v>1996</v>
          </cell>
          <cell r="J79">
            <v>1997</v>
          </cell>
          <cell r="K79">
            <v>1998</v>
          </cell>
          <cell r="L79">
            <v>1999</v>
          </cell>
          <cell r="M79">
            <v>2000</v>
          </cell>
          <cell r="N79">
            <v>2001</v>
          </cell>
          <cell r="O79">
            <v>2002</v>
          </cell>
          <cell r="P79">
            <v>2003</v>
          </cell>
          <cell r="Q79">
            <v>2004</v>
          </cell>
          <cell r="R79">
            <v>2005</v>
          </cell>
          <cell r="S79">
            <v>2006</v>
          </cell>
          <cell r="T79">
            <v>2007</v>
          </cell>
          <cell r="U79">
            <v>2008</v>
          </cell>
          <cell r="V79" t="str">
            <v>2009</v>
          </cell>
          <cell r="W79" t="str">
            <v>2010</v>
          </cell>
          <cell r="X79" t="str">
            <v>2011</v>
          </cell>
          <cell r="Y79" t="str">
            <v>2012e</v>
          </cell>
          <cell r="Z79" t="str">
            <v>2013e</v>
          </cell>
          <cell r="AA79" t="str">
            <v>2014e</v>
          </cell>
          <cell r="AB79" t="str">
            <v>2015e</v>
          </cell>
          <cell r="AC79" t="str">
            <v>2016e</v>
          </cell>
          <cell r="AD79" t="str">
            <v>2017e</v>
          </cell>
          <cell r="AE79" t="str">
            <v>2018e</v>
          </cell>
          <cell r="AF79" t="str">
            <v>2019e</v>
          </cell>
          <cell r="AG79" t="str">
            <v>2020e</v>
          </cell>
        </row>
        <row r="81">
          <cell r="B81" t="str">
            <v>P/E (x)</v>
          </cell>
          <cell r="W81">
            <v>18.018792601000147</v>
          </cell>
          <cell r="X81">
            <v>8.3857979502196205</v>
          </cell>
          <cell r="Y81">
            <v>6.1384350576727646</v>
          </cell>
          <cell r="Z81">
            <v>3.6138393923571139</v>
          </cell>
          <cell r="AA81">
            <v>1.9105815194662232</v>
          </cell>
          <cell r="AB81">
            <v>0.90339674730333841</v>
          </cell>
          <cell r="AC81">
            <v>0.1787758351055074</v>
          </cell>
          <cell r="AD81">
            <v>-0.49841687567179022</v>
          </cell>
          <cell r="AE81">
            <v>-1.0661334689260562</v>
          </cell>
          <cell r="AF81">
            <v>-1.3361768756813728</v>
          </cell>
          <cell r="AG81">
            <v>-2.8076603800153963</v>
          </cell>
        </row>
        <row r="82">
          <cell r="B82" t="str">
            <v>EV/ EBITDA (x)</v>
          </cell>
          <cell r="W82">
            <v>6.2740187816036599</v>
          </cell>
          <cell r="X82">
            <v>5.0191640428140536</v>
          </cell>
          <cell r="Y82">
            <v>3.6154162389452678</v>
          </cell>
          <cell r="Z82">
            <v>2.7274705176444076</v>
          </cell>
          <cell r="AA82">
            <v>2.0637201383724819</v>
          </cell>
          <cell r="AB82">
            <v>1.6711357657728059</v>
          </cell>
          <cell r="AC82">
            <v>1.4062058221942071</v>
          </cell>
          <cell r="AD82">
            <v>1.4213057230122474</v>
          </cell>
          <cell r="AE82">
            <v>1.1883567708954328</v>
          </cell>
          <cell r="AF82">
            <v>0.88314677101605477</v>
          </cell>
          <cell r="AG82">
            <v>1.1425578378327526</v>
          </cell>
        </row>
        <row r="83">
          <cell r="B83" t="str">
            <v>EV/ Sales (x)</v>
          </cell>
          <cell r="W83">
            <v>0.66520862190469243</v>
          </cell>
          <cell r="X83">
            <v>0.53637699617909274</v>
          </cell>
          <cell r="Y83">
            <v>0.54114329215267998</v>
          </cell>
          <cell r="Z83">
            <v>0.54531082172252321</v>
          </cell>
          <cell r="AA83">
            <v>0.55831425325092099</v>
          </cell>
          <cell r="AB83">
            <v>0.57123873959072924</v>
          </cell>
          <cell r="AC83">
            <v>0.58147480416643826</v>
          </cell>
          <cell r="AD83">
            <v>0.59140580044261315</v>
          </cell>
          <cell r="AE83">
            <v>0.59675031780516918</v>
          </cell>
          <cell r="AF83">
            <v>0.60149023867423435</v>
          </cell>
          <cell r="AG83">
            <v>0.60265799347170868</v>
          </cell>
        </row>
        <row r="84">
          <cell r="B84" t="str">
            <v>Price/ Free cash flow</v>
          </cell>
          <cell r="W84">
            <v>23.048289738430583</v>
          </cell>
          <cell r="X84">
            <v>15.734890109890109</v>
          </cell>
          <cell r="Y84">
            <v>7.1225828269692624</v>
          </cell>
          <cell r="Z84">
            <v>4.381874237119594</v>
          </cell>
          <cell r="AA84">
            <v>3.3479556339574743</v>
          </cell>
          <cell r="AB84">
            <v>3.6354017071094002</v>
          </cell>
          <cell r="AC84">
            <v>3.6781858229213027</v>
          </cell>
          <cell r="AD84">
            <v>4.3535874509711627</v>
          </cell>
          <cell r="AE84">
            <v>4.9561884496526849</v>
          </cell>
          <cell r="AF84">
            <v>5.3419879820670619</v>
          </cell>
          <cell r="AG84">
            <v>10.602021774911982</v>
          </cell>
        </row>
        <row r="85">
          <cell r="B85" t="str">
            <v>Free cash flow yield</v>
          </cell>
          <cell r="W85">
            <v>4.3387167175905718E-2</v>
          </cell>
          <cell r="X85">
            <v>6.355303360977739E-2</v>
          </cell>
          <cell r="Y85">
            <v>0.14039850771739093</v>
          </cell>
          <cell r="Z85">
            <v>0.22821284817552082</v>
          </cell>
          <cell r="AA85">
            <v>0.29868974064567966</v>
          </cell>
          <cell r="AB85">
            <v>0.27507276514845597</v>
          </cell>
          <cell r="AC85">
            <v>0.27187315925375849</v>
          </cell>
          <cell r="AD85">
            <v>0.2296956271722366</v>
          </cell>
          <cell r="AE85">
            <v>0.20176795336950454</v>
          </cell>
          <cell r="AF85">
            <v>0.18719622795052671</v>
          </cell>
          <cell r="AG85">
            <v>9.4321632348118994E-2</v>
          </cell>
        </row>
        <row r="86">
          <cell r="B86" t="str">
            <v>Dividend Yield (%)</v>
          </cell>
          <cell r="W86">
            <v>0</v>
          </cell>
          <cell r="X86">
            <v>1.375E-2</v>
          </cell>
          <cell r="Y86">
            <v>2.5000000000000001E-2</v>
          </cell>
          <cell r="Z86">
            <v>6.2260652887854151E-2</v>
          </cell>
          <cell r="AA86">
            <v>0.11776519227656945</v>
          </cell>
          <cell r="AB86">
            <v>0.24906000677070242</v>
          </cell>
          <cell r="AC86">
            <v>1.258559356566354</v>
          </cell>
          <cell r="AD86">
            <v>-0.45142933753343362</v>
          </cell>
          <cell r="AE86">
            <v>-0.21104299466993406</v>
          </cell>
          <cell r="AF86">
            <v>-0.16839088005116315</v>
          </cell>
          <cell r="AG86">
            <v>-8.0137897589581758E-2</v>
          </cell>
        </row>
        <row r="88">
          <cell r="B88" t="str">
            <v>Key financial ratios</v>
          </cell>
          <cell r="D88">
            <v>1991</v>
          </cell>
          <cell r="E88">
            <v>1992</v>
          </cell>
          <cell r="F88">
            <v>1993</v>
          </cell>
          <cell r="G88">
            <v>1994</v>
          </cell>
          <cell r="H88">
            <v>1995</v>
          </cell>
          <cell r="I88">
            <v>1996</v>
          </cell>
          <cell r="J88">
            <v>1997</v>
          </cell>
          <cell r="K88">
            <v>1998</v>
          </cell>
          <cell r="L88">
            <v>1999</v>
          </cell>
          <cell r="M88">
            <v>2000</v>
          </cell>
          <cell r="N88">
            <v>2001</v>
          </cell>
          <cell r="O88">
            <v>2002</v>
          </cell>
          <cell r="P88">
            <v>2003</v>
          </cell>
          <cell r="Q88">
            <v>2004</v>
          </cell>
          <cell r="R88">
            <v>2005</v>
          </cell>
          <cell r="S88">
            <v>2006</v>
          </cell>
          <cell r="T88">
            <v>2007</v>
          </cell>
          <cell r="U88">
            <v>2008</v>
          </cell>
          <cell r="V88" t="str">
            <v>2009</v>
          </cell>
          <cell r="W88" t="str">
            <v>2010</v>
          </cell>
          <cell r="X88" t="str">
            <v>2011</v>
          </cell>
          <cell r="Y88" t="str">
            <v>2012e</v>
          </cell>
          <cell r="Z88" t="str">
            <v>2013e</v>
          </cell>
          <cell r="AA88" t="str">
            <v>2014e</v>
          </cell>
          <cell r="AB88" t="str">
            <v>2015e</v>
          </cell>
          <cell r="AC88" t="str">
            <v>2016e</v>
          </cell>
          <cell r="AD88" t="str">
            <v>2017e</v>
          </cell>
          <cell r="AE88" t="str">
            <v>2018e</v>
          </cell>
          <cell r="AF88" t="str">
            <v>2019e</v>
          </cell>
          <cell r="AG88" t="str">
            <v>2020e</v>
          </cell>
        </row>
        <row r="90">
          <cell r="B90" t="str">
            <v>Gross margin (%)</v>
          </cell>
          <cell r="D90">
            <v>9.8343504795117692E-2</v>
          </cell>
          <cell r="E90">
            <v>5.6144728633811605E-2</v>
          </cell>
          <cell r="F90">
            <v>7.2987012987012989E-2</v>
          </cell>
          <cell r="G90">
            <v>0.16230230749287011</v>
          </cell>
          <cell r="H90">
            <v>0.20178282009724474</v>
          </cell>
          <cell r="I90">
            <v>0.1989409984871407</v>
          </cell>
          <cell r="J90">
            <v>0.24739402362751911</v>
          </cell>
          <cell r="K90">
            <v>0.34277816171389081</v>
          </cell>
          <cell r="L90">
            <v>0.31058759815867859</v>
          </cell>
          <cell r="M90">
            <v>0.23389494549058473</v>
          </cell>
          <cell r="N90">
            <v>0.18321327904791732</v>
          </cell>
          <cell r="O90">
            <v>0.18638871857755979</v>
          </cell>
          <cell r="P90">
            <v>0.11891607471717969</v>
          </cell>
          <cell r="Q90">
            <v>0.13101244534140599</v>
          </cell>
          <cell r="R90">
            <v>0.15973341932709878</v>
          </cell>
          <cell r="S90">
            <v>0.1488363183603103</v>
          </cell>
          <cell r="T90">
            <v>0.1399532710280374</v>
          </cell>
          <cell r="U90">
            <v>7.5671518163530946E-2</v>
          </cell>
          <cell r="V90">
            <v>0.10477487997923965</v>
          </cell>
          <cell r="W90">
            <v>0.12172243687881218</v>
          </cell>
          <cell r="X90">
            <v>0.12416968746938375</v>
          </cell>
          <cell r="Y90">
            <v>0.1667407965487597</v>
          </cell>
          <cell r="Z90">
            <v>0.21601152650101255</v>
          </cell>
          <cell r="AA90">
            <v>0.25350213272503702</v>
          </cell>
          <cell r="AB90">
            <v>0.25543949757378925</v>
          </cell>
          <cell r="AC90">
            <v>0.25843835727283376</v>
          </cell>
          <cell r="AD90">
            <v>0.2329730816309406</v>
          </cell>
          <cell r="AE90">
            <v>0.21390279040932866</v>
          </cell>
          <cell r="AF90">
            <v>0.20286168079093528</v>
          </cell>
          <cell r="AG90">
            <v>0.1318506041847245</v>
          </cell>
        </row>
        <row r="91">
          <cell r="B91" t="str">
            <v>EBITDA margin (%)</v>
          </cell>
          <cell r="D91">
            <v>7.6373147340889277E-2</v>
          </cell>
          <cell r="E91">
            <v>2.9735911831981703E-2</v>
          </cell>
          <cell r="F91">
            <v>3.9220779220779219E-2</v>
          </cell>
          <cell r="G91">
            <v>0.12678247342494167</v>
          </cell>
          <cell r="H91">
            <v>0.16045380875202594</v>
          </cell>
          <cell r="I91">
            <v>0.1346444780635401</v>
          </cell>
          <cell r="J91">
            <v>0.22863099374565671</v>
          </cell>
          <cell r="K91">
            <v>0.37180373185901866</v>
          </cell>
          <cell r="L91">
            <v>0.22339561332250202</v>
          </cell>
          <cell r="M91">
            <v>0.20242814667988107</v>
          </cell>
          <cell r="N91">
            <v>0.13654870028186658</v>
          </cell>
          <cell r="O91">
            <v>0.13243408951563457</v>
          </cell>
          <cell r="P91">
            <v>3.8410944488292555E-2</v>
          </cell>
          <cell r="Q91">
            <v>0.15169862092162797</v>
          </cell>
          <cell r="R91">
            <v>0.13151671503815973</v>
          </cell>
          <cell r="S91">
            <v>0.12474858730006705</v>
          </cell>
          <cell r="T91">
            <v>9.1588785046728974E-2</v>
          </cell>
          <cell r="U91">
            <v>4.898828541001065E-2</v>
          </cell>
          <cell r="V91">
            <v>6.6627741014661998E-2</v>
          </cell>
          <cell r="W91">
            <v>0.10092099827464703</v>
          </cell>
          <cell r="X91">
            <v>0.10637797589889292</v>
          </cell>
          <cell r="Y91">
            <v>0.13523167734028196</v>
          </cell>
          <cell r="Z91">
            <v>0.18496555517205837</v>
          </cell>
          <cell r="AA91">
            <v>0.22278760061692265</v>
          </cell>
          <cell r="AB91">
            <v>0.22684209210284142</v>
          </cell>
          <cell r="AC91">
            <v>0.22926351801251882</v>
          </cell>
          <cell r="AD91">
            <v>0.20321286402498853</v>
          </cell>
          <cell r="AE91">
            <v>0.18360259321995337</v>
          </cell>
          <cell r="AF91">
            <v>0.17211240004303927</v>
          </cell>
          <cell r="AG91">
            <v>0.10078035288731643</v>
          </cell>
        </row>
        <row r="92">
          <cell r="B92" t="str">
            <v>Capex/ depreciation</v>
          </cell>
          <cell r="D92">
            <v>0</v>
          </cell>
          <cell r="E92">
            <v>2.4871794871794872</v>
          </cell>
          <cell r="F92">
            <v>1.1896551724137931</v>
          </cell>
          <cell r="G92">
            <v>3.8769230769230769</v>
          </cell>
          <cell r="H92">
            <v>11.418604651162791</v>
          </cell>
          <cell r="I92">
            <v>5.5363636363636362</v>
          </cell>
          <cell r="J92">
            <v>0.6901408450704225</v>
          </cell>
          <cell r="K92">
            <v>0.85333333333333339</v>
          </cell>
          <cell r="L92">
            <v>0.65829145728643212</v>
          </cell>
          <cell r="M92">
            <v>0.65</v>
          </cell>
          <cell r="N92">
            <v>0.54838709677419351</v>
          </cell>
          <cell r="O92">
            <v>0.16058394160583941</v>
          </cell>
          <cell r="P92">
            <v>1.4725274725274726</v>
          </cell>
          <cell r="Q92">
            <v>0.34653465346534651</v>
          </cell>
          <cell r="R92">
            <v>0.46025878003696857</v>
          </cell>
          <cell r="S92">
            <v>0.65789473684210531</v>
          </cell>
          <cell r="T92">
            <v>1.0378787878787878</v>
          </cell>
          <cell r="U92">
            <v>0.61425061425061422</v>
          </cell>
          <cell r="V92">
            <v>0.51419141914191424</v>
          </cell>
          <cell r="W92">
            <v>0.75877192982456143</v>
          </cell>
          <cell r="X92">
            <v>1.4423076923076923</v>
          </cell>
          <cell r="Y92">
            <v>1.5447855581998589</v>
          </cell>
          <cell r="Z92">
            <v>1.7478433561899205</v>
          </cell>
          <cell r="AA92">
            <v>1.0870867354354099</v>
          </cell>
          <cell r="AB92">
            <v>1.0755917401159951</v>
          </cell>
          <cell r="AC92">
            <v>1.0691514187819824</v>
          </cell>
          <cell r="AD92">
            <v>1.0632051825286541</v>
          </cell>
          <cell r="AE92">
            <v>1.0647371892968098</v>
          </cell>
          <cell r="AF92">
            <v>1.0672876456281215</v>
          </cell>
          <cell r="AG92">
            <v>1.0752446151921302</v>
          </cell>
        </row>
        <row r="93">
          <cell r="B93" t="str">
            <v>Net Debt/(Cash) on B/S (m)</v>
          </cell>
          <cell r="E93">
            <v>633</v>
          </cell>
          <cell r="F93">
            <v>730</v>
          </cell>
          <cell r="G93">
            <v>891</v>
          </cell>
          <cell r="H93">
            <v>1406</v>
          </cell>
          <cell r="I93">
            <v>1847</v>
          </cell>
          <cell r="J93">
            <v>264</v>
          </cell>
          <cell r="K93">
            <v>6977</v>
          </cell>
          <cell r="L93">
            <v>6166</v>
          </cell>
          <cell r="M93">
            <v>3775</v>
          </cell>
          <cell r="N93">
            <v>3883</v>
          </cell>
          <cell r="O93">
            <v>3762</v>
          </cell>
          <cell r="P93">
            <v>3868</v>
          </cell>
          <cell r="Q93">
            <v>7240</v>
          </cell>
          <cell r="R93">
            <v>5880</v>
          </cell>
          <cell r="S93">
            <v>7768</v>
          </cell>
          <cell r="T93">
            <v>23999</v>
          </cell>
          <cell r="U93">
            <v>23214</v>
          </cell>
          <cell r="V93">
            <v>6544</v>
          </cell>
          <cell r="W93">
            <v>1921</v>
          </cell>
          <cell r="X93">
            <v>3021</v>
          </cell>
          <cell r="Y93">
            <v>363.02905881895117</v>
          </cell>
          <cell r="Z93">
            <v>4455.9426028327762</v>
          </cell>
          <cell r="AA93">
            <v>9234.3874733626362</v>
          </cell>
          <cell r="AB93">
            <v>11373.125753543094</v>
          </cell>
          <cell r="AC93">
            <v>12902.293918050033</v>
          </cell>
          <cell r="AD93">
            <v>14782.041376316354</v>
          </cell>
          <cell r="AE93">
            <v>13716.375097098431</v>
          </cell>
          <cell r="AF93">
            <v>11484.467743435722</v>
          </cell>
          <cell r="AG93">
            <v>10070.021110142956</v>
          </cell>
        </row>
        <row r="94">
          <cell r="B94" t="str">
            <v>Net debt to capital</v>
          </cell>
          <cell r="E94">
            <v>0.84625668449197866</v>
          </cell>
          <cell r="F94">
            <v>1.1459968602825745</v>
          </cell>
          <cell r="G94">
            <v>1.1423076923076922</v>
          </cell>
          <cell r="H94">
            <v>1.0516080777860883</v>
          </cell>
          <cell r="I94">
            <v>1.0633275762809442</v>
          </cell>
          <cell r="J94">
            <v>0.27385892116182575</v>
          </cell>
          <cell r="K94">
            <v>0.92190803382663844</v>
          </cell>
          <cell r="L94">
            <v>0.84721077219016216</v>
          </cell>
          <cell r="M94">
            <v>0.75515103020604124</v>
          </cell>
          <cell r="N94">
            <v>0.84376358105171667</v>
          </cell>
          <cell r="O94">
            <v>0.736780258519389</v>
          </cell>
          <cell r="P94">
            <v>0.72884869040889388</v>
          </cell>
          <cell r="Q94">
            <v>0.68716780561883073</v>
          </cell>
          <cell r="R94">
            <v>0.63219008708740998</v>
          </cell>
          <cell r="S94">
            <v>0.69184182401140004</v>
          </cell>
          <cell r="T94">
            <v>0.91126215066828675</v>
          </cell>
          <cell r="U94">
            <v>1.2977415026833632</v>
          </cell>
          <cell r="V94">
            <v>-3.285140562248996</v>
          </cell>
          <cell r="W94">
            <v>0.10904240222512346</v>
          </cell>
          <cell r="X94">
            <v>0.20656410256410257</v>
          </cell>
          <cell r="Y94">
            <v>1.9908710604679431E-2</v>
          </cell>
          <cell r="Z94">
            <v>0.25942318529702824</v>
          </cell>
          <cell r="AA94">
            <v>0.52468677902856975</v>
          </cell>
          <cell r="AB94">
            <v>0.65427208192454067</v>
          </cell>
          <cell r="AC94">
            <v>0.76606738595375568</v>
          </cell>
          <cell r="AD94">
            <v>0.92042899328644556</v>
          </cell>
          <cell r="AE94">
            <v>0.89007882666683724</v>
          </cell>
          <cell r="AF94">
            <v>0.69397757861896692</v>
          </cell>
          <cell r="AG94">
            <v>0.66225004503416618</v>
          </cell>
        </row>
        <row r="95">
          <cell r="B95" t="str">
            <v>Net debt/ EBITDA</v>
          </cell>
          <cell r="E95">
            <v>4.4265734265734267</v>
          </cell>
          <cell r="F95">
            <v>4.8344370860927155</v>
          </cell>
          <cell r="G95">
            <v>1.8220858895705521</v>
          </cell>
          <cell r="H95">
            <v>1.7752525252525253</v>
          </cell>
          <cell r="I95">
            <v>5.1882022471910112</v>
          </cell>
          <cell r="J95">
            <v>0.40121580547112462</v>
          </cell>
          <cell r="K95">
            <v>12.968401486988848</v>
          </cell>
          <cell r="L95">
            <v>7.4739393939393937</v>
          </cell>
          <cell r="M95">
            <v>4.6205630354957163</v>
          </cell>
          <cell r="N95">
            <v>8.9059633027522942</v>
          </cell>
          <cell r="O95">
            <v>8.7083333333333339</v>
          </cell>
          <cell r="P95">
            <v>26.493150684931507</v>
          </cell>
          <cell r="Q95">
            <v>8.0266075388026614</v>
          </cell>
          <cell r="R95">
            <v>2.4029423784225581</v>
          </cell>
          <cell r="S95">
            <v>2.9819577735124758</v>
          </cell>
          <cell r="T95">
            <v>15.305484693877551</v>
          </cell>
          <cell r="U95">
            <v>9.345410628019323</v>
          </cell>
          <cell r="V95">
            <v>3.1859785783836418</v>
          </cell>
          <cell r="W95">
            <v>0.46255718757524683</v>
          </cell>
          <cell r="X95">
            <v>0.5564560692576902</v>
          </cell>
          <cell r="Y95">
            <v>5.3068519440809897E-2</v>
          </cell>
          <cell r="Z95">
            <v>0.47990423355112821</v>
          </cell>
          <cell r="AA95">
            <v>0.84539082374613972</v>
          </cell>
          <cell r="AB95">
            <v>1.0462502782534953</v>
          </cell>
          <cell r="AC95">
            <v>1.1954312837944459</v>
          </cell>
          <cell r="AD95">
            <v>1.5715584339528046</v>
          </cell>
          <cell r="AE95">
            <v>1.6286019041584265</v>
          </cell>
          <cell r="AF95">
            <v>1.4661858788252946</v>
          </cell>
          <cell r="AG95">
            <v>2.1998200933906835</v>
          </cell>
        </row>
        <row r="96">
          <cell r="B96" t="str">
            <v>RNOA</v>
          </cell>
          <cell r="E96">
            <v>0.11196172248803828</v>
          </cell>
          <cell r="F96">
            <v>6.5791021671826627E-2</v>
          </cell>
          <cell r="G96">
            <v>0.27773305954825461</v>
          </cell>
          <cell r="H96">
            <v>0.23545791424033882</v>
          </cell>
          <cell r="I96">
            <v>6.7129170230966637E-2</v>
          </cell>
          <cell r="J96">
            <v>-0.95465263157894742</v>
          </cell>
          <cell r="K96">
            <v>3.2875019310984091E-2</v>
          </cell>
          <cell r="L96">
            <v>5.6268268918480024E-2</v>
          </cell>
          <cell r="M96">
            <v>0.11502123572129608</v>
          </cell>
          <cell r="N96">
            <v>4.4278713808789373E-2</v>
          </cell>
          <cell r="O96">
            <v>5.1856178608515061E-2</v>
          </cell>
          <cell r="P96">
            <v>-2.3080103747697627E-2</v>
          </cell>
          <cell r="Q96">
            <v>4.5678092399403875E-2</v>
          </cell>
          <cell r="R96">
            <v>0.140747567844342</v>
          </cell>
          <cell r="S96">
            <v>0.11842302005840169</v>
          </cell>
          <cell r="T96">
            <v>3.8465447105478577E-2</v>
          </cell>
          <cell r="U96">
            <v>2.4965917091125344E-2</v>
          </cell>
          <cell r="V96">
            <v>1.3938422541975295E-2</v>
          </cell>
          <cell r="W96">
            <v>0.17344340916919579</v>
          </cell>
          <cell r="X96">
            <v>0.25374159964237286</v>
          </cell>
          <cell r="Y96">
            <v>0.30839941400364002</v>
          </cell>
          <cell r="Z96">
            <v>0.41862416503711841</v>
          </cell>
          <cell r="AA96">
            <v>0.51040980552807391</v>
          </cell>
          <cell r="AB96">
            <v>0.50999422839618913</v>
          </cell>
          <cell r="AC96">
            <v>0.50682794543798027</v>
          </cell>
          <cell r="AD96">
            <v>0.43405482328517153</v>
          </cell>
          <cell r="AE96">
            <v>0.3810776512785517</v>
          </cell>
          <cell r="AF96">
            <v>0.34791586708043426</v>
          </cell>
          <cell r="AG96">
            <v>0.18146875254673112</v>
          </cell>
        </row>
        <row r="97">
          <cell r="B97" t="str">
            <v>ROE</v>
          </cell>
          <cell r="E97">
            <v>-4.333333333333333</v>
          </cell>
          <cell r="F97">
            <v>-4.5454545454545456E-2</v>
          </cell>
          <cell r="G97">
            <v>3.5396825396825395</v>
          </cell>
          <cell r="H97">
            <v>1.0236842105263158</v>
          </cell>
          <cell r="I97">
            <v>0.24593967517401391</v>
          </cell>
          <cell r="J97">
            <v>0.50242326332794829</v>
          </cell>
          <cell r="K97">
            <v>0.14712891986062718</v>
          </cell>
          <cell r="L97">
            <v>-4.3006645787182031E-2</v>
          </cell>
          <cell r="M97">
            <v>4.5394682949268114E-2</v>
          </cell>
          <cell r="N97">
            <v>-0.16980106204955023</v>
          </cell>
          <cell r="O97">
            <v>-0.12626334688830229</v>
          </cell>
          <cell r="P97">
            <v>-0.26205677330244803</v>
          </cell>
          <cell r="Q97">
            <v>3.5765057987280205E-2</v>
          </cell>
          <cell r="R97">
            <v>0.25034574468085108</v>
          </cell>
          <cell r="S97">
            <v>0.32747804265997493</v>
          </cell>
          <cell r="T97">
            <v>0.34409161894846435</v>
          </cell>
          <cell r="U97">
            <v>0.52315854327606959</v>
          </cell>
          <cell r="V97">
            <v>9.1056601929568159E-2</v>
          </cell>
          <cell r="W97">
            <v>0.10926318321028225</v>
          </cell>
          <cell r="X97">
            <v>0.25790616444822051</v>
          </cell>
          <cell r="Y97">
            <v>0.26990437720045174</v>
          </cell>
          <cell r="Z97">
            <v>0.52935681523947131</v>
          </cell>
          <cell r="AA97">
            <v>1.2080563680423604</v>
          </cell>
          <cell r="AB97">
            <v>2.0173932238264523</v>
          </cell>
          <cell r="AC97">
            <v>4.0202200026559218</v>
          </cell>
          <cell r="AD97">
            <v>-15.073866584539104</v>
          </cell>
          <cell r="AE97">
            <v>5.6662253136058789</v>
          </cell>
          <cell r="AF97">
            <v>1.3295739151103207</v>
          </cell>
          <cell r="AG97">
            <v>0.43547787253641373</v>
          </cell>
        </row>
        <row r="98">
          <cell r="W98">
            <v>45.046981502500365</v>
          </cell>
          <cell r="X98">
            <v>20.96449487554905</v>
          </cell>
          <cell r="Y98">
            <v>15.346087644181912</v>
          </cell>
          <cell r="Z98">
            <v>9.0345984808927842</v>
          </cell>
          <cell r="AA98">
            <v>4.7764537986655586</v>
          </cell>
          <cell r="AB98">
            <v>2.2584918682583459</v>
          </cell>
        </row>
        <row r="99">
          <cell r="W99">
            <v>14.466101613291597</v>
          </cell>
          <cell r="X99">
            <v>11.483797717142327</v>
          </cell>
          <cell r="Y99">
            <v>8.9451699887845955</v>
          </cell>
          <cell r="Z99">
            <v>6.1085777666716838</v>
          </cell>
          <cell r="AA99">
            <v>4.0664719191675793</v>
          </cell>
          <cell r="AB99">
            <v>3.126828522608764</v>
          </cell>
        </row>
        <row r="100">
          <cell r="B100" t="str">
            <v>BEAR CASE</v>
          </cell>
        </row>
        <row r="101">
          <cell r="B101" t="str">
            <v>Diluted share count</v>
          </cell>
          <cell r="W101">
            <v>567.75</v>
          </cell>
          <cell r="X101">
            <v>575.00410199999999</v>
          </cell>
          <cell r="Y101">
            <v>583.83320400000002</v>
          </cell>
          <cell r="Z101">
            <v>552.95778843674725</v>
          </cell>
          <cell r="AA101">
            <v>495.12610637922984</v>
          </cell>
          <cell r="AB101">
            <v>452.40038081982686</v>
          </cell>
          <cell r="AC101">
            <v>423.80011836197059</v>
          </cell>
          <cell r="AD101">
            <v>402.4342794744507</v>
          </cell>
          <cell r="AE101">
            <v>388.61332223691556</v>
          </cell>
          <cell r="AF101">
            <v>383.74740785889645</v>
          </cell>
          <cell r="AG101">
            <v>383.44060307658231</v>
          </cell>
        </row>
        <row r="102">
          <cell r="B102" t="str">
            <v>Market cap</v>
          </cell>
          <cell r="W102">
            <v>20439</v>
          </cell>
          <cell r="X102">
            <v>20700.147671999999</v>
          </cell>
          <cell r="Y102">
            <v>21017.995344000003</v>
          </cell>
          <cell r="Z102">
            <v>19906.480383722901</v>
          </cell>
          <cell r="AA102">
            <v>17824.539829652273</v>
          </cell>
          <cell r="AB102">
            <v>16286.413709513767</v>
          </cell>
          <cell r="AC102">
            <v>15256.804261030942</v>
          </cell>
          <cell r="AD102">
            <v>14487.634061080225</v>
          </cell>
          <cell r="AE102">
            <v>13990.079600528959</v>
          </cell>
          <cell r="AF102">
            <v>13814.906682920273</v>
          </cell>
          <cell r="AG102">
            <v>13803.861710756963</v>
          </cell>
        </row>
        <row r="103">
          <cell r="B103" t="str">
            <v>Net debt (inc. pension)</v>
          </cell>
          <cell r="W103">
            <v>3302.72</v>
          </cell>
          <cell r="X103">
            <v>5037.5154732868659</v>
          </cell>
          <cell r="Y103">
            <v>4828.2442072830199</v>
          </cell>
          <cell r="Z103">
            <v>6180.5732064829799</v>
          </cell>
          <cell r="AA103">
            <v>7099.5161900867761</v>
          </cell>
          <cell r="AB103">
            <v>7737.9858823203349</v>
          </cell>
          <cell r="AC103">
            <v>8181.6376723510475</v>
          </cell>
          <cell r="AD103">
            <v>8782.0922130553809</v>
          </cell>
          <cell r="AE103">
            <v>8671.8659007802962</v>
          </cell>
          <cell r="AF103">
            <v>8270.7187772059824</v>
          </cell>
          <cell r="AG103">
            <v>7570.1149098483475</v>
          </cell>
        </row>
        <row r="105">
          <cell r="B105" t="str">
            <v>Profit and Loss Summary</v>
          </cell>
          <cell r="D105">
            <v>1991</v>
          </cell>
          <cell r="E105">
            <v>1992</v>
          </cell>
          <cell r="F105">
            <v>1993</v>
          </cell>
          <cell r="G105">
            <v>1994</v>
          </cell>
          <cell r="H105">
            <v>1995</v>
          </cell>
          <cell r="I105">
            <v>1996</v>
          </cell>
          <cell r="J105">
            <v>1997</v>
          </cell>
          <cell r="K105">
            <v>1998</v>
          </cell>
          <cell r="L105">
            <v>1999</v>
          </cell>
          <cell r="M105">
            <v>2000</v>
          </cell>
          <cell r="N105">
            <v>2001</v>
          </cell>
          <cell r="O105">
            <v>2002</v>
          </cell>
          <cell r="P105">
            <v>2003</v>
          </cell>
          <cell r="Q105">
            <v>2004</v>
          </cell>
          <cell r="R105">
            <v>2005</v>
          </cell>
          <cell r="S105">
            <v>2006</v>
          </cell>
          <cell r="T105">
            <v>2007</v>
          </cell>
          <cell r="U105">
            <v>2008</v>
          </cell>
          <cell r="V105" t="str">
            <v>2009</v>
          </cell>
          <cell r="W105" t="str">
            <v>2010</v>
          </cell>
          <cell r="X105" t="str">
            <v>2011e</v>
          </cell>
          <cell r="Y105" t="str">
            <v>2012e</v>
          </cell>
          <cell r="Z105" t="str">
            <v>2013e</v>
          </cell>
          <cell r="AA105" t="str">
            <v>2014e</v>
          </cell>
          <cell r="AB105" t="str">
            <v>2015e</v>
          </cell>
          <cell r="AC105" t="str">
            <v>2016e</v>
          </cell>
          <cell r="AD105" t="str">
            <v>2017e</v>
          </cell>
          <cell r="AE105" t="str">
            <v>2018e</v>
          </cell>
          <cell r="AF105" t="str">
            <v>2019e</v>
          </cell>
          <cell r="AG105" t="str">
            <v>2020e</v>
          </cell>
        </row>
        <row r="107">
          <cell r="B107" t="str">
            <v>Revenues</v>
          </cell>
          <cell r="D107">
            <v>5735</v>
          </cell>
          <cell r="E107">
            <v>4809</v>
          </cell>
          <cell r="F107">
            <v>3850</v>
          </cell>
          <cell r="G107">
            <v>3857</v>
          </cell>
          <cell r="H107">
            <v>4936</v>
          </cell>
          <cell r="I107">
            <v>2644</v>
          </cell>
          <cell r="J107">
            <v>2878</v>
          </cell>
          <cell r="K107">
            <v>1447</v>
          </cell>
          <cell r="L107">
            <v>3693</v>
          </cell>
          <cell r="M107">
            <v>4036</v>
          </cell>
          <cell r="N107">
            <v>3193</v>
          </cell>
          <cell r="O107">
            <v>3262</v>
          </cell>
          <cell r="P107">
            <v>3801</v>
          </cell>
          <cell r="Q107">
            <v>5946</v>
          </cell>
          <cell r="R107">
            <v>18606</v>
          </cell>
          <cell r="S107">
            <v>20882</v>
          </cell>
          <cell r="T107">
            <v>17120</v>
          </cell>
          <cell r="U107">
            <v>50706</v>
          </cell>
          <cell r="V107">
            <v>30828</v>
          </cell>
          <cell r="W107">
            <v>41151</v>
          </cell>
          <cell r="X107">
            <v>50962.1449422367</v>
          </cell>
          <cell r="Y107">
            <v>46137.807425652296</v>
          </cell>
          <cell r="Z107">
            <v>44276.018281654644</v>
          </cell>
          <cell r="AA107">
            <v>43130.447262456422</v>
          </cell>
          <cell r="AB107">
            <v>42597.410461867243</v>
          </cell>
          <cell r="AC107">
            <v>42398.675674641796</v>
          </cell>
          <cell r="AD107">
            <v>42078.639784837505</v>
          </cell>
          <cell r="AE107">
            <v>41825.132372628366</v>
          </cell>
          <cell r="AF107">
            <v>41575.636174933185</v>
          </cell>
          <cell r="AG107">
            <v>41390.955600593559</v>
          </cell>
        </row>
        <row r="108">
          <cell r="B108" t="str">
            <v>Revenue growth (%)</v>
          </cell>
          <cell r="E108">
            <v>-0.16146469049694856</v>
          </cell>
          <cell r="F108">
            <v>-0.19941775836972342</v>
          </cell>
          <cell r="G108">
            <v>1.8181818181817189E-3</v>
          </cell>
          <cell r="H108">
            <v>0.27975110189266261</v>
          </cell>
          <cell r="I108">
            <v>-0.46434359805510539</v>
          </cell>
          <cell r="J108">
            <v>8.8502269288956104E-2</v>
          </cell>
          <cell r="K108">
            <v>-0.49722029186935368</v>
          </cell>
          <cell r="L108">
            <v>1.5521769177608844</v>
          </cell>
          <cell r="M108">
            <v>9.2878418629840143E-2</v>
          </cell>
          <cell r="N108">
            <v>-0.20887016848364715</v>
          </cell>
          <cell r="O108">
            <v>2.1609771374882625E-2</v>
          </cell>
          <cell r="P108">
            <v>0.16523605150214582</v>
          </cell>
          <cell r="Q108">
            <v>0.56432517758484613</v>
          </cell>
          <cell r="R108">
            <v>2.1291624621594347</v>
          </cell>
          <cell r="S108">
            <v>0.12232613135547665</v>
          </cell>
          <cell r="T108">
            <v>-0.18015515755195866</v>
          </cell>
          <cell r="U108">
            <v>1.9617990654205606</v>
          </cell>
          <cell r="V108">
            <v>-0.39202461247189679</v>
          </cell>
          <cell r="W108">
            <v>0.334857921370183</v>
          </cell>
          <cell r="X108">
            <v>0.23841814153329688</v>
          </cell>
          <cell r="Y108">
            <v>-9.4665119022218858E-2</v>
          </cell>
          <cell r="Z108">
            <v>-4.0352787613451069E-2</v>
          </cell>
          <cell r="AA108">
            <v>-2.5873397465663195E-2</v>
          </cell>
          <cell r="AB108">
            <v>-1.2358712566682972E-2</v>
          </cell>
          <cell r="AC108">
            <v>-4.6654194485215017E-3</v>
          </cell>
          <cell r="AD108">
            <v>-7.548252031742142E-3</v>
          </cell>
          <cell r="AE108">
            <v>-6.024610431929589E-3</v>
          </cell>
          <cell r="AF108">
            <v>-5.9652219501034054E-3</v>
          </cell>
          <cell r="AG108">
            <v>-4.4420384468096819E-3</v>
          </cell>
        </row>
        <row r="109">
          <cell r="B109" t="str">
            <v>EBIT (Pre exceptionals)</v>
          </cell>
          <cell r="D109">
            <v>399</v>
          </cell>
          <cell r="E109">
            <v>104</v>
          </cell>
          <cell r="F109">
            <v>93</v>
          </cell>
          <cell r="G109">
            <v>424</v>
          </cell>
          <cell r="H109">
            <v>706</v>
          </cell>
          <cell r="I109">
            <v>246</v>
          </cell>
          <cell r="J109">
            <v>574</v>
          </cell>
          <cell r="K109">
            <v>400</v>
          </cell>
          <cell r="L109">
            <v>495</v>
          </cell>
          <cell r="M109">
            <v>538</v>
          </cell>
          <cell r="N109">
            <v>182</v>
          </cell>
          <cell r="O109">
            <v>188</v>
          </cell>
          <cell r="P109">
            <v>-104</v>
          </cell>
          <cell r="Q109">
            <v>613</v>
          </cell>
          <cell r="R109">
            <v>1718</v>
          </cell>
          <cell r="S109">
            <v>1894</v>
          </cell>
          <cell r="T109">
            <v>1096</v>
          </cell>
          <cell r="U109">
            <v>573</v>
          </cell>
          <cell r="V109">
            <v>280</v>
          </cell>
          <cell r="W109">
            <v>3030</v>
          </cell>
          <cell r="X109">
            <v>4544.1915997242504</v>
          </cell>
          <cell r="Y109">
            <v>2189.5391284080051</v>
          </cell>
          <cell r="Z109">
            <v>2641.2620628697473</v>
          </cell>
          <cell r="AA109">
            <v>3112.8218456007689</v>
          </cell>
          <cell r="AB109">
            <v>2485.3990967267391</v>
          </cell>
          <cell r="AC109">
            <v>2333.6067863198477</v>
          </cell>
          <cell r="AD109">
            <v>2175.2240153571993</v>
          </cell>
          <cell r="AE109">
            <v>2015.6851540904331</v>
          </cell>
          <cell r="AF109">
            <v>1989.9569648586562</v>
          </cell>
          <cell r="AG109">
            <v>1962.9635183296064</v>
          </cell>
        </row>
        <row r="110">
          <cell r="B110" t="str">
            <v>EBIT Growth (%)</v>
          </cell>
          <cell r="E110">
            <v>-0.73934837092731831</v>
          </cell>
          <cell r="F110">
            <v>-0.10576923076923073</v>
          </cell>
          <cell r="G110">
            <v>3.559139784946237</v>
          </cell>
          <cell r="H110">
            <v>0.66509433962264142</v>
          </cell>
          <cell r="I110">
            <v>-0.65155807365439089</v>
          </cell>
          <cell r="J110">
            <v>1.3333333333333335</v>
          </cell>
          <cell r="K110">
            <v>-0.30313588850174211</v>
          </cell>
          <cell r="L110">
            <v>0.23749999999999999</v>
          </cell>
          <cell r="M110">
            <v>8.6868686868686762E-2</v>
          </cell>
          <cell r="N110">
            <v>-0.66171003717472121</v>
          </cell>
          <cell r="O110">
            <v>3.2967032967033072E-2</v>
          </cell>
          <cell r="P110">
            <v>-1.5531914893617023</v>
          </cell>
          <cell r="Q110">
            <v>-6.8942307692307692</v>
          </cell>
          <cell r="R110">
            <v>1.8026101141924959</v>
          </cell>
          <cell r="S110">
            <v>0.10244470314318965</v>
          </cell>
          <cell r="T110">
            <v>-0.42133051742344241</v>
          </cell>
          <cell r="U110">
            <v>-0.4771897810218978</v>
          </cell>
          <cell r="V110">
            <v>-0.51134380453752182</v>
          </cell>
          <cell r="W110">
            <v>9.8214285714285712</v>
          </cell>
          <cell r="X110">
            <v>0.49973320122912557</v>
          </cell>
          <cell r="Y110">
            <v>-0.5181675155288632</v>
          </cell>
          <cell r="Z110">
            <v>0.20630959666392723</v>
          </cell>
          <cell r="AA110">
            <v>0.17853578005760973</v>
          </cell>
          <cell r="AB110">
            <v>-0.20156076383257915</v>
          </cell>
          <cell r="AC110">
            <v>-6.1073616147523824E-2</v>
          </cell>
          <cell r="AD110">
            <v>-6.7870376402368038E-2</v>
          </cell>
          <cell r="AE110">
            <v>-7.3343646511997429E-2</v>
          </cell>
          <cell r="AF110">
            <v>-1.2763992025027648E-2</v>
          </cell>
          <cell r="AG110">
            <v>-1.3564839343632284E-2</v>
          </cell>
        </row>
        <row r="111">
          <cell r="B111" t="str">
            <v>EBITDA</v>
          </cell>
          <cell r="D111">
            <v>438</v>
          </cell>
          <cell r="E111">
            <v>143</v>
          </cell>
          <cell r="F111">
            <v>151</v>
          </cell>
          <cell r="G111">
            <v>489</v>
          </cell>
          <cell r="H111">
            <v>792</v>
          </cell>
          <cell r="I111">
            <v>356</v>
          </cell>
          <cell r="J111">
            <v>658</v>
          </cell>
          <cell r="K111">
            <v>538</v>
          </cell>
          <cell r="L111">
            <v>825</v>
          </cell>
          <cell r="M111">
            <v>817</v>
          </cell>
          <cell r="N111">
            <v>436</v>
          </cell>
          <cell r="O111">
            <v>432</v>
          </cell>
          <cell r="P111">
            <v>146</v>
          </cell>
          <cell r="Q111">
            <v>902</v>
          </cell>
          <cell r="R111">
            <v>2447</v>
          </cell>
          <cell r="S111">
            <v>2605</v>
          </cell>
          <cell r="T111">
            <v>1568</v>
          </cell>
          <cell r="U111">
            <v>2484</v>
          </cell>
          <cell r="V111">
            <v>2054</v>
          </cell>
          <cell r="W111">
            <v>4153</v>
          </cell>
          <cell r="X111">
            <v>5376.1915997242504</v>
          </cell>
          <cell r="Y111">
            <v>3022.7603353325085</v>
          </cell>
          <cell r="Z111">
            <v>3467.2039676308041</v>
          </cell>
          <cell r="AA111">
            <v>3926.3221278048431</v>
          </cell>
          <cell r="AB111">
            <v>3286.8478684669435</v>
          </cell>
          <cell r="AC111">
            <v>3123.5758980970404</v>
          </cell>
          <cell r="AD111">
            <v>2954.1786287087543</v>
          </cell>
          <cell r="AE111">
            <v>2784.1170770464614</v>
          </cell>
          <cell r="AF111">
            <v>2748.3410296462207</v>
          </cell>
          <cell r="AG111">
            <v>2711.8000435267859</v>
          </cell>
        </row>
        <row r="112">
          <cell r="B112" t="str">
            <v>EBITDA Growth (%)</v>
          </cell>
          <cell r="E112">
            <v>-0.67351598173515981</v>
          </cell>
          <cell r="F112">
            <v>5.5944055944056048E-2</v>
          </cell>
          <cell r="G112">
            <v>2.23841059602649</v>
          </cell>
          <cell r="H112">
            <v>0.61963190184049077</v>
          </cell>
          <cell r="I112">
            <v>-0.5505050505050505</v>
          </cell>
          <cell r="J112">
            <v>0.848314606741573</v>
          </cell>
          <cell r="K112">
            <v>-0.18237082066869303</v>
          </cell>
          <cell r="L112">
            <v>0.53345724907063197</v>
          </cell>
          <cell r="M112">
            <v>-9.6969696969696484E-3</v>
          </cell>
          <cell r="N112">
            <v>-0.46634026927784578</v>
          </cell>
          <cell r="O112">
            <v>-9.1743119266054496E-3</v>
          </cell>
          <cell r="P112">
            <v>-0.66203703703703698</v>
          </cell>
          <cell r="Q112">
            <v>5.1780821917808222</v>
          </cell>
          <cell r="R112">
            <v>1.7128603104212861</v>
          </cell>
          <cell r="S112">
            <v>6.4568859828361358E-2</v>
          </cell>
          <cell r="T112">
            <v>-0.39808061420345486</v>
          </cell>
          <cell r="U112">
            <v>0.58418367346938771</v>
          </cell>
          <cell r="V112">
            <v>-0.17310789049919484</v>
          </cell>
          <cell r="W112">
            <v>1.0219084712755597</v>
          </cell>
          <cell r="X112">
            <v>0.29453204905471964</v>
          </cell>
          <cell r="Y112">
            <v>-0.43775063085780863</v>
          </cell>
          <cell r="Z112">
            <v>0.14703237537666247</v>
          </cell>
          <cell r="AA112">
            <v>0.13241740735771068</v>
          </cell>
          <cell r="AB112">
            <v>-0.16286851626598997</v>
          </cell>
          <cell r="AC112">
            <v>-4.9674331427470908E-2</v>
          </cell>
          <cell r="AD112">
            <v>-5.4231840337699788E-2</v>
          </cell>
          <cell r="AE112">
            <v>-5.7566441653064571E-2</v>
          </cell>
          <cell r="AF112">
            <v>-1.2850051348484937E-2</v>
          </cell>
          <cell r="AG112">
            <v>-1.3295652077114473E-2</v>
          </cell>
        </row>
        <row r="113">
          <cell r="B113" t="str">
            <v>EPS (Pre exceptionals)</v>
          </cell>
          <cell r="D113">
            <v>2.7749999999999999</v>
          </cell>
          <cell r="E113">
            <v>0.32500000000000001</v>
          </cell>
          <cell r="F113">
            <v>0.05</v>
          </cell>
          <cell r="G113">
            <v>2.7875000000000001</v>
          </cell>
          <cell r="H113">
            <v>4.8624999999999998</v>
          </cell>
          <cell r="I113">
            <v>1.325</v>
          </cell>
          <cell r="J113">
            <v>3.8966083219525638</v>
          </cell>
          <cell r="K113">
            <v>1.0869123154738156</v>
          </cell>
          <cell r="L113">
            <v>-0.41999410665463133</v>
          </cell>
          <cell r="M113">
            <v>0.44131257091232651</v>
          </cell>
          <cell r="N113">
            <v>-1.0818114157950471</v>
          </cell>
          <cell r="O113">
            <v>-1.1114017603107917</v>
          </cell>
          <cell r="P113">
            <v>-1.8438078511115636</v>
          </cell>
          <cell r="Q113">
            <v>0.51397849462365586</v>
          </cell>
          <cell r="R113">
            <v>2.8974220854174684</v>
          </cell>
          <cell r="S113">
            <v>4.0107568190549365</v>
          </cell>
          <cell r="T113" t="str">
            <v>NA</v>
          </cell>
          <cell r="U113" t="str">
            <v>NA</v>
          </cell>
          <cell r="V113" t="str">
            <v>NA</v>
          </cell>
          <cell r="W113">
            <v>2.2199045677333435</v>
          </cell>
          <cell r="X113">
            <v>4.7009547028709289</v>
          </cell>
          <cell r="Y113">
            <v>2.0201735955472389</v>
          </cell>
          <cell r="Z113">
            <v>2.9566527335992254</v>
          </cell>
          <cell r="AA113">
            <v>3.9787195977926233</v>
          </cell>
          <cell r="AB113">
            <v>3.3776323563770849</v>
          </cell>
          <cell r="AC113">
            <v>3.3447687390385279</v>
          </cell>
          <cell r="AD113">
            <v>3.2295803850603759</v>
          </cell>
          <cell r="AE113">
            <v>3.0490226083244689</v>
          </cell>
          <cell r="AF113">
            <v>3.0334279220979661</v>
          </cell>
          <cell r="AG113">
            <v>2.9888657234043543</v>
          </cell>
        </row>
        <row r="114">
          <cell r="B114" t="str">
            <v>EPS (Pre exceptionals) growth (%)</v>
          </cell>
          <cell r="E114">
            <v>-0.88288288288288286</v>
          </cell>
          <cell r="F114">
            <v>-0.84615384615384615</v>
          </cell>
          <cell r="G114">
            <v>54.75</v>
          </cell>
          <cell r="H114">
            <v>0.74439461883408065</v>
          </cell>
          <cell r="I114">
            <v>-0.72750642673521848</v>
          </cell>
          <cell r="J114">
            <v>1.9408364693981612</v>
          </cell>
          <cell r="K114">
            <v>-0.72106195294240627</v>
          </cell>
          <cell r="L114">
            <v>-1.3864102933377327</v>
          </cell>
          <cell r="M114">
            <v>-2.0507589604709042</v>
          </cell>
          <cell r="N114">
            <v>-3.4513496489769504</v>
          </cell>
          <cell r="O114">
            <v>2.7352590371768182E-2</v>
          </cell>
          <cell r="P114">
            <v>0.65899309948543028</v>
          </cell>
          <cell r="Q114">
            <v>-1.2787592504901186</v>
          </cell>
          <cell r="R114">
            <v>4.637243806356163</v>
          </cell>
          <cell r="S114">
            <v>0.38425010261390891</v>
          </cell>
          <cell r="T114" t="str">
            <v>NM</v>
          </cell>
          <cell r="U114" t="str">
            <v>NM</v>
          </cell>
          <cell r="V114" t="str">
            <v>NM</v>
          </cell>
          <cell r="W114" t="str">
            <v>NM</v>
          </cell>
          <cell r="X114">
            <v>1.1176381954431882</v>
          </cell>
          <cell r="Y114">
            <v>-0.57026312244329969</v>
          </cell>
          <cell r="Z114">
            <v>0.46356369577155387</v>
          </cell>
          <cell r="AA114">
            <v>0.34568377022390595</v>
          </cell>
          <cell r="AB114">
            <v>-0.15107554745728224</v>
          </cell>
          <cell r="AC114">
            <v>-9.7297792865198574E-3</v>
          </cell>
          <cell r="AD114">
            <v>-3.4438361203789403E-2</v>
          </cell>
          <cell r="AE114">
            <v>-5.5907503516910095E-2</v>
          </cell>
          <cell r="AF114">
            <v>-5.1146508995788542E-3</v>
          </cell>
          <cell r="AG114">
            <v>-1.4690376642538361E-2</v>
          </cell>
        </row>
        <row r="115">
          <cell r="B115" t="str">
            <v>Reported EPS</v>
          </cell>
          <cell r="D115">
            <v>2.7749999999999999</v>
          </cell>
          <cell r="E115">
            <v>0.2</v>
          </cell>
          <cell r="F115">
            <v>0.32500000000000001</v>
          </cell>
          <cell r="G115">
            <v>2.7875000000000001</v>
          </cell>
          <cell r="H115">
            <v>4.8624999999999998</v>
          </cell>
          <cell r="I115">
            <v>1.575</v>
          </cell>
          <cell r="J115">
            <v>3.5833761417312968</v>
          </cell>
          <cell r="K115">
            <v>0.66924928248754811</v>
          </cell>
          <cell r="L115">
            <v>-1.1152596615429375</v>
          </cell>
          <cell r="M115">
            <v>3.7103703577917777</v>
          </cell>
          <cell r="N115">
            <v>-1.2759116388659697</v>
          </cell>
          <cell r="O115">
            <v>-1.1049476269756537</v>
          </cell>
          <cell r="P115">
            <v>-1.8381010346926352</v>
          </cell>
          <cell r="Q115">
            <v>0.29032258064516131</v>
          </cell>
          <cell r="R115">
            <v>2.0430934974990382</v>
          </cell>
          <cell r="S115">
            <v>0.71456012293507487</v>
          </cell>
          <cell r="T115" t="str">
            <v>NA</v>
          </cell>
          <cell r="U115" t="str">
            <v>NA</v>
          </cell>
          <cell r="V115" t="str">
            <v>NA</v>
          </cell>
          <cell r="W115">
            <v>17.951563188022899</v>
          </cell>
          <cell r="X115">
            <v>4.5426949623169381</v>
          </cell>
          <cell r="Y115">
            <v>2.0201735955472389</v>
          </cell>
          <cell r="Z115">
            <v>2.9566527335992254</v>
          </cell>
          <cell r="AA115">
            <v>3.9787195977926233</v>
          </cell>
          <cell r="AB115">
            <v>3.3776323563770849</v>
          </cell>
          <cell r="AC115">
            <v>3.3447687390385279</v>
          </cell>
          <cell r="AD115">
            <v>3.2295803850603759</v>
          </cell>
          <cell r="AE115">
            <v>3.0490226083244689</v>
          </cell>
          <cell r="AF115">
            <v>3.0334279220979661</v>
          </cell>
          <cell r="AG115">
            <v>2.9888657234043543</v>
          </cell>
        </row>
        <row r="116">
          <cell r="B116" t="str">
            <v>DPS</v>
          </cell>
          <cell r="D116">
            <v>1.75</v>
          </cell>
          <cell r="E116">
            <v>1.8</v>
          </cell>
          <cell r="F116">
            <v>1.35</v>
          </cell>
          <cell r="G116">
            <v>0.9</v>
          </cell>
          <cell r="H116">
            <v>0.9</v>
          </cell>
          <cell r="I116">
            <v>0.9</v>
          </cell>
          <cell r="J116">
            <v>0.9</v>
          </cell>
          <cell r="K116">
            <v>0.9</v>
          </cell>
          <cell r="L116">
            <v>0.9</v>
          </cell>
          <cell r="M116">
            <v>0.9</v>
          </cell>
          <cell r="N116">
            <v>0.9</v>
          </cell>
          <cell r="O116">
            <v>0.9</v>
          </cell>
          <cell r="P116">
            <v>0.9</v>
          </cell>
          <cell r="Q116">
            <v>0.9</v>
          </cell>
          <cell r="R116">
            <v>0.9</v>
          </cell>
          <cell r="S116">
            <v>0.9</v>
          </cell>
          <cell r="T116" t="str">
            <v>NA</v>
          </cell>
          <cell r="U116" t="str">
            <v>NA</v>
          </cell>
          <cell r="V116" t="str">
            <v>NA</v>
          </cell>
          <cell r="W116">
            <v>0</v>
          </cell>
          <cell r="X116">
            <v>0.5</v>
          </cell>
          <cell r="Y116">
            <v>1.0800309158398775</v>
          </cell>
          <cell r="Z116">
            <v>0.66766173922631089</v>
          </cell>
          <cell r="AA116">
            <v>0.89884267209296032</v>
          </cell>
          <cell r="AB116">
            <v>0.76334191001442619</v>
          </cell>
          <cell r="AC116">
            <v>0.75614135298401497</v>
          </cell>
          <cell r="AD116">
            <v>0.73028492420475044</v>
          </cell>
          <cell r="AE116">
            <v>0.68957900796503457</v>
          </cell>
          <cell r="AF116">
            <v>0.68609705675850108</v>
          </cell>
          <cell r="AG116">
            <v>0.67602086643899917</v>
          </cell>
        </row>
        <row r="117">
          <cell r="B117" t="str">
            <v>Free cash flow per share</v>
          </cell>
          <cell r="E117">
            <v>0.81499999999999995</v>
          </cell>
          <cell r="F117">
            <v>0.33126250000000007</v>
          </cell>
          <cell r="G117">
            <v>-0.69359999999999999</v>
          </cell>
          <cell r="H117">
            <v>-5.8652499999999996</v>
          </cell>
          <cell r="I117">
            <v>-3.4540999999999995</v>
          </cell>
          <cell r="J117">
            <v>2.1468181875133121</v>
          </cell>
          <cell r="K117">
            <v>-72.931080194082298</v>
          </cell>
          <cell r="L117">
            <v>5.2427647995703088</v>
          </cell>
          <cell r="M117">
            <v>22.713997819705163</v>
          </cell>
          <cell r="N117">
            <v>3.1240398187581953</v>
          </cell>
          <cell r="O117">
            <v>3.8618394028817256</v>
          </cell>
          <cell r="P117">
            <v>-7.1214995134654333E-2</v>
          </cell>
          <cell r="Q117">
            <v>1.6327956989247312</v>
          </cell>
          <cell r="R117">
            <v>5.5564447864563293</v>
          </cell>
          <cell r="S117">
            <v>-4.4092463035581595</v>
          </cell>
          <cell r="T117" t="str">
            <v>NA</v>
          </cell>
          <cell r="U117" t="str">
            <v>NA</v>
          </cell>
          <cell r="V117" t="str">
            <v>NA</v>
          </cell>
          <cell r="W117">
            <v>2.5428231258714629</v>
          </cell>
          <cell r="X117">
            <v>1.920907185067571</v>
          </cell>
          <cell r="Y117">
            <v>1.7361699764514253</v>
          </cell>
          <cell r="Z117">
            <v>3.8063939272079539</v>
          </cell>
          <cell r="AA117">
            <v>4.7042619323835675</v>
          </cell>
          <cell r="AB117">
            <v>4.3231650718311911</v>
          </cell>
          <cell r="AC117">
            <v>3.9125538951221972</v>
          </cell>
          <cell r="AD117">
            <v>3.851612888575445</v>
          </cell>
          <cell r="AE117">
            <v>3.7577275228133984</v>
          </cell>
          <cell r="AF117">
            <v>3.6963760326299639</v>
          </cell>
          <cell r="AG117">
            <v>3.6258792632522461</v>
          </cell>
        </row>
        <row r="119">
          <cell r="B119" t="str">
            <v>Valuation summary</v>
          </cell>
          <cell r="D119">
            <v>1991</v>
          </cell>
          <cell r="E119">
            <v>1992</v>
          </cell>
          <cell r="F119">
            <v>1993</v>
          </cell>
          <cell r="G119">
            <v>1994</v>
          </cell>
          <cell r="H119">
            <v>1995</v>
          </cell>
          <cell r="I119">
            <v>1996</v>
          </cell>
          <cell r="J119">
            <v>1997</v>
          </cell>
          <cell r="K119">
            <v>1998</v>
          </cell>
          <cell r="L119">
            <v>1999</v>
          </cell>
          <cell r="M119">
            <v>2000</v>
          </cell>
          <cell r="N119">
            <v>2001</v>
          </cell>
          <cell r="O119">
            <v>2002</v>
          </cell>
          <cell r="P119">
            <v>2003</v>
          </cell>
          <cell r="Q119">
            <v>2004</v>
          </cell>
          <cell r="R119">
            <v>2005</v>
          </cell>
          <cell r="S119">
            <v>2006</v>
          </cell>
          <cell r="T119">
            <v>2007</v>
          </cell>
          <cell r="U119">
            <v>2008</v>
          </cell>
          <cell r="V119" t="str">
            <v>2009</v>
          </cell>
          <cell r="W119" t="str">
            <v>2010</v>
          </cell>
          <cell r="X119" t="str">
            <v>2011e</v>
          </cell>
          <cell r="Y119" t="str">
            <v>2012e</v>
          </cell>
          <cell r="Z119" t="str">
            <v>2013e</v>
          </cell>
          <cell r="AA119" t="str">
            <v>2014e</v>
          </cell>
          <cell r="AB119" t="str">
            <v>2015e</v>
          </cell>
          <cell r="AC119" t="str">
            <v>2016e</v>
          </cell>
          <cell r="AD119" t="str">
            <v>2017e</v>
          </cell>
          <cell r="AE119" t="str">
            <v>2018e</v>
          </cell>
          <cell r="AF119" t="str">
            <v>2019e</v>
          </cell>
          <cell r="AG119" t="str">
            <v>2020e</v>
          </cell>
        </row>
        <row r="121">
          <cell r="B121" t="str">
            <v>P/E (x)</v>
          </cell>
          <cell r="W121">
            <v>16.216913340900131</v>
          </cell>
          <cell r="X121">
            <v>7.6580189079495646</v>
          </cell>
          <cell r="Y121">
            <v>17.820250734565246</v>
          </cell>
          <cell r="Z121">
            <v>12.175931109831787</v>
          </cell>
          <cell r="AA121">
            <v>9.0481369986396238</v>
          </cell>
          <cell r="AB121">
            <v>10.658353604420792</v>
          </cell>
          <cell r="AC121">
            <v>10.763075957935554</v>
          </cell>
          <cell r="AD121">
            <v>11.146958956814135</v>
          </cell>
          <cell r="AE121">
            <v>11.807062335881826</v>
          </cell>
          <cell r="AF121">
            <v>11.867761794419641</v>
          </cell>
          <cell r="AG121">
            <v>12.044703018306077</v>
          </cell>
        </row>
        <row r="122">
          <cell r="B122" t="str">
            <v>EV/ EBITDA (x)</v>
          </cell>
          <cell r="W122">
            <v>5.7167637852155071</v>
          </cell>
          <cell r="X122">
            <v>4.7873411257528415</v>
          </cell>
          <cell r="Y122">
            <v>8.5505421151557801</v>
          </cell>
          <cell r="Z122">
            <v>7.5239454712644385</v>
          </cell>
          <cell r="AA122">
            <v>6.3479396769907339</v>
          </cell>
          <cell r="AB122">
            <v>7.3092520716632983</v>
          </cell>
          <cell r="AC122">
            <v>7.5037209589372447</v>
          </cell>
          <cell r="AD122">
            <v>7.8768853203391425</v>
          </cell>
          <cell r="AE122">
            <v>8.139724327020847</v>
          </cell>
          <cell r="AF122">
            <v>8.0359843345093243</v>
          </cell>
          <cell r="AG122">
            <v>7.8818409460631713</v>
          </cell>
        </row>
        <row r="123">
          <cell r="B123" t="str">
            <v>EV/ Sales (x)</v>
          </cell>
          <cell r="W123">
            <v>0.62544441557402897</v>
          </cell>
          <cell r="X123">
            <v>0.50503492689444973</v>
          </cell>
          <cell r="Y123">
            <v>0.55784322189044688</v>
          </cell>
          <cell r="Z123">
            <v>0.58130030983276171</v>
          </cell>
          <cell r="AA123">
            <v>0.59674000106394953</v>
          </cell>
          <cell r="AB123">
            <v>0.60420722448203634</v>
          </cell>
          <cell r="AC123">
            <v>0.60703931752001139</v>
          </cell>
          <cell r="AD123">
            <v>0.61165625307501259</v>
          </cell>
          <cell r="AE123">
            <v>0.61536357891195514</v>
          </cell>
          <cell r="AF123">
            <v>0.61905638766400006</v>
          </cell>
          <cell r="AG123">
            <v>0.62181852947888394</v>
          </cell>
        </row>
        <row r="124">
          <cell r="B124" t="str">
            <v>Price/ Free cash flow</v>
          </cell>
          <cell r="W124">
            <v>19.061899203320621</v>
          </cell>
          <cell r="X124">
            <v>21.191021535374958</v>
          </cell>
          <cell r="Y124">
            <v>22.903919589598413</v>
          </cell>
          <cell r="Z124">
            <v>9.6172267964139415</v>
          </cell>
          <cell r="AA124">
            <v>8.4585504256948134</v>
          </cell>
          <cell r="AB124">
            <v>10.167214227330405</v>
          </cell>
          <cell r="AC124">
            <v>11.916271959898058</v>
          </cell>
          <cell r="AD124">
            <v>12.738468277807987</v>
          </cell>
          <cell r="AE124">
            <v>13.4888465939817</v>
          </cell>
          <cell r="AF124">
            <v>13.82195198971961</v>
          </cell>
          <cell r="AG124">
            <v>14.02287147493394</v>
          </cell>
        </row>
        <row r="125">
          <cell r="B125" t="str">
            <v>Free cash flow yield</v>
          </cell>
          <cell r="W125">
            <v>5.2460669807014713E-2</v>
          </cell>
          <cell r="X125">
            <v>4.7189796788732571E-2</v>
          </cell>
          <cell r="Y125">
            <v>4.366064926520874E-2</v>
          </cell>
          <cell r="Z125">
            <v>0.10398007878662886</v>
          </cell>
          <cell r="AA125">
            <v>0.11822356664828379</v>
          </cell>
          <cell r="AB125">
            <v>9.8355358472914656E-2</v>
          </cell>
          <cell r="AC125">
            <v>8.3918863497351295E-2</v>
          </cell>
          <cell r="AD125">
            <v>7.8502373926865737E-2</v>
          </cell>
          <cell r="AE125">
            <v>7.4135323063587111E-2</v>
          </cell>
          <cell r="AF125">
            <v>7.2348681339927431E-2</v>
          </cell>
          <cell r="AG125">
            <v>7.1312070554701484E-2</v>
          </cell>
        </row>
        <row r="126">
          <cell r="B126" t="str">
            <v>Dividend Yield (%)</v>
          </cell>
          <cell r="W126">
            <v>0</v>
          </cell>
          <cell r="X126">
            <v>1.3888888888888888E-2</v>
          </cell>
          <cell r="Y126">
            <v>3.0000858773329933E-2</v>
          </cell>
          <cell r="Z126">
            <v>1.8546159422953082E-2</v>
          </cell>
          <cell r="AA126">
            <v>2.4967852002582232E-2</v>
          </cell>
          <cell r="AB126">
            <v>2.1203941944845171E-2</v>
          </cell>
          <cell r="AC126">
            <v>2.1003926471778192E-2</v>
          </cell>
          <cell r="AD126">
            <v>2.0285692339020847E-2</v>
          </cell>
          <cell r="AE126">
            <v>1.9154972443473181E-2</v>
          </cell>
          <cell r="AF126">
            <v>1.9058251576625031E-2</v>
          </cell>
          <cell r="AG126">
            <v>1.8778357401083311E-2</v>
          </cell>
        </row>
        <row r="128">
          <cell r="B128" t="str">
            <v>Key financial ratios</v>
          </cell>
          <cell r="D128">
            <v>1991</v>
          </cell>
          <cell r="E128">
            <v>1992</v>
          </cell>
          <cell r="F128">
            <v>1993</v>
          </cell>
          <cell r="G128">
            <v>1994</v>
          </cell>
          <cell r="H128">
            <v>1995</v>
          </cell>
          <cell r="I128">
            <v>1996</v>
          </cell>
          <cell r="J128">
            <v>1997</v>
          </cell>
          <cell r="K128">
            <v>1998</v>
          </cell>
          <cell r="L128">
            <v>1999</v>
          </cell>
          <cell r="M128">
            <v>2000</v>
          </cell>
          <cell r="N128">
            <v>2001</v>
          </cell>
          <cell r="O128">
            <v>2002</v>
          </cell>
          <cell r="P128">
            <v>2003</v>
          </cell>
          <cell r="Q128">
            <v>2004</v>
          </cell>
          <cell r="R128">
            <v>2005</v>
          </cell>
          <cell r="S128">
            <v>2006</v>
          </cell>
          <cell r="T128">
            <v>2007</v>
          </cell>
          <cell r="U128">
            <v>2008</v>
          </cell>
          <cell r="V128" t="str">
            <v>2009</v>
          </cell>
          <cell r="W128" t="str">
            <v>2010</v>
          </cell>
          <cell r="X128" t="str">
            <v>2011e</v>
          </cell>
          <cell r="Y128" t="str">
            <v>2012e</v>
          </cell>
          <cell r="Z128" t="str">
            <v>2013e</v>
          </cell>
          <cell r="AA128" t="str">
            <v>2014e</v>
          </cell>
          <cell r="AB128" t="str">
            <v>2015e</v>
          </cell>
          <cell r="AC128" t="str">
            <v>2016e</v>
          </cell>
          <cell r="AD128" t="str">
            <v>2017e</v>
          </cell>
          <cell r="AE128" t="str">
            <v>2018e</v>
          </cell>
          <cell r="AF128" t="str">
            <v>2019e</v>
          </cell>
          <cell r="AG128" t="str">
            <v>2020e</v>
          </cell>
        </row>
        <row r="130">
          <cell r="B130" t="str">
            <v>Gross margin (%)</v>
          </cell>
          <cell r="D130">
            <v>9.8343504795117692E-2</v>
          </cell>
          <cell r="E130">
            <v>5.6144728633811605E-2</v>
          </cell>
          <cell r="F130">
            <v>7.2987012987012989E-2</v>
          </cell>
          <cell r="G130">
            <v>0.16230230749287011</v>
          </cell>
          <cell r="H130">
            <v>0.20178282009724474</v>
          </cell>
          <cell r="I130">
            <v>0.1989409984871407</v>
          </cell>
          <cell r="J130">
            <v>0.24739402362751911</v>
          </cell>
          <cell r="K130">
            <v>0.34277816171389081</v>
          </cell>
          <cell r="L130">
            <v>0.31058759815867859</v>
          </cell>
          <cell r="M130">
            <v>0.23389494549058473</v>
          </cell>
          <cell r="N130">
            <v>0.18321327904791732</v>
          </cell>
          <cell r="O130">
            <v>0.18638871857755979</v>
          </cell>
          <cell r="P130">
            <v>0.11891607471717969</v>
          </cell>
          <cell r="Q130">
            <v>0.13101244534140599</v>
          </cell>
          <cell r="R130">
            <v>0.15973341932709878</v>
          </cell>
          <cell r="S130">
            <v>0.1488363183603103</v>
          </cell>
          <cell r="T130">
            <v>0.1399532710280374</v>
          </cell>
          <cell r="U130">
            <v>7.5671518163530946E-2</v>
          </cell>
          <cell r="V130">
            <v>0.10477487997923965</v>
          </cell>
          <cell r="W130">
            <v>0.12802416981306011</v>
          </cell>
          <cell r="X130">
            <v>0.13532562175062665</v>
          </cell>
          <cell r="Y130">
            <v>9.6580734330740853E-2</v>
          </cell>
          <cell r="Z130">
            <v>0.10917217945489686</v>
          </cell>
          <cell r="AA130">
            <v>0.12140026930971146</v>
          </cell>
          <cell r="AB130">
            <v>0.10730193111352175</v>
          </cell>
          <cell r="AC130">
            <v>0.10454025035623546</v>
          </cell>
          <cell r="AD130">
            <v>0.10182913566967375</v>
          </cell>
          <cell r="AE130">
            <v>9.8918685860022545E-2</v>
          </cell>
          <cell r="AF130">
            <v>9.9092267762123334E-2</v>
          </cell>
          <cell r="AG130">
            <v>9.9017866590147413E-2</v>
          </cell>
        </row>
        <row r="131">
          <cell r="B131" t="str">
            <v>EBITDA margin (%)</v>
          </cell>
          <cell r="D131">
            <v>7.6373147340889277E-2</v>
          </cell>
          <cell r="E131">
            <v>2.9735911831981703E-2</v>
          </cell>
          <cell r="F131">
            <v>3.9220779220779219E-2</v>
          </cell>
          <cell r="G131">
            <v>0.12678247342494167</v>
          </cell>
          <cell r="H131">
            <v>0.16045380875202594</v>
          </cell>
          <cell r="I131">
            <v>0.1346444780635401</v>
          </cell>
          <cell r="J131">
            <v>0.22863099374565671</v>
          </cell>
          <cell r="K131">
            <v>0.37180373185901866</v>
          </cell>
          <cell r="L131">
            <v>0.22339561332250202</v>
          </cell>
          <cell r="M131">
            <v>0.20242814667988107</v>
          </cell>
          <cell r="N131">
            <v>0.13654870028186658</v>
          </cell>
          <cell r="O131">
            <v>0.13243408951563457</v>
          </cell>
          <cell r="P131">
            <v>3.8410944488292555E-2</v>
          </cell>
          <cell r="Q131">
            <v>0.15169862092162797</v>
          </cell>
          <cell r="R131">
            <v>0.13151671503815973</v>
          </cell>
          <cell r="S131">
            <v>0.12474858730006705</v>
          </cell>
          <cell r="T131">
            <v>9.1588785046728974E-2</v>
          </cell>
          <cell r="U131">
            <v>4.898828541001065E-2</v>
          </cell>
          <cell r="V131">
            <v>6.6627741014661998E-2</v>
          </cell>
          <cell r="W131">
            <v>0.10092099827464703</v>
          </cell>
          <cell r="X131">
            <v>0.10549382499143083</v>
          </cell>
          <cell r="Y131">
            <v>6.5515907755336347E-2</v>
          </cell>
          <cell r="Z131">
            <v>7.8308847592725106E-2</v>
          </cell>
          <cell r="AA131">
            <v>9.1033652025736628E-2</v>
          </cell>
          <cell r="AB131">
            <v>7.7160743642135141E-2</v>
          </cell>
          <cell r="AC131">
            <v>7.367154394318072E-2</v>
          </cell>
          <cell r="AD131">
            <v>7.0206134129203832E-2</v>
          </cell>
          <cell r="AE131">
            <v>6.656564890798701E-2</v>
          </cell>
          <cell r="AF131">
            <v>6.6104605545476966E-2</v>
          </cell>
          <cell r="AG131">
            <v>6.5516729540979673E-2</v>
          </cell>
        </row>
        <row r="132">
          <cell r="B132" t="str">
            <v>Capex/ depreciation</v>
          </cell>
          <cell r="D132">
            <v>0</v>
          </cell>
          <cell r="E132">
            <v>2.4871794871794872</v>
          </cell>
          <cell r="F132">
            <v>1.1896551724137931</v>
          </cell>
          <cell r="G132">
            <v>3.8769230769230769</v>
          </cell>
          <cell r="H132">
            <v>11.418604651162791</v>
          </cell>
          <cell r="I132">
            <v>5.5363636363636362</v>
          </cell>
          <cell r="J132">
            <v>0.6901408450704225</v>
          </cell>
          <cell r="K132">
            <v>0.85333333333333339</v>
          </cell>
          <cell r="L132">
            <v>0.65829145728643212</v>
          </cell>
          <cell r="M132">
            <v>0.65</v>
          </cell>
          <cell r="N132">
            <v>0.54838709677419351</v>
          </cell>
          <cell r="O132">
            <v>0.16058394160583941</v>
          </cell>
          <cell r="P132">
            <v>1.4725274725274726</v>
          </cell>
          <cell r="Q132">
            <v>0.34653465346534651</v>
          </cell>
          <cell r="R132">
            <v>0.46025878003696857</v>
          </cell>
          <cell r="S132">
            <v>0.65789473684210531</v>
          </cell>
          <cell r="T132">
            <v>1.0378787878787878</v>
          </cell>
          <cell r="U132">
            <v>0.61425061425061422</v>
          </cell>
          <cell r="V132">
            <v>0.51419141914191424</v>
          </cell>
          <cell r="W132">
            <v>0.75877192982456143</v>
          </cell>
          <cell r="X132">
            <v>1.3492914852029434</v>
          </cell>
          <cell r="Y132">
            <v>1.2341851974689546</v>
          </cell>
          <cell r="Z132">
            <v>1.0611125226735265</v>
          </cell>
          <cell r="AA132">
            <v>0.9132753650125045</v>
          </cell>
          <cell r="AB132">
            <v>0.92250161667851072</v>
          </cell>
          <cell r="AC132">
            <v>0.93788138253452591</v>
          </cell>
          <cell r="AD132">
            <v>0.95050518503208459</v>
          </cell>
          <cell r="AE132">
            <v>0.96449859012188655</v>
          </cell>
          <cell r="AF132">
            <v>0.9784670964462302</v>
          </cell>
          <cell r="AG132">
            <v>0.99379170937245853</v>
          </cell>
        </row>
        <row r="133">
          <cell r="B133" t="str">
            <v>Net Debt/(Cash) on B/S (m)</v>
          </cell>
          <cell r="E133">
            <v>633</v>
          </cell>
          <cell r="F133">
            <v>730</v>
          </cell>
          <cell r="G133">
            <v>891</v>
          </cell>
          <cell r="H133">
            <v>1406</v>
          </cell>
          <cell r="I133">
            <v>1847</v>
          </cell>
          <cell r="J133">
            <v>264</v>
          </cell>
          <cell r="K133">
            <v>6977</v>
          </cell>
          <cell r="L133">
            <v>6166</v>
          </cell>
          <cell r="M133">
            <v>3775</v>
          </cell>
          <cell r="N133">
            <v>3883</v>
          </cell>
          <cell r="O133">
            <v>3762</v>
          </cell>
          <cell r="P133">
            <v>3868</v>
          </cell>
          <cell r="Q133">
            <v>7240</v>
          </cell>
          <cell r="R133">
            <v>5880</v>
          </cell>
          <cell r="S133">
            <v>7768</v>
          </cell>
          <cell r="T133">
            <v>23999</v>
          </cell>
          <cell r="U133">
            <v>23214</v>
          </cell>
          <cell r="V133">
            <v>6544</v>
          </cell>
          <cell r="W133">
            <v>1921</v>
          </cell>
          <cell r="X133">
            <v>3818.2710657684911</v>
          </cell>
          <cell r="Y133">
            <v>3785.786883060513</v>
          </cell>
          <cell r="Z133">
            <v>5238.3528860516963</v>
          </cell>
          <cell r="AA133">
            <v>6164.7344240230605</v>
          </cell>
          <cell r="AB133">
            <v>6833.2598799242842</v>
          </cell>
          <cell r="AC133">
            <v>7334.1897644755836</v>
          </cell>
          <cell r="AD133">
            <v>8023.4299240197715</v>
          </cell>
          <cell r="AE133">
            <v>8036.5473227366929</v>
          </cell>
          <cell r="AF133">
            <v>7798.5704533890103</v>
          </cell>
          <cell r="AG133">
            <v>7304.9554929845717</v>
          </cell>
        </row>
        <row r="134">
          <cell r="B134" t="str">
            <v>Net debt to capital</v>
          </cell>
          <cell r="E134">
            <v>0.84625668449197866</v>
          </cell>
          <cell r="F134">
            <v>1.1459968602825745</v>
          </cell>
          <cell r="G134">
            <v>1.1423076923076922</v>
          </cell>
          <cell r="H134">
            <v>1.0516080777860883</v>
          </cell>
          <cell r="I134">
            <v>1.0633275762809442</v>
          </cell>
          <cell r="J134">
            <v>0.27385892116182575</v>
          </cell>
          <cell r="K134">
            <v>0.92190803382663844</v>
          </cell>
          <cell r="L134">
            <v>0.84721077219016216</v>
          </cell>
          <cell r="M134">
            <v>0.75515103020604124</v>
          </cell>
          <cell r="N134">
            <v>0.84376358105171667</v>
          </cell>
          <cell r="O134">
            <v>0.736780258519389</v>
          </cell>
          <cell r="P134">
            <v>0.72884869040889388</v>
          </cell>
          <cell r="Q134">
            <v>0.68716780561883073</v>
          </cell>
          <cell r="R134">
            <v>0.63219008708740998</v>
          </cell>
          <cell r="S134">
            <v>0.69184182401140004</v>
          </cell>
          <cell r="T134">
            <v>0.91126215066828675</v>
          </cell>
          <cell r="U134">
            <v>1.2977415026833632</v>
          </cell>
          <cell r="V134">
            <v>-3.285140562248996</v>
          </cell>
          <cell r="W134">
            <v>0.10904240222512347</v>
          </cell>
          <cell r="X134">
            <v>0.24452826540663164</v>
          </cell>
          <cell r="Y134">
            <v>0.23460504935369633</v>
          </cell>
          <cell r="Z134">
            <v>0.38494542668456339</v>
          </cell>
          <cell r="AA134">
            <v>0.4656899600277839</v>
          </cell>
          <cell r="AB134">
            <v>0.54581874951227671</v>
          </cell>
          <cell r="AC134">
            <v>0.62259663263402332</v>
          </cell>
          <cell r="AD134">
            <v>0.70096809600954024</v>
          </cell>
          <cell r="AE134">
            <v>0.71993468075864009</v>
          </cell>
          <cell r="AF134">
            <v>0.69102491249776399</v>
          </cell>
          <cell r="AG134">
            <v>0.6191558854115512</v>
          </cell>
        </row>
        <row r="135">
          <cell r="B135" t="str">
            <v>Net debt/ EBITDA</v>
          </cell>
          <cell r="E135">
            <v>4.4265734265734267</v>
          </cell>
          <cell r="F135">
            <v>4.8344370860927155</v>
          </cell>
          <cell r="G135">
            <v>1.8220858895705521</v>
          </cell>
          <cell r="H135">
            <v>1.7752525252525253</v>
          </cell>
          <cell r="I135">
            <v>5.1882022471910112</v>
          </cell>
          <cell r="J135">
            <v>0.40121580547112462</v>
          </cell>
          <cell r="K135">
            <v>12.968401486988848</v>
          </cell>
          <cell r="L135">
            <v>7.4739393939393937</v>
          </cell>
          <cell r="M135">
            <v>4.6205630354957163</v>
          </cell>
          <cell r="N135">
            <v>8.9059633027522942</v>
          </cell>
          <cell r="O135">
            <v>8.7083333333333339</v>
          </cell>
          <cell r="P135">
            <v>26.493150684931507</v>
          </cell>
          <cell r="Q135">
            <v>8.0266075388026614</v>
          </cell>
          <cell r="R135">
            <v>2.4029423784225581</v>
          </cell>
          <cell r="S135">
            <v>2.9819577735124758</v>
          </cell>
          <cell r="T135">
            <v>15.305484693877551</v>
          </cell>
          <cell r="U135">
            <v>9.345410628019323</v>
          </cell>
          <cell r="V135">
            <v>3.1859785783836418</v>
          </cell>
          <cell r="W135">
            <v>0.46255718757524689</v>
          </cell>
          <cell r="X135">
            <v>0.71021856177230247</v>
          </cell>
          <cell r="Y135">
            <v>1.252427074290053</v>
          </cell>
          <cell r="Z135">
            <v>1.5108291681008736</v>
          </cell>
          <cell r="AA135">
            <v>1.5701040880896049</v>
          </cell>
          <cell r="AB135">
            <v>2.0789705375416307</v>
          </cell>
          <cell r="AC135">
            <v>2.3480107427335937</v>
          </cell>
          <cell r="AD135">
            <v>2.7159596396940771</v>
          </cell>
          <cell r="AE135">
            <v>2.886569458229209</v>
          </cell>
          <cell r="AF135">
            <v>2.837555590542153</v>
          </cell>
          <cell r="AG135">
            <v>2.6937662717507131</v>
          </cell>
        </row>
        <row r="136">
          <cell r="B136" t="str">
            <v>RNOA</v>
          </cell>
          <cell r="E136">
            <v>0.11196172248803828</v>
          </cell>
          <cell r="F136">
            <v>6.5791021671826627E-2</v>
          </cell>
          <cell r="G136">
            <v>0.27773305954825461</v>
          </cell>
          <cell r="H136">
            <v>0.23545791424033882</v>
          </cell>
          <cell r="I136">
            <v>6.7129170230966637E-2</v>
          </cell>
          <cell r="J136">
            <v>-0.95465263157894742</v>
          </cell>
          <cell r="K136">
            <v>3.2875019310984091E-2</v>
          </cell>
          <cell r="L136">
            <v>5.6268268918480024E-2</v>
          </cell>
          <cell r="M136">
            <v>0.11502123572129608</v>
          </cell>
          <cell r="N136">
            <v>4.4278713808789373E-2</v>
          </cell>
          <cell r="O136">
            <v>5.1856178608515061E-2</v>
          </cell>
          <cell r="P136">
            <v>-2.3080103747697627E-2</v>
          </cell>
          <cell r="Q136">
            <v>4.5678092399403875E-2</v>
          </cell>
          <cell r="R136">
            <v>0.140747567844342</v>
          </cell>
          <cell r="S136">
            <v>0.11842302005840169</v>
          </cell>
          <cell r="T136">
            <v>3.8465447105478577E-2</v>
          </cell>
          <cell r="U136">
            <v>2.4965917091125344E-2</v>
          </cell>
          <cell r="V136">
            <v>1.3938422541975295E-2</v>
          </cell>
          <cell r="W136">
            <v>0.17344340916919579</v>
          </cell>
          <cell r="X136">
            <v>0.23912970282792545</v>
          </cell>
          <cell r="Y136">
            <v>0.11041690066266607</v>
          </cell>
          <cell r="Z136">
            <v>0.13615560257974571</v>
          </cell>
          <cell r="AA136">
            <v>0.16352329409673583</v>
          </cell>
          <cell r="AB136">
            <v>0.13366713912617512</v>
          </cell>
          <cell r="AC136">
            <v>0.12589551756343789</v>
          </cell>
          <cell r="AD136">
            <v>0.11716516922960563</v>
          </cell>
          <cell r="AE136">
            <v>0.10808350169111519</v>
          </cell>
          <cell r="AF136">
            <v>0.1056409764461764</v>
          </cell>
          <cell r="AG136">
            <v>0.10280929220124217</v>
          </cell>
        </row>
        <row r="137">
          <cell r="B137" t="str">
            <v>ROE</v>
          </cell>
          <cell r="E137">
            <v>-4.333333333333333</v>
          </cell>
          <cell r="F137">
            <v>-4.5454545454545456E-2</v>
          </cell>
          <cell r="G137">
            <v>3.5396825396825395</v>
          </cell>
          <cell r="H137">
            <v>1.0236842105263158</v>
          </cell>
          <cell r="I137">
            <v>0.24593967517401391</v>
          </cell>
          <cell r="J137">
            <v>0.50242326332794829</v>
          </cell>
          <cell r="K137">
            <v>0.14712891986062718</v>
          </cell>
          <cell r="L137">
            <v>-4.3006645787182031E-2</v>
          </cell>
          <cell r="M137">
            <v>4.5394682949268114E-2</v>
          </cell>
          <cell r="N137">
            <v>-0.16980106204955023</v>
          </cell>
          <cell r="O137">
            <v>-0.12626334688830229</v>
          </cell>
          <cell r="P137">
            <v>-0.26205677330244803</v>
          </cell>
          <cell r="Q137">
            <v>3.5765057987280205E-2</v>
          </cell>
          <cell r="R137">
            <v>0.25034574468085108</v>
          </cell>
          <cell r="S137">
            <v>0.32747804265997493</v>
          </cell>
          <cell r="T137">
            <v>0.34409161894846435</v>
          </cell>
          <cell r="U137">
            <v>0.52315854327606959</v>
          </cell>
          <cell r="V137">
            <v>9.1056601929568159E-2</v>
          </cell>
          <cell r="W137">
            <v>0.10926318321028225</v>
          </cell>
          <cell r="X137">
            <v>0.25469778648842811</v>
          </cell>
          <cell r="Y137">
            <v>0.10592367618405256</v>
          </cell>
          <cell r="Z137">
            <v>0.17464950306810409</v>
          </cell>
          <cell r="AA137">
            <v>0.24113950492208272</v>
          </cell>
          <cell r="AB137">
            <v>0.21254152113557243</v>
          </cell>
          <cell r="AC137">
            <v>0.2144100360284292</v>
          </cell>
          <cell r="AD137">
            <v>0.22081492387254684</v>
          </cell>
          <cell r="AE137">
            <v>0.20229776169422811</v>
          </cell>
          <cell r="AF137">
            <v>0.18976817752243327</v>
          </cell>
          <cell r="AG137">
            <v>0.17102341950480188</v>
          </cell>
        </row>
        <row r="138">
          <cell r="W138">
            <v>24.775839826375201</v>
          </cell>
          <cell r="X138">
            <v>11.699751109367391</v>
          </cell>
          <cell r="Y138">
            <v>27.225383066696907</v>
          </cell>
          <cell r="Z138">
            <v>18.602116973354118</v>
          </cell>
          <cell r="AA138">
            <v>13.823542636810537</v>
          </cell>
          <cell r="AB138">
            <v>16.283595784531766</v>
          </cell>
        </row>
        <row r="139">
          <cell r="W139">
            <v>8.3142234529255958</v>
          </cell>
          <cell r="X139">
            <v>6.819463258185837</v>
          </cell>
          <cell r="Y139">
            <v>12.220310686066901</v>
          </cell>
          <cell r="Z139">
            <v>10.554109856856455</v>
          </cell>
          <cell r="AA139">
            <v>8.7439213909172278</v>
          </cell>
          <cell r="AB139">
            <v>9.9244042112072215</v>
          </cell>
        </row>
      </sheetData>
      <sheetData sheetId="1" refreshError="1"/>
      <sheetData sheetId="2" refreshError="1">
        <row r="1">
          <cell r="B1" t="str">
            <v>LyondellBasell (LYB) Balance Sheet</v>
          </cell>
          <cell r="AV1" t="str">
            <v>ElementName</v>
          </cell>
          <cell r="AW1" t="str">
            <v>ScaleOverride</v>
          </cell>
          <cell r="AX1" t="str">
            <v>UnitOverride</v>
          </cell>
          <cell r="AY1" t="str">
            <v>ReverseSign</v>
          </cell>
          <cell r="AZ1" t="str">
            <v>IsDrivingAssumption</v>
          </cell>
          <cell r="BA1" t="str">
            <v>SegmentID</v>
          </cell>
        </row>
        <row r="2">
          <cell r="B2" t="str">
            <v>Days</v>
          </cell>
          <cell r="E2">
            <v>366</v>
          </cell>
          <cell r="F2">
            <v>365</v>
          </cell>
          <cell r="G2">
            <v>365</v>
          </cell>
          <cell r="H2">
            <v>365</v>
          </cell>
          <cell r="I2">
            <v>366</v>
          </cell>
          <cell r="J2">
            <v>365</v>
          </cell>
          <cell r="K2">
            <v>365</v>
          </cell>
          <cell r="L2">
            <v>365</v>
          </cell>
          <cell r="M2">
            <v>366</v>
          </cell>
          <cell r="N2">
            <v>365</v>
          </cell>
          <cell r="O2">
            <v>365</v>
          </cell>
          <cell r="P2">
            <v>365</v>
          </cell>
          <cell r="Q2">
            <v>366</v>
          </cell>
          <cell r="R2">
            <v>365</v>
          </cell>
          <cell r="S2">
            <v>365</v>
          </cell>
          <cell r="T2">
            <v>365</v>
          </cell>
          <cell r="U2">
            <v>366</v>
          </cell>
          <cell r="V2">
            <v>365</v>
          </cell>
          <cell r="W2">
            <v>365</v>
          </cell>
          <cell r="X2">
            <v>365</v>
          </cell>
          <cell r="Y2">
            <v>366</v>
          </cell>
          <cell r="Z2">
            <v>365</v>
          </cell>
          <cell r="AA2">
            <v>365</v>
          </cell>
          <cell r="AB2">
            <v>365</v>
          </cell>
          <cell r="AC2">
            <v>366</v>
          </cell>
          <cell r="AD2">
            <v>365</v>
          </cell>
          <cell r="AE2">
            <v>365</v>
          </cell>
          <cell r="AF2">
            <v>365</v>
          </cell>
          <cell r="AG2">
            <v>366</v>
          </cell>
        </row>
        <row r="3">
          <cell r="B3" t="str">
            <v>Frequency</v>
          </cell>
          <cell r="E3" t="str">
            <v>A</v>
          </cell>
          <cell r="F3" t="str">
            <v>A</v>
          </cell>
          <cell r="G3" t="str">
            <v>A</v>
          </cell>
          <cell r="H3" t="str">
            <v>A</v>
          </cell>
          <cell r="I3" t="str">
            <v>A</v>
          </cell>
          <cell r="J3" t="str">
            <v>A</v>
          </cell>
          <cell r="K3" t="str">
            <v>A</v>
          </cell>
          <cell r="L3" t="str">
            <v>A</v>
          </cell>
          <cell r="M3" t="str">
            <v>A</v>
          </cell>
          <cell r="N3" t="str">
            <v>A</v>
          </cell>
          <cell r="O3" t="str">
            <v>A</v>
          </cell>
          <cell r="P3" t="str">
            <v>A</v>
          </cell>
          <cell r="Q3" t="str">
            <v>A</v>
          </cell>
          <cell r="R3" t="str">
            <v>A</v>
          </cell>
          <cell r="S3" t="str">
            <v>A</v>
          </cell>
          <cell r="T3" t="str">
            <v>A</v>
          </cell>
          <cell r="U3" t="str">
            <v>A</v>
          </cell>
          <cell r="V3" t="str">
            <v>A</v>
          </cell>
          <cell r="W3" t="str">
            <v>A</v>
          </cell>
          <cell r="X3" t="str">
            <v>A</v>
          </cell>
          <cell r="Y3" t="str">
            <v>A</v>
          </cell>
          <cell r="Z3" t="str">
            <v>A</v>
          </cell>
          <cell r="AA3" t="str">
            <v>A</v>
          </cell>
          <cell r="AB3" t="str">
            <v>A</v>
          </cell>
          <cell r="AC3" t="str">
            <v>A</v>
          </cell>
          <cell r="AD3" t="str">
            <v>A</v>
          </cell>
          <cell r="AE3" t="str">
            <v>A</v>
          </cell>
          <cell r="AF3" t="str">
            <v>A</v>
          </cell>
          <cell r="AG3" t="str">
            <v>A</v>
          </cell>
        </row>
        <row r="4">
          <cell r="B4" t="str">
            <v>Date</v>
          </cell>
          <cell r="D4">
            <v>33603</v>
          </cell>
          <cell r="E4">
            <v>33969</v>
          </cell>
          <cell r="F4">
            <v>34334</v>
          </cell>
          <cell r="G4">
            <v>34699</v>
          </cell>
          <cell r="H4">
            <v>35064</v>
          </cell>
          <cell r="I4">
            <v>35430</v>
          </cell>
          <cell r="J4">
            <v>35795</v>
          </cell>
          <cell r="K4">
            <v>36160</v>
          </cell>
          <cell r="L4">
            <v>36525</v>
          </cell>
          <cell r="M4">
            <v>36891</v>
          </cell>
          <cell r="N4">
            <v>37256</v>
          </cell>
          <cell r="O4">
            <v>37621</v>
          </cell>
          <cell r="P4">
            <v>37986</v>
          </cell>
          <cell r="Q4">
            <v>38352</v>
          </cell>
          <cell r="R4">
            <v>38717</v>
          </cell>
          <cell r="S4">
            <v>39082</v>
          </cell>
          <cell r="T4">
            <v>39447</v>
          </cell>
          <cell r="U4">
            <v>39813</v>
          </cell>
          <cell r="V4">
            <v>40178</v>
          </cell>
          <cell r="W4">
            <v>40543</v>
          </cell>
          <cell r="X4">
            <v>40908</v>
          </cell>
          <cell r="Y4">
            <v>41274</v>
          </cell>
          <cell r="Z4">
            <v>41639</v>
          </cell>
          <cell r="AA4">
            <v>42004</v>
          </cell>
          <cell r="AB4">
            <v>42369</v>
          </cell>
          <cell r="AC4">
            <v>42735</v>
          </cell>
          <cell r="AD4">
            <v>43100</v>
          </cell>
          <cell r="AE4">
            <v>43465</v>
          </cell>
          <cell r="AF4">
            <v>43830</v>
          </cell>
          <cell r="AG4">
            <v>44196</v>
          </cell>
        </row>
        <row r="5">
          <cell r="B5" t="str">
            <v>Year</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v>2006</v>
          </cell>
          <cell r="T5">
            <v>2007</v>
          </cell>
          <cell r="U5">
            <v>2008</v>
          </cell>
          <cell r="V5">
            <v>2009</v>
          </cell>
          <cell r="W5">
            <v>2010</v>
          </cell>
          <cell r="X5">
            <v>2011</v>
          </cell>
          <cell r="Y5">
            <v>2012</v>
          </cell>
          <cell r="Z5">
            <v>2013</v>
          </cell>
          <cell r="AA5">
            <v>2014</v>
          </cell>
          <cell r="AB5">
            <v>2015</v>
          </cell>
          <cell r="AC5">
            <v>2016</v>
          </cell>
          <cell r="AD5">
            <v>2017</v>
          </cell>
          <cell r="AE5">
            <v>2018</v>
          </cell>
          <cell r="AF5">
            <v>2019</v>
          </cell>
          <cell r="AG5">
            <v>2020</v>
          </cell>
        </row>
        <row r="6">
          <cell r="B6" t="str">
            <v>Quarter</v>
          </cell>
        </row>
        <row r="8">
          <cell r="B8" t="str">
            <v>In US$ millions (except per share data)</v>
          </cell>
          <cell r="E8">
            <v>1992</v>
          </cell>
          <cell r="F8">
            <v>1993</v>
          </cell>
          <cell r="G8">
            <v>1994</v>
          </cell>
          <cell r="H8">
            <v>1995</v>
          </cell>
          <cell r="I8">
            <v>1996</v>
          </cell>
          <cell r="J8">
            <v>1997</v>
          </cell>
          <cell r="K8">
            <v>1998</v>
          </cell>
          <cell r="L8">
            <v>1999</v>
          </cell>
          <cell r="M8">
            <v>2000</v>
          </cell>
          <cell r="N8">
            <v>2001</v>
          </cell>
          <cell r="O8">
            <v>2002</v>
          </cell>
          <cell r="P8">
            <v>2003</v>
          </cell>
          <cell r="Q8">
            <v>2004</v>
          </cell>
          <cell r="R8">
            <v>2005</v>
          </cell>
          <cell r="S8">
            <v>2006</v>
          </cell>
          <cell r="T8">
            <v>2007</v>
          </cell>
          <cell r="U8">
            <v>2008</v>
          </cell>
          <cell r="V8" t="str">
            <v>2009</v>
          </cell>
          <cell r="W8" t="str">
            <v>2010</v>
          </cell>
          <cell r="X8" t="str">
            <v>2011</v>
          </cell>
          <cell r="Y8" t="str">
            <v>2012</v>
          </cell>
          <cell r="Z8" t="str">
            <v>2013e</v>
          </cell>
          <cell r="AA8" t="str">
            <v>2014e</v>
          </cell>
          <cell r="AB8" t="str">
            <v>2015e</v>
          </cell>
          <cell r="AC8" t="str">
            <v>2016e</v>
          </cell>
          <cell r="AD8" t="str">
            <v>2017e</v>
          </cell>
          <cell r="AE8" t="str">
            <v>2018e</v>
          </cell>
          <cell r="AF8" t="str">
            <v>2019e</v>
          </cell>
          <cell r="AG8" t="str">
            <v>2020e</v>
          </cell>
        </row>
        <row r="9">
          <cell r="R9">
            <v>374</v>
          </cell>
        </row>
        <row r="10">
          <cell r="B10" t="str">
            <v>Current assets:</v>
          </cell>
          <cell r="AI10" t="str">
            <v>MARCH 2010 - new reporting (post bankruptcy)</v>
          </cell>
          <cell r="AJ10">
            <v>40359</v>
          </cell>
          <cell r="AK10">
            <v>40451</v>
          </cell>
          <cell r="AL10">
            <v>40543</v>
          </cell>
          <cell r="AM10">
            <v>40633</v>
          </cell>
          <cell r="AN10">
            <v>40724</v>
          </cell>
          <cell r="AO10">
            <v>40816</v>
          </cell>
          <cell r="AP10">
            <v>40908</v>
          </cell>
          <cell r="AQ10">
            <v>40999</v>
          </cell>
          <cell r="AR10">
            <v>41090</v>
          </cell>
          <cell r="AS10">
            <v>41182</v>
          </cell>
          <cell r="AT10">
            <v>41274</v>
          </cell>
        </row>
        <row r="11">
          <cell r="B11" t="str">
            <v>Cash and cash equivalents</v>
          </cell>
          <cell r="E11">
            <v>108</v>
          </cell>
          <cell r="F11">
            <v>113</v>
          </cell>
          <cell r="G11">
            <v>94</v>
          </cell>
          <cell r="H11">
            <v>10</v>
          </cell>
          <cell r="I11">
            <v>68</v>
          </cell>
          <cell r="J11">
            <v>86</v>
          </cell>
          <cell r="K11">
            <v>233</v>
          </cell>
          <cell r="L11">
            <v>307</v>
          </cell>
          <cell r="M11">
            <v>260</v>
          </cell>
          <cell r="N11">
            <v>146</v>
          </cell>
          <cell r="O11">
            <v>286</v>
          </cell>
          <cell r="P11">
            <v>438</v>
          </cell>
          <cell r="Q11">
            <v>804</v>
          </cell>
          <cell r="R11">
            <v>593</v>
          </cell>
          <cell r="S11">
            <v>446</v>
          </cell>
          <cell r="T11">
            <v>560</v>
          </cell>
          <cell r="U11">
            <v>858</v>
          </cell>
          <cell r="V11">
            <v>558</v>
          </cell>
          <cell r="W11">
            <v>4222</v>
          </cell>
          <cell r="X11">
            <v>1065</v>
          </cell>
          <cell r="Y11">
            <v>2732</v>
          </cell>
          <cell r="Z11">
            <v>3127.4135435410835</v>
          </cell>
          <cell r="AA11">
            <v>4587.9865573114776</v>
          </cell>
          <cell r="AB11">
            <v>3786.3661266704503</v>
          </cell>
          <cell r="AC11">
            <v>4870.3552840215771</v>
          </cell>
          <cell r="AD11">
            <v>6391.641976152494</v>
          </cell>
          <cell r="AE11">
            <v>6247.7261368908503</v>
          </cell>
          <cell r="AF11">
            <v>4822.1318902075609</v>
          </cell>
          <cell r="AG11">
            <v>3379.484511594409</v>
          </cell>
          <cell r="AI11">
            <v>2247</v>
          </cell>
          <cell r="AJ11">
            <v>3753</v>
          </cell>
          <cell r="AK11">
            <v>4832</v>
          </cell>
          <cell r="AL11">
            <v>4222</v>
          </cell>
          <cell r="AM11">
            <v>4383</v>
          </cell>
          <cell r="AN11">
            <v>4687</v>
          </cell>
          <cell r="AO11">
            <v>5609</v>
          </cell>
          <cell r="AP11">
            <v>1065</v>
          </cell>
          <cell r="AQ11">
            <v>1670</v>
          </cell>
          <cell r="AR11">
            <v>1950</v>
          </cell>
          <cell r="AS11">
            <v>3527</v>
          </cell>
          <cell r="AT11">
            <v>2732</v>
          </cell>
          <cell r="AV11" t="str">
            <v>mstag:cashAndCashEquivalents</v>
          </cell>
          <cell r="AW11">
            <v>6</v>
          </cell>
          <cell r="AX11" t="str">
            <v>ISO4217:USD</v>
          </cell>
          <cell r="AY11" t="b">
            <v>0</v>
          </cell>
        </row>
        <row r="12">
          <cell r="B12" t="str">
            <v>Restricted cash</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1471</v>
          </cell>
          <cell r="U12">
            <v>0</v>
          </cell>
          <cell r="V12">
            <v>0</v>
          </cell>
          <cell r="W12">
            <v>0</v>
          </cell>
          <cell r="X12">
            <v>53</v>
          </cell>
          <cell r="Y12">
            <v>5</v>
          </cell>
          <cell r="Z12">
            <v>0</v>
          </cell>
          <cell r="AA12">
            <v>0</v>
          </cell>
          <cell r="AB12">
            <v>0</v>
          </cell>
          <cell r="AC12">
            <v>0</v>
          </cell>
          <cell r="AD12">
            <v>0</v>
          </cell>
          <cell r="AE12">
            <v>0</v>
          </cell>
          <cell r="AF12">
            <v>0</v>
          </cell>
          <cell r="AG12">
            <v>0</v>
          </cell>
          <cell r="AI12">
            <v>0</v>
          </cell>
          <cell r="AJ12">
            <v>0</v>
          </cell>
          <cell r="AK12">
            <v>0</v>
          </cell>
          <cell r="AL12">
            <v>0</v>
          </cell>
          <cell r="AM12">
            <v>0</v>
          </cell>
          <cell r="AN12">
            <v>250</v>
          </cell>
          <cell r="AO12">
            <v>292</v>
          </cell>
          <cell r="AP12">
            <v>53</v>
          </cell>
          <cell r="AQ12">
            <v>9</v>
          </cell>
          <cell r="AR12">
            <v>14</v>
          </cell>
          <cell r="AS12">
            <v>19</v>
          </cell>
          <cell r="AT12">
            <v>5</v>
          </cell>
          <cell r="AV12" t="str">
            <v>mstag:shortTermInvestments</v>
          </cell>
          <cell r="AW12">
            <v>6</v>
          </cell>
          <cell r="AX12" t="str">
            <v>ISO4217:USD</v>
          </cell>
          <cell r="AY12" t="b">
            <v>0</v>
          </cell>
        </row>
        <row r="13">
          <cell r="B13" t="str">
            <v>Short-term investments</v>
          </cell>
          <cell r="E13">
            <v>13</v>
          </cell>
          <cell r="F13">
            <v>6</v>
          </cell>
          <cell r="G13">
            <v>0</v>
          </cell>
          <cell r="H13">
            <v>0</v>
          </cell>
          <cell r="I13">
            <v>0</v>
          </cell>
          <cell r="J13">
            <v>0</v>
          </cell>
          <cell r="K13">
            <v>0</v>
          </cell>
          <cell r="L13">
            <v>0</v>
          </cell>
          <cell r="M13">
            <v>0</v>
          </cell>
          <cell r="N13">
            <v>0</v>
          </cell>
          <cell r="O13">
            <v>44</v>
          </cell>
          <cell r="P13">
            <v>0</v>
          </cell>
          <cell r="Q13">
            <v>0</v>
          </cell>
          <cell r="R13">
            <v>0</v>
          </cell>
          <cell r="S13">
            <v>0</v>
          </cell>
          <cell r="T13">
            <v>0</v>
          </cell>
          <cell r="U13">
            <v>32</v>
          </cell>
          <cell r="V13">
            <v>11</v>
          </cell>
          <cell r="W13">
            <v>0</v>
          </cell>
          <cell r="X13">
            <v>0</v>
          </cell>
          <cell r="Y13">
            <v>0</v>
          </cell>
          <cell r="Z13">
            <v>0</v>
          </cell>
          <cell r="AA13">
            <v>0</v>
          </cell>
          <cell r="AB13">
            <v>0</v>
          </cell>
          <cell r="AC13">
            <v>0</v>
          </cell>
          <cell r="AD13">
            <v>0</v>
          </cell>
          <cell r="AE13">
            <v>0</v>
          </cell>
          <cell r="AF13">
            <v>0</v>
          </cell>
          <cell r="AG13">
            <v>0</v>
          </cell>
          <cell r="AI13">
            <v>0</v>
          </cell>
          <cell r="AJ13">
            <v>0</v>
          </cell>
          <cell r="AK13">
            <v>0</v>
          </cell>
          <cell r="AL13">
            <v>0</v>
          </cell>
          <cell r="AM13">
            <v>0</v>
          </cell>
          <cell r="AN13">
            <v>0</v>
          </cell>
          <cell r="AO13">
            <v>0</v>
          </cell>
          <cell r="AP13">
            <v>0</v>
          </cell>
          <cell r="AS13">
            <v>0</v>
          </cell>
          <cell r="AT13">
            <v>0</v>
          </cell>
          <cell r="AV13" t="str">
            <v>mstag:shortTermInvestments</v>
          </cell>
          <cell r="AW13">
            <v>6</v>
          </cell>
          <cell r="AX13" t="str">
            <v>ISO4217:USD</v>
          </cell>
          <cell r="AY13" t="b">
            <v>0</v>
          </cell>
        </row>
        <row r="14">
          <cell r="B14" t="str">
            <v>Accounts receivable</v>
          </cell>
          <cell r="E14">
            <v>253</v>
          </cell>
          <cell r="F14">
            <v>204</v>
          </cell>
          <cell r="G14">
            <v>360</v>
          </cell>
          <cell r="H14">
            <v>362</v>
          </cell>
          <cell r="I14">
            <v>456</v>
          </cell>
          <cell r="J14">
            <v>5</v>
          </cell>
          <cell r="K14">
            <v>479</v>
          </cell>
          <cell r="L14">
            <v>566</v>
          </cell>
          <cell r="M14">
            <v>508</v>
          </cell>
          <cell r="N14">
            <v>352</v>
          </cell>
          <cell r="O14">
            <v>396</v>
          </cell>
          <cell r="P14">
            <v>449</v>
          </cell>
          <cell r="Q14">
            <v>1569</v>
          </cell>
          <cell r="R14">
            <v>1677</v>
          </cell>
          <cell r="S14">
            <v>2168</v>
          </cell>
          <cell r="T14">
            <v>4165</v>
          </cell>
          <cell r="U14">
            <v>2585</v>
          </cell>
          <cell r="V14">
            <v>3287</v>
          </cell>
          <cell r="W14">
            <v>3747</v>
          </cell>
          <cell r="X14">
            <v>3778</v>
          </cell>
          <cell r="Y14">
            <v>3904</v>
          </cell>
          <cell r="Z14">
            <v>3138.66301369863</v>
          </cell>
          <cell r="AA14">
            <v>3233.7265710141128</v>
          </cell>
          <cell r="AB14">
            <v>3607.7070791355441</v>
          </cell>
          <cell r="AC14">
            <v>3605.6719400155907</v>
          </cell>
          <cell r="AD14">
            <v>3560.0186113493373</v>
          </cell>
          <cell r="AE14">
            <v>3517.8791825447615</v>
          </cell>
          <cell r="AF14">
            <v>3489.5370777133062</v>
          </cell>
          <cell r="AG14">
            <v>3458.1417484190038</v>
          </cell>
          <cell r="AI14">
            <v>3642</v>
          </cell>
          <cell r="AJ14">
            <v>3533</v>
          </cell>
          <cell r="AK14">
            <v>3800</v>
          </cell>
          <cell r="AL14">
            <v>3747</v>
          </cell>
          <cell r="AM14">
            <v>4764</v>
          </cell>
          <cell r="AN14">
            <v>4901</v>
          </cell>
          <cell r="AO14">
            <v>4038</v>
          </cell>
          <cell r="AP14">
            <v>3778</v>
          </cell>
          <cell r="AQ14">
            <v>4209</v>
          </cell>
          <cell r="AR14">
            <v>3888</v>
          </cell>
          <cell r="AS14">
            <v>4083</v>
          </cell>
          <cell r="AT14">
            <v>3904</v>
          </cell>
          <cell r="AV14" t="str">
            <v>mstag:tradeReceivablesCurrent</v>
          </cell>
          <cell r="AW14">
            <v>6</v>
          </cell>
          <cell r="AX14" t="str">
            <v>ISO4217:USD</v>
          </cell>
          <cell r="AY14" t="b">
            <v>0</v>
          </cell>
        </row>
        <row r="15">
          <cell r="B15" t="str">
            <v>Inventories</v>
          </cell>
          <cell r="E15">
            <v>180</v>
          </cell>
          <cell r="F15">
            <v>191</v>
          </cell>
          <cell r="G15">
            <v>229</v>
          </cell>
          <cell r="H15">
            <v>265</v>
          </cell>
          <cell r="I15">
            <v>294</v>
          </cell>
          <cell r="J15">
            <v>0</v>
          </cell>
          <cell r="K15">
            <v>550</v>
          </cell>
          <cell r="L15">
            <v>519</v>
          </cell>
          <cell r="M15">
            <v>392</v>
          </cell>
          <cell r="N15">
            <v>316</v>
          </cell>
          <cell r="O15">
            <v>344</v>
          </cell>
          <cell r="P15">
            <v>347</v>
          </cell>
          <cell r="Q15">
            <v>1619</v>
          </cell>
          <cell r="R15">
            <v>1657</v>
          </cell>
          <cell r="S15">
            <v>2259</v>
          </cell>
          <cell r="T15">
            <v>5178</v>
          </cell>
          <cell r="U15">
            <v>3314</v>
          </cell>
          <cell r="V15">
            <v>3277</v>
          </cell>
          <cell r="W15">
            <v>4824</v>
          </cell>
          <cell r="X15">
            <v>5499</v>
          </cell>
          <cell r="Y15">
            <v>5075</v>
          </cell>
          <cell r="Z15">
            <v>4553.3835616438355</v>
          </cell>
          <cell r="AA15">
            <v>4647.3720123565745</v>
          </cell>
          <cell r="AB15">
            <v>5267.6764888456919</v>
          </cell>
          <cell r="AC15">
            <v>5251.7245951956975</v>
          </cell>
          <cell r="AD15">
            <v>5195.0680385412979</v>
          </cell>
          <cell r="AE15">
            <v>5161.2237768581899</v>
          </cell>
          <cell r="AF15">
            <v>5324.5516176426727</v>
          </cell>
          <cell r="AG15">
            <v>5310.3012889573019</v>
          </cell>
          <cell r="AI15">
            <v>4497</v>
          </cell>
          <cell r="AJ15">
            <v>4372</v>
          </cell>
          <cell r="AK15">
            <v>4412</v>
          </cell>
          <cell r="AL15">
            <v>4824</v>
          </cell>
          <cell r="AM15">
            <v>5726</v>
          </cell>
          <cell r="AN15">
            <v>5577</v>
          </cell>
          <cell r="AO15">
            <v>5682</v>
          </cell>
          <cell r="AP15">
            <v>5499</v>
          </cell>
          <cell r="AQ15">
            <v>5208</v>
          </cell>
          <cell r="AR15">
            <v>5759</v>
          </cell>
          <cell r="AS15">
            <v>5234</v>
          </cell>
          <cell r="AT15">
            <v>5075</v>
          </cell>
          <cell r="AV15" t="str">
            <v>mstag:inventories</v>
          </cell>
          <cell r="AW15">
            <v>6</v>
          </cell>
          <cell r="AX15" t="str">
            <v>ISO4217:USD</v>
          </cell>
          <cell r="AY15" t="b">
            <v>0</v>
          </cell>
        </row>
        <row r="16">
          <cell r="B16" t="str">
            <v>Prepaid expenses and other</v>
          </cell>
          <cell r="E16">
            <v>14</v>
          </cell>
          <cell r="F16">
            <v>9</v>
          </cell>
          <cell r="G16">
            <v>14</v>
          </cell>
          <cell r="H16">
            <v>41</v>
          </cell>
          <cell r="I16">
            <v>13</v>
          </cell>
          <cell r="J16">
            <v>12</v>
          </cell>
          <cell r="K16">
            <v>64</v>
          </cell>
          <cell r="L16">
            <v>114</v>
          </cell>
          <cell r="M16">
            <v>49</v>
          </cell>
          <cell r="N16">
            <v>116</v>
          </cell>
          <cell r="O16">
            <v>66</v>
          </cell>
          <cell r="P16">
            <v>82</v>
          </cell>
          <cell r="Q16">
            <v>189</v>
          </cell>
          <cell r="R16">
            <v>176</v>
          </cell>
          <cell r="S16">
            <v>164</v>
          </cell>
          <cell r="T16">
            <v>620</v>
          </cell>
          <cell r="U16">
            <v>649</v>
          </cell>
          <cell r="V16">
            <v>1133</v>
          </cell>
          <cell r="W16">
            <v>986</v>
          </cell>
          <cell r="X16">
            <v>1040</v>
          </cell>
          <cell r="Y16">
            <v>570</v>
          </cell>
          <cell r="Z16">
            <v>1086.4602739726026</v>
          </cell>
          <cell r="AA16">
            <v>1119.3668899664237</v>
          </cell>
          <cell r="AB16">
            <v>1248.8216812392268</v>
          </cell>
          <cell r="AC16">
            <v>1248.1172100053968</v>
          </cell>
          <cell r="AD16">
            <v>1232.3141346978475</v>
          </cell>
          <cell r="AE16">
            <v>1217.7274093424176</v>
          </cell>
          <cell r="AF16">
            <v>1207.9166807469137</v>
          </cell>
          <cell r="AG16">
            <v>1197.0490667604245</v>
          </cell>
          <cell r="AI16">
            <v>949</v>
          </cell>
          <cell r="AJ16">
            <v>1029</v>
          </cell>
          <cell r="AK16">
            <v>899</v>
          </cell>
          <cell r="AL16">
            <v>986</v>
          </cell>
          <cell r="AM16">
            <v>1100</v>
          </cell>
          <cell r="AN16">
            <v>1098</v>
          </cell>
          <cell r="AO16">
            <v>1097</v>
          </cell>
          <cell r="AP16">
            <v>1040</v>
          </cell>
          <cell r="AQ16">
            <v>1002</v>
          </cell>
          <cell r="AR16">
            <v>755</v>
          </cell>
          <cell r="AS16">
            <v>532</v>
          </cell>
          <cell r="AT16">
            <v>570</v>
          </cell>
          <cell r="AV16" t="str">
            <v>mstag:prepaidExpensesCurrent</v>
          </cell>
          <cell r="AW16">
            <v>6</v>
          </cell>
          <cell r="AX16" t="str">
            <v>ISO4217:USD</v>
          </cell>
          <cell r="AY16" t="b">
            <v>0</v>
          </cell>
        </row>
        <row r="17">
          <cell r="B17" t="str">
            <v>Deferred income tax assets</v>
          </cell>
          <cell r="E17">
            <v>0</v>
          </cell>
          <cell r="F17">
            <v>0</v>
          </cell>
          <cell r="G17">
            <v>0</v>
          </cell>
          <cell r="H17">
            <v>0</v>
          </cell>
          <cell r="I17">
            <v>0</v>
          </cell>
          <cell r="J17">
            <v>0</v>
          </cell>
          <cell r="K17">
            <v>0</v>
          </cell>
          <cell r="L17">
            <v>380</v>
          </cell>
          <cell r="M17">
            <v>136</v>
          </cell>
          <cell r="N17">
            <v>277</v>
          </cell>
          <cell r="O17">
            <v>35</v>
          </cell>
          <cell r="P17">
            <v>43</v>
          </cell>
          <cell r="Q17">
            <v>276</v>
          </cell>
          <cell r="R17">
            <v>198</v>
          </cell>
          <cell r="S17">
            <v>109</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I17">
            <v>0</v>
          </cell>
          <cell r="AJ17">
            <v>0</v>
          </cell>
          <cell r="AK17">
            <v>0</v>
          </cell>
          <cell r="AL17">
            <v>0</v>
          </cell>
          <cell r="AM17">
            <v>0</v>
          </cell>
          <cell r="AN17">
            <v>0</v>
          </cell>
          <cell r="AO17">
            <v>0</v>
          </cell>
          <cell r="AP17">
            <v>0</v>
          </cell>
          <cell r="AR17">
            <v>0</v>
          </cell>
          <cell r="AS17">
            <v>0</v>
          </cell>
          <cell r="AT17">
            <v>0</v>
          </cell>
          <cell r="AV17" t="str">
            <v>mstag:deferredTaxAssetsCurrent</v>
          </cell>
          <cell r="AW17">
            <v>6</v>
          </cell>
          <cell r="AX17" t="str">
            <v>ISO4217:USD</v>
          </cell>
          <cell r="AY17" t="b">
            <v>0</v>
          </cell>
        </row>
        <row r="18">
          <cell r="B18" t="str">
            <v>Total current assets</v>
          </cell>
          <cell r="E18">
            <v>568</v>
          </cell>
          <cell r="F18">
            <v>523</v>
          </cell>
          <cell r="G18">
            <v>697</v>
          </cell>
          <cell r="H18">
            <v>678</v>
          </cell>
          <cell r="I18">
            <v>831</v>
          </cell>
          <cell r="J18">
            <v>103</v>
          </cell>
          <cell r="K18">
            <v>1326</v>
          </cell>
          <cell r="L18">
            <v>1886</v>
          </cell>
          <cell r="M18">
            <v>1345</v>
          </cell>
          <cell r="N18">
            <v>1207</v>
          </cell>
          <cell r="O18">
            <v>1171</v>
          </cell>
          <cell r="P18">
            <v>1359</v>
          </cell>
          <cell r="Q18">
            <v>4457</v>
          </cell>
          <cell r="R18">
            <v>4301</v>
          </cell>
          <cell r="S18">
            <v>5146</v>
          </cell>
          <cell r="T18">
            <v>11994</v>
          </cell>
          <cell r="U18">
            <v>7438</v>
          </cell>
          <cell r="V18">
            <v>8266</v>
          </cell>
          <cell r="W18">
            <v>13779</v>
          </cell>
          <cell r="X18">
            <v>11435</v>
          </cell>
          <cell r="Y18">
            <v>12286</v>
          </cell>
          <cell r="Z18">
            <v>11905.920392856153</v>
          </cell>
          <cell r="AA18">
            <v>13588.452030648588</v>
          </cell>
          <cell r="AB18">
            <v>13910.571375890915</v>
          </cell>
          <cell r="AC18">
            <v>14975.869029238262</v>
          </cell>
          <cell r="AD18">
            <v>16379.042760740978</v>
          </cell>
          <cell r="AE18">
            <v>16144.556505636217</v>
          </cell>
          <cell r="AF18">
            <v>14844.137266310454</v>
          </cell>
          <cell r="AG18">
            <v>13344.976615731139</v>
          </cell>
          <cell r="AI18">
            <v>11335</v>
          </cell>
          <cell r="AJ18">
            <v>12687</v>
          </cell>
          <cell r="AK18">
            <v>13943</v>
          </cell>
          <cell r="AL18">
            <v>13779</v>
          </cell>
          <cell r="AM18">
            <v>15973</v>
          </cell>
          <cell r="AN18">
            <v>16513</v>
          </cell>
          <cell r="AO18">
            <v>16718</v>
          </cell>
          <cell r="AP18">
            <v>11435</v>
          </cell>
          <cell r="AQ18">
            <v>12098</v>
          </cell>
          <cell r="AR18">
            <v>12366</v>
          </cell>
          <cell r="AS18">
            <v>13395</v>
          </cell>
          <cell r="AT18">
            <v>12286</v>
          </cell>
        </row>
        <row r="20">
          <cell r="B20" t="str">
            <v>Property, plant and equipment, net</v>
          </cell>
          <cell r="E20">
            <v>623</v>
          </cell>
          <cell r="F20">
            <v>655</v>
          </cell>
          <cell r="G20">
            <v>880</v>
          </cell>
          <cell r="H20">
            <v>1814</v>
          </cell>
          <cell r="I20">
            <v>2270</v>
          </cell>
          <cell r="J20">
            <v>46</v>
          </cell>
          <cell r="K20">
            <v>4511</v>
          </cell>
          <cell r="L20">
            <v>4291</v>
          </cell>
          <cell r="M20">
            <v>2429</v>
          </cell>
          <cell r="N20">
            <v>2293</v>
          </cell>
          <cell r="O20">
            <v>2369</v>
          </cell>
          <cell r="P20">
            <v>2640</v>
          </cell>
          <cell r="Q20">
            <v>7215</v>
          </cell>
          <cell r="R20">
            <v>6530</v>
          </cell>
          <cell r="S20">
            <v>9147</v>
          </cell>
          <cell r="T20">
            <v>17146</v>
          </cell>
          <cell r="U20">
            <v>16391</v>
          </cell>
          <cell r="V20">
            <v>15152</v>
          </cell>
          <cell r="W20">
            <v>7190</v>
          </cell>
          <cell r="X20">
            <v>7333</v>
          </cell>
          <cell r="Y20">
            <v>7696</v>
          </cell>
          <cell r="Z20">
            <v>8368.3598648693333</v>
          </cell>
          <cell r="AA20">
            <v>9000.4902988332142</v>
          </cell>
          <cell r="AB20">
            <v>9332.7265773145791</v>
          </cell>
          <cell r="AC20">
            <v>9428.5221512435273</v>
          </cell>
          <cell r="AD20">
            <v>9516.835673928199</v>
          </cell>
          <cell r="AE20">
            <v>9601.2456698250862</v>
          </cell>
          <cell r="AF20">
            <v>9684.9606974676717</v>
          </cell>
          <cell r="AG20">
            <v>9700.8531473164403</v>
          </cell>
          <cell r="AI20">
            <v>7518</v>
          </cell>
          <cell r="AJ20">
            <v>6839</v>
          </cell>
          <cell r="AK20">
            <v>7216</v>
          </cell>
          <cell r="AL20">
            <v>7190</v>
          </cell>
          <cell r="AM20">
            <v>7440</v>
          </cell>
          <cell r="AN20">
            <v>7569</v>
          </cell>
          <cell r="AO20">
            <v>7363</v>
          </cell>
          <cell r="AP20">
            <v>7333</v>
          </cell>
          <cell r="AQ20">
            <v>7426</v>
          </cell>
          <cell r="AR20">
            <v>7237</v>
          </cell>
          <cell r="AS20">
            <v>7412</v>
          </cell>
          <cell r="AT20">
            <v>7696</v>
          </cell>
          <cell r="AV20" t="str">
            <v>mstag:propertyPlantAndEquipmentNet</v>
          </cell>
          <cell r="AW20">
            <v>6</v>
          </cell>
          <cell r="AX20" t="str">
            <v>ISO4217:USD</v>
          </cell>
          <cell r="AY20" t="b">
            <v>0</v>
          </cell>
        </row>
        <row r="21">
          <cell r="B21" t="str">
            <v>Investments and long-term receivables</v>
          </cell>
          <cell r="E21">
            <v>0</v>
          </cell>
          <cell r="F21">
            <v>0</v>
          </cell>
          <cell r="G21">
            <v>0</v>
          </cell>
          <cell r="H21">
            <v>0</v>
          </cell>
          <cell r="I21">
            <v>0</v>
          </cell>
          <cell r="J21">
            <v>1363</v>
          </cell>
          <cell r="K21">
            <v>1078</v>
          </cell>
          <cell r="L21">
            <v>1015</v>
          </cell>
          <cell r="M21">
            <v>1606</v>
          </cell>
          <cell r="N21">
            <v>1619</v>
          </cell>
          <cell r="O21">
            <v>2349</v>
          </cell>
          <cell r="P21">
            <v>2148</v>
          </cell>
          <cell r="Q21">
            <v>1190</v>
          </cell>
          <cell r="R21">
            <v>1076</v>
          </cell>
          <cell r="S21">
            <v>896</v>
          </cell>
          <cell r="T21">
            <v>2382</v>
          </cell>
          <cell r="U21">
            <v>2379</v>
          </cell>
          <cell r="V21">
            <v>2119</v>
          </cell>
          <cell r="W21">
            <v>2105</v>
          </cell>
          <cell r="X21">
            <v>2043</v>
          </cell>
          <cell r="Y21">
            <v>2363</v>
          </cell>
          <cell r="Z21">
            <v>2464.5</v>
          </cell>
          <cell r="AA21">
            <v>2459.2213652532942</v>
          </cell>
          <cell r="AB21">
            <v>2496.6136075603536</v>
          </cell>
          <cell r="AC21">
            <v>2528.234307482383</v>
          </cell>
          <cell r="AD21">
            <v>2555.0028564622071</v>
          </cell>
          <cell r="AE21">
            <v>2577.6742490672159</v>
          </cell>
          <cell r="AF21">
            <v>2593.4751826936367</v>
          </cell>
          <cell r="AG21">
            <v>2599.4180261637966</v>
          </cell>
          <cell r="AI21">
            <v>1617</v>
          </cell>
          <cell r="AJ21">
            <v>2018</v>
          </cell>
          <cell r="AK21">
            <v>2083</v>
          </cell>
          <cell r="AL21">
            <v>2105</v>
          </cell>
          <cell r="AM21">
            <v>2110</v>
          </cell>
          <cell r="AN21">
            <v>2172</v>
          </cell>
          <cell r="AO21">
            <v>2087</v>
          </cell>
          <cell r="AP21">
            <v>2043</v>
          </cell>
          <cell r="AQ21">
            <v>2096</v>
          </cell>
          <cell r="AR21">
            <v>2002</v>
          </cell>
          <cell r="AS21">
            <v>2347</v>
          </cell>
          <cell r="AT21">
            <v>2363</v>
          </cell>
          <cell r="AV21" t="str">
            <v>mstag:longTermInvestmentsNonOperating</v>
          </cell>
          <cell r="AW21">
            <v>6</v>
          </cell>
          <cell r="AX21" t="str">
            <v>ISO4217:USD</v>
          </cell>
          <cell r="AY21" t="b">
            <v>0</v>
          </cell>
        </row>
        <row r="22">
          <cell r="B22" t="str">
            <v>Goodwill</v>
          </cell>
          <cell r="E22">
            <v>0</v>
          </cell>
          <cell r="F22">
            <v>0</v>
          </cell>
          <cell r="G22">
            <v>0</v>
          </cell>
          <cell r="H22">
            <v>0</v>
          </cell>
          <cell r="I22">
            <v>0</v>
          </cell>
          <cell r="J22">
            <v>0</v>
          </cell>
          <cell r="K22">
            <v>1430</v>
          </cell>
          <cell r="L22">
            <v>1545</v>
          </cell>
          <cell r="M22">
            <v>1152</v>
          </cell>
          <cell r="N22">
            <v>1102</v>
          </cell>
          <cell r="O22">
            <v>1130</v>
          </cell>
          <cell r="P22">
            <v>1080</v>
          </cell>
          <cell r="Q22">
            <v>2175</v>
          </cell>
          <cell r="R22">
            <v>2245</v>
          </cell>
          <cell r="S22">
            <v>1648</v>
          </cell>
          <cell r="T22">
            <v>5247</v>
          </cell>
          <cell r="U22">
            <v>0</v>
          </cell>
          <cell r="V22">
            <v>0</v>
          </cell>
          <cell r="W22">
            <v>787</v>
          </cell>
          <cell r="X22">
            <v>585</v>
          </cell>
          <cell r="Y22">
            <v>591</v>
          </cell>
          <cell r="Z22">
            <v>591</v>
          </cell>
          <cell r="AA22">
            <v>591</v>
          </cell>
          <cell r="AB22">
            <v>591</v>
          </cell>
          <cell r="AC22">
            <v>591</v>
          </cell>
          <cell r="AD22">
            <v>591</v>
          </cell>
          <cell r="AE22">
            <v>591</v>
          </cell>
          <cell r="AF22">
            <v>591</v>
          </cell>
          <cell r="AG22">
            <v>591</v>
          </cell>
          <cell r="AI22">
            <v>1306</v>
          </cell>
          <cell r="AJ22">
            <v>1061</v>
          </cell>
          <cell r="AK22">
            <v>1105</v>
          </cell>
          <cell r="AL22">
            <v>787</v>
          </cell>
          <cell r="AM22">
            <v>807</v>
          </cell>
          <cell r="AN22">
            <v>621</v>
          </cell>
          <cell r="AO22">
            <v>598</v>
          </cell>
          <cell r="AP22">
            <v>585</v>
          </cell>
          <cell r="AQ22">
            <v>595</v>
          </cell>
          <cell r="AR22">
            <v>576</v>
          </cell>
          <cell r="AS22">
            <v>585</v>
          </cell>
          <cell r="AT22">
            <v>591</v>
          </cell>
          <cell r="AV22" t="str">
            <v>mstag:goodwill</v>
          </cell>
          <cell r="AW22">
            <v>6</v>
          </cell>
          <cell r="AX22" t="str">
            <v>ISO4217:USD</v>
          </cell>
          <cell r="AY22" t="b">
            <v>0</v>
          </cell>
        </row>
        <row r="23">
          <cell r="B23" t="str">
            <v>Intangible assets, net</v>
          </cell>
          <cell r="E23">
            <v>0</v>
          </cell>
          <cell r="F23">
            <v>0</v>
          </cell>
          <cell r="G23">
            <v>0</v>
          </cell>
          <cell r="H23">
            <v>0</v>
          </cell>
          <cell r="I23">
            <v>0</v>
          </cell>
          <cell r="J23">
            <v>0</v>
          </cell>
          <cell r="K23">
            <v>0</v>
          </cell>
          <cell r="L23">
            <v>0</v>
          </cell>
          <cell r="M23">
            <v>0</v>
          </cell>
          <cell r="N23">
            <v>309</v>
          </cell>
          <cell r="O23">
            <v>247</v>
          </cell>
          <cell r="P23">
            <v>229</v>
          </cell>
          <cell r="Q23">
            <v>653</v>
          </cell>
          <cell r="R23">
            <v>568</v>
          </cell>
          <cell r="S23">
            <v>686</v>
          </cell>
          <cell r="T23">
            <v>2484</v>
          </cell>
          <cell r="U23">
            <v>2241</v>
          </cell>
          <cell r="V23">
            <v>1861</v>
          </cell>
          <cell r="W23">
            <v>1360</v>
          </cell>
          <cell r="X23">
            <v>1177</v>
          </cell>
          <cell r="Y23">
            <v>1038</v>
          </cell>
          <cell r="Z23">
            <v>988</v>
          </cell>
          <cell r="AA23">
            <v>988</v>
          </cell>
          <cell r="AB23">
            <v>988</v>
          </cell>
          <cell r="AC23">
            <v>988</v>
          </cell>
          <cell r="AD23">
            <v>988</v>
          </cell>
          <cell r="AE23">
            <v>988</v>
          </cell>
          <cell r="AF23">
            <v>988</v>
          </cell>
          <cell r="AG23">
            <v>988</v>
          </cell>
          <cell r="AI23">
            <v>1716</v>
          </cell>
          <cell r="AJ23">
            <v>1427</v>
          </cell>
          <cell r="AK23">
            <v>1411</v>
          </cell>
          <cell r="AL23">
            <v>1360</v>
          </cell>
          <cell r="AM23">
            <v>1344</v>
          </cell>
          <cell r="AN23">
            <v>1310</v>
          </cell>
          <cell r="AO23">
            <v>1237</v>
          </cell>
          <cell r="AP23">
            <v>1177</v>
          </cell>
          <cell r="AQ23">
            <v>1149</v>
          </cell>
          <cell r="AR23">
            <v>1103</v>
          </cell>
          <cell r="AS23">
            <v>1073</v>
          </cell>
          <cell r="AT23">
            <v>1038</v>
          </cell>
          <cell r="AV23" t="str">
            <v>mstag:otherIntangibleAssets</v>
          </cell>
          <cell r="AW23">
            <v>6</v>
          </cell>
          <cell r="AX23" t="str">
            <v>ISO4217:USD</v>
          </cell>
          <cell r="AY23" t="b">
            <v>0</v>
          </cell>
        </row>
        <row r="24">
          <cell r="B24" t="str">
            <v>Other assets</v>
          </cell>
          <cell r="E24">
            <v>24</v>
          </cell>
          <cell r="F24">
            <v>53</v>
          </cell>
          <cell r="G24">
            <v>86</v>
          </cell>
          <cell r="H24">
            <v>114</v>
          </cell>
          <cell r="I24">
            <v>175</v>
          </cell>
          <cell r="J24">
            <v>47</v>
          </cell>
          <cell r="K24">
            <v>880</v>
          </cell>
          <cell r="L24">
            <v>761</v>
          </cell>
          <cell r="M24">
            <v>515</v>
          </cell>
          <cell r="N24">
            <v>173</v>
          </cell>
          <cell r="O24">
            <v>182</v>
          </cell>
          <cell r="P24">
            <v>177</v>
          </cell>
          <cell r="Q24">
            <v>238</v>
          </cell>
          <cell r="R24">
            <v>260</v>
          </cell>
          <cell r="S24">
            <v>323</v>
          </cell>
          <cell r="T24">
            <v>475</v>
          </cell>
          <cell r="U24">
            <v>202</v>
          </cell>
          <cell r="V24">
            <v>363</v>
          </cell>
          <cell r="W24">
            <v>273</v>
          </cell>
          <cell r="X24">
            <v>266</v>
          </cell>
          <cell r="Y24">
            <v>246</v>
          </cell>
          <cell r="Z24">
            <v>233.99999999999997</v>
          </cell>
          <cell r="AA24">
            <v>238.8300998958324</v>
          </cell>
          <cell r="AB24">
            <v>270.70776746619879</v>
          </cell>
          <cell r="AC24">
            <v>270.62741314208029</v>
          </cell>
          <cell r="AD24">
            <v>266.97639339212577</v>
          </cell>
          <cell r="AE24">
            <v>265.23712475230388</v>
          </cell>
          <cell r="AF24">
            <v>273.63060055467452</v>
          </cell>
          <cell r="AG24">
            <v>273.64593759357581</v>
          </cell>
          <cell r="AI24">
            <v>338</v>
          </cell>
          <cell r="AJ24">
            <v>257</v>
          </cell>
          <cell r="AK24">
            <v>272</v>
          </cell>
          <cell r="AL24">
            <v>273</v>
          </cell>
          <cell r="AM24">
            <v>274</v>
          </cell>
          <cell r="AN24">
            <v>290</v>
          </cell>
          <cell r="AO24">
            <v>264</v>
          </cell>
          <cell r="AP24">
            <v>266</v>
          </cell>
          <cell r="AQ24">
            <v>245</v>
          </cell>
          <cell r="AR24">
            <v>261</v>
          </cell>
          <cell r="AS24">
            <v>292</v>
          </cell>
          <cell r="AT24">
            <v>246</v>
          </cell>
          <cell r="AV24" t="str">
            <v>mstag:otherAssetsOperatingNonCurrent</v>
          </cell>
          <cell r="AW24">
            <v>6</v>
          </cell>
          <cell r="AX24" t="str">
            <v>ISO4217:USD</v>
          </cell>
          <cell r="AY24" t="b">
            <v>0</v>
          </cell>
        </row>
        <row r="25">
          <cell r="B25" t="str">
            <v>Total assets</v>
          </cell>
          <cell r="E25">
            <v>1215</v>
          </cell>
          <cell r="F25">
            <v>1231</v>
          </cell>
          <cell r="G25">
            <v>1663</v>
          </cell>
          <cell r="H25">
            <v>2606</v>
          </cell>
          <cell r="I25">
            <v>3276</v>
          </cell>
          <cell r="J25">
            <v>1559</v>
          </cell>
          <cell r="K25">
            <v>9225</v>
          </cell>
          <cell r="L25">
            <v>9498</v>
          </cell>
          <cell r="M25">
            <v>7047</v>
          </cell>
          <cell r="N25">
            <v>6703</v>
          </cell>
          <cell r="O25">
            <v>7448</v>
          </cell>
          <cell r="P25">
            <v>7633</v>
          </cell>
          <cell r="Q25">
            <v>15928</v>
          </cell>
          <cell r="R25">
            <v>14980</v>
          </cell>
          <cell r="S25">
            <v>17846</v>
          </cell>
          <cell r="T25">
            <v>39728</v>
          </cell>
          <cell r="U25">
            <v>28651</v>
          </cell>
          <cell r="V25">
            <v>27761</v>
          </cell>
          <cell r="W25">
            <v>25494</v>
          </cell>
          <cell r="X25">
            <v>22839</v>
          </cell>
          <cell r="Y25">
            <v>24220</v>
          </cell>
          <cell r="Z25">
            <v>24551.780257725484</v>
          </cell>
          <cell r="AA25">
            <v>26865.993794630929</v>
          </cell>
          <cell r="AB25">
            <v>27589.619328232046</v>
          </cell>
          <cell r="AC25">
            <v>28782.252901106251</v>
          </cell>
          <cell r="AD25">
            <v>30296.857684523507</v>
          </cell>
          <cell r="AE25">
            <v>30167.713549280823</v>
          </cell>
          <cell r="AF25">
            <v>28975.203747026437</v>
          </cell>
          <cell r="AG25">
            <v>27497.893726804952</v>
          </cell>
          <cell r="AI25">
            <v>23830</v>
          </cell>
          <cell r="AJ25">
            <v>24289</v>
          </cell>
          <cell r="AK25">
            <v>26030</v>
          </cell>
          <cell r="AL25">
            <v>25494</v>
          </cell>
          <cell r="AM25">
            <v>27948</v>
          </cell>
          <cell r="AN25">
            <v>28475</v>
          </cell>
          <cell r="AO25">
            <v>28267</v>
          </cell>
          <cell r="AP25">
            <v>22839</v>
          </cell>
          <cell r="AQ25">
            <v>23609</v>
          </cell>
          <cell r="AR25">
            <v>23545</v>
          </cell>
          <cell r="AS25">
            <v>25104</v>
          </cell>
          <cell r="AT25">
            <v>24220</v>
          </cell>
        </row>
        <row r="27">
          <cell r="B27" t="str">
            <v>Current liabilities:</v>
          </cell>
        </row>
        <row r="28">
          <cell r="B28" t="str">
            <v>Current maturities of long-term debt</v>
          </cell>
          <cell r="E28">
            <v>29</v>
          </cell>
          <cell r="F28">
            <v>8</v>
          </cell>
          <cell r="G28">
            <v>10</v>
          </cell>
          <cell r="H28">
            <v>150</v>
          </cell>
          <cell r="I28">
            <v>112</v>
          </cell>
          <cell r="J28">
            <v>0</v>
          </cell>
          <cell r="K28">
            <v>1603</v>
          </cell>
          <cell r="L28">
            <v>225</v>
          </cell>
          <cell r="M28">
            <v>10</v>
          </cell>
          <cell r="N28">
            <v>7</v>
          </cell>
          <cell r="O28">
            <v>1</v>
          </cell>
          <cell r="P28">
            <v>0</v>
          </cell>
          <cell r="Q28">
            <v>308</v>
          </cell>
          <cell r="R28">
            <v>319</v>
          </cell>
          <cell r="S28">
            <v>22</v>
          </cell>
          <cell r="T28">
            <v>459</v>
          </cell>
          <cell r="U28">
            <v>22891</v>
          </cell>
          <cell r="V28">
            <v>497</v>
          </cell>
          <cell r="W28">
            <v>4</v>
          </cell>
          <cell r="X28">
            <v>4</v>
          </cell>
          <cell r="Y28">
            <v>1</v>
          </cell>
          <cell r="Z28">
            <v>0</v>
          </cell>
          <cell r="AA28">
            <v>0</v>
          </cell>
          <cell r="AB28">
            <v>0</v>
          </cell>
          <cell r="AC28">
            <v>0</v>
          </cell>
          <cell r="AD28">
            <v>0</v>
          </cell>
          <cell r="AE28">
            <v>0</v>
          </cell>
          <cell r="AF28">
            <v>0</v>
          </cell>
          <cell r="AG28">
            <v>0</v>
          </cell>
          <cell r="AI28">
            <v>7</v>
          </cell>
          <cell r="AJ28">
            <v>8</v>
          </cell>
          <cell r="AK28">
            <v>8</v>
          </cell>
          <cell r="AL28">
            <v>4</v>
          </cell>
          <cell r="AM28">
            <v>253</v>
          </cell>
          <cell r="AN28">
            <v>2</v>
          </cell>
          <cell r="AO28">
            <v>2</v>
          </cell>
          <cell r="AP28">
            <v>4</v>
          </cell>
          <cell r="AQ28">
            <v>0</v>
          </cell>
          <cell r="AR28">
            <v>0</v>
          </cell>
          <cell r="AS28">
            <v>0</v>
          </cell>
          <cell r="AT28">
            <v>1</v>
          </cell>
          <cell r="AV28" t="str">
            <v>mstag:shortTermBorrowings</v>
          </cell>
          <cell r="AW28">
            <v>6</v>
          </cell>
          <cell r="AX28" t="str">
            <v>ISO4217:USD</v>
          </cell>
          <cell r="AY28" t="b">
            <v>0</v>
          </cell>
        </row>
        <row r="29">
          <cell r="B29" t="str">
            <v>Short-term debt</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2415</v>
          </cell>
          <cell r="U29">
            <v>774</v>
          </cell>
          <cell r="V29">
            <v>6182</v>
          </cell>
          <cell r="W29">
            <v>42</v>
          </cell>
          <cell r="X29">
            <v>48</v>
          </cell>
          <cell r="Y29">
            <v>95</v>
          </cell>
          <cell r="Z29">
            <v>47</v>
          </cell>
          <cell r="AA29">
            <v>47</v>
          </cell>
          <cell r="AB29">
            <v>1798.0140908289532</v>
          </cell>
          <cell r="AC29">
            <v>1960.8018468297091</v>
          </cell>
          <cell r="AD29">
            <v>2211.6466023718167</v>
          </cell>
          <cell r="AE29">
            <v>2136.8681709232478</v>
          </cell>
          <cell r="AF29">
            <v>1831.9258043768834</v>
          </cell>
          <cell r="AG29">
            <v>1525.0555932464404</v>
          </cell>
          <cell r="AI29">
            <v>380</v>
          </cell>
          <cell r="AJ29">
            <v>557</v>
          </cell>
          <cell r="AK29">
            <v>518</v>
          </cell>
          <cell r="AL29">
            <v>42</v>
          </cell>
          <cell r="AM29">
            <v>51</v>
          </cell>
          <cell r="AN29">
            <v>50</v>
          </cell>
          <cell r="AO29">
            <v>49</v>
          </cell>
          <cell r="AP29">
            <v>48</v>
          </cell>
          <cell r="AQ29">
            <v>42</v>
          </cell>
          <cell r="AR29">
            <v>48</v>
          </cell>
          <cell r="AS29">
            <v>47</v>
          </cell>
          <cell r="AT29">
            <v>95</v>
          </cell>
          <cell r="AV29" t="str">
            <v>mstag:shortTermBorrowings</v>
          </cell>
          <cell r="AW29">
            <v>6</v>
          </cell>
          <cell r="AX29" t="str">
            <v>ISO4217:USD</v>
          </cell>
          <cell r="AY29" t="b">
            <v>0</v>
          </cell>
        </row>
        <row r="30">
          <cell r="B30" t="str">
            <v>Accounts payable</v>
          </cell>
          <cell r="E30">
            <v>243</v>
          </cell>
          <cell r="F30">
            <v>207</v>
          </cell>
          <cell r="G30">
            <v>288</v>
          </cell>
          <cell r="H30">
            <v>359</v>
          </cell>
          <cell r="I30">
            <v>475</v>
          </cell>
          <cell r="J30">
            <v>184</v>
          </cell>
          <cell r="K30">
            <v>253</v>
          </cell>
          <cell r="L30">
            <v>350</v>
          </cell>
          <cell r="M30">
            <v>399</v>
          </cell>
          <cell r="N30">
            <v>319</v>
          </cell>
          <cell r="O30">
            <v>344</v>
          </cell>
          <cell r="P30">
            <v>431</v>
          </cell>
          <cell r="Q30">
            <v>1197</v>
          </cell>
          <cell r="R30">
            <v>1453</v>
          </cell>
          <cell r="S30">
            <v>2096</v>
          </cell>
          <cell r="T30">
            <v>4324</v>
          </cell>
          <cell r="U30">
            <v>2662</v>
          </cell>
          <cell r="V30">
            <v>2128</v>
          </cell>
          <cell r="W30">
            <v>2761</v>
          </cell>
          <cell r="X30">
            <v>3414</v>
          </cell>
          <cell r="Y30">
            <v>3285</v>
          </cell>
          <cell r="Z30">
            <v>3124.7560975609758</v>
          </cell>
          <cell r="AA30">
            <v>3189.2556022675185</v>
          </cell>
          <cell r="AB30">
            <v>3614.9390899449727</v>
          </cell>
          <cell r="AC30">
            <v>3603.9921147394693</v>
          </cell>
          <cell r="AD30">
            <v>3565.1115946875343</v>
          </cell>
          <cell r="AE30">
            <v>3541.8859951679619</v>
          </cell>
          <cell r="AF30">
            <v>3653.9696049679092</v>
          </cell>
          <cell r="AG30">
            <v>3644.1903274594301</v>
          </cell>
          <cell r="AI30">
            <v>2213</v>
          </cell>
          <cell r="AJ30">
            <v>2526</v>
          </cell>
          <cell r="AK30">
            <v>2562</v>
          </cell>
          <cell r="AL30">
            <v>2761</v>
          </cell>
          <cell r="AM30">
            <v>4099</v>
          </cell>
          <cell r="AN30">
            <v>3999</v>
          </cell>
          <cell r="AO30">
            <v>3307</v>
          </cell>
          <cell r="AP30">
            <v>3414</v>
          </cell>
          <cell r="AQ30">
            <v>3545</v>
          </cell>
          <cell r="AR30">
            <v>3004</v>
          </cell>
          <cell r="AS30">
            <v>3297</v>
          </cell>
          <cell r="AT30">
            <v>3285</v>
          </cell>
          <cell r="AV30" t="str">
            <v>mstag:tradeAndOtherPayablesCurrent</v>
          </cell>
          <cell r="AW30">
            <v>6</v>
          </cell>
          <cell r="AX30" t="str">
            <v>ISO4217:USD</v>
          </cell>
          <cell r="AY30" t="b">
            <v>0</v>
          </cell>
        </row>
        <row r="31">
          <cell r="B31" t="str">
            <v>Accrued liabilities</v>
          </cell>
          <cell r="E31">
            <v>73</v>
          </cell>
          <cell r="F31">
            <v>80</v>
          </cell>
          <cell r="G31">
            <v>115</v>
          </cell>
          <cell r="H31">
            <v>138</v>
          </cell>
          <cell r="I31">
            <v>124</v>
          </cell>
          <cell r="J31">
            <v>24</v>
          </cell>
          <cell r="K31">
            <v>481</v>
          </cell>
          <cell r="L31">
            <v>446</v>
          </cell>
          <cell r="M31">
            <v>325</v>
          </cell>
          <cell r="N31">
            <v>233</v>
          </cell>
          <cell r="O31">
            <v>279</v>
          </cell>
          <cell r="P31">
            <v>268</v>
          </cell>
          <cell r="Q31">
            <v>790</v>
          </cell>
          <cell r="R31">
            <v>797</v>
          </cell>
          <cell r="S31">
            <v>1089</v>
          </cell>
          <cell r="T31">
            <v>2068</v>
          </cell>
          <cell r="U31">
            <v>2038</v>
          </cell>
          <cell r="V31">
            <v>1390</v>
          </cell>
          <cell r="W31">
            <v>1705</v>
          </cell>
          <cell r="X31">
            <v>1242</v>
          </cell>
          <cell r="Y31">
            <v>1157</v>
          </cell>
          <cell r="Z31">
            <v>1100.5609756097563</v>
          </cell>
          <cell r="AA31">
            <v>1123.2781527621062</v>
          </cell>
          <cell r="AB31">
            <v>1273.2068575544395</v>
          </cell>
          <cell r="AC31">
            <v>1269.3512562415726</v>
          </cell>
          <cell r="AD31">
            <v>1255.657264856462</v>
          </cell>
          <cell r="AE31">
            <v>1247.4770460911209</v>
          </cell>
          <cell r="AF31">
            <v>1286.9536782185301</v>
          </cell>
          <cell r="AG31">
            <v>1283.5093482102166</v>
          </cell>
          <cell r="AI31">
            <v>1044</v>
          </cell>
          <cell r="AJ31">
            <v>1199</v>
          </cell>
          <cell r="AK31">
            <v>1513</v>
          </cell>
          <cell r="AL31">
            <v>1705</v>
          </cell>
          <cell r="AM31">
            <v>1711</v>
          </cell>
          <cell r="AN31">
            <v>1613</v>
          </cell>
          <cell r="AO31">
            <v>1505</v>
          </cell>
          <cell r="AP31">
            <v>1242</v>
          </cell>
          <cell r="AQ31">
            <v>1049</v>
          </cell>
          <cell r="AR31">
            <v>915</v>
          </cell>
          <cell r="AS31">
            <v>1177</v>
          </cell>
          <cell r="AT31">
            <v>1157</v>
          </cell>
          <cell r="AV31" t="str">
            <v>mstag:accruedExpenses</v>
          </cell>
          <cell r="AW31">
            <v>6</v>
          </cell>
          <cell r="AX31" t="str">
            <v>ISO4217:USD</v>
          </cell>
          <cell r="AY31" t="b">
            <v>0</v>
          </cell>
        </row>
        <row r="32">
          <cell r="B32" t="str">
            <v>Deferred income taxes</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432</v>
          </cell>
          <cell r="U32">
            <v>236</v>
          </cell>
          <cell r="V32">
            <v>170</v>
          </cell>
          <cell r="W32">
            <v>244</v>
          </cell>
          <cell r="X32">
            <v>310</v>
          </cell>
          <cell r="Y32">
            <v>558</v>
          </cell>
          <cell r="Z32">
            <v>558</v>
          </cell>
          <cell r="AA32">
            <v>558</v>
          </cell>
          <cell r="AB32">
            <v>558</v>
          </cell>
          <cell r="AC32">
            <v>558</v>
          </cell>
          <cell r="AD32">
            <v>558</v>
          </cell>
          <cell r="AE32">
            <v>558</v>
          </cell>
          <cell r="AF32">
            <v>558</v>
          </cell>
          <cell r="AG32">
            <v>558</v>
          </cell>
          <cell r="AI32">
            <v>450</v>
          </cell>
          <cell r="AJ32">
            <v>444</v>
          </cell>
          <cell r="AK32">
            <v>446</v>
          </cell>
          <cell r="AL32">
            <v>244</v>
          </cell>
          <cell r="AM32">
            <v>246</v>
          </cell>
          <cell r="AN32">
            <v>315</v>
          </cell>
          <cell r="AO32">
            <v>315</v>
          </cell>
          <cell r="AP32">
            <v>310</v>
          </cell>
          <cell r="AQ32">
            <v>310</v>
          </cell>
          <cell r="AR32">
            <v>277</v>
          </cell>
          <cell r="AS32">
            <v>304</v>
          </cell>
          <cell r="AT32">
            <v>558</v>
          </cell>
          <cell r="AV32" t="str">
            <v>mstag:deferredTaxLiabilitiesCurrent</v>
          </cell>
          <cell r="AW32">
            <v>6</v>
          </cell>
          <cell r="AX32" t="str">
            <v>ISO4217:USD</v>
          </cell>
          <cell r="AY32" t="b">
            <v>0</v>
          </cell>
        </row>
        <row r="33">
          <cell r="B33" t="str">
            <v>Notes payable</v>
          </cell>
          <cell r="E33">
            <v>0</v>
          </cell>
          <cell r="F33">
            <v>4</v>
          </cell>
          <cell r="G33">
            <v>20</v>
          </cell>
          <cell r="H33">
            <v>103</v>
          </cell>
          <cell r="I33">
            <v>60</v>
          </cell>
          <cell r="J33">
            <v>100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I33">
            <v>0</v>
          </cell>
          <cell r="AJ33">
            <v>0</v>
          </cell>
          <cell r="AK33">
            <v>0</v>
          </cell>
          <cell r="AL33">
            <v>0</v>
          </cell>
          <cell r="AM33">
            <v>0</v>
          </cell>
          <cell r="AN33">
            <v>0</v>
          </cell>
          <cell r="AO33">
            <v>0</v>
          </cell>
          <cell r="AP33">
            <v>0</v>
          </cell>
          <cell r="AQ33">
            <v>0</v>
          </cell>
          <cell r="AR33">
            <v>0</v>
          </cell>
          <cell r="AS33">
            <v>0</v>
          </cell>
          <cell r="AT33">
            <v>0</v>
          </cell>
          <cell r="AV33" t="str">
            <v>mstag:shortTermBorrowings</v>
          </cell>
          <cell r="AW33">
            <v>6</v>
          </cell>
          <cell r="AX33" t="str">
            <v>ISO4217:USD</v>
          </cell>
          <cell r="AY33" t="b">
            <v>0</v>
          </cell>
        </row>
        <row r="34">
          <cell r="B34" t="str">
            <v>Total current liabilities</v>
          </cell>
          <cell r="E34">
            <v>345</v>
          </cell>
          <cell r="F34">
            <v>299</v>
          </cell>
          <cell r="G34">
            <v>433</v>
          </cell>
          <cell r="H34">
            <v>750</v>
          </cell>
          <cell r="I34">
            <v>771</v>
          </cell>
          <cell r="J34">
            <v>308</v>
          </cell>
          <cell r="K34">
            <v>2337</v>
          </cell>
          <cell r="L34">
            <v>1021</v>
          </cell>
          <cell r="M34">
            <v>734</v>
          </cell>
          <cell r="N34">
            <v>559</v>
          </cell>
          <cell r="O34">
            <v>624</v>
          </cell>
          <cell r="P34">
            <v>699</v>
          </cell>
          <cell r="Q34">
            <v>2295</v>
          </cell>
          <cell r="R34">
            <v>2569</v>
          </cell>
          <cell r="S34">
            <v>3207</v>
          </cell>
          <cell r="T34">
            <v>9698</v>
          </cell>
          <cell r="U34">
            <v>28601</v>
          </cell>
          <cell r="V34">
            <v>10367</v>
          </cell>
          <cell r="W34">
            <v>4756</v>
          </cell>
          <cell r="X34">
            <v>5018</v>
          </cell>
          <cell r="Y34">
            <v>5096</v>
          </cell>
          <cell r="Z34">
            <v>4830.3170731707323</v>
          </cell>
          <cell r="AA34">
            <v>4917.5337550296244</v>
          </cell>
          <cell r="AB34">
            <v>7244.1600383283658</v>
          </cell>
          <cell r="AC34">
            <v>7392.1452178107511</v>
          </cell>
          <cell r="AD34">
            <v>7590.4154619158126</v>
          </cell>
          <cell r="AE34">
            <v>7484.2312121823306</v>
          </cell>
          <cell r="AF34">
            <v>7330.8490875633233</v>
          </cell>
          <cell r="AG34">
            <v>7010.7552689160875</v>
          </cell>
          <cell r="AI34">
            <v>4094</v>
          </cell>
          <cell r="AJ34">
            <v>4734</v>
          </cell>
          <cell r="AK34">
            <v>5047</v>
          </cell>
          <cell r="AL34">
            <v>4756</v>
          </cell>
          <cell r="AM34">
            <v>6360</v>
          </cell>
          <cell r="AN34">
            <v>5979</v>
          </cell>
          <cell r="AO34">
            <v>5178</v>
          </cell>
          <cell r="AP34">
            <v>5018</v>
          </cell>
          <cell r="AQ34">
            <v>4946</v>
          </cell>
          <cell r="AR34">
            <v>4244</v>
          </cell>
          <cell r="AS34">
            <v>4825</v>
          </cell>
          <cell r="AT34">
            <v>5096</v>
          </cell>
        </row>
        <row r="36">
          <cell r="B36" t="str">
            <v>Long-term debt</v>
          </cell>
          <cell r="E36">
            <v>725</v>
          </cell>
          <cell r="F36">
            <v>717</v>
          </cell>
          <cell r="G36">
            <v>707</v>
          </cell>
          <cell r="H36">
            <v>807</v>
          </cell>
          <cell r="I36">
            <v>1194</v>
          </cell>
          <cell r="J36">
            <v>345</v>
          </cell>
          <cell r="K36">
            <v>5391</v>
          </cell>
          <cell r="L36">
            <v>6046</v>
          </cell>
          <cell r="M36">
            <v>3844</v>
          </cell>
          <cell r="N36">
            <v>3846</v>
          </cell>
          <cell r="O36">
            <v>3926</v>
          </cell>
          <cell r="P36">
            <v>4151</v>
          </cell>
          <cell r="Q36">
            <v>7555</v>
          </cell>
          <cell r="R36">
            <v>5974</v>
          </cell>
          <cell r="S36">
            <v>8018</v>
          </cell>
          <cell r="T36">
            <v>21541</v>
          </cell>
          <cell r="U36">
            <v>304</v>
          </cell>
          <cell r="V36">
            <v>305</v>
          </cell>
          <cell r="W36">
            <v>6036</v>
          </cell>
          <cell r="X36">
            <v>3980</v>
          </cell>
          <cell r="Y36">
            <v>4304</v>
          </cell>
          <cell r="Z36">
            <v>4253</v>
          </cell>
          <cell r="AA36">
            <v>8339.1763364073431</v>
          </cell>
          <cell r="AB36">
            <v>7192.0563633158117</v>
          </cell>
          <cell r="AC36">
            <v>7843.2073873188365</v>
          </cell>
          <cell r="AD36">
            <v>8846.5864094872668</v>
          </cell>
          <cell r="AE36">
            <v>8547.4726836929913</v>
          </cell>
          <cell r="AF36">
            <v>7327.7032175075337</v>
          </cell>
          <cell r="AG36">
            <v>6100.2223729857606</v>
          </cell>
          <cell r="AI36">
            <v>6795</v>
          </cell>
          <cell r="AJ36">
            <v>6745</v>
          </cell>
          <cell r="AK36">
            <v>6799</v>
          </cell>
          <cell r="AL36">
            <v>6036</v>
          </cell>
          <cell r="AM36">
            <v>5805</v>
          </cell>
          <cell r="AN36">
            <v>5813</v>
          </cell>
          <cell r="AO36">
            <v>5782</v>
          </cell>
          <cell r="AP36">
            <v>3980</v>
          </cell>
          <cell r="AQ36">
            <v>3984</v>
          </cell>
          <cell r="AR36">
            <v>4305</v>
          </cell>
          <cell r="AS36">
            <v>4305</v>
          </cell>
          <cell r="AT36">
            <v>4304</v>
          </cell>
          <cell r="AV36" t="str">
            <v>mstag:longTermDebt</v>
          </cell>
          <cell r="AW36">
            <v>6</v>
          </cell>
          <cell r="AX36" t="str">
            <v>ISO4217:USD</v>
          </cell>
          <cell r="AY36" t="b">
            <v>0</v>
          </cell>
        </row>
        <row r="37">
          <cell r="B37" t="str">
            <v>Other liabilities</v>
          </cell>
          <cell r="E37">
            <v>72</v>
          </cell>
          <cell r="F37">
            <v>78</v>
          </cell>
          <cell r="G37">
            <v>83</v>
          </cell>
          <cell r="H37">
            <v>95</v>
          </cell>
          <cell r="I37">
            <v>114</v>
          </cell>
          <cell r="J37">
            <v>73</v>
          </cell>
          <cell r="K37">
            <v>294</v>
          </cell>
          <cell r="L37">
            <v>331</v>
          </cell>
          <cell r="M37">
            <v>441</v>
          </cell>
          <cell r="N37">
            <v>583</v>
          </cell>
          <cell r="O37">
            <v>673</v>
          </cell>
          <cell r="P37">
            <v>680</v>
          </cell>
          <cell r="Q37">
            <v>1747</v>
          </cell>
          <cell r="R37">
            <v>1786</v>
          </cell>
          <cell r="S37">
            <v>1661</v>
          </cell>
          <cell r="T37">
            <v>1881</v>
          </cell>
          <cell r="U37">
            <v>2451</v>
          </cell>
          <cell r="V37">
            <v>23855</v>
          </cell>
          <cell r="W37">
            <v>2183</v>
          </cell>
          <cell r="X37">
            <v>2277</v>
          </cell>
          <cell r="Y37">
            <v>2327</v>
          </cell>
          <cell r="Z37">
            <v>2204.8639024390241</v>
          </cell>
          <cell r="AA37">
            <v>2261.673422790901</v>
          </cell>
          <cell r="AB37">
            <v>2443.5059728236906</v>
          </cell>
          <cell r="AC37">
            <v>2494.4795279489754</v>
          </cell>
          <cell r="AD37">
            <v>2507.5300939073391</v>
          </cell>
          <cell r="AE37">
            <v>2502.2134333499903</v>
          </cell>
          <cell r="AF37">
            <v>2519.8683972973649</v>
          </cell>
          <cell r="AG37">
            <v>2480.1836995772528</v>
          </cell>
          <cell r="AI37">
            <v>2092</v>
          </cell>
          <cell r="AJ37">
            <v>2013</v>
          </cell>
          <cell r="AK37">
            <v>2086</v>
          </cell>
          <cell r="AL37">
            <v>2183</v>
          </cell>
          <cell r="AM37">
            <v>2043</v>
          </cell>
          <cell r="AN37">
            <v>2110</v>
          </cell>
          <cell r="AO37">
            <v>2021</v>
          </cell>
          <cell r="AP37">
            <v>2277</v>
          </cell>
          <cell r="AQ37">
            <v>2281</v>
          </cell>
          <cell r="AR37">
            <v>2208</v>
          </cell>
          <cell r="AS37">
            <v>2153</v>
          </cell>
          <cell r="AT37">
            <v>2327</v>
          </cell>
          <cell r="AV37" t="str">
            <v>mstag:otherLiabilitiesOperatingNonCurrent</v>
          </cell>
          <cell r="AW37">
            <v>6</v>
          </cell>
          <cell r="AX37" t="str">
            <v>ISO4217:USD</v>
          </cell>
          <cell r="AY37" t="b">
            <v>0</v>
          </cell>
        </row>
        <row r="38">
          <cell r="B38" t="str">
            <v>Deferred income taxes</v>
          </cell>
          <cell r="E38">
            <v>79</v>
          </cell>
          <cell r="F38">
            <v>101</v>
          </cell>
          <cell r="G38">
            <v>109</v>
          </cell>
          <cell r="H38">
            <v>115</v>
          </cell>
          <cell r="I38">
            <v>157</v>
          </cell>
          <cell r="J38">
            <v>209</v>
          </cell>
          <cell r="K38">
            <v>413</v>
          </cell>
          <cell r="L38">
            <v>891</v>
          </cell>
          <cell r="M38">
            <v>702</v>
          </cell>
          <cell r="N38">
            <v>790</v>
          </cell>
          <cell r="O38">
            <v>881</v>
          </cell>
          <cell r="P38">
            <v>792</v>
          </cell>
          <cell r="Q38">
            <v>1477</v>
          </cell>
          <cell r="R38">
            <v>1463</v>
          </cell>
          <cell r="S38">
            <v>1598</v>
          </cell>
          <cell r="T38">
            <v>4543</v>
          </cell>
          <cell r="U38">
            <v>3241</v>
          </cell>
          <cell r="V38">
            <v>2081</v>
          </cell>
          <cell r="W38">
            <v>923</v>
          </cell>
          <cell r="X38">
            <v>917</v>
          </cell>
          <cell r="Y38">
            <v>1314</v>
          </cell>
          <cell r="Z38">
            <v>1335.4999999999964</v>
          </cell>
          <cell r="AA38">
            <v>1335.4999999999964</v>
          </cell>
          <cell r="AB38">
            <v>1335.4999999999964</v>
          </cell>
          <cell r="AC38">
            <v>1335.4999999999964</v>
          </cell>
          <cell r="AD38">
            <v>1335.4999999999964</v>
          </cell>
          <cell r="AE38">
            <v>1335.4999999999964</v>
          </cell>
          <cell r="AF38">
            <v>1335.4999999999964</v>
          </cell>
          <cell r="AG38">
            <v>1335.4999999999964</v>
          </cell>
          <cell r="AI38">
            <v>971</v>
          </cell>
          <cell r="AJ38">
            <v>867</v>
          </cell>
          <cell r="AK38">
            <v>1155</v>
          </cell>
          <cell r="AL38">
            <v>923</v>
          </cell>
          <cell r="AM38">
            <v>1027</v>
          </cell>
          <cell r="AN38">
            <v>947</v>
          </cell>
          <cell r="AO38">
            <v>1204</v>
          </cell>
          <cell r="AP38">
            <v>917</v>
          </cell>
          <cell r="AQ38">
            <v>1035</v>
          </cell>
          <cell r="AR38">
            <v>1245</v>
          </cell>
          <cell r="AS38">
            <v>1460</v>
          </cell>
          <cell r="AT38">
            <v>1314</v>
          </cell>
          <cell r="AV38" t="str">
            <v>mstag:deferredTaxLiabilitiesNonCurrent</v>
          </cell>
          <cell r="AW38">
            <v>6</v>
          </cell>
          <cell r="AX38" t="str">
            <v>ISO4217:USD</v>
          </cell>
          <cell r="AY38" t="b">
            <v>0</v>
          </cell>
        </row>
        <row r="39">
          <cell r="B39" t="str">
            <v>Total liabilities</v>
          </cell>
          <cell r="E39">
            <v>1221</v>
          </cell>
          <cell r="F39">
            <v>1195</v>
          </cell>
          <cell r="G39">
            <v>1332</v>
          </cell>
          <cell r="H39">
            <v>1767</v>
          </cell>
          <cell r="I39">
            <v>2236</v>
          </cell>
          <cell r="J39">
            <v>935</v>
          </cell>
          <cell r="K39">
            <v>8435</v>
          </cell>
          <cell r="L39">
            <v>8289</v>
          </cell>
          <cell r="M39">
            <v>5721</v>
          </cell>
          <cell r="N39">
            <v>5778</v>
          </cell>
          <cell r="O39">
            <v>6104</v>
          </cell>
          <cell r="P39">
            <v>6322</v>
          </cell>
          <cell r="Q39">
            <v>13074</v>
          </cell>
          <cell r="R39">
            <v>11792</v>
          </cell>
          <cell r="S39">
            <v>14484</v>
          </cell>
          <cell r="T39">
            <v>37663</v>
          </cell>
          <cell r="U39">
            <v>34597</v>
          </cell>
          <cell r="V39">
            <v>36608</v>
          </cell>
          <cell r="W39">
            <v>13898</v>
          </cell>
          <cell r="X39">
            <v>12192</v>
          </cell>
          <cell r="Y39">
            <v>13041</v>
          </cell>
          <cell r="Z39">
            <v>12623.680975609754</v>
          </cell>
          <cell r="AA39">
            <v>16853.883514227866</v>
          </cell>
          <cell r="AB39">
            <v>18215.222374467863</v>
          </cell>
          <cell r="AC39">
            <v>19065.332133078558</v>
          </cell>
          <cell r="AD39">
            <v>20280.031965310416</v>
          </cell>
          <cell r="AE39">
            <v>19869.417329225311</v>
          </cell>
          <cell r="AF39">
            <v>18513.920702368217</v>
          </cell>
          <cell r="AG39">
            <v>16926.661341479099</v>
          </cell>
          <cell r="AI39">
            <v>13952</v>
          </cell>
          <cell r="AJ39">
            <v>14359</v>
          </cell>
          <cell r="AK39">
            <v>15087</v>
          </cell>
          <cell r="AL39">
            <v>13898</v>
          </cell>
          <cell r="AM39">
            <v>15235</v>
          </cell>
          <cell r="AN39">
            <v>14849</v>
          </cell>
          <cell r="AO39">
            <v>14185</v>
          </cell>
          <cell r="AP39">
            <v>12192</v>
          </cell>
          <cell r="AQ39">
            <v>12246</v>
          </cell>
          <cell r="AR39">
            <v>12002</v>
          </cell>
          <cell r="AS39">
            <v>12743</v>
          </cell>
          <cell r="AT39">
            <v>13041</v>
          </cell>
        </row>
        <row r="41">
          <cell r="B41" t="str">
            <v>Non-controlling interests</v>
          </cell>
          <cell r="E41">
            <v>0</v>
          </cell>
          <cell r="F41">
            <v>124</v>
          </cell>
          <cell r="G41">
            <v>268</v>
          </cell>
          <cell r="H41">
            <v>459</v>
          </cell>
          <cell r="I41">
            <v>609</v>
          </cell>
          <cell r="J41">
            <v>5</v>
          </cell>
          <cell r="K41">
            <v>216</v>
          </cell>
          <cell r="L41">
            <v>202</v>
          </cell>
          <cell r="M41">
            <v>181</v>
          </cell>
          <cell r="N41">
            <v>176</v>
          </cell>
          <cell r="O41">
            <v>165</v>
          </cell>
          <cell r="P41">
            <v>155</v>
          </cell>
          <cell r="Q41">
            <v>181</v>
          </cell>
          <cell r="R41">
            <v>180</v>
          </cell>
          <cell r="S41">
            <v>174</v>
          </cell>
          <cell r="T41">
            <v>144</v>
          </cell>
          <cell r="U41">
            <v>135</v>
          </cell>
          <cell r="V41">
            <v>129</v>
          </cell>
          <cell r="W41">
            <v>61</v>
          </cell>
          <cell r="X41">
            <v>54</v>
          </cell>
          <cell r="Y41">
            <v>40</v>
          </cell>
          <cell r="Z41">
            <v>40</v>
          </cell>
          <cell r="AA41">
            <v>40</v>
          </cell>
          <cell r="AB41">
            <v>40</v>
          </cell>
          <cell r="AC41">
            <v>40</v>
          </cell>
          <cell r="AD41">
            <v>40</v>
          </cell>
          <cell r="AE41">
            <v>40</v>
          </cell>
          <cell r="AF41">
            <v>40</v>
          </cell>
          <cell r="AG41">
            <v>40</v>
          </cell>
          <cell r="AI41">
            <v>17</v>
          </cell>
          <cell r="AJ41">
            <v>62</v>
          </cell>
          <cell r="AK41">
            <v>61</v>
          </cell>
          <cell r="AL41">
            <v>61</v>
          </cell>
          <cell r="AM41">
            <v>42</v>
          </cell>
          <cell r="AN41">
            <v>47</v>
          </cell>
          <cell r="AO41">
            <v>57</v>
          </cell>
          <cell r="AP41">
            <v>54</v>
          </cell>
          <cell r="AQ41">
            <v>53</v>
          </cell>
          <cell r="AR41">
            <v>51</v>
          </cell>
          <cell r="AS41">
            <v>49</v>
          </cell>
          <cell r="AT41">
            <v>40</v>
          </cell>
          <cell r="AV41" t="str">
            <v>mstag:minorityInterestsInShareholdersEquity</v>
          </cell>
          <cell r="AW41">
            <v>6</v>
          </cell>
          <cell r="AX41" t="str">
            <v>ISO4217:USD</v>
          </cell>
          <cell r="AY41" t="b">
            <v>0</v>
          </cell>
        </row>
        <row r="43">
          <cell r="B43" t="str">
            <v>Class A ordinary shares</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60</v>
          </cell>
          <cell r="U43">
            <v>60</v>
          </cell>
          <cell r="V43">
            <v>60</v>
          </cell>
          <cell r="W43">
            <v>30</v>
          </cell>
          <cell r="X43">
            <v>31</v>
          </cell>
          <cell r="Y43">
            <v>31</v>
          </cell>
          <cell r="Z43">
            <v>31</v>
          </cell>
          <cell r="AA43">
            <v>31</v>
          </cell>
          <cell r="AB43">
            <v>31</v>
          </cell>
          <cell r="AC43">
            <v>31</v>
          </cell>
          <cell r="AD43">
            <v>31</v>
          </cell>
          <cell r="AE43">
            <v>31</v>
          </cell>
          <cell r="AF43">
            <v>31</v>
          </cell>
          <cell r="AG43">
            <v>31</v>
          </cell>
          <cell r="AI43">
            <v>17</v>
          </cell>
          <cell r="AJ43">
            <v>16</v>
          </cell>
          <cell r="AK43">
            <v>16</v>
          </cell>
          <cell r="AL43">
            <v>30</v>
          </cell>
          <cell r="AM43">
            <v>30</v>
          </cell>
          <cell r="AN43">
            <v>30</v>
          </cell>
          <cell r="AO43">
            <v>30</v>
          </cell>
          <cell r="AP43">
            <v>31</v>
          </cell>
          <cell r="AQ43">
            <v>31</v>
          </cell>
          <cell r="AR43">
            <v>31</v>
          </cell>
          <cell r="AS43">
            <v>31</v>
          </cell>
          <cell r="AT43">
            <v>31</v>
          </cell>
          <cell r="AV43" t="str">
            <v>mstag:commonStock</v>
          </cell>
          <cell r="AW43">
            <v>6</v>
          </cell>
          <cell r="AX43" t="str">
            <v>ISO4217:USD</v>
          </cell>
          <cell r="AY43" t="b">
            <v>0</v>
          </cell>
        </row>
        <row r="44">
          <cell r="B44" t="str">
            <v>Class B ordinary shares</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I44">
            <v>14</v>
          </cell>
          <cell r="AJ44">
            <v>14</v>
          </cell>
          <cell r="AK44">
            <v>14</v>
          </cell>
          <cell r="AL44">
            <v>0</v>
          </cell>
          <cell r="AM44">
            <v>0</v>
          </cell>
          <cell r="AN44">
            <v>0</v>
          </cell>
          <cell r="AO44">
            <v>0</v>
          </cell>
          <cell r="AP44">
            <v>0</v>
          </cell>
          <cell r="AQ44">
            <v>0</v>
          </cell>
          <cell r="AR44">
            <v>0</v>
          </cell>
          <cell r="AS44">
            <v>0</v>
          </cell>
          <cell r="AT44">
            <v>0</v>
          </cell>
          <cell r="AV44" t="str">
            <v>mstag:commonStock</v>
          </cell>
          <cell r="AW44">
            <v>6</v>
          </cell>
          <cell r="AX44" t="str">
            <v>ISO4217:USD</v>
          </cell>
          <cell r="AY44" t="b">
            <v>0</v>
          </cell>
        </row>
        <row r="45">
          <cell r="B45" t="str">
            <v>Common Stock</v>
          </cell>
          <cell r="E45">
            <v>80</v>
          </cell>
          <cell r="F45">
            <v>80</v>
          </cell>
          <cell r="G45">
            <v>80</v>
          </cell>
          <cell r="H45">
            <v>80</v>
          </cell>
          <cell r="I45">
            <v>80</v>
          </cell>
          <cell r="J45">
            <v>80</v>
          </cell>
          <cell r="K45">
            <v>80</v>
          </cell>
          <cell r="L45">
            <v>120</v>
          </cell>
          <cell r="M45">
            <v>120</v>
          </cell>
          <cell r="N45">
            <v>120</v>
          </cell>
          <cell r="O45">
            <v>128</v>
          </cell>
          <cell r="P45">
            <v>142</v>
          </cell>
          <cell r="Q45">
            <v>245</v>
          </cell>
          <cell r="R45">
            <v>248</v>
          </cell>
          <cell r="S45">
            <v>250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L45">
            <v>0</v>
          </cell>
          <cell r="AN45">
            <v>0</v>
          </cell>
          <cell r="AO45">
            <v>0</v>
          </cell>
          <cell r="AP45">
            <v>0</v>
          </cell>
          <cell r="AQ45">
            <v>0</v>
          </cell>
          <cell r="AR45">
            <v>0</v>
          </cell>
          <cell r="AS45">
            <v>0</v>
          </cell>
          <cell r="AT45">
            <v>0</v>
          </cell>
          <cell r="AV45" t="str">
            <v>mstag:commonStock</v>
          </cell>
          <cell r="AW45">
            <v>6</v>
          </cell>
          <cell r="AX45" t="str">
            <v>ISO4217:USD</v>
          </cell>
          <cell r="AY45" t="b">
            <v>0</v>
          </cell>
        </row>
        <row r="46">
          <cell r="B46" t="str">
            <v>Series B common stock</v>
          </cell>
          <cell r="E46">
            <v>0</v>
          </cell>
          <cell r="F46">
            <v>0</v>
          </cell>
          <cell r="G46">
            <v>0</v>
          </cell>
          <cell r="H46">
            <v>0</v>
          </cell>
          <cell r="I46">
            <v>0</v>
          </cell>
          <cell r="J46">
            <v>0</v>
          </cell>
          <cell r="K46">
            <v>0</v>
          </cell>
          <cell r="L46">
            <v>0</v>
          </cell>
          <cell r="M46">
            <v>0</v>
          </cell>
          <cell r="N46">
            <v>0</v>
          </cell>
          <cell r="O46">
            <v>35</v>
          </cell>
          <cell r="P46">
            <v>37</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L46">
            <v>0</v>
          </cell>
          <cell r="AN46">
            <v>0</v>
          </cell>
          <cell r="AO46">
            <v>0</v>
          </cell>
          <cell r="AP46">
            <v>0</v>
          </cell>
          <cell r="AQ46">
            <v>0</v>
          </cell>
          <cell r="AR46">
            <v>0</v>
          </cell>
          <cell r="AS46">
            <v>0</v>
          </cell>
          <cell r="AT46">
            <v>0</v>
          </cell>
          <cell r="AV46" t="str">
            <v>mstag:commonStock</v>
          </cell>
          <cell r="AW46">
            <v>6</v>
          </cell>
          <cell r="AX46" t="str">
            <v>ISO4217:USD</v>
          </cell>
          <cell r="AY46" t="b">
            <v>0</v>
          </cell>
        </row>
        <row r="47">
          <cell r="B47" t="str">
            <v>Retained earnings (deficit)</v>
          </cell>
          <cell r="E47">
            <v>-244</v>
          </cell>
          <cell r="F47">
            <v>-326</v>
          </cell>
          <cell r="G47">
            <v>-175</v>
          </cell>
          <cell r="H47">
            <v>142</v>
          </cell>
          <cell r="I47">
            <v>193</v>
          </cell>
          <cell r="J47">
            <v>407</v>
          </cell>
          <cell r="K47">
            <v>387</v>
          </cell>
          <cell r="L47">
            <v>172</v>
          </cell>
          <cell r="M47">
            <v>504</v>
          </cell>
          <cell r="N47">
            <v>247</v>
          </cell>
          <cell r="O47">
            <v>-18</v>
          </cell>
          <cell r="P47">
            <v>-474</v>
          </cell>
          <cell r="Q47">
            <v>-600</v>
          </cell>
          <cell r="R47">
            <v>-292</v>
          </cell>
          <cell r="S47">
            <v>-330</v>
          </cell>
          <cell r="T47">
            <v>881</v>
          </cell>
          <cell r="U47">
            <v>-6440</v>
          </cell>
          <cell r="V47">
            <v>-9313</v>
          </cell>
          <cell r="W47">
            <v>1587</v>
          </cell>
          <cell r="X47">
            <v>841</v>
          </cell>
          <cell r="Y47">
            <v>1274</v>
          </cell>
          <cell r="Z47">
            <v>4111.2822089450001</v>
          </cell>
          <cell r="AA47">
            <v>6545.5750169769981</v>
          </cell>
          <cell r="AB47">
            <v>8597.1119299264319</v>
          </cell>
          <cell r="AC47">
            <v>10689.357231739223</v>
          </cell>
          <cell r="AD47">
            <v>12687.250748976998</v>
          </cell>
          <cell r="AE47">
            <v>14554.882847226118</v>
          </cell>
          <cell r="AF47">
            <v>15739.085557212462</v>
          </cell>
          <cell r="AG47">
            <v>16830.661949772191</v>
          </cell>
          <cell r="AI47">
            <v>0</v>
          </cell>
          <cell r="AJ47">
            <v>18</v>
          </cell>
          <cell r="AK47">
            <v>1032</v>
          </cell>
          <cell r="AL47">
            <v>1587</v>
          </cell>
          <cell r="AM47">
            <v>2250</v>
          </cell>
          <cell r="AN47">
            <v>2997</v>
          </cell>
          <cell r="AO47">
            <v>3443</v>
          </cell>
          <cell r="AP47">
            <v>841</v>
          </cell>
          <cell r="AQ47">
            <v>1298</v>
          </cell>
          <cell r="AR47">
            <v>1838</v>
          </cell>
          <cell r="AS47">
            <v>2454</v>
          </cell>
          <cell r="AT47">
            <v>1274</v>
          </cell>
          <cell r="AV47" t="str">
            <v>mstag:retainedEarnings</v>
          </cell>
          <cell r="AW47">
            <v>6</v>
          </cell>
          <cell r="AX47" t="str">
            <v>ISO4217:USD</v>
          </cell>
          <cell r="AY47" t="b">
            <v>0</v>
          </cell>
        </row>
        <row r="48">
          <cell r="B48" t="str">
            <v>Additional paid-in capital</v>
          </cell>
          <cell r="E48">
            <v>158</v>
          </cell>
          <cell r="F48">
            <v>158</v>
          </cell>
          <cell r="G48">
            <v>158</v>
          </cell>
          <cell r="H48">
            <v>158</v>
          </cell>
          <cell r="I48">
            <v>158</v>
          </cell>
          <cell r="J48">
            <v>158</v>
          </cell>
          <cell r="K48">
            <v>158</v>
          </cell>
          <cell r="L48">
            <v>854</v>
          </cell>
          <cell r="M48">
            <v>854</v>
          </cell>
          <cell r="N48">
            <v>854</v>
          </cell>
          <cell r="O48">
            <v>1380</v>
          </cell>
          <cell r="P48">
            <v>1571</v>
          </cell>
          <cell r="Q48">
            <v>3000</v>
          </cell>
          <cell r="R48">
            <v>3211</v>
          </cell>
          <cell r="S48">
            <v>3248</v>
          </cell>
          <cell r="T48">
            <v>563</v>
          </cell>
          <cell r="U48">
            <v>563</v>
          </cell>
          <cell r="V48">
            <v>563</v>
          </cell>
          <cell r="W48">
            <v>9837</v>
          </cell>
          <cell r="X48">
            <v>10272</v>
          </cell>
          <cell r="Y48">
            <v>10351</v>
          </cell>
          <cell r="Z48">
            <v>10688.5</v>
          </cell>
          <cell r="AA48">
            <v>10688.5</v>
          </cell>
          <cell r="AB48">
            <v>10688.5</v>
          </cell>
          <cell r="AC48">
            <v>10688.5</v>
          </cell>
          <cell r="AD48">
            <v>10688.5</v>
          </cell>
          <cell r="AE48">
            <v>10688.5</v>
          </cell>
          <cell r="AF48">
            <v>10688.5</v>
          </cell>
          <cell r="AG48">
            <v>10688.5</v>
          </cell>
          <cell r="AI48">
            <v>9830</v>
          </cell>
          <cell r="AJ48">
            <v>9820</v>
          </cell>
          <cell r="AK48">
            <v>9820</v>
          </cell>
          <cell r="AL48">
            <v>9837</v>
          </cell>
          <cell r="AM48">
            <v>9932</v>
          </cell>
          <cell r="AN48">
            <v>9982</v>
          </cell>
          <cell r="AO48">
            <v>9982</v>
          </cell>
          <cell r="AP48">
            <v>10272</v>
          </cell>
          <cell r="AQ48">
            <v>10319</v>
          </cell>
          <cell r="AR48">
            <v>10323</v>
          </cell>
          <cell r="AS48">
            <v>10328</v>
          </cell>
          <cell r="AT48">
            <v>10351</v>
          </cell>
          <cell r="AV48" t="str">
            <v>mstag:additionalPaidInCapital</v>
          </cell>
          <cell r="AW48">
            <v>6</v>
          </cell>
          <cell r="AX48" t="str">
            <v>ISO4217:USD</v>
          </cell>
          <cell r="AY48" t="b">
            <v>0</v>
          </cell>
        </row>
        <row r="49">
          <cell r="B49" t="str">
            <v>Accumulated other comprehensive income (loss)</v>
          </cell>
          <cell r="E49">
            <v>0</v>
          </cell>
          <cell r="F49">
            <v>0</v>
          </cell>
          <cell r="G49">
            <v>0</v>
          </cell>
          <cell r="H49">
            <v>0</v>
          </cell>
          <cell r="I49">
            <v>0</v>
          </cell>
          <cell r="J49">
            <v>0</v>
          </cell>
          <cell r="K49">
            <v>32</v>
          </cell>
          <cell r="L49">
            <v>-64</v>
          </cell>
          <cell r="M49">
            <v>-258</v>
          </cell>
          <cell r="N49">
            <v>-397</v>
          </cell>
          <cell r="O49">
            <v>-271</v>
          </cell>
          <cell r="P49">
            <v>-54</v>
          </cell>
          <cell r="Q49">
            <v>56</v>
          </cell>
          <cell r="R49">
            <v>-136</v>
          </cell>
          <cell r="S49">
            <v>42</v>
          </cell>
          <cell r="T49">
            <v>417</v>
          </cell>
          <cell r="U49">
            <v>-264</v>
          </cell>
          <cell r="V49">
            <v>-286</v>
          </cell>
          <cell r="W49">
            <v>81</v>
          </cell>
          <cell r="X49">
            <v>-427</v>
          </cell>
          <cell r="Y49">
            <v>-411</v>
          </cell>
          <cell r="Z49">
            <v>-436.6829268292683</v>
          </cell>
          <cell r="AA49">
            <v>-462.89598657393282</v>
          </cell>
          <cell r="AB49">
            <v>-492.60781471046681</v>
          </cell>
          <cell r="AC49">
            <v>-522.31082346996345</v>
          </cell>
          <cell r="AD49">
            <v>-551.61311054958696</v>
          </cell>
          <cell r="AE49">
            <v>-580.72450229069352</v>
          </cell>
          <cell r="AF49">
            <v>-610.75712918084071</v>
          </cell>
          <cell r="AG49">
            <v>-640.79143940452582</v>
          </cell>
          <cell r="AL49">
            <v>81</v>
          </cell>
          <cell r="AM49">
            <v>460</v>
          </cell>
          <cell r="AN49">
            <v>586</v>
          </cell>
          <cell r="AO49">
            <v>586</v>
          </cell>
          <cell r="AP49">
            <v>-427</v>
          </cell>
          <cell r="AQ49">
            <v>-218</v>
          </cell>
          <cell r="AR49">
            <v>-589</v>
          </cell>
          <cell r="AS49">
            <v>-401</v>
          </cell>
          <cell r="AT49">
            <v>-411</v>
          </cell>
          <cell r="AV49" t="str">
            <v>mstag:accumulatedOtherComprehensiveIncomeLossAndReserves</v>
          </cell>
          <cell r="AW49">
            <v>6</v>
          </cell>
          <cell r="AX49" t="str">
            <v>ISO4217:USD</v>
          </cell>
          <cell r="AY49" t="b">
            <v>0</v>
          </cell>
        </row>
        <row r="50">
          <cell r="B50" t="str">
            <v>Treasury Stock</v>
          </cell>
          <cell r="E50">
            <v>0</v>
          </cell>
          <cell r="F50">
            <v>0</v>
          </cell>
          <cell r="G50">
            <v>0</v>
          </cell>
          <cell r="H50">
            <v>0</v>
          </cell>
          <cell r="I50">
            <v>0</v>
          </cell>
          <cell r="J50">
            <v>-26</v>
          </cell>
          <cell r="K50">
            <v>-83</v>
          </cell>
          <cell r="L50">
            <v>-75</v>
          </cell>
          <cell r="M50">
            <v>-75</v>
          </cell>
          <cell r="N50">
            <v>-75</v>
          </cell>
          <cell r="O50">
            <v>-75</v>
          </cell>
          <cell r="P50">
            <v>-66</v>
          </cell>
          <cell r="Q50">
            <v>-28</v>
          </cell>
          <cell r="R50">
            <v>-23</v>
          </cell>
          <cell r="S50">
            <v>-22</v>
          </cell>
          <cell r="T50">
            <v>0</v>
          </cell>
          <cell r="U50">
            <v>0</v>
          </cell>
          <cell r="V50">
            <v>0</v>
          </cell>
          <cell r="W50">
            <v>0</v>
          </cell>
          <cell r="X50">
            <v>-124</v>
          </cell>
          <cell r="Y50">
            <v>-106</v>
          </cell>
          <cell r="Z50">
            <v>-2506</v>
          </cell>
          <cell r="AA50">
            <v>-6830.0687499999995</v>
          </cell>
          <cell r="AB50">
            <v>-9489.6071614517859</v>
          </cell>
          <cell r="AC50">
            <v>-11209.625640241567</v>
          </cell>
          <cell r="AD50">
            <v>-12878.311919214322</v>
          </cell>
          <cell r="AE50">
            <v>-14435.36212487991</v>
          </cell>
          <cell r="AF50">
            <v>-15426.545383373406</v>
          </cell>
          <cell r="AG50">
            <v>-16378.138125041813</v>
          </cell>
          <cell r="AL50">
            <v>0</v>
          </cell>
          <cell r="AM50">
            <v>-1</v>
          </cell>
          <cell r="AN50">
            <v>-16</v>
          </cell>
          <cell r="AO50">
            <v>-16</v>
          </cell>
          <cell r="AP50">
            <v>-124</v>
          </cell>
          <cell r="AQ50">
            <v>-120</v>
          </cell>
          <cell r="AR50">
            <v>-111</v>
          </cell>
          <cell r="AS50">
            <v>-100</v>
          </cell>
          <cell r="AT50">
            <v>-106</v>
          </cell>
          <cell r="AV50" t="str">
            <v>mstag:treasuryStockAndInvestmentInOwnShares</v>
          </cell>
          <cell r="AW50">
            <v>6</v>
          </cell>
          <cell r="AX50" t="str">
            <v>ISO4217:USD</v>
          </cell>
          <cell r="AY50" t="b">
            <v>1</v>
          </cell>
        </row>
        <row r="51">
          <cell r="B51" t="str">
            <v>New Lyondell-Basell equity</v>
          </cell>
          <cell r="E51">
            <v>-6</v>
          </cell>
          <cell r="F51">
            <v>-88</v>
          </cell>
          <cell r="G51">
            <v>63</v>
          </cell>
          <cell r="H51">
            <v>380</v>
          </cell>
          <cell r="I51">
            <v>431</v>
          </cell>
          <cell r="J51">
            <v>619</v>
          </cell>
          <cell r="K51">
            <v>574</v>
          </cell>
          <cell r="L51">
            <v>1007</v>
          </cell>
          <cell r="M51">
            <v>1145</v>
          </cell>
          <cell r="N51">
            <v>749</v>
          </cell>
          <cell r="O51">
            <v>1179</v>
          </cell>
          <cell r="P51">
            <v>1156</v>
          </cell>
          <cell r="Q51">
            <v>2673</v>
          </cell>
          <cell r="R51">
            <v>3008</v>
          </cell>
          <cell r="S51">
            <v>3188</v>
          </cell>
          <cell r="T51">
            <v>1921</v>
          </cell>
          <cell r="U51">
            <v>-6081</v>
          </cell>
          <cell r="V51">
            <v>-8976</v>
          </cell>
          <cell r="W51">
            <v>11535</v>
          </cell>
          <cell r="X51">
            <v>10593</v>
          </cell>
          <cell r="Y51">
            <v>11139</v>
          </cell>
          <cell r="Z51">
            <v>11888.099282115732</v>
          </cell>
          <cell r="AA51">
            <v>9972.1102804030634</v>
          </cell>
          <cell r="AB51">
            <v>9334.3969537641788</v>
          </cell>
          <cell r="AC51">
            <v>9676.9207680276922</v>
          </cell>
          <cell r="AD51">
            <v>9976.8257192130895</v>
          </cell>
          <cell r="AE51">
            <v>10258.296220055512</v>
          </cell>
          <cell r="AF51">
            <v>10421.283044658216</v>
          </cell>
          <cell r="AG51">
            <v>10531.232385325853</v>
          </cell>
          <cell r="AI51">
            <v>9861</v>
          </cell>
          <cell r="AJ51">
            <v>9868</v>
          </cell>
          <cell r="AK51">
            <v>10882</v>
          </cell>
          <cell r="AL51">
            <v>11535</v>
          </cell>
          <cell r="AM51">
            <v>12671</v>
          </cell>
          <cell r="AN51">
            <v>13579</v>
          </cell>
          <cell r="AO51">
            <v>14025</v>
          </cell>
          <cell r="AP51">
            <v>10593</v>
          </cell>
          <cell r="AQ51">
            <v>11310</v>
          </cell>
          <cell r="AR51">
            <v>11492</v>
          </cell>
          <cell r="AS51">
            <v>12312</v>
          </cell>
          <cell r="AT51">
            <v>11139</v>
          </cell>
        </row>
        <row r="53">
          <cell r="B53" t="str">
            <v>Total liabilities and shareholder equity</v>
          </cell>
          <cell r="E53">
            <v>1215</v>
          </cell>
          <cell r="F53">
            <v>1231</v>
          </cell>
          <cell r="G53">
            <v>1663</v>
          </cell>
          <cell r="H53">
            <v>2606</v>
          </cell>
          <cell r="I53">
            <v>3276</v>
          </cell>
          <cell r="J53">
            <v>1559</v>
          </cell>
          <cell r="K53">
            <v>9225</v>
          </cell>
          <cell r="L53">
            <v>9498</v>
          </cell>
          <cell r="M53">
            <v>7047</v>
          </cell>
          <cell r="N53">
            <v>6703</v>
          </cell>
          <cell r="O53">
            <v>7448</v>
          </cell>
          <cell r="P53">
            <v>7633</v>
          </cell>
          <cell r="Q53">
            <v>15928</v>
          </cell>
          <cell r="R53">
            <v>14980</v>
          </cell>
          <cell r="S53">
            <v>17846</v>
          </cell>
          <cell r="T53">
            <v>39728</v>
          </cell>
          <cell r="U53">
            <v>28651</v>
          </cell>
          <cell r="V53">
            <v>27761</v>
          </cell>
          <cell r="W53">
            <v>25494</v>
          </cell>
          <cell r="X53">
            <v>22839</v>
          </cell>
          <cell r="Y53">
            <v>24220</v>
          </cell>
          <cell r="Z53">
            <v>24551.780257725484</v>
          </cell>
          <cell r="AA53">
            <v>26865.993794630929</v>
          </cell>
          <cell r="AB53">
            <v>27589.619328232042</v>
          </cell>
          <cell r="AC53">
            <v>28782.252901106251</v>
          </cell>
          <cell r="AD53">
            <v>30296.857684523507</v>
          </cell>
          <cell r="AE53">
            <v>30167.713549280823</v>
          </cell>
          <cell r="AF53">
            <v>28975.203747026433</v>
          </cell>
          <cell r="AG53">
            <v>27497.893726804952</v>
          </cell>
          <cell r="AI53">
            <v>23830</v>
          </cell>
          <cell r="AJ53">
            <v>24289</v>
          </cell>
          <cell r="AK53">
            <v>26030</v>
          </cell>
          <cell r="AL53">
            <v>25494</v>
          </cell>
          <cell r="AM53">
            <v>27948</v>
          </cell>
          <cell r="AN53">
            <v>28475</v>
          </cell>
          <cell r="AO53">
            <v>28267</v>
          </cell>
          <cell r="AP53">
            <v>22839</v>
          </cell>
          <cell r="AQ53">
            <v>23609</v>
          </cell>
          <cell r="AR53">
            <v>23545</v>
          </cell>
          <cell r="AS53">
            <v>25104</v>
          </cell>
          <cell r="AT53">
            <v>24220</v>
          </cell>
        </row>
        <row r="55">
          <cell r="B55" t="str">
            <v>Check</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I55">
            <v>0</v>
          </cell>
          <cell r="AJ55">
            <v>0</v>
          </cell>
          <cell r="AK55">
            <v>0</v>
          </cell>
          <cell r="AL55">
            <v>0</v>
          </cell>
          <cell r="AM55">
            <v>0</v>
          </cell>
          <cell r="AN55">
            <v>0</v>
          </cell>
          <cell r="AO55">
            <v>0</v>
          </cell>
          <cell r="AP55">
            <v>0</v>
          </cell>
          <cell r="AQ55">
            <v>0</v>
          </cell>
          <cell r="AR55">
            <v>0</v>
          </cell>
          <cell r="AS55">
            <v>0</v>
          </cell>
          <cell r="AT55">
            <v>0</v>
          </cell>
        </row>
        <row r="57">
          <cell r="A57" t="str">
            <v>Balance sheet workings</v>
          </cell>
        </row>
        <row r="59">
          <cell r="A59" t="str">
            <v>Sales</v>
          </cell>
          <cell r="E59">
            <v>4809</v>
          </cell>
          <cell r="F59">
            <v>3850</v>
          </cell>
          <cell r="G59">
            <v>3857</v>
          </cell>
          <cell r="H59">
            <v>4936</v>
          </cell>
          <cell r="I59">
            <v>2644</v>
          </cell>
          <cell r="J59">
            <v>2878</v>
          </cell>
          <cell r="K59">
            <v>1447</v>
          </cell>
          <cell r="L59">
            <v>3693</v>
          </cell>
          <cell r="M59">
            <v>4036</v>
          </cell>
          <cell r="N59">
            <v>3193</v>
          </cell>
          <cell r="O59">
            <v>3262</v>
          </cell>
          <cell r="P59">
            <v>3801</v>
          </cell>
          <cell r="Q59">
            <v>5946</v>
          </cell>
          <cell r="R59">
            <v>18606</v>
          </cell>
          <cell r="S59">
            <v>20882</v>
          </cell>
          <cell r="T59">
            <v>17120</v>
          </cell>
          <cell r="U59">
            <v>50706</v>
          </cell>
          <cell r="V59">
            <v>30828</v>
          </cell>
          <cell r="W59">
            <v>41151</v>
          </cell>
          <cell r="X59">
            <v>51035</v>
          </cell>
          <cell r="Y59">
            <v>45497</v>
          </cell>
          <cell r="Z59">
            <v>44062</v>
          </cell>
          <cell r="AA59">
            <v>45396.546093082739</v>
          </cell>
          <cell r="AB59">
            <v>50646.657072479749</v>
          </cell>
          <cell r="AC59">
            <v>50756.766540219469</v>
          </cell>
          <cell r="AD59">
            <v>49977.184351634925</v>
          </cell>
          <cell r="AE59">
            <v>49385.611601109151</v>
          </cell>
          <cell r="AF59">
            <v>48987.732052513718</v>
          </cell>
          <cell r="AG59">
            <v>48679.99538159059</v>
          </cell>
          <cell r="AI59">
            <v>9755</v>
          </cell>
          <cell r="AJ59">
            <v>10484</v>
          </cell>
          <cell r="AK59">
            <v>10302</v>
          </cell>
          <cell r="AL59">
            <v>10610</v>
          </cell>
          <cell r="AM59">
            <v>12252</v>
          </cell>
          <cell r="AN59">
            <v>14042</v>
          </cell>
          <cell r="AO59">
            <v>13297</v>
          </cell>
          <cell r="AP59">
            <v>11444</v>
          </cell>
          <cell r="AQ59">
            <v>11879</v>
          </cell>
          <cell r="AR59">
            <v>11248</v>
          </cell>
          <cell r="AS59">
            <v>11273</v>
          </cell>
          <cell r="AT59">
            <v>11097</v>
          </cell>
        </row>
        <row r="60">
          <cell r="A60" t="str">
            <v>Sales growth</v>
          </cell>
          <cell r="F60">
            <v>-0.19941775836972342</v>
          </cell>
          <cell r="G60">
            <v>1.8181818181817189E-3</v>
          </cell>
          <cell r="H60">
            <v>0.27975110189266261</v>
          </cell>
          <cell r="I60">
            <v>-0.46434359805510539</v>
          </cell>
          <cell r="J60">
            <v>8.8502269288956104E-2</v>
          </cell>
          <cell r="K60">
            <v>-0.49722029186935368</v>
          </cell>
          <cell r="L60">
            <v>1.5521769177608844</v>
          </cell>
          <cell r="M60">
            <v>9.2878418629840143E-2</v>
          </cell>
          <cell r="N60">
            <v>-0.20887016848364715</v>
          </cell>
          <cell r="O60">
            <v>2.1609771374882625E-2</v>
          </cell>
          <cell r="P60">
            <v>0.16523605150214582</v>
          </cell>
          <cell r="Q60">
            <v>0.56432517758484613</v>
          </cell>
          <cell r="R60">
            <v>2.1291624621594347</v>
          </cell>
          <cell r="S60">
            <v>0.12232613135547665</v>
          </cell>
          <cell r="T60">
            <v>-0.18015515755195866</v>
          </cell>
          <cell r="U60">
            <v>1.9617990654205606</v>
          </cell>
          <cell r="V60">
            <v>-0.39202461247189679</v>
          </cell>
          <cell r="W60">
            <v>0.334857921370183</v>
          </cell>
          <cell r="X60">
            <v>0.24018857378921532</v>
          </cell>
          <cell r="Y60">
            <v>-0.10851376506319188</v>
          </cell>
          <cell r="Z60">
            <v>-3.1540541134580269E-2</v>
          </cell>
          <cell r="AA60">
            <v>3.0287914599490318E-2</v>
          </cell>
          <cell r="AB60">
            <v>0.11565000933401381</v>
          </cell>
          <cell r="AC60">
            <v>2.1740717769811457E-3</v>
          </cell>
          <cell r="AD60">
            <v>-1.5359177538758373E-2</v>
          </cell>
          <cell r="AE60">
            <v>-1.1836856321547073E-2</v>
          </cell>
          <cell r="AF60">
            <v>-8.0565884616177197E-3</v>
          </cell>
          <cell r="AG60">
            <v>-6.2819130020805858E-3</v>
          </cell>
          <cell r="AM60">
            <v>0.2559712967708867</v>
          </cell>
          <cell r="AN60">
            <v>0.33937428462418917</v>
          </cell>
          <cell r="AO60">
            <v>0.29072024849543787</v>
          </cell>
          <cell r="AP60">
            <v>7.860508953817158E-2</v>
          </cell>
          <cell r="AQ60">
            <v>-3.0444009141364692E-2</v>
          </cell>
          <cell r="AR60">
            <v>-0.1989745050562598</v>
          </cell>
          <cell r="AS60">
            <v>-0.15221478528991506</v>
          </cell>
          <cell r="AT60">
            <v>-3.0321565886053836E-2</v>
          </cell>
        </row>
        <row r="62">
          <cell r="A62" t="str">
            <v>COGS</v>
          </cell>
          <cell r="E62">
            <v>4539</v>
          </cell>
          <cell r="F62">
            <v>3569</v>
          </cell>
          <cell r="G62">
            <v>3231</v>
          </cell>
          <cell r="H62">
            <v>3940</v>
          </cell>
          <cell r="I62">
            <v>2118</v>
          </cell>
          <cell r="J62">
            <v>2166</v>
          </cell>
          <cell r="K62">
            <v>951</v>
          </cell>
          <cell r="L62">
            <v>2546</v>
          </cell>
          <cell r="M62">
            <v>3092</v>
          </cell>
          <cell r="N62">
            <v>2608</v>
          </cell>
          <cell r="O62">
            <v>2654</v>
          </cell>
          <cell r="P62">
            <v>3349</v>
          </cell>
          <cell r="Q62">
            <v>5167</v>
          </cell>
          <cell r="R62">
            <v>15634</v>
          </cell>
          <cell r="S62">
            <v>17774</v>
          </cell>
          <cell r="T62">
            <v>14724</v>
          </cell>
          <cell r="U62">
            <v>46869</v>
          </cell>
          <cell r="V62">
            <v>27598</v>
          </cell>
          <cell r="W62">
            <v>36142</v>
          </cell>
          <cell r="X62">
            <v>44698</v>
          </cell>
          <cell r="Y62">
            <v>38827</v>
          </cell>
          <cell r="Z62">
            <v>36933</v>
          </cell>
          <cell r="AA62">
            <v>37695.350766892218</v>
          </cell>
          <cell r="AB62">
            <v>42726.709298415051</v>
          </cell>
          <cell r="AC62">
            <v>42714.026707591678</v>
          </cell>
          <cell r="AD62">
            <v>42137.774090390529</v>
          </cell>
          <cell r="AE62">
            <v>41863.259523405315</v>
          </cell>
          <cell r="AF62">
            <v>43188.029787546126</v>
          </cell>
          <cell r="AG62">
            <v>43190.450483519387</v>
          </cell>
          <cell r="AI62">
            <v>9130</v>
          </cell>
          <cell r="AJ62">
            <v>9482</v>
          </cell>
          <cell r="AK62">
            <v>9075</v>
          </cell>
          <cell r="AL62">
            <v>9494</v>
          </cell>
          <cell r="AM62">
            <v>10943</v>
          </cell>
          <cell r="AN62">
            <v>12474</v>
          </cell>
          <cell r="AO62">
            <v>11538</v>
          </cell>
          <cell r="AP62">
            <v>10958</v>
          </cell>
          <cell r="AQ62">
            <v>10670</v>
          </cell>
          <cell r="AR62">
            <v>9561</v>
          </cell>
          <cell r="AS62">
            <v>9741</v>
          </cell>
          <cell r="AT62">
            <v>9832</v>
          </cell>
        </row>
        <row r="63">
          <cell r="A63" t="str">
            <v>COGS growth</v>
          </cell>
          <cell r="F63">
            <v>-0.21370345891165454</v>
          </cell>
          <cell r="G63">
            <v>-9.4704398991314109E-2</v>
          </cell>
          <cell r="H63">
            <v>0.21943670690188788</v>
          </cell>
          <cell r="I63">
            <v>-0.46243654822335023</v>
          </cell>
          <cell r="J63">
            <v>2.2662889518413554E-2</v>
          </cell>
          <cell r="K63">
            <v>-0.56094182825484762</v>
          </cell>
          <cell r="L63">
            <v>1.6771819137749735</v>
          </cell>
          <cell r="M63">
            <v>0.21445404556166525</v>
          </cell>
          <cell r="N63">
            <v>-0.15653298835705043</v>
          </cell>
          <cell r="O63">
            <v>1.7638036809815905E-2</v>
          </cell>
          <cell r="P63">
            <v>0.26186887716654117</v>
          </cell>
          <cell r="Q63">
            <v>0.54284861152582864</v>
          </cell>
          <cell r="R63">
            <v>2.0257402748209792</v>
          </cell>
          <cell r="S63">
            <v>0.13688115645388255</v>
          </cell>
          <cell r="T63">
            <v>-0.17159896478001579</v>
          </cell>
          <cell r="U63">
            <v>2.1831703341483291</v>
          </cell>
          <cell r="V63">
            <v>-0.41116729608056501</v>
          </cell>
          <cell r="W63">
            <v>0.30958765127907828</v>
          </cell>
          <cell r="X63">
            <v>0.23673288694593553</v>
          </cell>
          <cell r="Y63">
            <v>-0.13134815875430672</v>
          </cell>
          <cell r="Z63">
            <v>-4.8780487804878092E-2</v>
          </cell>
          <cell r="AA63">
            <v>2.0641452546292349E-2</v>
          </cell>
          <cell r="AB63">
            <v>0.13347424627075943</v>
          </cell>
          <cell r="AC63">
            <v>-2.9683050793349874E-4</v>
          </cell>
          <cell r="AD63">
            <v>-1.3490945752925976E-2</v>
          </cell>
          <cell r="AE63">
            <v>-6.5146907474596949E-3</v>
          </cell>
          <cell r="AF63">
            <v>3.1645177160659177E-2</v>
          </cell>
          <cell r="AG63">
            <v>5.6050159851439574E-5</v>
          </cell>
          <cell r="AM63">
            <v>0.19857612267250824</v>
          </cell>
          <cell r="AN63">
            <v>0.31554524361948966</v>
          </cell>
          <cell r="AO63">
            <v>0.27140495867768588</v>
          </cell>
          <cell r="AP63">
            <v>0.15420265430798397</v>
          </cell>
          <cell r="AQ63">
            <v>-2.4947454994060148E-2</v>
          </cell>
          <cell r="AR63">
            <v>-0.23352573352573358</v>
          </cell>
          <cell r="AS63">
            <v>-0.15574622984919395</v>
          </cell>
          <cell r="AT63">
            <v>-0.10275597736813291</v>
          </cell>
        </row>
        <row r="66">
          <cell r="A66" t="str">
            <v>Working Capital</v>
          </cell>
        </row>
        <row r="68">
          <cell r="A68" t="str">
            <v>Inventories</v>
          </cell>
          <cell r="E68">
            <v>180</v>
          </cell>
          <cell r="F68">
            <v>191</v>
          </cell>
          <cell r="G68">
            <v>229</v>
          </cell>
          <cell r="H68">
            <v>265</v>
          </cell>
          <cell r="I68">
            <v>294</v>
          </cell>
          <cell r="J68">
            <v>0</v>
          </cell>
          <cell r="K68">
            <v>550</v>
          </cell>
          <cell r="L68">
            <v>519</v>
          </cell>
          <cell r="M68">
            <v>392</v>
          </cell>
          <cell r="N68">
            <v>316</v>
          </cell>
          <cell r="O68">
            <v>344</v>
          </cell>
          <cell r="P68">
            <v>347</v>
          </cell>
          <cell r="Q68">
            <v>1619</v>
          </cell>
          <cell r="R68">
            <v>1657</v>
          </cell>
          <cell r="S68">
            <v>2259</v>
          </cell>
          <cell r="T68">
            <v>5178</v>
          </cell>
          <cell r="U68">
            <v>3314</v>
          </cell>
          <cell r="V68">
            <v>3277</v>
          </cell>
          <cell r="W68">
            <v>4824</v>
          </cell>
          <cell r="X68">
            <v>5499</v>
          </cell>
          <cell r="Y68">
            <v>5075</v>
          </cell>
          <cell r="Z68">
            <v>4553.3835616438355</v>
          </cell>
          <cell r="AA68">
            <v>4647.3720123565745</v>
          </cell>
          <cell r="AB68">
            <v>5267.6764888456919</v>
          </cell>
          <cell r="AC68">
            <v>5251.7245951956975</v>
          </cell>
          <cell r="AD68">
            <v>5195.0680385412979</v>
          </cell>
          <cell r="AE68">
            <v>5161.2237768581899</v>
          </cell>
          <cell r="AF68">
            <v>5324.5516176426727</v>
          </cell>
          <cell r="AG68">
            <v>5310.3012889573019</v>
          </cell>
          <cell r="AI68">
            <v>4497</v>
          </cell>
          <cell r="AJ68">
            <v>4372</v>
          </cell>
          <cell r="AK68">
            <v>4412</v>
          </cell>
          <cell r="AL68">
            <v>4824</v>
          </cell>
          <cell r="AM68">
            <v>5726</v>
          </cell>
          <cell r="AN68">
            <v>5577</v>
          </cell>
          <cell r="AO68">
            <v>5682</v>
          </cell>
          <cell r="AP68">
            <v>5499</v>
          </cell>
          <cell r="AQ68">
            <v>5208</v>
          </cell>
          <cell r="AR68">
            <v>5759</v>
          </cell>
          <cell r="AS68">
            <v>5234</v>
          </cell>
          <cell r="AT68">
            <v>5075</v>
          </cell>
        </row>
        <row r="69">
          <cell r="A69" t="str">
            <v>Change in inventories</v>
          </cell>
          <cell r="F69">
            <v>-11</v>
          </cell>
          <cell r="G69">
            <v>-38</v>
          </cell>
          <cell r="H69">
            <v>-36</v>
          </cell>
          <cell r="I69">
            <v>-29</v>
          </cell>
          <cell r="J69">
            <v>294</v>
          </cell>
          <cell r="K69">
            <v>-550</v>
          </cell>
          <cell r="L69">
            <v>31</v>
          </cell>
          <cell r="M69">
            <v>127</v>
          </cell>
          <cell r="N69">
            <v>76</v>
          </cell>
          <cell r="O69">
            <v>-28</v>
          </cell>
          <cell r="P69">
            <v>-3</v>
          </cell>
          <cell r="Q69">
            <v>-1272</v>
          </cell>
          <cell r="R69">
            <v>-38</v>
          </cell>
          <cell r="S69">
            <v>-602</v>
          </cell>
          <cell r="T69">
            <v>-2919</v>
          </cell>
          <cell r="U69">
            <v>1864</v>
          </cell>
          <cell r="V69">
            <v>37</v>
          </cell>
          <cell r="W69">
            <v>-1547</v>
          </cell>
          <cell r="X69">
            <v>-675</v>
          </cell>
          <cell r="Y69">
            <v>424</v>
          </cell>
          <cell r="Z69">
            <v>521.61643835616451</v>
          </cell>
          <cell r="AA69">
            <v>-93.988450712738995</v>
          </cell>
          <cell r="AB69">
            <v>-620.30447648911741</v>
          </cell>
          <cell r="AC69">
            <v>15.951893649994418</v>
          </cell>
          <cell r="AD69">
            <v>56.656556654399537</v>
          </cell>
          <cell r="AE69">
            <v>33.844261683108016</v>
          </cell>
          <cell r="AF69">
            <v>-163.32784078448276</v>
          </cell>
          <cell r="AG69">
            <v>14.250328685370732</v>
          </cell>
          <cell r="AJ69">
            <v>125</v>
          </cell>
          <cell r="AK69">
            <v>-40</v>
          </cell>
          <cell r="AL69">
            <v>-412</v>
          </cell>
          <cell r="AM69">
            <v>-902</v>
          </cell>
          <cell r="AN69">
            <v>149</v>
          </cell>
          <cell r="AO69">
            <v>-105</v>
          </cell>
          <cell r="AP69">
            <v>183</v>
          </cell>
          <cell r="AQ69">
            <v>291</v>
          </cell>
          <cell r="AR69">
            <v>-551</v>
          </cell>
          <cell r="AS69">
            <v>525</v>
          </cell>
          <cell r="AT69">
            <v>159</v>
          </cell>
        </row>
        <row r="70">
          <cell r="A70" t="str">
            <v>Inventory turnover (x)</v>
          </cell>
          <cell r="E70">
            <v>25.216666666666665</v>
          </cell>
          <cell r="F70">
            <v>18.68586387434555</v>
          </cell>
          <cell r="G70">
            <v>14.109170305676855</v>
          </cell>
          <cell r="H70">
            <v>14.867924528301886</v>
          </cell>
          <cell r="I70">
            <v>7.204081632653061</v>
          </cell>
          <cell r="J70" t="str">
            <v>NM</v>
          </cell>
          <cell r="K70">
            <v>1.729090909090909</v>
          </cell>
          <cell r="L70">
            <v>4.9055876685934487</v>
          </cell>
          <cell r="M70">
            <v>7.8877551020408161</v>
          </cell>
          <cell r="N70">
            <v>8.2531645569620249</v>
          </cell>
          <cell r="O70">
            <v>7.7151162790697674</v>
          </cell>
          <cell r="P70">
            <v>9.6512968299711819</v>
          </cell>
          <cell r="Q70">
            <v>3.1914762198888202</v>
          </cell>
          <cell r="R70">
            <v>9.4351237175618596</v>
          </cell>
          <cell r="S70">
            <v>7.8680832226648958</v>
          </cell>
          <cell r="T70">
            <v>2.8435689455388182</v>
          </cell>
          <cell r="U70">
            <v>14.142727821363911</v>
          </cell>
          <cell r="V70">
            <v>8.4217271895025938</v>
          </cell>
          <cell r="W70">
            <v>7.4921227197346596</v>
          </cell>
          <cell r="X70">
            <v>8.1283869794508092</v>
          </cell>
          <cell r="Y70">
            <v>7.6506403940886702</v>
          </cell>
          <cell r="Z70">
            <v>8.1111111111111107</v>
          </cell>
          <cell r="AA70">
            <v>8.1111111111111107</v>
          </cell>
          <cell r="AB70">
            <v>8.1111111111111107</v>
          </cell>
          <cell r="AC70">
            <v>8.1333333333333346</v>
          </cell>
          <cell r="AD70">
            <v>8.1111111111111107</v>
          </cell>
          <cell r="AE70">
            <v>8.1111111111111107</v>
          </cell>
          <cell r="AF70">
            <v>8.1111111111111125</v>
          </cell>
          <cell r="AG70">
            <v>8.1333333333333329</v>
          </cell>
          <cell r="AI70">
            <v>8.1209695352457185</v>
          </cell>
          <cell r="AJ70">
            <v>8.6752058554437337</v>
          </cell>
          <cell r="AK70">
            <v>8.2275611967361737</v>
          </cell>
          <cell r="AL70">
            <v>7.8723051409618572</v>
          </cell>
          <cell r="AM70">
            <v>7.6444289207125395</v>
          </cell>
          <cell r="AN70">
            <v>8.946745562130177</v>
          </cell>
          <cell r="AO70">
            <v>8.1224920802534317</v>
          </cell>
          <cell r="AP70">
            <v>7.9709038006910351</v>
          </cell>
          <cell r="AQ70">
            <v>8.1950844854070652</v>
          </cell>
          <cell r="AR70">
            <v>6.6407362389303701</v>
          </cell>
          <cell r="AS70">
            <v>7.4444019870080247</v>
          </cell>
          <cell r="AT70">
            <v>7.7493596059113301</v>
          </cell>
        </row>
        <row r="71">
          <cell r="A71" t="str">
            <v>Inventory as % Sales</v>
          </cell>
          <cell r="E71">
            <v>3.7429819089207735E-2</v>
          </cell>
          <cell r="F71">
            <v>4.9610389610389612E-2</v>
          </cell>
          <cell r="G71">
            <v>5.9372569354420535E-2</v>
          </cell>
          <cell r="H71">
            <v>5.3687196110210694E-2</v>
          </cell>
          <cell r="I71">
            <v>0.11119515885022693</v>
          </cell>
          <cell r="J71">
            <v>0</v>
          </cell>
          <cell r="K71">
            <v>0.38009675190048375</v>
          </cell>
          <cell r="L71">
            <v>0.14053614947197401</v>
          </cell>
          <cell r="M71">
            <v>9.7125867195242813E-2</v>
          </cell>
          <cell r="N71">
            <v>9.8966489195114318E-2</v>
          </cell>
          <cell r="O71">
            <v>0.10545677498467199</v>
          </cell>
          <cell r="P71">
            <v>9.1291765324914495E-2</v>
          </cell>
          <cell r="Q71">
            <v>0.27228388832828793</v>
          </cell>
          <cell r="R71">
            <v>8.90572933462324E-2</v>
          </cell>
          <cell r="S71">
            <v>0.10817929317115219</v>
          </cell>
          <cell r="T71">
            <v>0.30245327102803737</v>
          </cell>
          <cell r="U71">
            <v>6.5357156943951403E-2</v>
          </cell>
          <cell r="V71">
            <v>0.10629946801608926</v>
          </cell>
          <cell r="W71">
            <v>0.11722679886272508</v>
          </cell>
          <cell r="X71">
            <v>0.10774958361908495</v>
          </cell>
          <cell r="Y71">
            <v>0.11154581620766205</v>
          </cell>
          <cell r="Z71">
            <v>0.1033403740557359</v>
          </cell>
          <cell r="AA71">
            <v>0.10237281053997881</v>
          </cell>
          <cell r="AB71">
            <v>0.10400837475427432</v>
          </cell>
          <cell r="AC71">
            <v>0.10346846249621222</v>
          </cell>
          <cell r="AD71">
            <v>0.10394879395344227</v>
          </cell>
          <cell r="AE71">
            <v>0.10450865362457663</v>
          </cell>
          <cell r="AF71">
            <v>0.1086915314212725</v>
          </cell>
          <cell r="AG71">
            <v>0.10908590371324293</v>
          </cell>
          <cell r="AI71">
            <v>0.11524859046642748</v>
          </cell>
          <cell r="AJ71">
            <v>0.10425410148798168</v>
          </cell>
          <cell r="AK71">
            <v>0.10706658901184236</v>
          </cell>
          <cell r="AL71">
            <v>0.11366635249764373</v>
          </cell>
          <cell r="AM71">
            <v>0.11683806725432583</v>
          </cell>
          <cell r="AN71">
            <v>9.9291411479846173E-2</v>
          </cell>
          <cell r="AO71">
            <v>0.10682860795668196</v>
          </cell>
          <cell r="AP71">
            <v>0.12012845159035303</v>
          </cell>
          <cell r="AQ71">
            <v>0.10960518562168532</v>
          </cell>
          <cell r="AR71">
            <v>0.128000533428165</v>
          </cell>
          <cell r="AS71">
            <v>0.11607380466601615</v>
          </cell>
          <cell r="AT71">
            <v>0.11433270253221592</v>
          </cell>
        </row>
        <row r="72">
          <cell r="A72" t="str">
            <v xml:space="preserve">Inventory Days </v>
          </cell>
          <cell r="E72">
            <v>14.474553866490417</v>
          </cell>
          <cell r="F72">
            <v>19.533482768282433</v>
          </cell>
          <cell r="G72">
            <v>25.86969978334881</v>
          </cell>
          <cell r="H72">
            <v>24.549492385786806</v>
          </cell>
          <cell r="I72">
            <v>50.665722379603402</v>
          </cell>
          <cell r="J72" t="str">
            <v>NM</v>
          </cell>
          <cell r="K72">
            <v>211.09358569926397</v>
          </cell>
          <cell r="L72">
            <v>74.404948939512963</v>
          </cell>
          <cell r="M72">
            <v>46.274256144890039</v>
          </cell>
          <cell r="N72">
            <v>44.225460122699388</v>
          </cell>
          <cell r="O72">
            <v>47.309721175584023</v>
          </cell>
          <cell r="P72">
            <v>37.818751866228723</v>
          </cell>
          <cell r="Q72">
            <v>114.36713760402554</v>
          </cell>
          <cell r="R72">
            <v>38.685237303313286</v>
          </cell>
          <cell r="S72">
            <v>46.389951614718129</v>
          </cell>
          <cell r="T72">
            <v>128.35982070089648</v>
          </cell>
          <cell r="U72">
            <v>25.80831679788346</v>
          </cell>
          <cell r="V72">
            <v>43.340278281034855</v>
          </cell>
          <cell r="W72">
            <v>48.717835205578005</v>
          </cell>
          <cell r="X72">
            <v>44.904358136829387</v>
          </cell>
          <cell r="Y72">
            <v>47.70842454992659</v>
          </cell>
          <cell r="Z72">
            <v>45</v>
          </cell>
          <cell r="AA72">
            <v>45</v>
          </cell>
          <cell r="AB72">
            <v>45</v>
          </cell>
          <cell r="AC72">
            <v>45</v>
          </cell>
          <cell r="AD72">
            <v>45</v>
          </cell>
          <cell r="AE72">
            <v>45</v>
          </cell>
          <cell r="AF72">
            <v>45</v>
          </cell>
          <cell r="AG72">
            <v>45</v>
          </cell>
          <cell r="AI72">
            <v>44.945372398685656</v>
          </cell>
          <cell r="AJ72">
            <v>42.073929550727691</v>
          </cell>
          <cell r="AK72">
            <v>44.363085399449034</v>
          </cell>
          <cell r="AL72">
            <v>46.365072677480512</v>
          </cell>
          <cell r="AM72">
            <v>47.747189984464953</v>
          </cell>
          <cell r="AN72">
            <v>40.796957671957671</v>
          </cell>
          <cell r="AO72">
            <v>44.936947477899118</v>
          </cell>
          <cell r="AP72">
            <v>45.791544989961665</v>
          </cell>
          <cell r="AQ72">
            <v>44.538894095595133</v>
          </cell>
          <cell r="AR72">
            <v>54.963785168915386</v>
          </cell>
          <cell r="AS72">
            <v>49.030130376758038</v>
          </cell>
          <cell r="AT72">
            <v>47.10066619202604</v>
          </cell>
        </row>
        <row r="74">
          <cell r="A74" t="str">
            <v>Accounts receivable - net</v>
          </cell>
          <cell r="E74">
            <v>253</v>
          </cell>
          <cell r="F74">
            <v>204</v>
          </cell>
          <cell r="G74">
            <v>360</v>
          </cell>
          <cell r="H74">
            <v>362</v>
          </cell>
          <cell r="I74">
            <v>456</v>
          </cell>
          <cell r="J74">
            <v>5</v>
          </cell>
          <cell r="K74">
            <v>479</v>
          </cell>
          <cell r="L74">
            <v>566</v>
          </cell>
          <cell r="M74">
            <v>508</v>
          </cell>
          <cell r="N74">
            <v>352</v>
          </cell>
          <cell r="O74">
            <v>396</v>
          </cell>
          <cell r="P74">
            <v>449</v>
          </cell>
          <cell r="Q74">
            <v>1569</v>
          </cell>
          <cell r="R74">
            <v>1677</v>
          </cell>
          <cell r="S74">
            <v>2168</v>
          </cell>
          <cell r="T74">
            <v>4165</v>
          </cell>
          <cell r="U74">
            <v>2585</v>
          </cell>
          <cell r="V74">
            <v>3287</v>
          </cell>
          <cell r="W74">
            <v>3747</v>
          </cell>
          <cell r="X74">
            <v>3778</v>
          </cell>
          <cell r="Y74">
            <v>3904</v>
          </cell>
          <cell r="Z74">
            <v>3138.66301369863</v>
          </cell>
          <cell r="AA74">
            <v>3233.7265710141128</v>
          </cell>
          <cell r="AB74">
            <v>3607.7070791355441</v>
          </cell>
          <cell r="AC74">
            <v>3605.6719400155907</v>
          </cell>
          <cell r="AD74">
            <v>3560.0186113493373</v>
          </cell>
          <cell r="AE74">
            <v>3517.8791825447615</v>
          </cell>
          <cell r="AF74">
            <v>3489.5370777133062</v>
          </cell>
          <cell r="AG74">
            <v>3458.1417484190038</v>
          </cell>
          <cell r="AI74">
            <v>4497</v>
          </cell>
          <cell r="AJ74">
            <v>4372</v>
          </cell>
          <cell r="AK74">
            <v>4412</v>
          </cell>
          <cell r="AL74">
            <v>4824</v>
          </cell>
          <cell r="AM74">
            <v>5726</v>
          </cell>
          <cell r="AN74">
            <v>5577</v>
          </cell>
          <cell r="AO74">
            <v>4038</v>
          </cell>
          <cell r="AP74">
            <v>5499</v>
          </cell>
          <cell r="AQ74">
            <v>5208</v>
          </cell>
          <cell r="AR74">
            <v>3888</v>
          </cell>
          <cell r="AS74">
            <v>5234</v>
          </cell>
          <cell r="AT74">
            <v>5075</v>
          </cell>
        </row>
        <row r="75">
          <cell r="A75" t="str">
            <v>Change in Trade Receivables</v>
          </cell>
          <cell r="F75">
            <v>49</v>
          </cell>
          <cell r="G75">
            <v>-156</v>
          </cell>
          <cell r="H75">
            <v>-2</v>
          </cell>
          <cell r="I75">
            <v>-94</v>
          </cell>
          <cell r="J75">
            <v>451</v>
          </cell>
          <cell r="K75">
            <v>-474</v>
          </cell>
          <cell r="L75">
            <v>-87</v>
          </cell>
          <cell r="M75">
            <v>58</v>
          </cell>
          <cell r="N75">
            <v>156</v>
          </cell>
          <cell r="O75">
            <v>-44</v>
          </cell>
          <cell r="P75">
            <v>-53</v>
          </cell>
          <cell r="Q75">
            <v>-1120</v>
          </cell>
          <cell r="R75">
            <v>-108</v>
          </cell>
          <cell r="S75">
            <v>-491</v>
          </cell>
          <cell r="T75">
            <v>-1997</v>
          </cell>
          <cell r="U75">
            <v>1580</v>
          </cell>
          <cell r="V75">
            <v>-702</v>
          </cell>
          <cell r="W75">
            <v>-460</v>
          </cell>
          <cell r="X75">
            <v>-31</v>
          </cell>
          <cell r="Y75">
            <v>-126</v>
          </cell>
          <cell r="Z75">
            <v>765.33698630136996</v>
          </cell>
          <cell r="AA75">
            <v>-95.06355731548274</v>
          </cell>
          <cell r="AB75">
            <v>-373.98050812143128</v>
          </cell>
          <cell r="AC75">
            <v>2.0351391199533282</v>
          </cell>
          <cell r="AD75">
            <v>45.653328666253401</v>
          </cell>
          <cell r="AE75">
            <v>42.1394288045758</v>
          </cell>
          <cell r="AF75">
            <v>28.342104831455345</v>
          </cell>
          <cell r="AG75">
            <v>31.395329294302428</v>
          </cell>
          <cell r="AJ75">
            <v>125</v>
          </cell>
          <cell r="AK75">
            <v>-40</v>
          </cell>
          <cell r="AL75">
            <v>-412</v>
          </cell>
          <cell r="AM75">
            <v>-902</v>
          </cell>
          <cell r="AN75">
            <v>149</v>
          </cell>
          <cell r="AO75">
            <v>1539</v>
          </cell>
          <cell r="AP75">
            <v>-1461</v>
          </cell>
          <cell r="AQ75">
            <v>291</v>
          </cell>
          <cell r="AR75">
            <v>1320</v>
          </cell>
          <cell r="AS75">
            <v>-1346</v>
          </cell>
          <cell r="AT75">
            <v>159</v>
          </cell>
        </row>
        <row r="76">
          <cell r="A76" t="str">
            <v>Trade Receivable days</v>
          </cell>
          <cell r="E76">
            <v>19.202536909960489</v>
          </cell>
          <cell r="F76">
            <v>19.340259740259739</v>
          </cell>
          <cell r="G76">
            <v>34.067928441794137</v>
          </cell>
          <cell r="H76">
            <v>26.768638573743921</v>
          </cell>
          <cell r="I76">
            <v>62.950075642965203</v>
          </cell>
          <cell r="J76">
            <v>0.63412091730368314</v>
          </cell>
          <cell r="K76">
            <v>120.82584657912923</v>
          </cell>
          <cell r="L76">
            <v>55.940969401570541</v>
          </cell>
          <cell r="M76">
            <v>45.941526263627352</v>
          </cell>
          <cell r="N76">
            <v>40.238020670216095</v>
          </cell>
          <cell r="O76">
            <v>44.310239117106072</v>
          </cell>
          <cell r="P76">
            <v>43.116285188108392</v>
          </cell>
          <cell r="Q76">
            <v>96.31432896064581</v>
          </cell>
          <cell r="R76">
            <v>32.8982586262496</v>
          </cell>
          <cell r="S76">
            <v>37.894837659228045</v>
          </cell>
          <cell r="T76">
            <v>88.798189252336442</v>
          </cell>
          <cell r="U76">
            <v>18.607758450676446</v>
          </cell>
          <cell r="V76">
            <v>38.917704684053462</v>
          </cell>
          <cell r="W76">
            <v>33.235036815630238</v>
          </cell>
          <cell r="X76">
            <v>27.020084255902812</v>
          </cell>
          <cell r="Y76">
            <v>31.319867243994111</v>
          </cell>
          <cell r="Z76">
            <v>26</v>
          </cell>
          <cell r="AA76">
            <v>26</v>
          </cell>
          <cell r="AB76">
            <v>26</v>
          </cell>
          <cell r="AC76">
            <v>26</v>
          </cell>
          <cell r="AD76">
            <v>26</v>
          </cell>
          <cell r="AE76">
            <v>26</v>
          </cell>
          <cell r="AF76">
            <v>26</v>
          </cell>
          <cell r="AG76">
            <v>26</v>
          </cell>
          <cell r="AI76">
            <v>42.065735520246029</v>
          </cell>
          <cell r="AJ76">
            <v>38.052747043113314</v>
          </cell>
          <cell r="AK76">
            <v>39.079304989322466</v>
          </cell>
          <cell r="AL76">
            <v>41.488218661639962</v>
          </cell>
          <cell r="AM76">
            <v>42.645894547828924</v>
          </cell>
          <cell r="AN76">
            <v>36.241365190143853</v>
          </cell>
          <cell r="AO76">
            <v>27.710573813642178</v>
          </cell>
          <cell r="AP76">
            <v>43.846884830478857</v>
          </cell>
          <cell r="AQ76">
            <v>40.005892751915141</v>
          </cell>
          <cell r="AR76">
            <v>31.541607396870553</v>
          </cell>
          <cell r="AS76">
            <v>42.366938703095897</v>
          </cell>
          <cell r="AT76">
            <v>41.73143642425881</v>
          </cell>
        </row>
        <row r="78">
          <cell r="A78" t="str">
            <v>Prepaid and other current assets</v>
          </cell>
          <cell r="E78">
            <v>14</v>
          </cell>
          <cell r="F78">
            <v>9</v>
          </cell>
          <cell r="G78">
            <v>14</v>
          </cell>
          <cell r="H78">
            <v>41</v>
          </cell>
          <cell r="I78">
            <v>13</v>
          </cell>
          <cell r="J78">
            <v>12</v>
          </cell>
          <cell r="K78">
            <v>64</v>
          </cell>
          <cell r="L78">
            <v>114</v>
          </cell>
          <cell r="M78">
            <v>49</v>
          </cell>
          <cell r="N78">
            <v>116</v>
          </cell>
          <cell r="O78">
            <v>66</v>
          </cell>
          <cell r="P78">
            <v>82</v>
          </cell>
          <cell r="Q78">
            <v>189</v>
          </cell>
          <cell r="R78">
            <v>176</v>
          </cell>
          <cell r="S78">
            <v>164</v>
          </cell>
          <cell r="T78">
            <v>620</v>
          </cell>
          <cell r="U78">
            <v>649</v>
          </cell>
          <cell r="V78">
            <v>1133</v>
          </cell>
          <cell r="W78">
            <v>986</v>
          </cell>
          <cell r="X78">
            <v>1040</v>
          </cell>
          <cell r="Y78">
            <v>570</v>
          </cell>
          <cell r="Z78">
            <v>1086.4602739726026</v>
          </cell>
          <cell r="AA78">
            <v>1119.3668899664237</v>
          </cell>
          <cell r="AB78">
            <v>1248.8216812392268</v>
          </cell>
          <cell r="AC78">
            <v>1248.1172100053968</v>
          </cell>
          <cell r="AD78">
            <v>1232.3141346978475</v>
          </cell>
          <cell r="AE78">
            <v>1217.7274093424176</v>
          </cell>
          <cell r="AF78">
            <v>1207.9166807469137</v>
          </cell>
          <cell r="AG78">
            <v>1197.0490667604245</v>
          </cell>
          <cell r="AI78">
            <v>949</v>
          </cell>
          <cell r="AJ78">
            <v>1029</v>
          </cell>
          <cell r="AK78">
            <v>899</v>
          </cell>
          <cell r="AL78">
            <v>986</v>
          </cell>
          <cell r="AM78">
            <v>1100</v>
          </cell>
          <cell r="AN78">
            <v>1098</v>
          </cell>
          <cell r="AO78">
            <v>1097</v>
          </cell>
          <cell r="AP78">
            <v>1040</v>
          </cell>
          <cell r="AQ78">
            <v>1002</v>
          </cell>
          <cell r="AR78">
            <v>755</v>
          </cell>
          <cell r="AS78">
            <v>532</v>
          </cell>
          <cell r="AT78">
            <v>570</v>
          </cell>
        </row>
        <row r="79">
          <cell r="A79" t="str">
            <v>Change in prepaid/ other</v>
          </cell>
          <cell r="F79">
            <v>5</v>
          </cell>
          <cell r="G79">
            <v>-5</v>
          </cell>
          <cell r="H79">
            <v>-27</v>
          </cell>
          <cell r="I79">
            <v>28</v>
          </cell>
          <cell r="J79">
            <v>1</v>
          </cell>
          <cell r="K79">
            <v>-52</v>
          </cell>
          <cell r="L79">
            <v>-50</v>
          </cell>
          <cell r="M79">
            <v>65</v>
          </cell>
          <cell r="N79">
            <v>-67</v>
          </cell>
          <cell r="O79">
            <v>50</v>
          </cell>
          <cell r="P79">
            <v>-16</v>
          </cell>
          <cell r="Q79">
            <v>-107</v>
          </cell>
          <cell r="R79">
            <v>13</v>
          </cell>
          <cell r="S79">
            <v>12</v>
          </cell>
          <cell r="T79">
            <v>-456</v>
          </cell>
          <cell r="U79">
            <v>-29</v>
          </cell>
          <cell r="V79">
            <v>-484</v>
          </cell>
          <cell r="W79">
            <v>147</v>
          </cell>
          <cell r="X79">
            <v>-54</v>
          </cell>
          <cell r="Y79">
            <v>470</v>
          </cell>
          <cell r="Z79">
            <v>-516.46027397260264</v>
          </cell>
          <cell r="AA79">
            <v>-32.906615993821106</v>
          </cell>
          <cell r="AB79">
            <v>-129.45479127280305</v>
          </cell>
          <cell r="AC79">
            <v>0.70447123382996324</v>
          </cell>
          <cell r="AD79">
            <v>15.803075307549307</v>
          </cell>
          <cell r="AE79">
            <v>14.586725355429962</v>
          </cell>
          <cell r="AF79">
            <v>9.8107285955038606</v>
          </cell>
          <cell r="AG79">
            <v>10.867613986489232</v>
          </cell>
          <cell r="AJ79">
            <v>-80</v>
          </cell>
          <cell r="AK79">
            <v>130</v>
          </cell>
          <cell r="AL79">
            <v>-87</v>
          </cell>
          <cell r="AM79">
            <v>-114</v>
          </cell>
          <cell r="AN79">
            <v>2</v>
          </cell>
          <cell r="AO79">
            <v>1</v>
          </cell>
          <cell r="AP79">
            <v>57</v>
          </cell>
          <cell r="AQ79">
            <v>38</v>
          </cell>
          <cell r="AR79">
            <v>247</v>
          </cell>
          <cell r="AS79">
            <v>223</v>
          </cell>
          <cell r="AT79">
            <v>-38</v>
          </cell>
        </row>
        <row r="80">
          <cell r="A80" t="str">
            <v>Prepaid/ other days</v>
          </cell>
          <cell r="E80">
            <v>1.1257986340603656</v>
          </cell>
          <cell r="F80">
            <v>0.92042588960493132</v>
          </cell>
          <cell r="G80">
            <v>1.581553698545342</v>
          </cell>
          <cell r="H80">
            <v>3.798223350253807</v>
          </cell>
          <cell r="I80">
            <v>2.2403210576015109</v>
          </cell>
          <cell r="J80">
            <v>2.0221606648199444</v>
          </cell>
          <cell r="K80">
            <v>24.563617245005258</v>
          </cell>
          <cell r="L80">
            <v>16.343283582089551</v>
          </cell>
          <cell r="M80">
            <v>5.7842820181112549</v>
          </cell>
          <cell r="N80">
            <v>16.234662576687118</v>
          </cell>
          <cell r="O80">
            <v>9.0768651092690291</v>
          </cell>
          <cell r="P80">
            <v>8.9369961182442523</v>
          </cell>
          <cell r="Q80">
            <v>13.351074124250049</v>
          </cell>
          <cell r="R80">
            <v>4.1089932199053347</v>
          </cell>
          <cell r="S80">
            <v>3.3678406661415554</v>
          </cell>
          <cell r="T80">
            <v>15.36946481934257</v>
          </cell>
          <cell r="U80">
            <v>5.0541936034479074</v>
          </cell>
          <cell r="V80">
            <v>14.98460033335749</v>
          </cell>
          <cell r="W80">
            <v>9.957666980244591</v>
          </cell>
          <cell r="X80">
            <v>8.4925500022372375</v>
          </cell>
          <cell r="Y80">
            <v>5.3583846292528392</v>
          </cell>
          <cell r="Z80">
            <v>9</v>
          </cell>
          <cell r="AA80">
            <v>9</v>
          </cell>
          <cell r="AB80">
            <v>9</v>
          </cell>
          <cell r="AC80">
            <v>9</v>
          </cell>
          <cell r="AD80">
            <v>9</v>
          </cell>
          <cell r="AE80">
            <v>9</v>
          </cell>
          <cell r="AF80">
            <v>9</v>
          </cell>
          <cell r="AG80">
            <v>9</v>
          </cell>
          <cell r="AI80">
            <v>9.484802847754656</v>
          </cell>
          <cell r="AJ80">
            <v>9.9025785699219586</v>
          </cell>
          <cell r="AK80">
            <v>9.0395316804407724</v>
          </cell>
          <cell r="AL80">
            <v>9.4767748051400886</v>
          </cell>
          <cell r="AM80">
            <v>9.1725303847208259</v>
          </cell>
          <cell r="AN80">
            <v>8.0321067821067818</v>
          </cell>
          <cell r="AO80">
            <v>8.6757886982145944</v>
          </cell>
          <cell r="AP80">
            <v>8.6603394780069358</v>
          </cell>
          <cell r="AQ80">
            <v>8.5691190253045928</v>
          </cell>
          <cell r="AR80">
            <v>7.2057054701391063</v>
          </cell>
          <cell r="AS80">
            <v>4.9835745816651267</v>
          </cell>
          <cell r="AT80">
            <v>5.2901240846216435</v>
          </cell>
        </row>
        <row r="82">
          <cell r="A82" t="str">
            <v>Accounts payable</v>
          </cell>
          <cell r="E82">
            <v>243</v>
          </cell>
          <cell r="F82">
            <v>207</v>
          </cell>
          <cell r="G82">
            <v>288</v>
          </cell>
          <cell r="H82">
            <v>359</v>
          </cell>
          <cell r="I82">
            <v>475</v>
          </cell>
          <cell r="J82">
            <v>184</v>
          </cell>
          <cell r="K82">
            <v>253</v>
          </cell>
          <cell r="L82">
            <v>350</v>
          </cell>
          <cell r="M82">
            <v>399</v>
          </cell>
          <cell r="N82">
            <v>319</v>
          </cell>
          <cell r="O82">
            <v>344</v>
          </cell>
          <cell r="P82">
            <v>431</v>
          </cell>
          <cell r="Q82">
            <v>1197</v>
          </cell>
          <cell r="R82">
            <v>1453</v>
          </cell>
          <cell r="S82">
            <v>2096</v>
          </cell>
          <cell r="T82">
            <v>4324</v>
          </cell>
          <cell r="U82">
            <v>2662</v>
          </cell>
          <cell r="V82">
            <v>2128</v>
          </cell>
          <cell r="W82">
            <v>2761</v>
          </cell>
          <cell r="X82">
            <v>3414</v>
          </cell>
          <cell r="Y82">
            <v>3285</v>
          </cell>
          <cell r="Z82">
            <v>3124.7560975609758</v>
          </cell>
          <cell r="AA82">
            <v>3189.2556022675185</v>
          </cell>
          <cell r="AB82">
            <v>3614.9390899449727</v>
          </cell>
          <cell r="AC82">
            <v>3603.9921147394693</v>
          </cell>
          <cell r="AD82">
            <v>3565.1115946875343</v>
          </cell>
          <cell r="AE82">
            <v>3541.8859951679619</v>
          </cell>
          <cell r="AF82">
            <v>3653.9696049679092</v>
          </cell>
          <cell r="AG82">
            <v>3644.1903274594301</v>
          </cell>
          <cell r="AI82">
            <v>2213</v>
          </cell>
          <cell r="AJ82">
            <v>2526</v>
          </cell>
          <cell r="AK82">
            <v>2562</v>
          </cell>
          <cell r="AL82">
            <v>2761</v>
          </cell>
          <cell r="AM82">
            <v>4099</v>
          </cell>
          <cell r="AN82">
            <v>3999</v>
          </cell>
          <cell r="AO82">
            <v>3307</v>
          </cell>
          <cell r="AP82">
            <v>3414</v>
          </cell>
          <cell r="AQ82">
            <v>3545</v>
          </cell>
          <cell r="AR82">
            <v>3004</v>
          </cell>
          <cell r="AS82">
            <v>3297</v>
          </cell>
          <cell r="AT82">
            <v>3285</v>
          </cell>
        </row>
        <row r="83">
          <cell r="A83" t="str">
            <v>Change in accounts payable</v>
          </cell>
          <cell r="F83">
            <v>-36</v>
          </cell>
          <cell r="G83">
            <v>81</v>
          </cell>
          <cell r="H83">
            <v>71</v>
          </cell>
          <cell r="I83">
            <v>116</v>
          </cell>
          <cell r="J83">
            <v>-291</v>
          </cell>
          <cell r="K83">
            <v>69</v>
          </cell>
          <cell r="L83">
            <v>97</v>
          </cell>
          <cell r="M83">
            <v>49</v>
          </cell>
          <cell r="N83">
            <v>-80</v>
          </cell>
          <cell r="O83">
            <v>25</v>
          </cell>
          <cell r="P83">
            <v>87</v>
          </cell>
          <cell r="Q83">
            <v>766</v>
          </cell>
          <cell r="R83">
            <v>256</v>
          </cell>
          <cell r="S83">
            <v>643</v>
          </cell>
          <cell r="T83">
            <v>2228</v>
          </cell>
          <cell r="U83">
            <v>-1662</v>
          </cell>
          <cell r="V83">
            <v>-534</v>
          </cell>
          <cell r="W83">
            <v>633</v>
          </cell>
          <cell r="X83">
            <v>653</v>
          </cell>
          <cell r="Y83">
            <v>-129</v>
          </cell>
          <cell r="Z83">
            <v>-160.24390243902417</v>
          </cell>
          <cell r="AA83">
            <v>64.499504706542666</v>
          </cell>
          <cell r="AB83">
            <v>425.6834876774542</v>
          </cell>
          <cell r="AC83">
            <v>-10.94697520550335</v>
          </cell>
          <cell r="AD83">
            <v>-38.880520051935036</v>
          </cell>
          <cell r="AE83">
            <v>-23.22559951957237</v>
          </cell>
          <cell r="AF83">
            <v>112.08360979994723</v>
          </cell>
          <cell r="AG83">
            <v>-9.7792775084790264</v>
          </cell>
          <cell r="AJ83">
            <v>313</v>
          </cell>
          <cell r="AK83">
            <v>36</v>
          </cell>
          <cell r="AL83">
            <v>199</v>
          </cell>
          <cell r="AM83">
            <v>1338</v>
          </cell>
          <cell r="AN83">
            <v>-100</v>
          </cell>
          <cell r="AO83">
            <v>-692</v>
          </cell>
          <cell r="AP83">
            <v>107</v>
          </cell>
          <cell r="AQ83">
            <v>131</v>
          </cell>
          <cell r="AR83">
            <v>-541</v>
          </cell>
          <cell r="AS83">
            <v>293</v>
          </cell>
          <cell r="AT83">
            <v>-12</v>
          </cell>
        </row>
        <row r="84">
          <cell r="A84" t="str">
            <v>Accounts payable days</v>
          </cell>
          <cell r="E84">
            <v>19.54064771976206</v>
          </cell>
          <cell r="F84">
            <v>21.16979546091342</v>
          </cell>
          <cell r="G84">
            <v>32.534818941504177</v>
          </cell>
          <cell r="H84">
            <v>33.257614213197975</v>
          </cell>
          <cell r="I84">
            <v>81.857884796978283</v>
          </cell>
          <cell r="J84">
            <v>31.006463527239148</v>
          </cell>
          <cell r="K84">
            <v>97.10304942166141</v>
          </cell>
          <cell r="L84">
            <v>50.176747839748622</v>
          </cell>
          <cell r="M84">
            <v>47.100582147477361</v>
          </cell>
          <cell r="N84">
            <v>44.645322085889568</v>
          </cell>
          <cell r="O84">
            <v>47.309721175584023</v>
          </cell>
          <cell r="P84">
            <v>46.973723499552108</v>
          </cell>
          <cell r="Q84">
            <v>84.556802786916975</v>
          </cell>
          <cell r="R84">
            <v>33.922540616604834</v>
          </cell>
          <cell r="S84">
            <v>43.042646562394509</v>
          </cell>
          <cell r="T84">
            <v>107.18962238522141</v>
          </cell>
          <cell r="U84">
            <v>20.730760203972775</v>
          </cell>
          <cell r="V84">
            <v>28.1440684107544</v>
          </cell>
          <cell r="W84">
            <v>27.883487355431352</v>
          </cell>
          <cell r="X84">
            <v>27.878428565036469</v>
          </cell>
          <cell r="Y84">
            <v>30.881216679115049</v>
          </cell>
          <cell r="Z84">
            <v>30.881216679115049</v>
          </cell>
          <cell r="AA84">
            <v>30.881216679115049</v>
          </cell>
          <cell r="AB84">
            <v>30.881216679115049</v>
          </cell>
          <cell r="AC84">
            <v>30.881216679115049</v>
          </cell>
          <cell r="AD84">
            <v>30.881216679115049</v>
          </cell>
          <cell r="AE84">
            <v>30.881216679115049</v>
          </cell>
          <cell r="AF84">
            <v>30.881216679115049</v>
          </cell>
          <cell r="AG84">
            <v>30.881216679115049</v>
          </cell>
          <cell r="AI84">
            <v>22.117880613362541</v>
          </cell>
          <cell r="AJ84">
            <v>24.308953807213665</v>
          </cell>
          <cell r="AK84">
            <v>25.761157024793388</v>
          </cell>
          <cell r="AL84">
            <v>26.536891721087002</v>
          </cell>
          <cell r="AM84">
            <v>34.180183679064243</v>
          </cell>
          <cell r="AN84">
            <v>29.253547378547378</v>
          </cell>
          <cell r="AO84">
            <v>26.153904489512911</v>
          </cell>
          <cell r="AP84">
            <v>28.429229786457384</v>
          </cell>
          <cell r="AQ84">
            <v>30.316893158388005</v>
          </cell>
          <cell r="AR84">
            <v>28.67011818847401</v>
          </cell>
          <cell r="AS84">
            <v>30.885047736372037</v>
          </cell>
          <cell r="AT84">
            <v>30.487820382424736</v>
          </cell>
        </row>
        <row r="86">
          <cell r="A86" t="str">
            <v>Inventory/COGS*365</v>
          </cell>
          <cell r="E86">
            <v>14.474553866490417</v>
          </cell>
          <cell r="F86">
            <v>19.533482768282433</v>
          </cell>
          <cell r="G86">
            <v>25.86969978334881</v>
          </cell>
          <cell r="H86">
            <v>24.549492385786806</v>
          </cell>
          <cell r="I86">
            <v>50.665722379603402</v>
          </cell>
          <cell r="J86">
            <v>0</v>
          </cell>
          <cell r="K86">
            <v>211.09358569926397</v>
          </cell>
          <cell r="L86">
            <v>74.404948939512963</v>
          </cell>
          <cell r="M86">
            <v>46.274256144890039</v>
          </cell>
          <cell r="N86">
            <v>44.225460122699388</v>
          </cell>
          <cell r="O86">
            <v>47.309721175584023</v>
          </cell>
          <cell r="P86">
            <v>37.818751866228723</v>
          </cell>
          <cell r="Q86">
            <v>114.36713760402554</v>
          </cell>
          <cell r="R86">
            <v>38.685237303313286</v>
          </cell>
          <cell r="S86">
            <v>46.389951614718129</v>
          </cell>
          <cell r="T86">
            <v>128.35982070089648</v>
          </cell>
          <cell r="U86">
            <v>25.80831679788346</v>
          </cell>
          <cell r="V86">
            <v>43.340278281034855</v>
          </cell>
          <cell r="W86">
            <v>48.717835205578005</v>
          </cell>
          <cell r="X86">
            <v>44.904358136829387</v>
          </cell>
          <cell r="Y86">
            <v>47.70842454992659</v>
          </cell>
          <cell r="Z86">
            <v>45</v>
          </cell>
          <cell r="AA86">
            <v>45</v>
          </cell>
          <cell r="AB86">
            <v>45</v>
          </cell>
          <cell r="AC86">
            <v>45</v>
          </cell>
          <cell r="AD86">
            <v>45</v>
          </cell>
          <cell r="AE86">
            <v>45</v>
          </cell>
          <cell r="AF86">
            <v>45</v>
          </cell>
          <cell r="AG86">
            <v>45</v>
          </cell>
          <cell r="AI86">
            <v>44.945372398685656</v>
          </cell>
          <cell r="AJ86">
            <v>42.073929550727691</v>
          </cell>
          <cell r="AK86">
            <v>44.363085399449034</v>
          </cell>
          <cell r="AL86">
            <v>46.365072677480512</v>
          </cell>
          <cell r="AM86">
            <v>47.747189984464953</v>
          </cell>
          <cell r="AN86">
            <v>40.796957671957671</v>
          </cell>
          <cell r="AO86">
            <v>44.936947477899118</v>
          </cell>
          <cell r="AP86">
            <v>45.791544989961665</v>
          </cell>
          <cell r="AQ86">
            <v>44.538894095595133</v>
          </cell>
          <cell r="AR86">
            <v>54.963785168915386</v>
          </cell>
          <cell r="AS86">
            <v>49.030130376758038</v>
          </cell>
          <cell r="AT86">
            <v>47.10066619202604</v>
          </cell>
        </row>
        <row r="87">
          <cell r="A87" t="str">
            <v>Receivables/sales*365</v>
          </cell>
          <cell r="E87">
            <v>19.202536909960489</v>
          </cell>
          <cell r="F87">
            <v>19.340259740259739</v>
          </cell>
          <cell r="G87">
            <v>34.067928441794137</v>
          </cell>
          <cell r="H87">
            <v>26.768638573743921</v>
          </cell>
          <cell r="I87">
            <v>62.950075642965203</v>
          </cell>
          <cell r="J87">
            <v>0.63412091730368314</v>
          </cell>
          <cell r="K87">
            <v>120.82584657912923</v>
          </cell>
          <cell r="L87">
            <v>55.940969401570541</v>
          </cell>
          <cell r="M87">
            <v>45.941526263627352</v>
          </cell>
          <cell r="N87">
            <v>40.238020670216095</v>
          </cell>
          <cell r="O87">
            <v>44.310239117106072</v>
          </cell>
          <cell r="P87">
            <v>43.116285188108392</v>
          </cell>
          <cell r="Q87">
            <v>96.31432896064581</v>
          </cell>
          <cell r="R87">
            <v>32.8982586262496</v>
          </cell>
          <cell r="S87">
            <v>37.894837659228045</v>
          </cell>
          <cell r="T87">
            <v>88.798189252336442</v>
          </cell>
          <cell r="U87">
            <v>18.607758450676446</v>
          </cell>
          <cell r="V87">
            <v>38.917704684053462</v>
          </cell>
          <cell r="W87">
            <v>33.235036815630238</v>
          </cell>
          <cell r="X87">
            <v>27.020084255902812</v>
          </cell>
          <cell r="Y87">
            <v>31.319867243994111</v>
          </cell>
          <cell r="Z87">
            <v>26</v>
          </cell>
          <cell r="AA87">
            <v>26</v>
          </cell>
          <cell r="AB87">
            <v>26</v>
          </cell>
          <cell r="AC87">
            <v>26</v>
          </cell>
          <cell r="AD87">
            <v>26</v>
          </cell>
          <cell r="AE87">
            <v>26</v>
          </cell>
          <cell r="AF87">
            <v>26</v>
          </cell>
          <cell r="AG87">
            <v>26</v>
          </cell>
          <cell r="AI87">
            <v>42.065735520246029</v>
          </cell>
          <cell r="AJ87">
            <v>38.052747043113314</v>
          </cell>
          <cell r="AK87">
            <v>39.079304989322466</v>
          </cell>
          <cell r="AL87">
            <v>41.488218661639962</v>
          </cell>
          <cell r="AM87">
            <v>42.645894547828924</v>
          </cell>
          <cell r="AN87">
            <v>36.241365190143853</v>
          </cell>
          <cell r="AO87">
            <v>27.710573813642178</v>
          </cell>
          <cell r="AP87">
            <v>43.846884830478857</v>
          </cell>
          <cell r="AQ87">
            <v>40.005892751915141</v>
          </cell>
          <cell r="AR87">
            <v>31.541607396870553</v>
          </cell>
          <cell r="AS87">
            <v>42.366938703095897</v>
          </cell>
          <cell r="AT87">
            <v>41.73143642425881</v>
          </cell>
        </row>
        <row r="88">
          <cell r="A88" t="str">
            <v>Payables/COGS*365</v>
          </cell>
          <cell r="E88">
            <v>19.54064771976206</v>
          </cell>
          <cell r="F88">
            <v>21.16979546091342</v>
          </cell>
          <cell r="G88">
            <v>32.534818941504177</v>
          </cell>
          <cell r="H88">
            <v>33.257614213197975</v>
          </cell>
          <cell r="I88">
            <v>81.857884796978283</v>
          </cell>
          <cell r="J88">
            <v>31.006463527239148</v>
          </cell>
          <cell r="K88">
            <v>97.10304942166141</v>
          </cell>
          <cell r="L88">
            <v>50.176747839748622</v>
          </cell>
          <cell r="M88">
            <v>47.100582147477361</v>
          </cell>
          <cell r="N88">
            <v>44.645322085889568</v>
          </cell>
          <cell r="O88">
            <v>47.309721175584023</v>
          </cell>
          <cell r="P88">
            <v>46.973723499552108</v>
          </cell>
          <cell r="Q88">
            <v>84.556802786916975</v>
          </cell>
          <cell r="R88">
            <v>33.922540616604834</v>
          </cell>
          <cell r="S88">
            <v>43.042646562394509</v>
          </cell>
          <cell r="T88">
            <v>107.18962238522141</v>
          </cell>
          <cell r="U88">
            <v>20.730760203972775</v>
          </cell>
          <cell r="V88">
            <v>28.1440684107544</v>
          </cell>
          <cell r="W88">
            <v>27.883487355431352</v>
          </cell>
          <cell r="X88">
            <v>27.878428565036469</v>
          </cell>
          <cell r="Y88">
            <v>30.881216679115049</v>
          </cell>
          <cell r="Z88">
            <v>30.881216679115049</v>
          </cell>
          <cell r="AA88">
            <v>30.881216679115049</v>
          </cell>
          <cell r="AB88">
            <v>30.881216679115049</v>
          </cell>
          <cell r="AC88">
            <v>30.881216679115049</v>
          </cell>
          <cell r="AD88">
            <v>30.881216679115049</v>
          </cell>
          <cell r="AE88">
            <v>30.881216679115049</v>
          </cell>
          <cell r="AF88">
            <v>30.881216679115049</v>
          </cell>
          <cell r="AG88">
            <v>30.881216679115049</v>
          </cell>
          <cell r="AI88">
            <v>22.117880613362541</v>
          </cell>
          <cell r="AJ88">
            <v>24.308953807213665</v>
          </cell>
          <cell r="AK88">
            <v>25.761157024793388</v>
          </cell>
          <cell r="AL88">
            <v>26.536891721087002</v>
          </cell>
          <cell r="AM88">
            <v>34.180183679064243</v>
          </cell>
          <cell r="AN88">
            <v>29.253547378547378</v>
          </cell>
          <cell r="AO88">
            <v>26.153904489512911</v>
          </cell>
          <cell r="AP88">
            <v>28.429229786457384</v>
          </cell>
          <cell r="AQ88">
            <v>30.316893158388005</v>
          </cell>
          <cell r="AR88">
            <v>28.67011818847401</v>
          </cell>
          <cell r="AS88">
            <v>30.885047736372037</v>
          </cell>
          <cell r="AT88">
            <v>30.487820382424736</v>
          </cell>
        </row>
        <row r="89">
          <cell r="A89" t="str">
            <v>Cash Conversion Cycle</v>
          </cell>
          <cell r="E89">
            <v>14.136443056688851</v>
          </cell>
          <cell r="F89">
            <v>17.703947047628752</v>
          </cell>
          <cell r="G89">
            <v>27.402809283638767</v>
          </cell>
          <cell r="H89">
            <v>18.060516746332752</v>
          </cell>
          <cell r="I89">
            <v>31.757913225590329</v>
          </cell>
          <cell r="J89">
            <v>-30.372342609935465</v>
          </cell>
          <cell r="K89">
            <v>234.81638285673176</v>
          </cell>
          <cell r="L89">
            <v>80.169170501334889</v>
          </cell>
          <cell r="M89">
            <v>45.115200261040023</v>
          </cell>
          <cell r="N89">
            <v>39.818158707025908</v>
          </cell>
          <cell r="O89">
            <v>44.310239117106072</v>
          </cell>
          <cell r="P89">
            <v>33.961313554785008</v>
          </cell>
          <cell r="Q89">
            <v>126.12466377775438</v>
          </cell>
          <cell r="R89">
            <v>37.660955312958052</v>
          </cell>
          <cell r="S89">
            <v>41.242142711551665</v>
          </cell>
          <cell r="T89">
            <v>109.96838756801151</v>
          </cell>
          <cell r="U89">
            <v>23.685315044587131</v>
          </cell>
          <cell r="V89">
            <v>54.113914554333917</v>
          </cell>
          <cell r="W89">
            <v>54.06938466577688</v>
          </cell>
          <cell r="X89">
            <v>44.046013827695731</v>
          </cell>
          <cell r="Y89">
            <v>48.147075114805652</v>
          </cell>
          <cell r="Z89">
            <v>40.118783320884951</v>
          </cell>
          <cell r="AA89">
            <v>40.118783320884951</v>
          </cell>
          <cell r="AB89">
            <v>40.118783320884951</v>
          </cell>
          <cell r="AC89">
            <v>40.118783320884951</v>
          </cell>
          <cell r="AD89">
            <v>40.118783320884951</v>
          </cell>
          <cell r="AE89">
            <v>40.118783320884951</v>
          </cell>
          <cell r="AF89">
            <v>40.118783320884951</v>
          </cell>
          <cell r="AG89">
            <v>40.118783320884951</v>
          </cell>
          <cell r="AI89">
            <v>64.893227305569141</v>
          </cell>
          <cell r="AJ89">
            <v>55.817722786627343</v>
          </cell>
          <cell r="AK89">
            <v>57.681233363978109</v>
          </cell>
          <cell r="AL89">
            <v>61.316399618033472</v>
          </cell>
          <cell r="AM89">
            <v>56.212900853229627</v>
          </cell>
          <cell r="AN89">
            <v>47.784775483554142</v>
          </cell>
          <cell r="AO89">
            <v>46.493616802028384</v>
          </cell>
          <cell r="AP89">
            <v>61.209200033983137</v>
          </cell>
          <cell r="AQ89">
            <v>54.227893689122261</v>
          </cell>
          <cell r="AR89">
            <v>57.835274377311933</v>
          </cell>
          <cell r="AS89">
            <v>60.512021343481898</v>
          </cell>
          <cell r="AT89">
            <v>58.34428223386012</v>
          </cell>
        </row>
        <row r="91">
          <cell r="A91" t="str">
            <v>Other accrued liabilities</v>
          </cell>
          <cell r="E91">
            <v>73</v>
          </cell>
          <cell r="F91">
            <v>80</v>
          </cell>
          <cell r="G91">
            <v>115</v>
          </cell>
          <cell r="H91">
            <v>138</v>
          </cell>
          <cell r="I91">
            <v>124</v>
          </cell>
          <cell r="J91">
            <v>24</v>
          </cell>
          <cell r="K91">
            <v>481</v>
          </cell>
          <cell r="L91">
            <v>446</v>
          </cell>
          <cell r="M91">
            <v>325</v>
          </cell>
          <cell r="N91">
            <v>233</v>
          </cell>
          <cell r="O91">
            <v>279</v>
          </cell>
          <cell r="P91">
            <v>268</v>
          </cell>
          <cell r="Q91">
            <v>790</v>
          </cell>
          <cell r="R91">
            <v>797</v>
          </cell>
          <cell r="S91">
            <v>1089</v>
          </cell>
          <cell r="T91">
            <v>2068</v>
          </cell>
          <cell r="U91">
            <v>2038</v>
          </cell>
          <cell r="V91">
            <v>1390</v>
          </cell>
          <cell r="W91">
            <v>1705</v>
          </cell>
          <cell r="X91">
            <v>1242</v>
          </cell>
          <cell r="Y91">
            <v>1157</v>
          </cell>
          <cell r="Z91">
            <v>1100.5609756097563</v>
          </cell>
          <cell r="AA91">
            <v>1123.2781527621062</v>
          </cell>
          <cell r="AB91">
            <v>1273.2068575544395</v>
          </cell>
          <cell r="AC91">
            <v>1269.3512562415726</v>
          </cell>
          <cell r="AD91">
            <v>1255.657264856462</v>
          </cell>
          <cell r="AE91">
            <v>1247.4770460911209</v>
          </cell>
          <cell r="AF91">
            <v>1286.9536782185301</v>
          </cell>
          <cell r="AG91">
            <v>1283.5093482102166</v>
          </cell>
        </row>
        <row r="92">
          <cell r="A92" t="str">
            <v>Change in accrued liabilities</v>
          </cell>
          <cell r="F92">
            <v>7</v>
          </cell>
          <cell r="G92">
            <v>35</v>
          </cell>
          <cell r="H92">
            <v>23</v>
          </cell>
          <cell r="I92">
            <v>-14</v>
          </cell>
          <cell r="J92">
            <v>-100</v>
          </cell>
          <cell r="K92">
            <v>457</v>
          </cell>
          <cell r="L92">
            <v>-35</v>
          </cell>
          <cell r="M92">
            <v>-121</v>
          </cell>
          <cell r="N92">
            <v>-92</v>
          </cell>
          <cell r="O92">
            <v>46</v>
          </cell>
          <cell r="P92">
            <v>-11</v>
          </cell>
          <cell r="Q92">
            <v>522</v>
          </cell>
          <cell r="R92">
            <v>7</v>
          </cell>
          <cell r="S92">
            <v>292</v>
          </cell>
          <cell r="T92">
            <v>979</v>
          </cell>
          <cell r="U92">
            <v>-30</v>
          </cell>
          <cell r="V92">
            <v>-648</v>
          </cell>
          <cell r="W92">
            <v>315</v>
          </cell>
          <cell r="X92">
            <v>-463</v>
          </cell>
          <cell r="Y92">
            <v>-85</v>
          </cell>
          <cell r="Z92">
            <v>-56.439024390243731</v>
          </cell>
          <cell r="AA92">
            <v>22.717177152349905</v>
          </cell>
          <cell r="AB92">
            <v>149.92870479233329</v>
          </cell>
          <cell r="AC92">
            <v>-3.8556013128668383</v>
          </cell>
          <cell r="AD92">
            <v>-13.693991385110621</v>
          </cell>
          <cell r="AE92">
            <v>-8.1802187653411238</v>
          </cell>
          <cell r="AF92">
            <v>39.476632127409175</v>
          </cell>
          <cell r="AG92">
            <v>-3.4443300083135</v>
          </cell>
        </row>
        <row r="93">
          <cell r="A93" t="str">
            <v>Accrued liabilities days</v>
          </cell>
          <cell r="E93">
            <v>5.8702357347433356</v>
          </cell>
          <cell r="F93">
            <v>8.1815634631549461</v>
          </cell>
          <cell r="G93">
            <v>12.991333952336738</v>
          </cell>
          <cell r="H93">
            <v>12.784263959390863</v>
          </cell>
          <cell r="I93">
            <v>21.36921624173749</v>
          </cell>
          <cell r="J93">
            <v>4.0443213296398888</v>
          </cell>
          <cell r="K93">
            <v>184.61093585699263</v>
          </cell>
          <cell r="L93">
            <v>63.93951296150825</v>
          </cell>
          <cell r="M93">
            <v>38.365135834411383</v>
          </cell>
          <cell r="N93">
            <v>32.609279141104295</v>
          </cell>
          <cell r="O93">
            <v>38.37038432554634</v>
          </cell>
          <cell r="P93">
            <v>29.208719020603166</v>
          </cell>
          <cell r="Q93">
            <v>55.806077027288559</v>
          </cell>
          <cell r="R93">
            <v>18.607202251503136</v>
          </cell>
          <cell r="S93">
            <v>22.363283447732641</v>
          </cell>
          <cell r="T93">
            <v>51.26460201032328</v>
          </cell>
          <cell r="U93">
            <v>15.871258187714695</v>
          </cell>
          <cell r="V93">
            <v>18.383578520182624</v>
          </cell>
          <cell r="W93">
            <v>17.218886613911792</v>
          </cell>
          <cell r="X93">
            <v>10.142064521902546</v>
          </cell>
          <cell r="Y93">
            <v>10.876580729904449</v>
          </cell>
          <cell r="Z93">
            <v>10.876580729904449</v>
          </cell>
          <cell r="AA93">
            <v>10.876580729904449</v>
          </cell>
          <cell r="AB93">
            <v>10.876580729904449</v>
          </cell>
          <cell r="AC93">
            <v>10.876580729904449</v>
          </cell>
          <cell r="AD93">
            <v>10.876580729904449</v>
          </cell>
          <cell r="AE93">
            <v>10.876580729904449</v>
          </cell>
          <cell r="AF93">
            <v>10.876580729904449</v>
          </cell>
          <cell r="AG93">
            <v>10.876580729904449</v>
          </cell>
        </row>
        <row r="95">
          <cell r="A95" t="str">
            <v>Deferred revenue as % of total</v>
          </cell>
        </row>
        <row r="97">
          <cell r="A97" t="str">
            <v>Payroll and benefits</v>
          </cell>
          <cell r="E97">
            <v>19</v>
          </cell>
          <cell r="F97">
            <v>20</v>
          </cell>
          <cell r="G97">
            <v>28</v>
          </cell>
          <cell r="H97">
            <v>45</v>
          </cell>
          <cell r="I97">
            <v>37</v>
          </cell>
          <cell r="J97">
            <v>6</v>
          </cell>
          <cell r="K97">
            <v>148</v>
          </cell>
          <cell r="L97">
            <v>115</v>
          </cell>
          <cell r="M97">
            <v>69</v>
          </cell>
          <cell r="N97">
            <v>46</v>
          </cell>
          <cell r="O97">
            <v>63</v>
          </cell>
          <cell r="P97">
            <v>41</v>
          </cell>
          <cell r="Q97">
            <v>242</v>
          </cell>
          <cell r="R97">
            <v>249</v>
          </cell>
          <cell r="S97">
            <v>340</v>
          </cell>
          <cell r="T97">
            <v>719</v>
          </cell>
          <cell r="U97">
            <v>466</v>
          </cell>
          <cell r="V97">
            <v>403</v>
          </cell>
          <cell r="W97">
            <v>386</v>
          </cell>
          <cell r="X97">
            <v>351</v>
          </cell>
          <cell r="Y97">
            <v>437</v>
          </cell>
          <cell r="Z97">
            <v>409</v>
          </cell>
        </row>
        <row r="98">
          <cell r="A98" t="str">
            <v>Interest</v>
          </cell>
          <cell r="E98">
            <v>11</v>
          </cell>
          <cell r="F98">
            <v>11</v>
          </cell>
          <cell r="G98">
            <v>11</v>
          </cell>
          <cell r="H98">
            <v>11</v>
          </cell>
          <cell r="I98">
            <v>18</v>
          </cell>
          <cell r="J98">
            <v>2</v>
          </cell>
          <cell r="K98">
            <v>55</v>
          </cell>
          <cell r="L98">
            <v>101</v>
          </cell>
          <cell r="M98">
            <v>67</v>
          </cell>
          <cell r="N98">
            <v>58</v>
          </cell>
          <cell r="O98">
            <v>70</v>
          </cell>
          <cell r="P98">
            <v>71</v>
          </cell>
          <cell r="Q98">
            <v>140</v>
          </cell>
          <cell r="R98">
            <v>128</v>
          </cell>
          <cell r="S98">
            <v>164</v>
          </cell>
          <cell r="T98">
            <v>123</v>
          </cell>
          <cell r="U98">
            <v>241</v>
          </cell>
          <cell r="V98">
            <v>26</v>
          </cell>
          <cell r="W98">
            <v>202</v>
          </cell>
          <cell r="X98">
            <v>119</v>
          </cell>
          <cell r="Y98">
            <v>51</v>
          </cell>
          <cell r="Z98">
            <v>83</v>
          </cell>
        </row>
        <row r="99">
          <cell r="A99" t="str">
            <v>Taxes other than income taxes</v>
          </cell>
          <cell r="E99">
            <v>26</v>
          </cell>
          <cell r="F99">
            <v>29</v>
          </cell>
          <cell r="G99">
            <v>32</v>
          </cell>
          <cell r="H99">
            <v>37</v>
          </cell>
          <cell r="I99">
            <v>35</v>
          </cell>
          <cell r="J99">
            <v>11</v>
          </cell>
          <cell r="K99">
            <v>49</v>
          </cell>
          <cell r="L99">
            <v>134</v>
          </cell>
          <cell r="M99">
            <v>71</v>
          </cell>
          <cell r="N99">
            <v>46</v>
          </cell>
          <cell r="O99">
            <v>51</v>
          </cell>
          <cell r="P99">
            <v>44</v>
          </cell>
          <cell r="Q99">
            <v>134</v>
          </cell>
          <cell r="R99">
            <v>114</v>
          </cell>
          <cell r="S99">
            <v>150</v>
          </cell>
          <cell r="T99">
            <v>274</v>
          </cell>
          <cell r="U99">
            <v>287</v>
          </cell>
          <cell r="V99">
            <v>209</v>
          </cell>
          <cell r="W99">
            <v>235</v>
          </cell>
          <cell r="X99">
            <v>211</v>
          </cell>
          <cell r="Y99">
            <v>201</v>
          </cell>
          <cell r="Z99">
            <v>207</v>
          </cell>
        </row>
        <row r="100">
          <cell r="A100" t="str">
            <v>Estimated 2007 CITGO tax reimbursement</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97</v>
          </cell>
          <cell r="T100">
            <v>0</v>
          </cell>
          <cell r="U100">
            <v>0</v>
          </cell>
          <cell r="V100">
            <v>0</v>
          </cell>
          <cell r="W100">
            <v>0</v>
          </cell>
          <cell r="X100">
            <v>0</v>
          </cell>
          <cell r="Y100">
            <v>0</v>
          </cell>
          <cell r="Z100">
            <v>0</v>
          </cell>
        </row>
        <row r="101">
          <cell r="A101" t="str">
            <v>Product sales rebates</v>
          </cell>
          <cell r="E101">
            <v>0</v>
          </cell>
          <cell r="F101">
            <v>0</v>
          </cell>
          <cell r="G101">
            <v>0</v>
          </cell>
          <cell r="H101">
            <v>0</v>
          </cell>
          <cell r="I101">
            <v>0</v>
          </cell>
          <cell r="J101">
            <v>0</v>
          </cell>
          <cell r="K101">
            <v>0</v>
          </cell>
          <cell r="L101">
            <v>0</v>
          </cell>
          <cell r="M101">
            <v>0</v>
          </cell>
          <cell r="N101">
            <v>0</v>
          </cell>
          <cell r="O101">
            <v>0</v>
          </cell>
          <cell r="P101">
            <v>0</v>
          </cell>
          <cell r="Q101">
            <v>100</v>
          </cell>
          <cell r="R101">
            <v>88</v>
          </cell>
          <cell r="S101">
            <v>86</v>
          </cell>
          <cell r="T101">
            <v>345</v>
          </cell>
          <cell r="U101">
            <v>297</v>
          </cell>
          <cell r="V101">
            <v>156</v>
          </cell>
          <cell r="W101">
            <v>210</v>
          </cell>
          <cell r="X101">
            <v>220</v>
          </cell>
          <cell r="Y101">
            <v>221</v>
          </cell>
          <cell r="Z101">
            <v>211</v>
          </cell>
        </row>
        <row r="102">
          <cell r="A102" t="str">
            <v>Income taxes</v>
          </cell>
          <cell r="E102">
            <v>5</v>
          </cell>
          <cell r="F102">
            <v>0</v>
          </cell>
          <cell r="G102">
            <v>28</v>
          </cell>
          <cell r="H102">
            <v>18</v>
          </cell>
          <cell r="I102">
            <v>6</v>
          </cell>
          <cell r="J102">
            <v>0</v>
          </cell>
          <cell r="K102">
            <v>0</v>
          </cell>
          <cell r="L102">
            <v>0</v>
          </cell>
          <cell r="M102">
            <v>20</v>
          </cell>
          <cell r="N102">
            <v>21</v>
          </cell>
          <cell r="O102">
            <v>25</v>
          </cell>
          <cell r="P102">
            <v>8</v>
          </cell>
          <cell r="Q102">
            <v>28</v>
          </cell>
          <cell r="R102">
            <v>77</v>
          </cell>
          <cell r="S102">
            <v>71</v>
          </cell>
          <cell r="T102">
            <v>221</v>
          </cell>
          <cell r="U102">
            <v>57</v>
          </cell>
          <cell r="V102">
            <v>84</v>
          </cell>
          <cell r="W102">
            <v>99</v>
          </cell>
          <cell r="X102">
            <v>36</v>
          </cell>
          <cell r="Y102">
            <v>37</v>
          </cell>
          <cell r="Z102">
            <v>5</v>
          </cell>
        </row>
        <row r="103">
          <cell r="A103" t="str">
            <v>Deferred revenues</v>
          </cell>
          <cell r="E103">
            <v>0</v>
          </cell>
          <cell r="F103">
            <v>0</v>
          </cell>
          <cell r="G103">
            <v>0</v>
          </cell>
          <cell r="H103">
            <v>0</v>
          </cell>
          <cell r="I103">
            <v>0</v>
          </cell>
          <cell r="J103">
            <v>0</v>
          </cell>
          <cell r="K103">
            <v>0</v>
          </cell>
          <cell r="L103">
            <v>0</v>
          </cell>
          <cell r="M103">
            <v>0</v>
          </cell>
          <cell r="N103">
            <v>0</v>
          </cell>
          <cell r="O103">
            <v>0</v>
          </cell>
          <cell r="P103">
            <v>31</v>
          </cell>
          <cell r="Q103">
            <v>36</v>
          </cell>
          <cell r="R103">
            <v>42</v>
          </cell>
          <cell r="S103">
            <v>47</v>
          </cell>
          <cell r="T103">
            <v>37</v>
          </cell>
          <cell r="U103">
            <v>27</v>
          </cell>
          <cell r="V103">
            <v>36</v>
          </cell>
          <cell r="W103">
            <v>49</v>
          </cell>
          <cell r="X103">
            <v>41</v>
          </cell>
          <cell r="Y103">
            <v>34</v>
          </cell>
          <cell r="Z103">
            <v>107</v>
          </cell>
        </row>
        <row r="104">
          <cell r="A104" t="str">
            <v>Contractual obligations</v>
          </cell>
          <cell r="E104">
            <v>0</v>
          </cell>
          <cell r="F104">
            <v>0</v>
          </cell>
          <cell r="G104">
            <v>0</v>
          </cell>
          <cell r="H104">
            <v>0</v>
          </cell>
          <cell r="I104">
            <v>0</v>
          </cell>
          <cell r="J104">
            <v>0</v>
          </cell>
          <cell r="K104">
            <v>139</v>
          </cell>
          <cell r="L104">
            <v>70</v>
          </cell>
          <cell r="M104">
            <v>58</v>
          </cell>
          <cell r="N104">
            <v>52</v>
          </cell>
          <cell r="O104">
            <v>55</v>
          </cell>
          <cell r="P104">
            <v>37</v>
          </cell>
          <cell r="Q104">
            <v>0</v>
          </cell>
          <cell r="R104">
            <v>0</v>
          </cell>
          <cell r="S104">
            <v>0</v>
          </cell>
          <cell r="T104">
            <v>0</v>
          </cell>
          <cell r="U104">
            <v>0</v>
          </cell>
          <cell r="V104">
            <v>0</v>
          </cell>
          <cell r="W104">
            <v>0</v>
          </cell>
          <cell r="X104">
            <v>0</v>
          </cell>
          <cell r="Y104">
            <v>0</v>
          </cell>
          <cell r="Z104">
            <v>0</v>
          </cell>
        </row>
        <row r="105">
          <cell r="A105" t="str">
            <v>Debtor-in-possession exit fees/Derivatives</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60</v>
          </cell>
          <cell r="U105">
            <v>231</v>
          </cell>
          <cell r="V105">
            <v>195</v>
          </cell>
          <cell r="W105">
            <v>0</v>
          </cell>
          <cell r="X105">
            <v>0</v>
          </cell>
          <cell r="Y105">
            <v>0</v>
          </cell>
          <cell r="Z105">
            <v>0</v>
          </cell>
        </row>
        <row r="106">
          <cell r="A106" t="str">
            <v>Other</v>
          </cell>
          <cell r="E106">
            <v>12</v>
          </cell>
          <cell r="F106">
            <v>20</v>
          </cell>
          <cell r="G106">
            <v>16</v>
          </cell>
          <cell r="H106">
            <v>27</v>
          </cell>
          <cell r="I106">
            <v>28</v>
          </cell>
          <cell r="J106">
            <v>5</v>
          </cell>
          <cell r="K106">
            <v>90</v>
          </cell>
          <cell r="L106">
            <v>26</v>
          </cell>
          <cell r="M106">
            <v>40</v>
          </cell>
          <cell r="N106">
            <v>10</v>
          </cell>
          <cell r="O106">
            <v>15</v>
          </cell>
          <cell r="P106">
            <v>36</v>
          </cell>
          <cell r="Q106">
            <v>110</v>
          </cell>
          <cell r="R106">
            <v>99</v>
          </cell>
          <cell r="S106">
            <v>134</v>
          </cell>
          <cell r="T106">
            <v>289</v>
          </cell>
          <cell r="U106">
            <v>432</v>
          </cell>
          <cell r="V106">
            <v>281</v>
          </cell>
          <cell r="W106">
            <v>524</v>
          </cell>
          <cell r="X106">
            <v>264</v>
          </cell>
          <cell r="Y106">
            <v>176</v>
          </cell>
          <cell r="Z106">
            <v>277</v>
          </cell>
        </row>
        <row r="108">
          <cell r="A108" t="str">
            <v>Net working Capital</v>
          </cell>
          <cell r="E108">
            <v>131</v>
          </cell>
          <cell r="F108">
            <v>117</v>
          </cell>
          <cell r="G108">
            <v>200</v>
          </cell>
          <cell r="H108">
            <v>171</v>
          </cell>
          <cell r="I108">
            <v>164</v>
          </cell>
          <cell r="J108">
            <v>-191</v>
          </cell>
          <cell r="K108">
            <v>359</v>
          </cell>
          <cell r="L108">
            <v>783</v>
          </cell>
          <cell r="M108">
            <v>361</v>
          </cell>
          <cell r="N108">
            <v>509</v>
          </cell>
          <cell r="O108">
            <v>218</v>
          </cell>
          <cell r="P108">
            <v>222</v>
          </cell>
          <cell r="Q108">
            <v>1666</v>
          </cell>
          <cell r="R108">
            <v>1458</v>
          </cell>
          <cell r="S108">
            <v>1515</v>
          </cell>
          <cell r="T108">
            <v>3139</v>
          </cell>
          <cell r="U108">
            <v>1612</v>
          </cell>
          <cell r="V108">
            <v>4009</v>
          </cell>
          <cell r="W108">
            <v>4847</v>
          </cell>
          <cell r="X108">
            <v>5351</v>
          </cell>
          <cell r="Y108">
            <v>4549</v>
          </cell>
          <cell r="Z108">
            <v>3995.1897761443361</v>
          </cell>
          <cell r="AA108">
            <v>4129.9317183074872</v>
          </cell>
          <cell r="AB108">
            <v>4678.0593017210522</v>
          </cell>
          <cell r="AC108">
            <v>4674.170374235644</v>
          </cell>
          <cell r="AD108">
            <v>4608.6319250444885</v>
          </cell>
          <cell r="AE108">
            <v>4549.4673274862871</v>
          </cell>
          <cell r="AF108">
            <v>4523.0820929164529</v>
          </cell>
          <cell r="AG108">
            <v>4479.7924284670844</v>
          </cell>
          <cell r="AI108">
            <v>5381</v>
          </cell>
          <cell r="AJ108">
            <v>4765</v>
          </cell>
          <cell r="AK108">
            <v>4590</v>
          </cell>
          <cell r="AL108">
            <v>4847</v>
          </cell>
          <cell r="AM108">
            <v>5534</v>
          </cell>
          <cell r="AN108">
            <v>5649</v>
          </cell>
          <cell r="AO108">
            <v>5690</v>
          </cell>
          <cell r="AP108">
            <v>5351</v>
          </cell>
          <cell r="AQ108">
            <v>5515</v>
          </cell>
          <cell r="AR108">
            <v>6206</v>
          </cell>
          <cell r="AS108">
            <v>5071</v>
          </cell>
          <cell r="AT108">
            <v>4549</v>
          </cell>
        </row>
        <row r="109">
          <cell r="A109" t="str">
            <v>Working capital as % revenues</v>
          </cell>
          <cell r="E109">
            <v>2.7240590559367853E-2</v>
          </cell>
          <cell r="F109">
            <v>3.038961038961039E-2</v>
          </cell>
          <cell r="G109">
            <v>5.1853772361939332E-2</v>
          </cell>
          <cell r="H109">
            <v>3.464343598055105E-2</v>
          </cell>
          <cell r="I109">
            <v>6.2027231467473527E-2</v>
          </cell>
          <cell r="J109">
            <v>-6.636553161917999E-2</v>
          </cell>
          <cell r="K109">
            <v>0.24809951624049759</v>
          </cell>
          <cell r="L109">
            <v>0.21202274573517466</v>
          </cell>
          <cell r="M109">
            <v>8.9444995044598616E-2</v>
          </cell>
          <cell r="N109">
            <v>0.15941121202630754</v>
          </cell>
          <cell r="O109">
            <v>6.6830165542611897E-2</v>
          </cell>
          <cell r="P109">
            <v>5.8405682715074979E-2</v>
          </cell>
          <cell r="Q109">
            <v>0.2801883619239825</v>
          </cell>
          <cell r="R109">
            <v>7.8361818768139316E-2</v>
          </cell>
          <cell r="S109">
            <v>7.255052198065319E-2</v>
          </cell>
          <cell r="T109">
            <v>0.18335280373831775</v>
          </cell>
          <cell r="U109">
            <v>3.1791109533388553E-2</v>
          </cell>
          <cell r="V109">
            <v>0.13004411573893862</v>
          </cell>
          <cell r="W109">
            <v>0.11778571602148186</v>
          </cell>
          <cell r="X109">
            <v>0.10484961301067895</v>
          </cell>
          <cell r="Y109">
            <v>9.9984614370178249E-2</v>
          </cell>
          <cell r="Z109">
            <v>9.0672002545148567E-2</v>
          </cell>
          <cell r="AA109">
            <v>9.0974580088963683E-2</v>
          </cell>
          <cell r="AB109">
            <v>9.2366595785904379E-2</v>
          </cell>
          <cell r="AC109">
            <v>9.2089600911276506E-2</v>
          </cell>
          <cell r="AD109">
            <v>9.221471727215709E-2</v>
          </cell>
          <cell r="AE109">
            <v>9.2121311855619711E-2</v>
          </cell>
          <cell r="AF109">
            <v>9.2330914361738833E-2</v>
          </cell>
          <cell r="AG109">
            <v>9.2025325667167507E-2</v>
          </cell>
          <cell r="AI109">
            <v>0.55161455663762171</v>
          </cell>
          <cell r="AJ109">
            <v>0.45450209843571154</v>
          </cell>
          <cell r="AK109">
            <v>0.44554455445544555</v>
          </cell>
          <cell r="AL109">
            <v>0.45683317624882186</v>
          </cell>
          <cell r="AM109">
            <v>0.45168135814560889</v>
          </cell>
          <cell r="AN109">
            <v>0.40229312063808575</v>
          </cell>
          <cell r="AO109">
            <v>0.42791607129427689</v>
          </cell>
          <cell r="AP109">
            <v>0.46758126529185601</v>
          </cell>
          <cell r="AQ109">
            <v>0.46426466874316019</v>
          </cell>
          <cell r="AR109">
            <v>0.5517425320056899</v>
          </cell>
          <cell r="AS109">
            <v>0.44983589106715161</v>
          </cell>
          <cell r="AT109">
            <v>0.40993061187708391</v>
          </cell>
        </row>
        <row r="112">
          <cell r="A112" t="str">
            <v>Asset and depreciation schedule</v>
          </cell>
        </row>
        <row r="114">
          <cell r="A114" t="str">
            <v>Property plant and equipment</v>
          </cell>
        </row>
        <row r="116">
          <cell r="A116" t="str">
            <v>Gross balance at year start</v>
          </cell>
          <cell r="F116">
            <v>2470</v>
          </cell>
          <cell r="G116">
            <v>2545</v>
          </cell>
          <cell r="H116">
            <v>2810</v>
          </cell>
          <cell r="I116">
            <v>3804</v>
          </cell>
          <cell r="J116">
            <v>4313</v>
          </cell>
          <cell r="K116">
            <v>138</v>
          </cell>
          <cell r="L116">
            <v>4587</v>
          </cell>
          <cell r="M116">
            <v>4555</v>
          </cell>
          <cell r="N116">
            <v>2685</v>
          </cell>
          <cell r="O116">
            <v>2652</v>
          </cell>
          <cell r="P116">
            <v>3000</v>
          </cell>
          <cell r="Q116">
            <v>3479</v>
          </cell>
          <cell r="R116">
            <v>9601</v>
          </cell>
          <cell r="S116">
            <v>9420</v>
          </cell>
          <cell r="T116">
            <v>13361</v>
          </cell>
          <cell r="U116">
            <v>18040</v>
          </cell>
          <cell r="V116">
            <v>18699</v>
          </cell>
          <cell r="W116">
            <v>18991</v>
          </cell>
          <cell r="X116">
            <v>7607</v>
          </cell>
          <cell r="Y116">
            <v>8444</v>
          </cell>
          <cell r="Z116">
            <v>9626</v>
          </cell>
          <cell r="AA116">
            <v>11170.359864869333</v>
          </cell>
          <cell r="AB116">
            <v>12659.824191929933</v>
          </cell>
          <cell r="AC116">
            <v>13857.54764907245</v>
          </cell>
          <cell r="AD116">
            <v>14814.537376926051</v>
          </cell>
          <cell r="AE116">
            <v>15759.380491174417</v>
          </cell>
          <cell r="AF116">
            <v>16695.46698568232</v>
          </cell>
          <cell r="AG116">
            <v>17625.980134797148</v>
          </cell>
        </row>
        <row r="117">
          <cell r="A117" t="str">
            <v>CAPEX</v>
          </cell>
          <cell r="E117">
            <v>97</v>
          </cell>
          <cell r="F117">
            <v>69</v>
          </cell>
          <cell r="G117">
            <v>252</v>
          </cell>
          <cell r="H117">
            <v>982</v>
          </cell>
          <cell r="I117">
            <v>609</v>
          </cell>
          <cell r="J117">
            <v>49</v>
          </cell>
          <cell r="K117">
            <v>64</v>
          </cell>
          <cell r="L117">
            <v>131</v>
          </cell>
          <cell r="M117">
            <v>104</v>
          </cell>
          <cell r="N117">
            <v>68</v>
          </cell>
          <cell r="O117">
            <v>22</v>
          </cell>
          <cell r="P117">
            <v>268</v>
          </cell>
          <cell r="Q117">
            <v>70</v>
          </cell>
          <cell r="R117">
            <v>249</v>
          </cell>
          <cell r="S117">
            <v>400</v>
          </cell>
          <cell r="T117">
            <v>411</v>
          </cell>
          <cell r="U117">
            <v>1000</v>
          </cell>
          <cell r="V117">
            <v>779</v>
          </cell>
          <cell r="W117">
            <v>692</v>
          </cell>
          <cell r="X117">
            <v>1050</v>
          </cell>
          <cell r="Y117">
            <v>1060</v>
          </cell>
          <cell r="Z117">
            <v>1544.3598648693337</v>
          </cell>
          <cell r="AA117">
            <v>1489.4643270606</v>
          </cell>
          <cell r="AB117">
            <v>1197.7234571425172</v>
          </cell>
          <cell r="AC117">
            <v>956.9897278536007</v>
          </cell>
          <cell r="AD117">
            <v>944.84311424836517</v>
          </cell>
          <cell r="AE117">
            <v>936.08649450790256</v>
          </cell>
          <cell r="AF117">
            <v>930.513149114827</v>
          </cell>
          <cell r="AG117">
            <v>854.25137837052353</v>
          </cell>
        </row>
        <row r="118">
          <cell r="A118" t="str">
            <v>Acquisitions, disposals, and exchange adjustments</v>
          </cell>
          <cell r="F118">
            <v>6</v>
          </cell>
          <cell r="G118">
            <v>13</v>
          </cell>
          <cell r="H118">
            <v>12</v>
          </cell>
          <cell r="I118">
            <v>-100</v>
          </cell>
          <cell r="J118">
            <v>-4224</v>
          </cell>
          <cell r="K118">
            <v>4385</v>
          </cell>
          <cell r="L118">
            <v>-163</v>
          </cell>
          <cell r="M118">
            <v>-1974</v>
          </cell>
          <cell r="N118">
            <v>-101</v>
          </cell>
          <cell r="O118">
            <v>326</v>
          </cell>
          <cell r="P118">
            <v>211</v>
          </cell>
          <cell r="Q118">
            <v>6052</v>
          </cell>
          <cell r="R118">
            <v>-430</v>
          </cell>
          <cell r="S118">
            <v>3541</v>
          </cell>
          <cell r="T118">
            <v>4268</v>
          </cell>
          <cell r="U118">
            <v>-341</v>
          </cell>
          <cell r="V118">
            <v>-487</v>
          </cell>
          <cell r="W118">
            <v>-12076</v>
          </cell>
          <cell r="X118">
            <v>-213</v>
          </cell>
          <cell r="Y118">
            <v>122</v>
          </cell>
          <cell r="Z118">
            <v>0</v>
          </cell>
          <cell r="AA118">
            <v>0</v>
          </cell>
          <cell r="AB118">
            <v>0</v>
          </cell>
          <cell r="AC118">
            <v>0</v>
          </cell>
          <cell r="AD118">
            <v>0</v>
          </cell>
          <cell r="AE118">
            <v>0</v>
          </cell>
          <cell r="AF118">
            <v>0</v>
          </cell>
          <cell r="AG118">
            <v>0</v>
          </cell>
        </row>
        <row r="119">
          <cell r="A119" t="str">
            <v>Gross balance at year end</v>
          </cell>
          <cell r="E119">
            <v>2470</v>
          </cell>
          <cell r="F119">
            <v>2545</v>
          </cell>
          <cell r="G119">
            <v>2810</v>
          </cell>
          <cell r="H119">
            <v>3804</v>
          </cell>
          <cell r="I119">
            <v>4313</v>
          </cell>
          <cell r="J119">
            <v>138</v>
          </cell>
          <cell r="K119">
            <v>4587</v>
          </cell>
          <cell r="L119">
            <v>4555</v>
          </cell>
          <cell r="M119">
            <v>2685</v>
          </cell>
          <cell r="N119">
            <v>2652</v>
          </cell>
          <cell r="O119">
            <v>3000</v>
          </cell>
          <cell r="P119">
            <v>3479</v>
          </cell>
          <cell r="Q119">
            <v>9601</v>
          </cell>
          <cell r="R119">
            <v>9420</v>
          </cell>
          <cell r="S119">
            <v>13361</v>
          </cell>
          <cell r="T119">
            <v>18040</v>
          </cell>
          <cell r="U119">
            <v>18699</v>
          </cell>
          <cell r="V119">
            <v>18991</v>
          </cell>
          <cell r="W119">
            <v>7607</v>
          </cell>
          <cell r="X119">
            <v>8444</v>
          </cell>
          <cell r="Y119">
            <v>9626</v>
          </cell>
          <cell r="Z119">
            <v>11170.359864869333</v>
          </cell>
          <cell r="AA119">
            <v>12659.824191929933</v>
          </cell>
          <cell r="AB119">
            <v>13857.54764907245</v>
          </cell>
          <cell r="AC119">
            <v>14814.537376926051</v>
          </cell>
          <cell r="AD119">
            <v>15759.380491174417</v>
          </cell>
          <cell r="AE119">
            <v>16695.46698568232</v>
          </cell>
          <cell r="AF119">
            <v>17625.980134797148</v>
          </cell>
          <cell r="AG119">
            <v>18480.231513167673</v>
          </cell>
        </row>
        <row r="121">
          <cell r="A121" t="str">
            <v>Accumulated depreciation at year start</v>
          </cell>
          <cell r="F121">
            <v>1847</v>
          </cell>
          <cell r="G121">
            <v>1890</v>
          </cell>
          <cell r="H121">
            <v>1930</v>
          </cell>
          <cell r="I121">
            <v>1990</v>
          </cell>
          <cell r="J121">
            <v>2043</v>
          </cell>
          <cell r="K121">
            <v>92</v>
          </cell>
          <cell r="L121">
            <v>76</v>
          </cell>
          <cell r="M121">
            <v>264</v>
          </cell>
          <cell r="N121">
            <v>256</v>
          </cell>
          <cell r="O121">
            <v>359</v>
          </cell>
          <cell r="P121">
            <v>631</v>
          </cell>
          <cell r="Q121">
            <v>839</v>
          </cell>
          <cell r="R121">
            <v>2386</v>
          </cell>
          <cell r="S121">
            <v>2890</v>
          </cell>
          <cell r="T121">
            <v>4214</v>
          </cell>
          <cell r="U121">
            <v>894</v>
          </cell>
          <cell r="V121">
            <v>2308</v>
          </cell>
          <cell r="W121">
            <v>3839</v>
          </cell>
          <cell r="X121">
            <v>417</v>
          </cell>
          <cell r="Y121">
            <v>1111</v>
          </cell>
          <cell r="Z121">
            <v>1930</v>
          </cell>
          <cell r="AA121">
            <v>2802</v>
          </cell>
          <cell r="AB121">
            <v>3659.3338930967184</v>
          </cell>
          <cell r="AC121">
            <v>4524.8210717578713</v>
          </cell>
          <cell r="AD121">
            <v>5386.015225682524</v>
          </cell>
          <cell r="AE121">
            <v>6242.5448172462193</v>
          </cell>
          <cell r="AF121">
            <v>7094.2213158572331</v>
          </cell>
          <cell r="AG121">
            <v>7941.0194373294762</v>
          </cell>
        </row>
        <row r="122">
          <cell r="A122" t="str">
            <v>Depreciation charge</v>
          </cell>
          <cell r="E122">
            <v>39</v>
          </cell>
          <cell r="F122">
            <v>58</v>
          </cell>
          <cell r="G122">
            <v>65</v>
          </cell>
          <cell r="H122">
            <v>86</v>
          </cell>
          <cell r="I122">
            <v>110</v>
          </cell>
          <cell r="J122">
            <v>71</v>
          </cell>
          <cell r="K122">
            <v>75</v>
          </cell>
          <cell r="L122">
            <v>199</v>
          </cell>
          <cell r="M122">
            <v>160</v>
          </cell>
          <cell r="N122">
            <v>124</v>
          </cell>
          <cell r="O122">
            <v>137</v>
          </cell>
          <cell r="P122">
            <v>182</v>
          </cell>
          <cell r="Q122">
            <v>202</v>
          </cell>
          <cell r="R122">
            <v>541</v>
          </cell>
          <cell r="S122">
            <v>608</v>
          </cell>
          <cell r="T122">
            <v>396</v>
          </cell>
          <cell r="U122">
            <v>1628</v>
          </cell>
          <cell r="V122">
            <v>1515</v>
          </cell>
          <cell r="W122">
            <v>912</v>
          </cell>
          <cell r="X122">
            <v>728</v>
          </cell>
          <cell r="Y122">
            <v>808</v>
          </cell>
          <cell r="Z122">
            <v>872</v>
          </cell>
          <cell r="AA122">
            <v>857.33389309671838</v>
          </cell>
          <cell r="AB122">
            <v>865.48717866115328</v>
          </cell>
          <cell r="AC122">
            <v>861.19415392465316</v>
          </cell>
          <cell r="AD122">
            <v>856.52959156369525</v>
          </cell>
          <cell r="AE122">
            <v>851.6764986110137</v>
          </cell>
          <cell r="AF122">
            <v>846.79812147224277</v>
          </cell>
          <cell r="AG122">
            <v>838.35892852175675</v>
          </cell>
        </row>
        <row r="123">
          <cell r="A123" t="str">
            <v>Acquisitions, disposals, and exchange adjustments</v>
          </cell>
          <cell r="F123">
            <v>-15</v>
          </cell>
          <cell r="G123">
            <v>-25</v>
          </cell>
          <cell r="H123">
            <v>-26</v>
          </cell>
          <cell r="I123">
            <v>-57</v>
          </cell>
          <cell r="J123">
            <v>-2022</v>
          </cell>
          <cell r="K123">
            <v>-91</v>
          </cell>
          <cell r="L123">
            <v>-11</v>
          </cell>
          <cell r="M123">
            <v>-168</v>
          </cell>
          <cell r="N123">
            <v>-21</v>
          </cell>
          <cell r="O123">
            <v>135</v>
          </cell>
          <cell r="P123">
            <v>26</v>
          </cell>
          <cell r="Q123">
            <v>1345</v>
          </cell>
          <cell r="R123">
            <v>-37</v>
          </cell>
          <cell r="S123">
            <v>716</v>
          </cell>
          <cell r="T123">
            <v>-3716</v>
          </cell>
          <cell r="U123">
            <v>-214</v>
          </cell>
          <cell r="V123">
            <v>16</v>
          </cell>
          <cell r="W123">
            <v>-4334</v>
          </cell>
          <cell r="X123">
            <v>-34</v>
          </cell>
          <cell r="Y123">
            <v>11</v>
          </cell>
          <cell r="Z123">
            <v>0</v>
          </cell>
          <cell r="AA123">
            <v>0</v>
          </cell>
          <cell r="AB123">
            <v>0</v>
          </cell>
          <cell r="AC123">
            <v>0</v>
          </cell>
          <cell r="AD123">
            <v>0</v>
          </cell>
          <cell r="AE123">
            <v>0</v>
          </cell>
          <cell r="AF123">
            <v>0</v>
          </cell>
          <cell r="AG123">
            <v>0</v>
          </cell>
        </row>
        <row r="124">
          <cell r="A124" t="str">
            <v>Accumulated depreciation at year end</v>
          </cell>
          <cell r="E124">
            <v>1847</v>
          </cell>
          <cell r="F124">
            <v>1890</v>
          </cell>
          <cell r="G124">
            <v>1930</v>
          </cell>
          <cell r="H124">
            <v>1990</v>
          </cell>
          <cell r="I124">
            <v>2043</v>
          </cell>
          <cell r="J124">
            <v>92</v>
          </cell>
          <cell r="K124">
            <v>76</v>
          </cell>
          <cell r="L124">
            <v>264</v>
          </cell>
          <cell r="M124">
            <v>256</v>
          </cell>
          <cell r="N124">
            <v>359</v>
          </cell>
          <cell r="O124">
            <v>631</v>
          </cell>
          <cell r="P124">
            <v>839</v>
          </cell>
          <cell r="Q124">
            <v>2386</v>
          </cell>
          <cell r="R124">
            <v>2890</v>
          </cell>
          <cell r="S124">
            <v>4214</v>
          </cell>
          <cell r="T124">
            <v>894</v>
          </cell>
          <cell r="U124">
            <v>2308</v>
          </cell>
          <cell r="V124">
            <v>3839</v>
          </cell>
          <cell r="W124">
            <v>417</v>
          </cell>
          <cell r="X124">
            <v>1111</v>
          </cell>
          <cell r="Y124">
            <v>1930</v>
          </cell>
          <cell r="Z124">
            <v>2802</v>
          </cell>
          <cell r="AA124">
            <v>3659.3338930967184</v>
          </cell>
          <cell r="AB124">
            <v>4524.8210717578713</v>
          </cell>
          <cell r="AC124">
            <v>5386.015225682524</v>
          </cell>
          <cell r="AD124">
            <v>6242.5448172462193</v>
          </cell>
          <cell r="AE124">
            <v>7094.2213158572331</v>
          </cell>
          <cell r="AF124">
            <v>7941.0194373294762</v>
          </cell>
          <cell r="AG124">
            <v>8779.378365851233</v>
          </cell>
        </row>
        <row r="126">
          <cell r="A126" t="str">
            <v>Net property, plant and equipment at year end</v>
          </cell>
          <cell r="E126">
            <v>623</v>
          </cell>
          <cell r="F126">
            <v>655</v>
          </cell>
          <cell r="G126">
            <v>880</v>
          </cell>
          <cell r="H126">
            <v>1814</v>
          </cell>
          <cell r="I126">
            <v>2270</v>
          </cell>
          <cell r="J126">
            <v>46</v>
          </cell>
          <cell r="K126">
            <v>4511</v>
          </cell>
          <cell r="L126">
            <v>4291</v>
          </cell>
          <cell r="M126">
            <v>2429</v>
          </cell>
          <cell r="N126">
            <v>2293</v>
          </cell>
          <cell r="O126">
            <v>2369</v>
          </cell>
          <cell r="P126">
            <v>2640</v>
          </cell>
          <cell r="Q126">
            <v>7215</v>
          </cell>
          <cell r="R126">
            <v>6530</v>
          </cell>
          <cell r="S126">
            <v>9147</v>
          </cell>
          <cell r="T126">
            <v>17146</v>
          </cell>
          <cell r="U126">
            <v>16391</v>
          </cell>
          <cell r="V126">
            <v>15152</v>
          </cell>
          <cell r="W126">
            <v>7190</v>
          </cell>
          <cell r="X126">
            <v>7333</v>
          </cell>
          <cell r="Y126">
            <v>7696</v>
          </cell>
          <cell r="Z126">
            <v>8368.3598648693333</v>
          </cell>
          <cell r="AA126">
            <v>9000.4902988332142</v>
          </cell>
          <cell r="AB126">
            <v>9332.7265773145791</v>
          </cell>
          <cell r="AC126">
            <v>9428.5221512435273</v>
          </cell>
          <cell r="AD126">
            <v>9516.835673928199</v>
          </cell>
          <cell r="AE126">
            <v>9601.2456698250862</v>
          </cell>
          <cell r="AF126">
            <v>9684.9606974676717</v>
          </cell>
          <cell r="AG126">
            <v>9700.8531473164403</v>
          </cell>
        </row>
        <row r="129">
          <cell r="A129" t="str">
            <v>Capex-to-sales (%)</v>
          </cell>
          <cell r="E129">
            <v>2.0170513620295278E-2</v>
          </cell>
          <cell r="F129">
            <v>1.7922077922077922E-2</v>
          </cell>
          <cell r="G129">
            <v>6.5335753176043551E-2</v>
          </cell>
          <cell r="H129">
            <v>0.19894651539708266</v>
          </cell>
          <cell r="I129">
            <v>0.23033282904689864</v>
          </cell>
          <cell r="J129">
            <v>1.7025712300208478E-2</v>
          </cell>
          <cell r="K129">
            <v>4.42294402211472E-2</v>
          </cell>
          <cell r="L129">
            <v>3.5472515569997295E-2</v>
          </cell>
          <cell r="M129">
            <v>2.576808721506442E-2</v>
          </cell>
          <cell r="N129">
            <v>2.1296586282492952E-2</v>
          </cell>
          <cell r="O129">
            <v>6.7443286327406498E-3</v>
          </cell>
          <cell r="P129">
            <v>7.0507761115495921E-2</v>
          </cell>
          <cell r="Q129">
            <v>1.1772620248906828E-2</v>
          </cell>
          <cell r="R129">
            <v>1.3382779748468236E-2</v>
          </cell>
          <cell r="S129">
            <v>1.9155253328225267E-2</v>
          </cell>
          <cell r="T129">
            <v>2.4007009345794392E-2</v>
          </cell>
          <cell r="U129">
            <v>1.972153196860332E-2</v>
          </cell>
          <cell r="V129">
            <v>2.5269235759698975E-2</v>
          </cell>
          <cell r="W129">
            <v>1.6816116254769021E-2</v>
          </cell>
          <cell r="X129">
            <v>2.0574115802880377E-2</v>
          </cell>
          <cell r="Y129">
            <v>2.3298239444358968E-2</v>
          </cell>
          <cell r="Z129">
            <v>3.5049699624831683E-2</v>
          </cell>
          <cell r="AA129">
            <v>3.2810080397009674E-2</v>
          </cell>
          <cell r="AB129">
            <v>2.3648618218345019E-2</v>
          </cell>
          <cell r="AC129">
            <v>1.8854426573751221E-2</v>
          </cell>
          <cell r="AD129">
            <v>1.8905489104799E-2</v>
          </cell>
          <cell r="AE129">
            <v>1.895464010993192E-2</v>
          </cell>
          <cell r="AF129">
            <v>1.8994819929964064E-2</v>
          </cell>
          <cell r="AG129">
            <v>1.7548304425139234E-2</v>
          </cell>
        </row>
        <row r="130">
          <cell r="A130" t="str">
            <v>Capex-to-depreciation (x)</v>
          </cell>
          <cell r="E130">
            <v>2.4871794871794872</v>
          </cell>
          <cell r="F130">
            <v>1.1896551724137931</v>
          </cell>
          <cell r="G130">
            <v>3.8769230769230769</v>
          </cell>
          <cell r="H130">
            <v>11.418604651162791</v>
          </cell>
          <cell r="I130">
            <v>5.5363636363636362</v>
          </cell>
          <cell r="J130">
            <v>0.6901408450704225</v>
          </cell>
          <cell r="K130">
            <v>0.85333333333333339</v>
          </cell>
          <cell r="L130">
            <v>0.65829145728643212</v>
          </cell>
          <cell r="M130">
            <v>0.65</v>
          </cell>
          <cell r="N130">
            <v>0.54838709677419351</v>
          </cell>
          <cell r="O130">
            <v>0.16058394160583941</v>
          </cell>
          <cell r="P130">
            <v>1.4725274725274726</v>
          </cell>
          <cell r="Q130">
            <v>0.34653465346534651</v>
          </cell>
          <cell r="R130">
            <v>0.46025878003696857</v>
          </cell>
          <cell r="S130">
            <v>0.65789473684210531</v>
          </cell>
          <cell r="T130">
            <v>1.0378787878787878</v>
          </cell>
          <cell r="U130">
            <v>0.61425061425061422</v>
          </cell>
          <cell r="V130">
            <v>0.51419141914191424</v>
          </cell>
          <cell r="W130">
            <v>0.75877192982456143</v>
          </cell>
          <cell r="X130">
            <v>1.4423076923076923</v>
          </cell>
          <cell r="Y130">
            <v>1.3118811881188119</v>
          </cell>
          <cell r="Z130">
            <v>1.7710548909051993</v>
          </cell>
          <cell r="AA130">
            <v>1.7373211756280924</v>
          </cell>
          <cell r="AB130">
            <v>1.3838719817840741</v>
          </cell>
          <cell r="AC130">
            <v>1.1112357457286326</v>
          </cell>
          <cell r="AD130">
            <v>1.1031062132055978</v>
          </cell>
          <cell r="AE130">
            <v>1.0991103970046747</v>
          </cell>
          <cell r="AF130">
            <v>1.0988606676370956</v>
          </cell>
          <cell r="AG130">
            <v>1.0189566178734319</v>
          </cell>
        </row>
        <row r="131">
          <cell r="A131" t="str">
            <v>Average useful life</v>
          </cell>
          <cell r="F131">
            <v>42.586206896551722</v>
          </cell>
          <cell r="G131">
            <v>39.153846153846153</v>
          </cell>
          <cell r="H131">
            <v>32.674418604651166</v>
          </cell>
          <cell r="I131">
            <v>34.581818181818178</v>
          </cell>
          <cell r="J131">
            <v>60.74647887323944</v>
          </cell>
          <cell r="K131">
            <v>1.84</v>
          </cell>
          <cell r="L131">
            <v>23.050251256281406</v>
          </cell>
          <cell r="M131">
            <v>28.46875</v>
          </cell>
          <cell r="N131">
            <v>21.653225806451612</v>
          </cell>
          <cell r="O131">
            <v>19.357664233576642</v>
          </cell>
          <cell r="P131">
            <v>16.483516483516482</v>
          </cell>
          <cell r="Q131">
            <v>17.222772277227723</v>
          </cell>
          <cell r="R131">
            <v>17.746765249537894</v>
          </cell>
          <cell r="S131">
            <v>15.493421052631579</v>
          </cell>
          <cell r="T131">
            <v>33.73989898989899</v>
          </cell>
          <cell r="U131">
            <v>11.081081081081081</v>
          </cell>
          <cell r="V131">
            <v>12.342574257425742</v>
          </cell>
          <cell r="W131">
            <v>20.823464912280702</v>
          </cell>
          <cell r="X131">
            <v>10.449175824175825</v>
          </cell>
          <cell r="Y131">
            <v>10.450495049504951</v>
          </cell>
          <cell r="Z131">
            <v>11.038990825688073</v>
          </cell>
          <cell r="AA131">
            <v>13.029182626294668</v>
          </cell>
          <cell r="AB131">
            <v>14.62739657393166</v>
          </cell>
          <cell r="AC131">
            <v>16.091084206645537</v>
          </cell>
          <cell r="AD131">
            <v>17.296001822751244</v>
          </cell>
          <cell r="AE131">
            <v>18.503951344056283</v>
          </cell>
          <cell r="AF131">
            <v>19.71599435843763</v>
          </cell>
          <cell r="AG131">
            <v>21.024384109412782</v>
          </cell>
        </row>
        <row r="133">
          <cell r="A133" t="str">
            <v>Intangible assets</v>
          </cell>
        </row>
        <row r="135">
          <cell r="A135" t="str">
            <v>Gross Break-up:</v>
          </cell>
        </row>
        <row r="136">
          <cell r="A136" t="str">
            <v>Debt issuance costs</v>
          </cell>
          <cell r="N136">
            <v>114</v>
          </cell>
          <cell r="O136">
            <v>135</v>
          </cell>
          <cell r="P136">
            <v>128</v>
          </cell>
          <cell r="Q136">
            <v>107</v>
          </cell>
          <cell r="R136">
            <v>101</v>
          </cell>
          <cell r="S136">
            <v>197</v>
          </cell>
          <cell r="T136">
            <v>450</v>
          </cell>
          <cell r="U136">
            <v>298</v>
          </cell>
          <cell r="V136">
            <v>598</v>
          </cell>
          <cell r="W136">
            <v>0</v>
          </cell>
          <cell r="X136">
            <v>0</v>
          </cell>
          <cell r="Y136">
            <v>0</v>
          </cell>
          <cell r="Z136">
            <v>0</v>
          </cell>
        </row>
        <row r="137">
          <cell r="A137" t="str">
            <v>Patent and license costs</v>
          </cell>
          <cell r="N137">
            <v>132</v>
          </cell>
          <cell r="O137">
            <v>132</v>
          </cell>
          <cell r="P137">
            <v>132</v>
          </cell>
          <cell r="Q137">
            <v>162</v>
          </cell>
          <cell r="R137">
            <v>124</v>
          </cell>
          <cell r="S137">
            <v>135</v>
          </cell>
          <cell r="T137">
            <v>982</v>
          </cell>
          <cell r="U137">
            <v>1008</v>
          </cell>
          <cell r="V137">
            <v>1021</v>
          </cell>
          <cell r="W137">
            <v>2</v>
          </cell>
          <cell r="X137">
            <v>0</v>
          </cell>
          <cell r="Y137">
            <v>0</v>
          </cell>
          <cell r="Z137">
            <v>0</v>
          </cell>
        </row>
        <row r="138">
          <cell r="A138" t="str">
            <v>Software costs</v>
          </cell>
          <cell r="N138">
            <v>57</v>
          </cell>
          <cell r="O138">
            <v>62</v>
          </cell>
          <cell r="P138">
            <v>67</v>
          </cell>
          <cell r="Q138">
            <v>149</v>
          </cell>
          <cell r="R138">
            <v>252</v>
          </cell>
          <cell r="S138">
            <v>285</v>
          </cell>
          <cell r="T138">
            <v>55</v>
          </cell>
          <cell r="U138">
            <v>91</v>
          </cell>
          <cell r="V138">
            <v>71</v>
          </cell>
          <cell r="W138">
            <v>53</v>
          </cell>
          <cell r="X138">
            <v>99</v>
          </cell>
          <cell r="Y138">
            <v>102</v>
          </cell>
          <cell r="Z138">
            <v>103</v>
          </cell>
        </row>
        <row r="139">
          <cell r="A139" t="str">
            <v>Turnaround costs</v>
          </cell>
          <cell r="N139">
            <v>46</v>
          </cell>
          <cell r="O139">
            <v>60</v>
          </cell>
          <cell r="P139">
            <v>80</v>
          </cell>
          <cell r="Q139">
            <v>408</v>
          </cell>
          <cell r="R139">
            <v>441</v>
          </cell>
          <cell r="S139">
            <v>581</v>
          </cell>
          <cell r="T139">
            <v>0</v>
          </cell>
          <cell r="U139">
            <v>0</v>
          </cell>
          <cell r="V139">
            <v>0</v>
          </cell>
          <cell r="W139">
            <v>0</v>
          </cell>
          <cell r="X139">
            <v>0</v>
          </cell>
          <cell r="Y139">
            <v>0</v>
          </cell>
          <cell r="Z139">
            <v>0</v>
          </cell>
        </row>
        <row r="140">
          <cell r="A140" t="str">
            <v>Catalyst costs</v>
          </cell>
          <cell r="N140">
            <v>0</v>
          </cell>
          <cell r="O140">
            <v>0</v>
          </cell>
          <cell r="P140">
            <v>0</v>
          </cell>
          <cell r="Q140">
            <v>26</v>
          </cell>
          <cell r="R140">
            <v>57</v>
          </cell>
          <cell r="S140">
            <v>68</v>
          </cell>
          <cell r="T140">
            <v>39</v>
          </cell>
          <cell r="U140">
            <v>118</v>
          </cell>
          <cell r="V140">
            <v>127</v>
          </cell>
          <cell r="W140">
            <v>0</v>
          </cell>
          <cell r="X140">
            <v>0</v>
          </cell>
          <cell r="Y140">
            <v>0</v>
          </cell>
          <cell r="Z140">
            <v>0</v>
          </cell>
        </row>
        <row r="141">
          <cell r="B141" t="str">
            <v>Emission allowances</v>
          </cell>
          <cell r="N141">
            <v>0</v>
          </cell>
          <cell r="O141">
            <v>0</v>
          </cell>
          <cell r="P141">
            <v>0</v>
          </cell>
          <cell r="Q141">
            <v>0</v>
          </cell>
          <cell r="R141">
            <v>0</v>
          </cell>
          <cell r="S141">
            <v>0</v>
          </cell>
          <cell r="T141">
            <v>723</v>
          </cell>
          <cell r="U141">
            <v>692</v>
          </cell>
          <cell r="V141">
            <v>733</v>
          </cell>
          <cell r="W141">
            <v>731</v>
          </cell>
          <cell r="X141">
            <v>731</v>
          </cell>
          <cell r="Y141">
            <v>728</v>
          </cell>
          <cell r="Z141">
            <v>728</v>
          </cell>
        </row>
        <row r="142">
          <cell r="B142" t="str">
            <v>Various contracts</v>
          </cell>
          <cell r="N142">
            <v>0</v>
          </cell>
          <cell r="O142">
            <v>0</v>
          </cell>
          <cell r="P142">
            <v>0</v>
          </cell>
          <cell r="Q142">
            <v>0</v>
          </cell>
          <cell r="R142">
            <v>0</v>
          </cell>
          <cell r="S142">
            <v>0</v>
          </cell>
          <cell r="T142">
            <v>329</v>
          </cell>
          <cell r="U142">
            <v>350</v>
          </cell>
          <cell r="V142">
            <v>350</v>
          </cell>
          <cell r="W142">
            <v>567</v>
          </cell>
          <cell r="X142">
            <v>563</v>
          </cell>
          <cell r="Y142">
            <v>563</v>
          </cell>
          <cell r="Z142">
            <v>567</v>
          </cell>
        </row>
        <row r="143">
          <cell r="A143" t="str">
            <v>Other</v>
          </cell>
          <cell r="N143">
            <v>241</v>
          </cell>
          <cell r="O143">
            <v>87</v>
          </cell>
          <cell r="P143">
            <v>91</v>
          </cell>
          <cell r="Q143">
            <v>200</v>
          </cell>
          <cell r="R143">
            <v>215</v>
          </cell>
          <cell r="S143">
            <v>250</v>
          </cell>
          <cell r="T143">
            <v>54</v>
          </cell>
          <cell r="U143">
            <v>106</v>
          </cell>
          <cell r="V143">
            <v>111</v>
          </cell>
          <cell r="W143">
            <v>0</v>
          </cell>
          <cell r="X143">
            <v>127</v>
          </cell>
          <cell r="Y143">
            <v>131</v>
          </cell>
          <cell r="Z143">
            <v>136</v>
          </cell>
        </row>
        <row r="144">
          <cell r="A144" t="str">
            <v>Total</v>
          </cell>
          <cell r="N144">
            <v>590</v>
          </cell>
          <cell r="O144">
            <v>476</v>
          </cell>
          <cell r="P144">
            <v>498</v>
          </cell>
          <cell r="Q144">
            <v>1052</v>
          </cell>
          <cell r="R144">
            <v>1190</v>
          </cell>
          <cell r="S144">
            <v>1516</v>
          </cell>
          <cell r="T144">
            <v>2632</v>
          </cell>
          <cell r="U144">
            <v>2663</v>
          </cell>
          <cell r="V144">
            <v>3011</v>
          </cell>
          <cell r="W144">
            <v>1353</v>
          </cell>
          <cell r="X144">
            <v>1520</v>
          </cell>
          <cell r="Y144">
            <v>1524</v>
          </cell>
          <cell r="Z144">
            <v>1534</v>
          </cell>
        </row>
        <row r="146">
          <cell r="A146" t="str">
            <v>Gross balance at year start</v>
          </cell>
          <cell r="O146">
            <v>590</v>
          </cell>
          <cell r="P146">
            <v>476</v>
          </cell>
          <cell r="Q146">
            <v>498</v>
          </cell>
          <cell r="R146">
            <v>1052</v>
          </cell>
          <cell r="S146">
            <v>1190</v>
          </cell>
          <cell r="T146">
            <v>1516</v>
          </cell>
          <cell r="U146">
            <v>2632</v>
          </cell>
          <cell r="V146">
            <v>2663</v>
          </cell>
          <cell r="W146">
            <v>3011</v>
          </cell>
          <cell r="X146">
            <v>1353</v>
          </cell>
          <cell r="Y146">
            <v>1520</v>
          </cell>
          <cell r="Z146">
            <v>1524</v>
          </cell>
          <cell r="AA146">
            <v>1624</v>
          </cell>
          <cell r="AB146">
            <v>1774</v>
          </cell>
          <cell r="AC146">
            <v>1924</v>
          </cell>
          <cell r="AD146">
            <v>2074</v>
          </cell>
          <cell r="AE146">
            <v>2224</v>
          </cell>
          <cell r="AF146">
            <v>2374</v>
          </cell>
          <cell r="AG146">
            <v>2524</v>
          </cell>
        </row>
        <row r="147">
          <cell r="A147" t="str">
            <v>Additions/(reductions)</v>
          </cell>
          <cell r="O147">
            <v>-114</v>
          </cell>
          <cell r="P147">
            <v>22</v>
          </cell>
          <cell r="Q147">
            <v>554</v>
          </cell>
          <cell r="R147">
            <v>138</v>
          </cell>
          <cell r="S147">
            <v>326</v>
          </cell>
          <cell r="T147">
            <v>1116</v>
          </cell>
          <cell r="U147">
            <v>31</v>
          </cell>
          <cell r="V147">
            <v>348</v>
          </cell>
          <cell r="W147">
            <v>-1658</v>
          </cell>
          <cell r="X147">
            <v>167</v>
          </cell>
          <cell r="Y147">
            <v>4</v>
          </cell>
          <cell r="Z147">
            <v>100</v>
          </cell>
          <cell r="AA147">
            <v>150</v>
          </cell>
          <cell r="AB147">
            <v>150</v>
          </cell>
          <cell r="AC147">
            <v>150</v>
          </cell>
          <cell r="AD147">
            <v>150</v>
          </cell>
          <cell r="AE147">
            <v>150</v>
          </cell>
          <cell r="AF147">
            <v>150</v>
          </cell>
          <cell r="AG147">
            <v>150</v>
          </cell>
        </row>
        <row r="148">
          <cell r="A148" t="str">
            <v>Gross balance at year end</v>
          </cell>
          <cell r="N148">
            <v>590</v>
          </cell>
          <cell r="O148">
            <v>476</v>
          </cell>
          <cell r="P148">
            <v>498</v>
          </cell>
          <cell r="Q148">
            <v>1052</v>
          </cell>
          <cell r="R148">
            <v>1190</v>
          </cell>
          <cell r="S148">
            <v>1516</v>
          </cell>
          <cell r="T148">
            <v>2632</v>
          </cell>
          <cell r="U148">
            <v>2663</v>
          </cell>
          <cell r="V148">
            <v>3011</v>
          </cell>
          <cell r="W148">
            <v>1353</v>
          </cell>
          <cell r="X148">
            <v>1520</v>
          </cell>
          <cell r="Y148">
            <v>1524</v>
          </cell>
          <cell r="Z148">
            <v>1624</v>
          </cell>
          <cell r="AA148">
            <v>1774</v>
          </cell>
          <cell r="AB148">
            <v>1924</v>
          </cell>
          <cell r="AC148">
            <v>2074</v>
          </cell>
          <cell r="AD148">
            <v>2224</v>
          </cell>
          <cell r="AE148">
            <v>2374</v>
          </cell>
          <cell r="AF148">
            <v>2524</v>
          </cell>
          <cell r="AG148">
            <v>2674</v>
          </cell>
        </row>
        <row r="150">
          <cell r="A150" t="str">
            <v>Accumulated amortization at year start</v>
          </cell>
          <cell r="O150">
            <v>281</v>
          </cell>
          <cell r="P150">
            <v>229</v>
          </cell>
          <cell r="Q150">
            <v>269</v>
          </cell>
          <cell r="R150">
            <v>399</v>
          </cell>
          <cell r="S150">
            <v>622</v>
          </cell>
          <cell r="T150">
            <v>830</v>
          </cell>
          <cell r="U150">
            <v>148</v>
          </cell>
          <cell r="V150">
            <v>422</v>
          </cell>
          <cell r="W150">
            <v>1150</v>
          </cell>
          <cell r="X150">
            <v>-7</v>
          </cell>
          <cell r="Y150">
            <v>343</v>
          </cell>
          <cell r="Z150">
            <v>486</v>
          </cell>
          <cell r="AA150">
            <v>636</v>
          </cell>
          <cell r="AB150">
            <v>786</v>
          </cell>
          <cell r="AC150">
            <v>936</v>
          </cell>
          <cell r="AD150">
            <v>1086</v>
          </cell>
          <cell r="AE150">
            <v>1236</v>
          </cell>
          <cell r="AF150">
            <v>1386</v>
          </cell>
          <cell r="AG150">
            <v>1536</v>
          </cell>
        </row>
        <row r="151">
          <cell r="A151" t="str">
            <v>Amortization charge</v>
          </cell>
          <cell r="N151">
            <v>130</v>
          </cell>
          <cell r="O151">
            <v>107</v>
          </cell>
          <cell r="P151">
            <v>68</v>
          </cell>
          <cell r="Q151">
            <v>87</v>
          </cell>
          <cell r="R151">
            <v>188</v>
          </cell>
          <cell r="S151">
            <v>197</v>
          </cell>
          <cell r="T151">
            <v>76</v>
          </cell>
          <cell r="U151">
            <v>283</v>
          </cell>
          <cell r="V151">
            <v>259</v>
          </cell>
          <cell r="W151">
            <v>211</v>
          </cell>
          <cell r="X151">
            <v>170</v>
          </cell>
          <cell r="Y151">
            <v>125</v>
          </cell>
          <cell r="Z151">
            <v>150</v>
          </cell>
          <cell r="AA151">
            <v>150</v>
          </cell>
          <cell r="AB151">
            <v>150</v>
          </cell>
          <cell r="AC151">
            <v>150</v>
          </cell>
          <cell r="AD151">
            <v>150</v>
          </cell>
          <cell r="AE151">
            <v>150</v>
          </cell>
          <cell r="AF151">
            <v>150</v>
          </cell>
          <cell r="AG151">
            <v>150</v>
          </cell>
        </row>
        <row r="152">
          <cell r="A152" t="str">
            <v>Other (e.g. write down)</v>
          </cell>
          <cell r="O152">
            <v>-159</v>
          </cell>
          <cell r="P152">
            <v>-28</v>
          </cell>
          <cell r="Q152">
            <v>43</v>
          </cell>
          <cell r="R152">
            <v>35</v>
          </cell>
          <cell r="S152">
            <v>11</v>
          </cell>
          <cell r="T152">
            <v>-758</v>
          </cell>
          <cell r="U152">
            <v>-9</v>
          </cell>
          <cell r="V152">
            <v>469</v>
          </cell>
          <cell r="W152">
            <v>-1368</v>
          </cell>
          <cell r="X152">
            <v>180</v>
          </cell>
          <cell r="Y152">
            <v>18</v>
          </cell>
          <cell r="Z152">
            <v>0</v>
          </cell>
          <cell r="AA152">
            <v>0</v>
          </cell>
          <cell r="AB152">
            <v>0</v>
          </cell>
          <cell r="AC152">
            <v>0</v>
          </cell>
          <cell r="AD152">
            <v>0</v>
          </cell>
          <cell r="AE152">
            <v>0</v>
          </cell>
          <cell r="AF152">
            <v>0</v>
          </cell>
          <cell r="AG152">
            <v>0</v>
          </cell>
        </row>
        <row r="153">
          <cell r="A153" t="str">
            <v>Accumulated amortization at year end</v>
          </cell>
          <cell r="N153">
            <v>281</v>
          </cell>
          <cell r="O153">
            <v>229</v>
          </cell>
          <cell r="P153">
            <v>269</v>
          </cell>
          <cell r="Q153">
            <v>399</v>
          </cell>
          <cell r="R153">
            <v>622</v>
          </cell>
          <cell r="S153">
            <v>830</v>
          </cell>
          <cell r="T153">
            <v>148</v>
          </cell>
          <cell r="U153">
            <v>422</v>
          </cell>
          <cell r="V153">
            <v>1150</v>
          </cell>
          <cell r="W153">
            <v>-7</v>
          </cell>
          <cell r="X153">
            <v>343</v>
          </cell>
          <cell r="Y153">
            <v>486</v>
          </cell>
          <cell r="Z153">
            <v>636</v>
          </cell>
          <cell r="AA153">
            <v>786</v>
          </cell>
          <cell r="AB153">
            <v>936</v>
          </cell>
          <cell r="AC153">
            <v>1086</v>
          </cell>
          <cell r="AD153">
            <v>1236</v>
          </cell>
          <cell r="AE153">
            <v>1386</v>
          </cell>
          <cell r="AF153">
            <v>1536</v>
          </cell>
          <cell r="AG153">
            <v>1686</v>
          </cell>
        </row>
        <row r="155">
          <cell r="A155" t="str">
            <v>Net intangible assets at year end</v>
          </cell>
          <cell r="N155">
            <v>309</v>
          </cell>
          <cell r="O155">
            <v>247</v>
          </cell>
          <cell r="P155">
            <v>229</v>
          </cell>
          <cell r="Q155">
            <v>653</v>
          </cell>
          <cell r="R155">
            <v>568</v>
          </cell>
          <cell r="S155">
            <v>686</v>
          </cell>
          <cell r="T155">
            <v>2484</v>
          </cell>
          <cell r="U155">
            <v>2241</v>
          </cell>
          <cell r="V155">
            <v>1861</v>
          </cell>
          <cell r="W155">
            <v>1360</v>
          </cell>
          <cell r="X155">
            <v>1177</v>
          </cell>
          <cell r="Y155">
            <v>1038</v>
          </cell>
          <cell r="Z155">
            <v>988</v>
          </cell>
          <cell r="AA155">
            <v>988</v>
          </cell>
          <cell r="AB155">
            <v>988</v>
          </cell>
          <cell r="AC155">
            <v>988</v>
          </cell>
          <cell r="AD155">
            <v>988</v>
          </cell>
          <cell r="AE155">
            <v>988</v>
          </cell>
          <cell r="AF155">
            <v>988</v>
          </cell>
          <cell r="AG155">
            <v>988</v>
          </cell>
        </row>
        <row r="157">
          <cell r="A157" t="str">
            <v>Additions-to-sales (%)</v>
          </cell>
          <cell r="O157">
            <v>-3.494788473329246E-2</v>
          </cell>
          <cell r="P157">
            <v>5.7879505393317546E-3</v>
          </cell>
          <cell r="Q157">
            <v>9.317188025563404E-2</v>
          </cell>
          <cell r="R157">
            <v>7.4169622702354079E-3</v>
          </cell>
          <cell r="S157">
            <v>1.5611531462503592E-2</v>
          </cell>
          <cell r="T157">
            <v>6.5186915887850472E-2</v>
          </cell>
          <cell r="U157">
            <v>6.1136749102670294E-4</v>
          </cell>
          <cell r="V157">
            <v>1.1288439081354613E-2</v>
          </cell>
          <cell r="W157">
            <v>-4.0290636922553524E-2</v>
          </cell>
          <cell r="X157">
            <v>3.2722641324581169E-3</v>
          </cell>
          <cell r="Y157">
            <v>8.7917884695694218E-5</v>
          </cell>
          <cell r="Z157">
            <v>2.2695292996232582E-3</v>
          </cell>
          <cell r="AA157">
            <v>3.3042161333691447E-3</v>
          </cell>
          <cell r="AB157">
            <v>2.9616959671264586E-3</v>
          </cell>
          <cell r="AC157">
            <v>2.9552709958610263E-3</v>
          </cell>
          <cell r="AD157">
            <v>3.0013695638516497E-3</v>
          </cell>
          <cell r="AE157">
            <v>3.0373219068655041E-3</v>
          </cell>
          <cell r="AF157">
            <v>3.0619911091046932E-3</v>
          </cell>
          <cell r="AG157">
            <v>3.0813478683427687E-3</v>
          </cell>
        </row>
        <row r="158">
          <cell r="A158" t="str">
            <v>Additions-to-amortization (x)</v>
          </cell>
          <cell r="O158" t="str">
            <v>NM</v>
          </cell>
          <cell r="P158">
            <v>0.3235294117647059</v>
          </cell>
          <cell r="Q158">
            <v>6.3678160919540234</v>
          </cell>
          <cell r="R158">
            <v>0.73404255319148937</v>
          </cell>
          <cell r="S158">
            <v>1.6548223350253808</v>
          </cell>
          <cell r="T158">
            <v>14.684210526315789</v>
          </cell>
          <cell r="U158">
            <v>0.10954063604240283</v>
          </cell>
          <cell r="V158">
            <v>1.3436293436293436</v>
          </cell>
          <cell r="W158" t="str">
            <v>NM</v>
          </cell>
          <cell r="X158">
            <v>0.98235294117647054</v>
          </cell>
          <cell r="Y158">
            <v>3.2000000000000001E-2</v>
          </cell>
          <cell r="Z158">
            <v>0.66666666666666663</v>
          </cell>
          <cell r="AA158">
            <v>1</v>
          </cell>
          <cell r="AB158">
            <v>1</v>
          </cell>
          <cell r="AC158">
            <v>1</v>
          </cell>
          <cell r="AD158">
            <v>1</v>
          </cell>
          <cell r="AE158">
            <v>1</v>
          </cell>
          <cell r="AF158">
            <v>1</v>
          </cell>
          <cell r="AG158">
            <v>1</v>
          </cell>
        </row>
        <row r="159">
          <cell r="A159" t="str">
            <v>Average useful life</v>
          </cell>
          <cell r="O159">
            <v>5.5140186915887854</v>
          </cell>
          <cell r="P159">
            <v>7</v>
          </cell>
          <cell r="Q159">
            <v>5.7241379310344831</v>
          </cell>
          <cell r="R159">
            <v>5.5957446808510642</v>
          </cell>
          <cell r="S159">
            <v>6.0406091370558377</v>
          </cell>
          <cell r="T159">
            <v>19.94736842105263</v>
          </cell>
          <cell r="U159">
            <v>9.3003533568904597</v>
          </cell>
          <cell r="V159">
            <v>10.281853281853282</v>
          </cell>
          <cell r="W159">
            <v>14.270142180094787</v>
          </cell>
          <cell r="X159">
            <v>7.9588235294117649</v>
          </cell>
          <cell r="Y159">
            <v>12.16</v>
          </cell>
          <cell r="Z159">
            <v>10.16</v>
          </cell>
          <cell r="AA159">
            <v>10.826666666666666</v>
          </cell>
          <cell r="AB159">
            <v>11.826666666666666</v>
          </cell>
          <cell r="AC159">
            <v>12.826666666666666</v>
          </cell>
          <cell r="AD159">
            <v>13.826666666666666</v>
          </cell>
          <cell r="AE159">
            <v>14.826666666666666</v>
          </cell>
          <cell r="AF159">
            <v>15.826666666666666</v>
          </cell>
          <cell r="AG159">
            <v>16.826666666666668</v>
          </cell>
        </row>
        <row r="162">
          <cell r="A162" t="str">
            <v>Goodwill</v>
          </cell>
        </row>
        <row r="163">
          <cell r="A163" t="str">
            <v>Balance at start of year</v>
          </cell>
          <cell r="L163">
            <v>1430</v>
          </cell>
          <cell r="M163">
            <v>1545</v>
          </cell>
          <cell r="N163">
            <v>1152</v>
          </cell>
          <cell r="O163">
            <v>1102</v>
          </cell>
          <cell r="P163">
            <v>1130</v>
          </cell>
          <cell r="Q163">
            <v>1080</v>
          </cell>
          <cell r="R163">
            <v>2175</v>
          </cell>
          <cell r="S163">
            <v>2245</v>
          </cell>
          <cell r="T163">
            <v>1648</v>
          </cell>
          <cell r="U163">
            <v>5247</v>
          </cell>
          <cell r="V163">
            <v>0</v>
          </cell>
          <cell r="W163">
            <v>0</v>
          </cell>
          <cell r="X163">
            <v>787</v>
          </cell>
          <cell r="Y163">
            <v>585</v>
          </cell>
          <cell r="Z163">
            <v>591</v>
          </cell>
          <cell r="AA163">
            <v>591</v>
          </cell>
          <cell r="AB163">
            <v>591</v>
          </cell>
          <cell r="AC163">
            <v>591</v>
          </cell>
          <cell r="AD163">
            <v>591</v>
          </cell>
          <cell r="AE163">
            <v>591</v>
          </cell>
          <cell r="AF163">
            <v>591</v>
          </cell>
          <cell r="AG163">
            <v>591</v>
          </cell>
        </row>
        <row r="164">
          <cell r="A164" t="str">
            <v>Impairments</v>
          </cell>
          <cell r="N164">
            <v>0</v>
          </cell>
          <cell r="O164">
            <v>0</v>
          </cell>
          <cell r="P164">
            <v>0</v>
          </cell>
          <cell r="Q164">
            <v>0</v>
          </cell>
          <cell r="R164">
            <v>0</v>
          </cell>
          <cell r="S164">
            <v>-545</v>
          </cell>
          <cell r="T164">
            <v>0</v>
          </cell>
          <cell r="U164">
            <v>-4982</v>
          </cell>
          <cell r="V164">
            <v>0</v>
          </cell>
          <cell r="W164">
            <v>0</v>
          </cell>
          <cell r="X164">
            <v>0</v>
          </cell>
          <cell r="Y164">
            <v>0</v>
          </cell>
          <cell r="Z164">
            <v>0</v>
          </cell>
          <cell r="AA164">
            <v>0</v>
          </cell>
          <cell r="AB164">
            <v>0</v>
          </cell>
          <cell r="AC164">
            <v>0</v>
          </cell>
          <cell r="AD164">
            <v>0</v>
          </cell>
          <cell r="AE164">
            <v>0</v>
          </cell>
          <cell r="AF164">
            <v>0</v>
          </cell>
          <cell r="AG164">
            <v>0</v>
          </cell>
        </row>
        <row r="165">
          <cell r="A165" t="str">
            <v>Settlement of income taxes issues related to acquisitions of Millenium and ARCO Chemical Company</v>
          </cell>
          <cell r="N165">
            <v>0</v>
          </cell>
          <cell r="O165">
            <v>0</v>
          </cell>
          <cell r="P165">
            <v>-50</v>
          </cell>
          <cell r="Q165">
            <v>0</v>
          </cell>
          <cell r="R165">
            <v>79</v>
          </cell>
          <cell r="S165">
            <v>-102</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row>
        <row r="166">
          <cell r="A166" t="str">
            <v>Preliminary purchase price allocation related to November 30, 2004 acquisition of Millenium</v>
          </cell>
          <cell r="N166">
            <v>0</v>
          </cell>
          <cell r="O166">
            <v>0</v>
          </cell>
          <cell r="P166">
            <v>0</v>
          </cell>
          <cell r="Q166">
            <v>0</v>
          </cell>
          <cell r="R166">
            <v>-9</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row>
        <row r="167">
          <cell r="A167" t="str">
            <v>Acquisitions</v>
          </cell>
          <cell r="N167">
            <v>0</v>
          </cell>
          <cell r="O167">
            <v>0</v>
          </cell>
          <cell r="P167">
            <v>0</v>
          </cell>
          <cell r="Q167">
            <v>1095</v>
          </cell>
          <cell r="R167">
            <v>0</v>
          </cell>
          <cell r="S167">
            <v>0</v>
          </cell>
          <cell r="T167">
            <v>0</v>
          </cell>
          <cell r="U167">
            <v>-308</v>
          </cell>
          <cell r="V167">
            <v>0</v>
          </cell>
          <cell r="W167">
            <v>0</v>
          </cell>
          <cell r="X167">
            <v>0</v>
          </cell>
          <cell r="Y167">
            <v>0</v>
          </cell>
          <cell r="Z167">
            <v>0</v>
          </cell>
          <cell r="AA167">
            <v>0</v>
          </cell>
          <cell r="AB167">
            <v>0</v>
          </cell>
          <cell r="AC167">
            <v>0</v>
          </cell>
          <cell r="AD167">
            <v>0</v>
          </cell>
          <cell r="AE167">
            <v>0</v>
          </cell>
          <cell r="AF167">
            <v>0</v>
          </cell>
          <cell r="AG167">
            <v>0</v>
          </cell>
        </row>
        <row r="168">
          <cell r="A168" t="str">
            <v>Others</v>
          </cell>
          <cell r="N168">
            <v>-50</v>
          </cell>
          <cell r="O168">
            <v>28</v>
          </cell>
          <cell r="P168">
            <v>0</v>
          </cell>
          <cell r="Q168">
            <v>0</v>
          </cell>
          <cell r="R168">
            <v>0</v>
          </cell>
          <cell r="S168">
            <v>50</v>
          </cell>
          <cell r="T168">
            <v>3599</v>
          </cell>
          <cell r="U168">
            <v>43</v>
          </cell>
          <cell r="V168">
            <v>0</v>
          </cell>
          <cell r="W168">
            <v>787</v>
          </cell>
          <cell r="X168">
            <v>-202</v>
          </cell>
          <cell r="Y168">
            <v>6</v>
          </cell>
          <cell r="Z168">
            <v>0</v>
          </cell>
          <cell r="AA168">
            <v>0</v>
          </cell>
          <cell r="AB168">
            <v>0</v>
          </cell>
          <cell r="AC168">
            <v>0</v>
          </cell>
          <cell r="AD168">
            <v>0</v>
          </cell>
          <cell r="AE168">
            <v>0</v>
          </cell>
          <cell r="AF168">
            <v>0</v>
          </cell>
          <cell r="AG168">
            <v>0</v>
          </cell>
        </row>
        <row r="169">
          <cell r="A169" t="str">
            <v>Balance at end of year</v>
          </cell>
          <cell r="K169">
            <v>1430</v>
          </cell>
          <cell r="L169">
            <v>1545</v>
          </cell>
          <cell r="M169">
            <v>1152</v>
          </cell>
          <cell r="N169">
            <v>1102</v>
          </cell>
          <cell r="O169">
            <v>1130</v>
          </cell>
          <cell r="P169">
            <v>1080</v>
          </cell>
          <cell r="Q169">
            <v>2175</v>
          </cell>
          <cell r="R169">
            <v>2245</v>
          </cell>
          <cell r="S169">
            <v>1648</v>
          </cell>
          <cell r="T169">
            <v>5247</v>
          </cell>
          <cell r="U169">
            <v>0</v>
          </cell>
          <cell r="V169">
            <v>0</v>
          </cell>
          <cell r="W169">
            <v>787</v>
          </cell>
          <cell r="X169">
            <v>585</v>
          </cell>
          <cell r="Y169">
            <v>591</v>
          </cell>
          <cell r="Z169">
            <v>591</v>
          </cell>
          <cell r="AA169">
            <v>591</v>
          </cell>
          <cell r="AB169">
            <v>591</v>
          </cell>
          <cell r="AC169">
            <v>591</v>
          </cell>
          <cell r="AD169">
            <v>591</v>
          </cell>
          <cell r="AE169">
            <v>591</v>
          </cell>
          <cell r="AF169">
            <v>591</v>
          </cell>
          <cell r="AG169">
            <v>591</v>
          </cell>
        </row>
        <row r="172">
          <cell r="A172" t="str">
            <v>Long term assets/ Liabilities</v>
          </cell>
        </row>
        <row r="174">
          <cell r="A174" t="str">
            <v>Other long term assets</v>
          </cell>
          <cell r="E174">
            <v>24</v>
          </cell>
          <cell r="F174">
            <v>53</v>
          </cell>
          <cell r="G174">
            <v>86</v>
          </cell>
          <cell r="H174">
            <v>114</v>
          </cell>
          <cell r="I174">
            <v>175</v>
          </cell>
          <cell r="J174">
            <v>47</v>
          </cell>
          <cell r="K174">
            <v>880</v>
          </cell>
          <cell r="L174">
            <v>761</v>
          </cell>
          <cell r="M174">
            <v>515</v>
          </cell>
          <cell r="N174">
            <v>173</v>
          </cell>
          <cell r="O174">
            <v>182</v>
          </cell>
          <cell r="P174">
            <v>177</v>
          </cell>
          <cell r="Q174">
            <v>238</v>
          </cell>
          <cell r="R174">
            <v>260</v>
          </cell>
          <cell r="S174">
            <v>323</v>
          </cell>
          <cell r="T174">
            <v>475</v>
          </cell>
          <cell r="U174">
            <v>202</v>
          </cell>
          <cell r="V174">
            <v>363</v>
          </cell>
          <cell r="W174">
            <v>273</v>
          </cell>
          <cell r="X174">
            <v>266</v>
          </cell>
          <cell r="Y174">
            <v>246</v>
          </cell>
          <cell r="Z174">
            <v>233.99999999999997</v>
          </cell>
          <cell r="AA174">
            <v>238.8300998958324</v>
          </cell>
          <cell r="AB174">
            <v>270.70776746619879</v>
          </cell>
          <cell r="AC174">
            <v>270.62741314208029</v>
          </cell>
          <cell r="AD174">
            <v>266.97639339212577</v>
          </cell>
          <cell r="AE174">
            <v>265.23712475230388</v>
          </cell>
          <cell r="AF174">
            <v>273.63060055467452</v>
          </cell>
          <cell r="AG174">
            <v>273.64593759357581</v>
          </cell>
        </row>
        <row r="175">
          <cell r="A175" t="str">
            <v>Company-owned life insurance</v>
          </cell>
          <cell r="N175">
            <v>147</v>
          </cell>
          <cell r="O175">
            <v>147</v>
          </cell>
          <cell r="P175">
            <v>148</v>
          </cell>
          <cell r="Q175">
            <v>145</v>
          </cell>
          <cell r="R175">
            <v>142</v>
          </cell>
          <cell r="S175">
            <v>151</v>
          </cell>
          <cell r="T175">
            <v>59</v>
          </cell>
          <cell r="U175">
            <v>52</v>
          </cell>
          <cell r="V175">
            <v>52</v>
          </cell>
          <cell r="W175">
            <v>52</v>
          </cell>
          <cell r="X175">
            <v>52</v>
          </cell>
          <cell r="Y175">
            <v>52</v>
          </cell>
          <cell r="Z175">
            <v>49.463414634146339</v>
          </cell>
          <cell r="AA175">
            <v>50.484411360094654</v>
          </cell>
          <cell r="AB175">
            <v>57.222780114806255</v>
          </cell>
          <cell r="AC175">
            <v>57.205794647919411</v>
          </cell>
          <cell r="AD175">
            <v>56.434034375571308</v>
          </cell>
          <cell r="AE175">
            <v>56.066384093982954</v>
          </cell>
          <cell r="AF175">
            <v>57.840614751394611</v>
          </cell>
          <cell r="AG175">
            <v>57.843856727097332</v>
          </cell>
        </row>
        <row r="176">
          <cell r="A176" t="str">
            <v>Deferred tax assets</v>
          </cell>
          <cell r="N176">
            <v>0</v>
          </cell>
          <cell r="O176">
            <v>0</v>
          </cell>
          <cell r="P176">
            <v>0</v>
          </cell>
          <cell r="Q176">
            <v>0</v>
          </cell>
          <cell r="R176">
            <v>0</v>
          </cell>
          <cell r="S176">
            <v>79</v>
          </cell>
          <cell r="T176">
            <v>151</v>
          </cell>
          <cell r="U176">
            <v>0</v>
          </cell>
          <cell r="V176">
            <v>115</v>
          </cell>
          <cell r="W176">
            <v>115</v>
          </cell>
          <cell r="X176">
            <v>115</v>
          </cell>
          <cell r="Y176">
            <v>115</v>
          </cell>
          <cell r="Z176">
            <v>109.39024390243902</v>
          </cell>
          <cell r="AA176">
            <v>111.64821743097856</v>
          </cell>
          <cell r="AB176">
            <v>126.5503791000523</v>
          </cell>
          <cell r="AC176">
            <v>126.51281508674485</v>
          </cell>
          <cell r="AD176">
            <v>124.80603756135962</v>
          </cell>
          <cell r="AE176">
            <v>123.99296482323152</v>
          </cell>
          <cell r="AF176">
            <v>127.91674416173807</v>
          </cell>
          <cell r="AG176">
            <v>127.92391391569601</v>
          </cell>
        </row>
        <row r="177">
          <cell r="A177" t="str">
            <v>Precious metals</v>
          </cell>
          <cell r="N177">
            <v>0</v>
          </cell>
          <cell r="O177">
            <v>0</v>
          </cell>
          <cell r="P177">
            <v>0</v>
          </cell>
          <cell r="Q177">
            <v>38</v>
          </cell>
          <cell r="R177">
            <v>41</v>
          </cell>
          <cell r="S177">
            <v>44</v>
          </cell>
          <cell r="T177">
            <v>84</v>
          </cell>
          <cell r="U177">
            <v>84</v>
          </cell>
          <cell r="V177">
            <v>90</v>
          </cell>
          <cell r="W177">
            <v>90</v>
          </cell>
          <cell r="X177">
            <v>90</v>
          </cell>
          <cell r="Y177">
            <v>90</v>
          </cell>
          <cell r="Z177">
            <v>85.609756097560975</v>
          </cell>
          <cell r="AA177">
            <v>87.376865815548442</v>
          </cell>
          <cell r="AB177">
            <v>99.039427121780051</v>
          </cell>
          <cell r="AC177">
            <v>99.010029198322044</v>
          </cell>
          <cell r="AD177">
            <v>97.674290265411869</v>
          </cell>
          <cell r="AE177">
            <v>97.037972470355101</v>
          </cell>
          <cell r="AF177">
            <v>100.10875630049065</v>
          </cell>
          <cell r="AG177">
            <v>100.11436741228383</v>
          </cell>
        </row>
        <row r="178">
          <cell r="A178" t="str">
            <v>Pension assets</v>
          </cell>
          <cell r="N178">
            <v>0</v>
          </cell>
          <cell r="O178">
            <v>0</v>
          </cell>
          <cell r="P178">
            <v>0</v>
          </cell>
          <cell r="Q178">
            <v>30</v>
          </cell>
          <cell r="R178">
            <v>60</v>
          </cell>
          <cell r="S178">
            <v>36</v>
          </cell>
          <cell r="T178">
            <v>54</v>
          </cell>
          <cell r="U178">
            <v>16</v>
          </cell>
          <cell r="V178">
            <v>19</v>
          </cell>
          <cell r="W178">
            <v>19</v>
          </cell>
          <cell r="X178">
            <v>19</v>
          </cell>
          <cell r="Y178">
            <v>19</v>
          </cell>
          <cell r="Z178">
            <v>18.073170731707314</v>
          </cell>
          <cell r="AA178">
            <v>18.44622722772689</v>
          </cell>
          <cell r="AB178">
            <v>20.908323503486898</v>
          </cell>
          <cell r="AC178">
            <v>20.90211727520132</v>
          </cell>
          <cell r="AD178">
            <v>20.620127944920281</v>
          </cell>
          <cell r="AE178">
            <v>20.485794188186073</v>
          </cell>
          <cell r="AF178">
            <v>21.134070774548025</v>
          </cell>
          <cell r="AG178">
            <v>21.135255342593251</v>
          </cell>
        </row>
        <row r="179">
          <cell r="A179" t="str">
            <v>Other</v>
          </cell>
          <cell r="N179">
            <v>26</v>
          </cell>
          <cell r="O179">
            <v>35</v>
          </cell>
          <cell r="P179">
            <v>29</v>
          </cell>
          <cell r="Q179">
            <v>25</v>
          </cell>
          <cell r="R179">
            <v>17</v>
          </cell>
          <cell r="S179">
            <v>13</v>
          </cell>
          <cell r="T179">
            <v>127</v>
          </cell>
          <cell r="U179">
            <v>50</v>
          </cell>
          <cell r="V179">
            <v>87</v>
          </cell>
          <cell r="W179">
            <v>-3</v>
          </cell>
          <cell r="X179">
            <v>-10</v>
          </cell>
          <cell r="Y179">
            <v>-30</v>
          </cell>
          <cell r="Z179">
            <v>-28.536585365853657</v>
          </cell>
          <cell r="AA179">
            <v>-29.125621938516147</v>
          </cell>
          <cell r="AB179">
            <v>-33.013142373926684</v>
          </cell>
          <cell r="AC179">
            <v>-33.003343066107348</v>
          </cell>
          <cell r="AD179">
            <v>-32.558096755137285</v>
          </cell>
          <cell r="AE179">
            <v>-32.345990823451693</v>
          </cell>
          <cell r="AF179">
            <v>-33.36958543349688</v>
          </cell>
          <cell r="AG179">
            <v>-33.371455804094602</v>
          </cell>
        </row>
        <row r="180">
          <cell r="A180" t="str">
            <v>Other as % of sales</v>
          </cell>
          <cell r="N180">
            <v>8.1428124021296587E-3</v>
          </cell>
          <cell r="O180">
            <v>1.0729613733905579E-2</v>
          </cell>
          <cell r="P180">
            <v>7.629571165482768E-3</v>
          </cell>
          <cell r="Q180">
            <v>4.204507231752439E-3</v>
          </cell>
          <cell r="R180">
            <v>9.1368375792755024E-4</v>
          </cell>
          <cell r="S180">
            <v>6.2254573316732119E-4</v>
          </cell>
          <cell r="T180">
            <v>7.4182242990654202E-3</v>
          </cell>
          <cell r="U180">
            <v>9.8607659843016611E-4</v>
          </cell>
          <cell r="V180">
            <v>2.8221097703386533E-3</v>
          </cell>
          <cell r="W180">
            <v>-7.2902238098709627E-5</v>
          </cell>
          <cell r="X180">
            <v>-1.9594396002743216E-4</v>
          </cell>
          <cell r="Y180">
            <v>-6.5938413521770666E-4</v>
          </cell>
          <cell r="Z180">
            <v>-6.4764616599005166E-4</v>
          </cell>
          <cell r="AA180">
            <v>-6.4158233269103566E-4</v>
          </cell>
          <cell r="AB180">
            <v>-6.5183260420686843E-4</v>
          </cell>
          <cell r="AC180">
            <v>-6.5022548353145439E-4</v>
          </cell>
          <cell r="AD180">
            <v>-6.5145920438537468E-4</v>
          </cell>
          <cell r="AE180">
            <v>-6.5496791018226929E-4</v>
          </cell>
          <cell r="AF180">
            <v>-6.8118249274584609E-4</v>
          </cell>
          <cell r="AG180">
            <v>-6.8552709470294548E-4</v>
          </cell>
        </row>
        <row r="181">
          <cell r="A181" t="str">
            <v>Change in long term assets</v>
          </cell>
          <cell r="F181">
            <v>-29</v>
          </cell>
          <cell r="G181">
            <v>-33</v>
          </cell>
          <cell r="H181">
            <v>-28</v>
          </cell>
          <cell r="I181">
            <v>-61</v>
          </cell>
          <cell r="J181">
            <v>128</v>
          </cell>
          <cell r="K181">
            <v>-833</v>
          </cell>
          <cell r="L181">
            <v>119</v>
          </cell>
          <cell r="M181">
            <v>246</v>
          </cell>
          <cell r="N181">
            <v>342</v>
          </cell>
          <cell r="O181">
            <v>-9</v>
          </cell>
          <cell r="P181">
            <v>5</v>
          </cell>
          <cell r="Q181">
            <v>-61</v>
          </cell>
          <cell r="R181">
            <v>-22</v>
          </cell>
          <cell r="S181">
            <v>-63</v>
          </cell>
          <cell r="T181">
            <v>-152</v>
          </cell>
          <cell r="U181">
            <v>273</v>
          </cell>
          <cell r="V181">
            <v>-161</v>
          </cell>
          <cell r="W181">
            <v>90</v>
          </cell>
          <cell r="X181">
            <v>7</v>
          </cell>
          <cell r="Y181">
            <v>20</v>
          </cell>
          <cell r="Z181">
            <v>12.000000000000028</v>
          </cell>
          <cell r="AA181">
            <v>-4.8300998958324328</v>
          </cell>
          <cell r="AB181">
            <v>-31.877667570366384</v>
          </cell>
          <cell r="AC181">
            <v>8.0354324118502518E-2</v>
          </cell>
          <cell r="AD181">
            <v>3.6510197499545143</v>
          </cell>
          <cell r="AE181">
            <v>1.7392686398218871</v>
          </cell>
          <cell r="AF181">
            <v>-8.3934758023706308</v>
          </cell>
          <cell r="AG181">
            <v>-1.5337038901293454E-2</v>
          </cell>
        </row>
        <row r="183">
          <cell r="A183" t="str">
            <v>Other long-term liabilities</v>
          </cell>
          <cell r="E183">
            <v>72</v>
          </cell>
          <cell r="F183">
            <v>78</v>
          </cell>
          <cell r="G183">
            <v>83</v>
          </cell>
          <cell r="H183">
            <v>95</v>
          </cell>
          <cell r="I183">
            <v>114</v>
          </cell>
          <cell r="J183">
            <v>73</v>
          </cell>
          <cell r="K183">
            <v>294</v>
          </cell>
          <cell r="L183">
            <v>331</v>
          </cell>
          <cell r="M183">
            <v>441</v>
          </cell>
          <cell r="N183">
            <v>583</v>
          </cell>
          <cell r="O183">
            <v>673</v>
          </cell>
          <cell r="P183">
            <v>680</v>
          </cell>
          <cell r="Q183">
            <v>1747</v>
          </cell>
          <cell r="R183">
            <v>1786</v>
          </cell>
          <cell r="S183">
            <v>1661</v>
          </cell>
          <cell r="T183">
            <v>1881</v>
          </cell>
          <cell r="U183">
            <v>2451</v>
          </cell>
          <cell r="V183">
            <v>23855</v>
          </cell>
          <cell r="W183">
            <v>2183</v>
          </cell>
          <cell r="X183">
            <v>2277</v>
          </cell>
          <cell r="Y183">
            <v>2327</v>
          </cell>
          <cell r="Z183">
            <v>2204.8639024390241</v>
          </cell>
          <cell r="AA183">
            <v>2261.673422790901</v>
          </cell>
          <cell r="AB183">
            <v>2443.5059728236906</v>
          </cell>
          <cell r="AC183">
            <v>2494.4795279489754</v>
          </cell>
          <cell r="AD183">
            <v>2507.5300939073391</v>
          </cell>
          <cell r="AE183">
            <v>2502.2134333499903</v>
          </cell>
          <cell r="AF183">
            <v>2519.8683972973649</v>
          </cell>
          <cell r="AG183">
            <v>2480.1836995772528</v>
          </cell>
        </row>
        <row r="184">
          <cell r="A184" t="str">
            <v>Pension and post retirement</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1469</v>
          </cell>
          <cell r="X184">
            <v>1447</v>
          </cell>
          <cell r="Y184">
            <v>1457</v>
          </cell>
          <cell r="Z184">
            <v>1377.3029268292682</v>
          </cell>
          <cell r="AA184">
            <v>1417.0303865739327</v>
          </cell>
          <cell r="AB184">
            <v>1486.1248439798169</v>
          </cell>
          <cell r="AC184">
            <v>1537.3825790318624</v>
          </cell>
          <cell r="AD184">
            <v>1563.3452880083578</v>
          </cell>
          <cell r="AE184">
            <v>1564.1796994698911</v>
          </cell>
          <cell r="AF184">
            <v>1552.1504197259555</v>
          </cell>
          <cell r="AG184">
            <v>1512.4114812585092</v>
          </cell>
        </row>
        <row r="185">
          <cell r="A185" t="str">
            <v>Other</v>
          </cell>
          <cell r="E185">
            <v>72</v>
          </cell>
          <cell r="F185">
            <v>78</v>
          </cell>
          <cell r="G185">
            <v>83</v>
          </cell>
          <cell r="H185">
            <v>95</v>
          </cell>
          <cell r="I185">
            <v>114</v>
          </cell>
          <cell r="J185">
            <v>73</v>
          </cell>
          <cell r="K185">
            <v>294</v>
          </cell>
          <cell r="L185">
            <v>331</v>
          </cell>
          <cell r="M185">
            <v>441</v>
          </cell>
          <cell r="N185">
            <v>583</v>
          </cell>
          <cell r="O185">
            <v>673</v>
          </cell>
          <cell r="P185">
            <v>680</v>
          </cell>
          <cell r="Q185">
            <v>1747</v>
          </cell>
          <cell r="R185">
            <v>1786</v>
          </cell>
          <cell r="S185">
            <v>1661</v>
          </cell>
          <cell r="T185">
            <v>1881</v>
          </cell>
          <cell r="U185">
            <v>2451</v>
          </cell>
          <cell r="V185">
            <v>23855</v>
          </cell>
          <cell r="W185">
            <v>714</v>
          </cell>
          <cell r="X185">
            <v>830</v>
          </cell>
          <cell r="Y185">
            <v>870</v>
          </cell>
          <cell r="Z185">
            <v>827.56097560975604</v>
          </cell>
          <cell r="AA185">
            <v>844.6430362169682</v>
          </cell>
          <cell r="AB185">
            <v>957.38112884387374</v>
          </cell>
          <cell r="AC185">
            <v>957.09694891711308</v>
          </cell>
          <cell r="AD185">
            <v>944.18480589898138</v>
          </cell>
          <cell r="AE185">
            <v>938.03373388009925</v>
          </cell>
          <cell r="AF185">
            <v>967.71797757140962</v>
          </cell>
          <cell r="AG185">
            <v>967.77221831874363</v>
          </cell>
        </row>
        <row r="187">
          <cell r="A187" t="str">
            <v>Change in other long term liabilities</v>
          </cell>
          <cell r="F187">
            <v>6</v>
          </cell>
          <cell r="G187">
            <v>5</v>
          </cell>
          <cell r="H187">
            <v>12</v>
          </cell>
          <cell r="I187">
            <v>19</v>
          </cell>
          <cell r="J187">
            <v>-41</v>
          </cell>
          <cell r="K187">
            <v>221</v>
          </cell>
          <cell r="L187">
            <v>37</v>
          </cell>
          <cell r="M187">
            <v>110</v>
          </cell>
          <cell r="N187">
            <v>142</v>
          </cell>
          <cell r="O187">
            <v>90</v>
          </cell>
          <cell r="P187">
            <v>7</v>
          </cell>
          <cell r="Q187">
            <v>1067</v>
          </cell>
          <cell r="R187">
            <v>39</v>
          </cell>
          <cell r="S187">
            <v>-125</v>
          </cell>
          <cell r="T187">
            <v>220</v>
          </cell>
          <cell r="U187">
            <v>570</v>
          </cell>
          <cell r="V187">
            <v>21404</v>
          </cell>
          <cell r="W187">
            <v>-21672</v>
          </cell>
          <cell r="X187">
            <v>94</v>
          </cell>
          <cell r="Y187">
            <v>50</v>
          </cell>
          <cell r="Z187">
            <v>-122.13609756097594</v>
          </cell>
          <cell r="AA187">
            <v>56.809520351876927</v>
          </cell>
          <cell r="AB187">
            <v>181.83255003278964</v>
          </cell>
          <cell r="AC187">
            <v>50.973555125284747</v>
          </cell>
          <cell r="AD187">
            <v>13.050565958363677</v>
          </cell>
          <cell r="AE187">
            <v>-5.3166605573487686</v>
          </cell>
          <cell r="AF187">
            <v>17.654963947374654</v>
          </cell>
          <cell r="AG187">
            <v>-39.684697720112126</v>
          </cell>
        </row>
        <row r="190">
          <cell r="A190" t="str">
            <v>Pension Plan</v>
          </cell>
        </row>
        <row r="191">
          <cell r="A191" t="str">
            <v>PBO (at Jan 1)</v>
          </cell>
          <cell r="F191">
            <v>78</v>
          </cell>
          <cell r="G191">
            <v>126</v>
          </cell>
          <cell r="H191">
            <v>114</v>
          </cell>
          <cell r="I191">
            <v>161</v>
          </cell>
          <cell r="J191">
            <v>165</v>
          </cell>
          <cell r="K191">
            <v>136</v>
          </cell>
          <cell r="L191">
            <v>487</v>
          </cell>
          <cell r="M191">
            <v>399</v>
          </cell>
          <cell r="N191">
            <v>431</v>
          </cell>
          <cell r="O191">
            <v>554</v>
          </cell>
          <cell r="P191">
            <v>609</v>
          </cell>
          <cell r="Q191">
            <v>694</v>
          </cell>
          <cell r="R191">
            <v>1997</v>
          </cell>
          <cell r="S191">
            <v>2086</v>
          </cell>
          <cell r="T191">
            <v>2258</v>
          </cell>
          <cell r="U191">
            <v>2308</v>
          </cell>
          <cell r="V191">
            <v>2555</v>
          </cell>
          <cell r="W191">
            <v>2778</v>
          </cell>
          <cell r="X191">
            <v>2933</v>
          </cell>
          <cell r="Y191">
            <v>3160</v>
          </cell>
          <cell r="Z191">
            <v>3444</v>
          </cell>
          <cell r="AA191">
            <v>3653</v>
          </cell>
          <cell r="AB191">
            <v>3818</v>
          </cell>
          <cell r="AC191">
            <v>4005.0232506346752</v>
          </cell>
          <cell r="AD191">
            <v>4191.990987062869</v>
          </cell>
          <cell r="AE191">
            <v>4376.4363519013632</v>
          </cell>
          <cell r="AF191">
            <v>4559.6801122281322</v>
          </cell>
          <cell r="AG191">
            <v>4748.7226538140267</v>
          </cell>
        </row>
        <row r="192">
          <cell r="A192" t="str">
            <v>Change in PBO</v>
          </cell>
          <cell r="F192">
            <v>48</v>
          </cell>
          <cell r="G192">
            <v>-12</v>
          </cell>
          <cell r="H192">
            <v>47</v>
          </cell>
          <cell r="I192">
            <v>4</v>
          </cell>
          <cell r="J192">
            <v>-29</v>
          </cell>
          <cell r="K192">
            <v>351</v>
          </cell>
          <cell r="L192">
            <v>-88</v>
          </cell>
          <cell r="M192">
            <v>32</v>
          </cell>
          <cell r="N192">
            <v>123</v>
          </cell>
          <cell r="O192">
            <v>55</v>
          </cell>
          <cell r="P192">
            <v>85</v>
          </cell>
          <cell r="Q192">
            <v>1303</v>
          </cell>
          <cell r="R192">
            <v>89</v>
          </cell>
          <cell r="S192">
            <v>172</v>
          </cell>
          <cell r="T192">
            <v>50</v>
          </cell>
          <cell r="U192">
            <v>247</v>
          </cell>
          <cell r="V192">
            <v>223</v>
          </cell>
          <cell r="W192">
            <v>155</v>
          </cell>
          <cell r="X192">
            <v>227</v>
          </cell>
          <cell r="Y192">
            <v>284</v>
          </cell>
          <cell r="Z192">
            <v>209</v>
          </cell>
          <cell r="AA192">
            <v>165</v>
          </cell>
          <cell r="AB192">
            <v>187.02325063467529</v>
          </cell>
          <cell r="AC192">
            <v>186.96773642819403</v>
          </cell>
          <cell r="AD192">
            <v>184.4453648384939</v>
          </cell>
          <cell r="AE192">
            <v>183.24376032676875</v>
          </cell>
          <cell r="AF192">
            <v>189.04254158589472</v>
          </cell>
          <cell r="AG192">
            <v>189.05313745056932</v>
          </cell>
        </row>
        <row r="193">
          <cell r="A193" t="str">
            <v>PBO (at Dec 31)</v>
          </cell>
          <cell r="E193">
            <v>78</v>
          </cell>
          <cell r="F193">
            <v>126</v>
          </cell>
          <cell r="G193">
            <v>114</v>
          </cell>
          <cell r="H193">
            <v>161</v>
          </cell>
          <cell r="I193">
            <v>165</v>
          </cell>
          <cell r="J193">
            <v>136</v>
          </cell>
          <cell r="K193">
            <v>487</v>
          </cell>
          <cell r="L193">
            <v>399</v>
          </cell>
          <cell r="M193">
            <v>431</v>
          </cell>
          <cell r="N193">
            <v>554</v>
          </cell>
          <cell r="O193">
            <v>609</v>
          </cell>
          <cell r="P193">
            <v>694</v>
          </cell>
          <cell r="Q193">
            <v>1997</v>
          </cell>
          <cell r="R193">
            <v>2086</v>
          </cell>
          <cell r="S193">
            <v>2258</v>
          </cell>
          <cell r="T193">
            <v>2308</v>
          </cell>
          <cell r="U193">
            <v>2555</v>
          </cell>
          <cell r="V193">
            <v>2778</v>
          </cell>
          <cell r="W193">
            <v>2933</v>
          </cell>
          <cell r="X193">
            <v>3160</v>
          </cell>
          <cell r="Y193">
            <v>3444</v>
          </cell>
          <cell r="Z193">
            <v>3653</v>
          </cell>
          <cell r="AA193">
            <v>3818</v>
          </cell>
          <cell r="AB193">
            <v>4005.0232506346752</v>
          </cell>
          <cell r="AC193">
            <v>4191.990987062869</v>
          </cell>
          <cell r="AD193">
            <v>4376.4363519013632</v>
          </cell>
          <cell r="AE193">
            <v>4559.6801122281322</v>
          </cell>
          <cell r="AF193">
            <v>4748.7226538140267</v>
          </cell>
          <cell r="AG193">
            <v>4937.7757912645957</v>
          </cell>
        </row>
        <row r="195">
          <cell r="A195" t="str">
            <v>Plan Assets (at Jan 1)</v>
          </cell>
          <cell r="F195">
            <v>69</v>
          </cell>
          <cell r="G195">
            <v>80</v>
          </cell>
          <cell r="H195">
            <v>86</v>
          </cell>
          <cell r="I195">
            <v>105</v>
          </cell>
          <cell r="J195">
            <v>122</v>
          </cell>
          <cell r="K195">
            <v>102</v>
          </cell>
          <cell r="L195">
            <v>448</v>
          </cell>
          <cell r="M195">
            <v>456</v>
          </cell>
          <cell r="N195">
            <v>412</v>
          </cell>
          <cell r="O195">
            <v>364</v>
          </cell>
          <cell r="P195">
            <v>307</v>
          </cell>
          <cell r="Q195">
            <v>356</v>
          </cell>
          <cell r="R195">
            <v>1313</v>
          </cell>
          <cell r="S195">
            <v>1399</v>
          </cell>
          <cell r="T195">
            <v>1784</v>
          </cell>
          <cell r="U195">
            <v>1922</v>
          </cell>
          <cell r="V195">
            <v>1493</v>
          </cell>
          <cell r="W195">
            <v>1638</v>
          </cell>
          <cell r="X195">
            <v>1760</v>
          </cell>
          <cell r="Y195">
            <v>2081</v>
          </cell>
          <cell r="Z195">
            <v>2323</v>
          </cell>
          <cell r="AA195">
            <v>2637.38</v>
          </cell>
          <cell r="AB195">
            <v>2788.8656000000001</v>
          </cell>
          <cell r="AC195">
            <v>2936.506221365325</v>
          </cell>
          <cell r="AD195">
            <v>3101.91923150097</v>
          </cell>
          <cell r="AE195">
            <v>3289.7041744425924</v>
          </cell>
          <cell r="AF195">
            <v>3501.2249150489347</v>
          </cell>
          <cell r="AG195">
            <v>3732.3293632689119</v>
          </cell>
        </row>
        <row r="196">
          <cell r="A196" t="str">
            <v>Pension contributions</v>
          </cell>
          <cell r="F196">
            <v>0</v>
          </cell>
          <cell r="G196">
            <v>0</v>
          </cell>
          <cell r="H196">
            <v>0</v>
          </cell>
          <cell r="I196">
            <v>0</v>
          </cell>
          <cell r="J196">
            <v>0</v>
          </cell>
          <cell r="K196">
            <v>12</v>
          </cell>
          <cell r="L196">
            <v>11</v>
          </cell>
          <cell r="M196">
            <v>14</v>
          </cell>
          <cell r="N196">
            <v>17</v>
          </cell>
          <cell r="O196">
            <v>4</v>
          </cell>
          <cell r="P196">
            <v>15</v>
          </cell>
          <cell r="Q196">
            <v>43</v>
          </cell>
          <cell r="R196">
            <v>131</v>
          </cell>
          <cell r="S196">
            <v>210</v>
          </cell>
          <cell r="T196">
            <v>63</v>
          </cell>
          <cell r="U196">
            <v>80</v>
          </cell>
          <cell r="V196">
            <v>52</v>
          </cell>
          <cell r="W196">
            <v>63</v>
          </cell>
          <cell r="X196">
            <v>526</v>
          </cell>
          <cell r="Y196">
            <v>180</v>
          </cell>
          <cell r="Z196">
            <v>175</v>
          </cell>
          <cell r="AA196">
            <v>-6.7572000000000116</v>
          </cell>
          <cell r="AB196">
            <v>-19.69131463467528</v>
          </cell>
          <cell r="AC196">
            <v>-10.777363146274524</v>
          </cell>
          <cell r="AD196">
            <v>1.6697890515642939</v>
          </cell>
          <cell r="AE196">
            <v>14.138490139786796</v>
          </cell>
          <cell r="AF196">
            <v>21.030953317041337</v>
          </cell>
          <cell r="AG196">
            <v>34.886624345565394</v>
          </cell>
        </row>
        <row r="197">
          <cell r="A197" t="str">
            <v>Other change in plan assets</v>
          </cell>
          <cell r="F197">
            <v>11</v>
          </cell>
          <cell r="G197">
            <v>6</v>
          </cell>
          <cell r="H197">
            <v>19</v>
          </cell>
          <cell r="I197">
            <v>17</v>
          </cell>
          <cell r="J197">
            <v>-20</v>
          </cell>
          <cell r="K197">
            <v>334</v>
          </cell>
          <cell r="L197">
            <v>-3</v>
          </cell>
          <cell r="M197">
            <v>-58</v>
          </cell>
          <cell r="N197">
            <v>-65</v>
          </cell>
          <cell r="O197">
            <v>-61</v>
          </cell>
          <cell r="P197">
            <v>34</v>
          </cell>
          <cell r="Q197">
            <v>914</v>
          </cell>
          <cell r="R197">
            <v>-45</v>
          </cell>
          <cell r="S197">
            <v>175</v>
          </cell>
          <cell r="T197">
            <v>75</v>
          </cell>
          <cell r="U197">
            <v>-509</v>
          </cell>
          <cell r="V197">
            <v>93</v>
          </cell>
          <cell r="W197">
            <v>59</v>
          </cell>
          <cell r="X197">
            <v>-205</v>
          </cell>
          <cell r="Y197">
            <v>62</v>
          </cell>
          <cell r="Z197">
            <v>139.38</v>
          </cell>
          <cell r="AA197">
            <v>158.24279999999999</v>
          </cell>
          <cell r="AB197">
            <v>167.33193600000001</v>
          </cell>
          <cell r="AC197">
            <v>176.19037328191951</v>
          </cell>
          <cell r="AD197">
            <v>186.1151538900582</v>
          </cell>
          <cell r="AE197">
            <v>197.38225046655555</v>
          </cell>
          <cell r="AF197">
            <v>210.07349490293606</v>
          </cell>
          <cell r="AG197">
            <v>223.93976179613472</v>
          </cell>
        </row>
        <row r="198">
          <cell r="A198" t="str">
            <v>Plan Assets (at Dec 31)</v>
          </cell>
          <cell r="E198">
            <v>69</v>
          </cell>
          <cell r="F198">
            <v>80</v>
          </cell>
          <cell r="G198">
            <v>86</v>
          </cell>
          <cell r="H198">
            <v>105</v>
          </cell>
          <cell r="I198">
            <v>122</v>
          </cell>
          <cell r="J198">
            <v>102</v>
          </cell>
          <cell r="K198">
            <v>448</v>
          </cell>
          <cell r="L198">
            <v>456</v>
          </cell>
          <cell r="M198">
            <v>412</v>
          </cell>
          <cell r="N198">
            <v>364</v>
          </cell>
          <cell r="O198">
            <v>307</v>
          </cell>
          <cell r="P198">
            <v>356</v>
          </cell>
          <cell r="Q198">
            <v>1313</v>
          </cell>
          <cell r="R198">
            <v>1399</v>
          </cell>
          <cell r="S198">
            <v>1784</v>
          </cell>
          <cell r="T198">
            <v>1922</v>
          </cell>
          <cell r="U198">
            <v>1493</v>
          </cell>
          <cell r="V198">
            <v>1638</v>
          </cell>
          <cell r="W198">
            <v>1760</v>
          </cell>
          <cell r="X198">
            <v>2081</v>
          </cell>
          <cell r="Y198">
            <v>2323</v>
          </cell>
          <cell r="Z198">
            <v>2637.38</v>
          </cell>
          <cell r="AA198">
            <v>2788.8656000000001</v>
          </cell>
          <cell r="AB198">
            <v>2936.506221365325</v>
          </cell>
          <cell r="AC198">
            <v>3101.91923150097</v>
          </cell>
          <cell r="AD198">
            <v>3289.7041744425924</v>
          </cell>
          <cell r="AE198">
            <v>3501.2249150489347</v>
          </cell>
          <cell r="AF198">
            <v>3732.3293632689119</v>
          </cell>
          <cell r="AG198">
            <v>3991.1557494106123</v>
          </cell>
        </row>
        <row r="200">
          <cell r="A200" t="str">
            <v>Funded status</v>
          </cell>
          <cell r="E200">
            <v>-9</v>
          </cell>
          <cell r="F200">
            <v>-46</v>
          </cell>
          <cell r="G200">
            <v>-28</v>
          </cell>
          <cell r="H200">
            <v>-56</v>
          </cell>
          <cell r="I200">
            <v>-43</v>
          </cell>
          <cell r="J200">
            <v>-34</v>
          </cell>
          <cell r="K200">
            <v>-39</v>
          </cell>
          <cell r="L200">
            <v>57</v>
          </cell>
          <cell r="M200">
            <v>-19</v>
          </cell>
          <cell r="N200">
            <v>-190</v>
          </cell>
          <cell r="O200">
            <v>-302</v>
          </cell>
          <cell r="P200">
            <v>-338</v>
          </cell>
          <cell r="Q200">
            <v>-684</v>
          </cell>
          <cell r="R200">
            <v>-687</v>
          </cell>
          <cell r="S200">
            <v>-474</v>
          </cell>
          <cell r="T200">
            <v>-386</v>
          </cell>
          <cell r="U200">
            <v>-1062</v>
          </cell>
          <cell r="V200">
            <v>-1140</v>
          </cell>
          <cell r="W200">
            <v>-1173</v>
          </cell>
          <cell r="X200">
            <v>-1079</v>
          </cell>
          <cell r="Y200">
            <v>-1121</v>
          </cell>
          <cell r="Z200">
            <v>-1015.6199999999999</v>
          </cell>
          <cell r="AA200">
            <v>-1029.1343999999999</v>
          </cell>
          <cell r="AB200">
            <v>-1068.5170292693501</v>
          </cell>
          <cell r="AC200">
            <v>-1090.071755561899</v>
          </cell>
          <cell r="AD200">
            <v>-1086.7321774587708</v>
          </cell>
          <cell r="AE200">
            <v>-1058.4551971791975</v>
          </cell>
          <cell r="AF200">
            <v>-1016.3932905451147</v>
          </cell>
          <cell r="AG200">
            <v>-946.62004185398337</v>
          </cell>
        </row>
        <row r="202">
          <cell r="A202" t="str">
            <v>Included within Prepaid benefit cost</v>
          </cell>
          <cell r="K202">
            <v>54</v>
          </cell>
          <cell r="L202">
            <v>53</v>
          </cell>
          <cell r="M202">
            <v>71</v>
          </cell>
          <cell r="N202">
            <v>17</v>
          </cell>
          <cell r="O202">
            <v>21</v>
          </cell>
          <cell r="P202">
            <v>24</v>
          </cell>
          <cell r="Q202">
            <v>40</v>
          </cell>
          <cell r="R202">
            <v>47</v>
          </cell>
          <cell r="S202">
            <v>36</v>
          </cell>
          <cell r="T202">
            <v>39</v>
          </cell>
          <cell r="U202">
            <v>22</v>
          </cell>
          <cell r="V202">
            <v>19</v>
          </cell>
          <cell r="W202">
            <v>19</v>
          </cell>
          <cell r="X202">
            <v>47</v>
          </cell>
          <cell r="Y202">
            <v>15</v>
          </cell>
          <cell r="Z202">
            <v>15</v>
          </cell>
          <cell r="AA202">
            <v>15</v>
          </cell>
          <cell r="AB202">
            <v>15</v>
          </cell>
          <cell r="AC202">
            <v>15</v>
          </cell>
          <cell r="AD202">
            <v>15</v>
          </cell>
          <cell r="AE202">
            <v>15</v>
          </cell>
          <cell r="AF202">
            <v>15</v>
          </cell>
          <cell r="AG202">
            <v>15</v>
          </cell>
        </row>
        <row r="203">
          <cell r="A203" t="str">
            <v>Included within accrued benefit liability, current</v>
          </cell>
          <cell r="M203">
            <v>0</v>
          </cell>
          <cell r="N203">
            <v>0</v>
          </cell>
          <cell r="O203">
            <v>0</v>
          </cell>
          <cell r="P203">
            <v>0</v>
          </cell>
          <cell r="Q203">
            <v>0</v>
          </cell>
          <cell r="R203">
            <v>0</v>
          </cell>
          <cell r="S203">
            <v>-6</v>
          </cell>
          <cell r="T203">
            <v>-24</v>
          </cell>
          <cell r="U203">
            <v>-19</v>
          </cell>
          <cell r="V203">
            <v>-1</v>
          </cell>
          <cell r="W203">
            <v>-33</v>
          </cell>
          <cell r="X203">
            <v>-22</v>
          </cell>
          <cell r="Y203">
            <v>-48</v>
          </cell>
          <cell r="Z203">
            <v>-48</v>
          </cell>
          <cell r="AA203">
            <v>-48</v>
          </cell>
          <cell r="AB203">
            <v>-48</v>
          </cell>
          <cell r="AC203">
            <v>-48</v>
          </cell>
          <cell r="AD203">
            <v>-48</v>
          </cell>
          <cell r="AE203">
            <v>-48</v>
          </cell>
          <cell r="AF203">
            <v>-48</v>
          </cell>
          <cell r="AG203">
            <v>-48</v>
          </cell>
        </row>
        <row r="204">
          <cell r="A204" t="str">
            <v xml:space="preserve">Included within accrued benefit liability, long-term </v>
          </cell>
          <cell r="K204">
            <v>-12</v>
          </cell>
          <cell r="L204">
            <v>-13</v>
          </cell>
          <cell r="M204">
            <v>-9</v>
          </cell>
          <cell r="N204">
            <v>-124</v>
          </cell>
          <cell r="O204">
            <v>-213</v>
          </cell>
          <cell r="P204">
            <v>-232</v>
          </cell>
          <cell r="Q204">
            <v>-580</v>
          </cell>
          <cell r="R204">
            <v>-549</v>
          </cell>
          <cell r="S204">
            <v>-504</v>
          </cell>
          <cell r="T204">
            <v>-401</v>
          </cell>
          <cell r="U204">
            <v>-1065</v>
          </cell>
          <cell r="V204">
            <v>-1158</v>
          </cell>
          <cell r="W204">
            <v>-1159</v>
          </cell>
          <cell r="X204">
            <v>-1104</v>
          </cell>
          <cell r="Y204">
            <v>-1088</v>
          </cell>
          <cell r="Z204">
            <v>-982.61999999999989</v>
          </cell>
          <cell r="AA204">
            <v>-996.13439999999991</v>
          </cell>
          <cell r="AB204">
            <v>-1035.5170292693501</v>
          </cell>
          <cell r="AC204">
            <v>-1057.071755561899</v>
          </cell>
          <cell r="AD204">
            <v>-1053.7321774587708</v>
          </cell>
          <cell r="AE204">
            <v>-1025.4551971791975</v>
          </cell>
          <cell r="AF204">
            <v>-983.39329054511472</v>
          </cell>
          <cell r="AG204">
            <v>-913.62004185398337</v>
          </cell>
        </row>
        <row r="205">
          <cell r="A205" t="str">
            <v>Included within Additional minimum liability</v>
          </cell>
          <cell r="M205">
            <v>-19</v>
          </cell>
          <cell r="N205">
            <v>0</v>
          </cell>
          <cell r="O205">
            <v>0</v>
          </cell>
          <cell r="P205">
            <v>0</v>
          </cell>
          <cell r="Q205">
            <v>0</v>
          </cell>
          <cell r="R205">
            <v>0</v>
          </cell>
          <cell r="S205">
            <v>0</v>
          </cell>
          <cell r="T205">
            <v>0</v>
          </cell>
          <cell r="U205">
            <v>0</v>
          </cell>
          <cell r="V205">
            <v>0</v>
          </cell>
        </row>
        <row r="206">
          <cell r="A206" t="str">
            <v>Included within intangible asset</v>
          </cell>
          <cell r="M206">
            <v>3</v>
          </cell>
          <cell r="N206">
            <v>3</v>
          </cell>
          <cell r="O206">
            <v>3</v>
          </cell>
          <cell r="P206">
            <v>0</v>
          </cell>
          <cell r="Q206">
            <v>0</v>
          </cell>
          <cell r="R206">
            <v>0</v>
          </cell>
          <cell r="S206">
            <v>0</v>
          </cell>
          <cell r="T206">
            <v>0</v>
          </cell>
          <cell r="U206">
            <v>0</v>
          </cell>
          <cell r="V206">
            <v>0</v>
          </cell>
        </row>
        <row r="208">
          <cell r="A208" t="str">
            <v>Amounts recognized in accumluated other comp income/ (loss)</v>
          </cell>
          <cell r="M208">
            <v>16</v>
          </cell>
          <cell r="N208">
            <v>146</v>
          </cell>
          <cell r="O208">
            <v>206</v>
          </cell>
          <cell r="P208">
            <v>184</v>
          </cell>
          <cell r="Q208">
            <v>194</v>
          </cell>
          <cell r="R208">
            <v>193</v>
          </cell>
          <cell r="S208">
            <v>223</v>
          </cell>
        </row>
        <row r="210">
          <cell r="A210" t="str">
            <v>Net actuarial loss (gain)</v>
          </cell>
          <cell r="F210">
            <v>36</v>
          </cell>
          <cell r="G210">
            <v>21</v>
          </cell>
          <cell r="H210">
            <v>42</v>
          </cell>
          <cell r="I210">
            <v>18</v>
          </cell>
          <cell r="J210">
            <v>21</v>
          </cell>
          <cell r="K210">
            <v>70</v>
          </cell>
          <cell r="L210">
            <v>-27</v>
          </cell>
          <cell r="M210">
            <v>73</v>
          </cell>
          <cell r="N210">
            <v>224</v>
          </cell>
          <cell r="O210">
            <v>326</v>
          </cell>
          <cell r="P210">
            <v>321</v>
          </cell>
          <cell r="Q210">
            <v>344</v>
          </cell>
          <cell r="R210">
            <v>385</v>
          </cell>
          <cell r="S210">
            <v>229</v>
          </cell>
          <cell r="T210">
            <v>-78</v>
          </cell>
          <cell r="U210">
            <v>612</v>
          </cell>
          <cell r="V210">
            <v>581</v>
          </cell>
        </row>
        <row r="211">
          <cell r="A211" t="str">
            <v>Prior service cost (credit)</v>
          </cell>
          <cell r="F211">
            <v>1</v>
          </cell>
          <cell r="G211">
            <v>0</v>
          </cell>
          <cell r="H211">
            <v>-1</v>
          </cell>
          <cell r="I211">
            <v>6</v>
          </cell>
          <cell r="J211">
            <v>3</v>
          </cell>
          <cell r="K211">
            <v>6</v>
          </cell>
          <cell r="L211">
            <v>6</v>
          </cell>
          <cell r="M211">
            <v>5</v>
          </cell>
          <cell r="N211">
            <v>5</v>
          </cell>
          <cell r="O211">
            <v>-12</v>
          </cell>
          <cell r="P211">
            <v>-10</v>
          </cell>
          <cell r="Q211">
            <v>-10</v>
          </cell>
          <cell r="R211">
            <v>-9</v>
          </cell>
          <cell r="S211">
            <v>-6</v>
          </cell>
          <cell r="T211">
            <v>6</v>
          </cell>
          <cell r="U211">
            <v>-140</v>
          </cell>
          <cell r="V211">
            <v>-124</v>
          </cell>
        </row>
        <row r="212">
          <cell r="A212" t="str">
            <v>Transition obligation</v>
          </cell>
          <cell r="F212">
            <v>-4</v>
          </cell>
          <cell r="G212">
            <v>-4</v>
          </cell>
          <cell r="H212">
            <v>-3</v>
          </cell>
          <cell r="I212">
            <v>-5</v>
          </cell>
          <cell r="J212">
            <v>-2</v>
          </cell>
          <cell r="K212">
            <v>5</v>
          </cell>
          <cell r="L212">
            <v>4</v>
          </cell>
          <cell r="M212">
            <v>3</v>
          </cell>
          <cell r="N212">
            <v>3</v>
          </cell>
          <cell r="O212">
            <v>3</v>
          </cell>
          <cell r="P212">
            <v>3</v>
          </cell>
          <cell r="Q212">
            <v>4</v>
          </cell>
          <cell r="R212">
            <v>2</v>
          </cell>
          <cell r="S212">
            <v>0</v>
          </cell>
          <cell r="T212">
            <v>0</v>
          </cell>
          <cell r="U212">
            <v>0</v>
          </cell>
          <cell r="V212">
            <v>0</v>
          </cell>
        </row>
        <row r="213">
          <cell r="A213" t="str">
            <v>Total</v>
          </cell>
          <cell r="F213">
            <v>33</v>
          </cell>
          <cell r="G213">
            <v>17</v>
          </cell>
          <cell r="H213">
            <v>38</v>
          </cell>
          <cell r="I213">
            <v>19</v>
          </cell>
          <cell r="J213">
            <v>22</v>
          </cell>
          <cell r="K213">
            <v>81</v>
          </cell>
          <cell r="L213">
            <v>-17</v>
          </cell>
          <cell r="M213">
            <v>81</v>
          </cell>
          <cell r="N213">
            <v>232</v>
          </cell>
          <cell r="O213">
            <v>317</v>
          </cell>
          <cell r="P213">
            <v>314</v>
          </cell>
          <cell r="Q213">
            <v>338</v>
          </cell>
          <cell r="R213">
            <v>378</v>
          </cell>
          <cell r="S213">
            <v>223</v>
          </cell>
          <cell r="T213">
            <v>-72</v>
          </cell>
          <cell r="U213">
            <v>472</v>
          </cell>
          <cell r="V213">
            <v>457</v>
          </cell>
        </row>
        <row r="215">
          <cell r="A215" t="str">
            <v>Other Post Employment benefit plans</v>
          </cell>
        </row>
        <row r="216">
          <cell r="A216" t="str">
            <v>Other post employment benefit oblg. (at Jan 1)</v>
          </cell>
          <cell r="K216">
            <v>5</v>
          </cell>
          <cell r="L216">
            <v>73</v>
          </cell>
          <cell r="M216">
            <v>72</v>
          </cell>
          <cell r="N216">
            <v>69</v>
          </cell>
          <cell r="O216">
            <v>91</v>
          </cell>
          <cell r="P216">
            <v>88</v>
          </cell>
          <cell r="Q216">
            <v>94</v>
          </cell>
          <cell r="R216">
            <v>239</v>
          </cell>
          <cell r="S216">
            <v>229</v>
          </cell>
          <cell r="T216">
            <v>270</v>
          </cell>
          <cell r="U216">
            <v>361</v>
          </cell>
          <cell r="V216">
            <v>372</v>
          </cell>
          <cell r="W216">
            <v>353</v>
          </cell>
          <cell r="X216">
            <v>332</v>
          </cell>
          <cell r="Y216">
            <v>364</v>
          </cell>
          <cell r="Z216">
            <v>391</v>
          </cell>
          <cell r="AA216">
            <v>416.6829268292683</v>
          </cell>
          <cell r="AB216">
            <v>442.89598657393282</v>
          </cell>
          <cell r="AC216">
            <v>472.60781471046681</v>
          </cell>
          <cell r="AD216">
            <v>502.31082346996345</v>
          </cell>
          <cell r="AE216">
            <v>531.61311054958696</v>
          </cell>
          <cell r="AF216">
            <v>560.72450229069352</v>
          </cell>
          <cell r="AG216">
            <v>590.75712918084071</v>
          </cell>
        </row>
        <row r="217">
          <cell r="A217" t="str">
            <v>Change</v>
          </cell>
          <cell r="J217">
            <v>5</v>
          </cell>
          <cell r="K217">
            <v>68</v>
          </cell>
          <cell r="L217">
            <v>-1</v>
          </cell>
          <cell r="M217">
            <v>-3</v>
          </cell>
          <cell r="N217">
            <v>22</v>
          </cell>
          <cell r="O217">
            <v>-3</v>
          </cell>
          <cell r="P217">
            <v>6</v>
          </cell>
          <cell r="Q217">
            <v>145</v>
          </cell>
          <cell r="R217">
            <v>-10</v>
          </cell>
          <cell r="S217">
            <v>41</v>
          </cell>
          <cell r="T217">
            <v>91</v>
          </cell>
          <cell r="U217">
            <v>11</v>
          </cell>
          <cell r="V217">
            <v>-19</v>
          </cell>
          <cell r="W217">
            <v>-21</v>
          </cell>
          <cell r="X217">
            <v>32</v>
          </cell>
          <cell r="Y217">
            <v>27</v>
          </cell>
          <cell r="Z217">
            <v>25.68292682926829</v>
          </cell>
          <cell r="AA217">
            <v>26.21305974466453</v>
          </cell>
          <cell r="AB217">
            <v>29.711828136534013</v>
          </cell>
          <cell r="AC217">
            <v>29.703008759496612</v>
          </cell>
          <cell r="AD217">
            <v>29.302287079623557</v>
          </cell>
          <cell r="AE217">
            <v>29.111391741106527</v>
          </cell>
          <cell r="AF217">
            <v>30.032626890147192</v>
          </cell>
          <cell r="AG217">
            <v>30.034310223685143</v>
          </cell>
        </row>
        <row r="218">
          <cell r="A218" t="str">
            <v>Other post employment benefit oblg. (at Dec 31)</v>
          </cell>
          <cell r="J218">
            <v>5</v>
          </cell>
          <cell r="K218">
            <v>73</v>
          </cell>
          <cell r="L218">
            <v>72</v>
          </cell>
          <cell r="M218">
            <v>69</v>
          </cell>
          <cell r="N218">
            <v>91</v>
          </cell>
          <cell r="O218">
            <v>88</v>
          </cell>
          <cell r="P218">
            <v>94</v>
          </cell>
          <cell r="Q218">
            <v>239</v>
          </cell>
          <cell r="R218">
            <v>229</v>
          </cell>
          <cell r="S218">
            <v>270</v>
          </cell>
          <cell r="T218">
            <v>361</v>
          </cell>
          <cell r="U218">
            <v>372</v>
          </cell>
          <cell r="V218">
            <v>353</v>
          </cell>
          <cell r="W218">
            <v>332</v>
          </cell>
          <cell r="X218">
            <v>364</v>
          </cell>
          <cell r="Y218">
            <v>391</v>
          </cell>
          <cell r="Z218">
            <v>416.6829268292683</v>
          </cell>
          <cell r="AA218">
            <v>442.89598657393282</v>
          </cell>
          <cell r="AB218">
            <v>472.60781471046681</v>
          </cell>
          <cell r="AC218">
            <v>502.31082346996345</v>
          </cell>
          <cell r="AD218">
            <v>531.61311054958696</v>
          </cell>
          <cell r="AE218">
            <v>560.72450229069352</v>
          </cell>
          <cell r="AF218">
            <v>590.75712918084071</v>
          </cell>
          <cell r="AG218">
            <v>620.79143940452582</v>
          </cell>
        </row>
        <row r="220">
          <cell r="A220" t="str">
            <v>Plan Assets (at Jan 1)</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row>
        <row r="221">
          <cell r="A221" t="str">
            <v>Other change in plan assets</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row>
        <row r="222">
          <cell r="A222" t="str">
            <v>Plan Assets (at Dec 31)</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row>
        <row r="224">
          <cell r="A224" t="str">
            <v>Funded status</v>
          </cell>
          <cell r="J224">
            <v>-5</v>
          </cell>
          <cell r="K224">
            <v>-73</v>
          </cell>
          <cell r="L224">
            <v>-72</v>
          </cell>
          <cell r="M224">
            <v>-69</v>
          </cell>
          <cell r="N224">
            <v>-91</v>
          </cell>
          <cell r="O224">
            <v>-88</v>
          </cell>
          <cell r="P224">
            <v>-94</v>
          </cell>
          <cell r="Q224">
            <v>-239</v>
          </cell>
          <cell r="R224">
            <v>-229</v>
          </cell>
          <cell r="S224">
            <v>-270</v>
          </cell>
          <cell r="T224">
            <v>-361</v>
          </cell>
          <cell r="U224">
            <v>-372</v>
          </cell>
          <cell r="V224">
            <v>-353</v>
          </cell>
          <cell r="W224">
            <v>-332</v>
          </cell>
          <cell r="X224">
            <v>-364</v>
          </cell>
          <cell r="Y224">
            <v>-391</v>
          </cell>
          <cell r="Z224">
            <v>-416.6829268292683</v>
          </cell>
          <cell r="AA224">
            <v>-442.89598657393282</v>
          </cell>
          <cell r="AB224">
            <v>-472.60781471046681</v>
          </cell>
          <cell r="AC224">
            <v>-502.31082346996345</v>
          </cell>
          <cell r="AD224">
            <v>-531.61311054958696</v>
          </cell>
          <cell r="AE224">
            <v>-560.72450229069352</v>
          </cell>
          <cell r="AF224">
            <v>-590.75712918084071</v>
          </cell>
          <cell r="AG224">
            <v>-620.79143940452582</v>
          </cell>
        </row>
        <row r="226">
          <cell r="A226" t="str">
            <v>Included within Prepaid benefit cost</v>
          </cell>
          <cell r="K226">
            <v>0</v>
          </cell>
          <cell r="L226">
            <v>0</v>
          </cell>
          <cell r="M226">
            <v>0</v>
          </cell>
          <cell r="N226">
            <v>0</v>
          </cell>
          <cell r="O226">
            <v>0</v>
          </cell>
          <cell r="P226">
            <v>0</v>
          </cell>
          <cell r="Q226">
            <v>0</v>
          </cell>
          <cell r="R226">
            <v>0</v>
          </cell>
          <cell r="S226">
            <v>0</v>
          </cell>
          <cell r="T226">
            <v>0</v>
          </cell>
          <cell r="U226">
            <v>0</v>
          </cell>
          <cell r="V226">
            <v>0</v>
          </cell>
        </row>
        <row r="227">
          <cell r="A227" t="str">
            <v>Included within accrued benefit liability, current</v>
          </cell>
          <cell r="K227">
            <v>-83</v>
          </cell>
          <cell r="L227">
            <v>-86</v>
          </cell>
          <cell r="M227">
            <v>-86</v>
          </cell>
          <cell r="N227">
            <v>-88</v>
          </cell>
          <cell r="O227">
            <v>-89</v>
          </cell>
          <cell r="P227">
            <v>-92</v>
          </cell>
          <cell r="Q227">
            <v>-103</v>
          </cell>
          <cell r="R227">
            <v>-110</v>
          </cell>
          <cell r="S227">
            <v>-16</v>
          </cell>
          <cell r="T227">
            <v>-25</v>
          </cell>
          <cell r="U227">
            <v>-26</v>
          </cell>
          <cell r="V227">
            <v>-23</v>
          </cell>
          <cell r="W227">
            <v>-22</v>
          </cell>
          <cell r="X227">
            <v>-22</v>
          </cell>
          <cell r="Y227">
            <v>-22</v>
          </cell>
          <cell r="Z227">
            <v>-22</v>
          </cell>
          <cell r="AA227">
            <v>-22</v>
          </cell>
          <cell r="AB227">
            <v>-22</v>
          </cell>
          <cell r="AC227">
            <v>-22</v>
          </cell>
          <cell r="AD227">
            <v>-22</v>
          </cell>
          <cell r="AE227">
            <v>-22</v>
          </cell>
          <cell r="AF227">
            <v>-22</v>
          </cell>
          <cell r="AG227">
            <v>-22</v>
          </cell>
        </row>
        <row r="228">
          <cell r="A228" t="str">
            <v xml:space="preserve">Included within accrued benefit liability, long-term </v>
          </cell>
          <cell r="S228">
            <v>-254</v>
          </cell>
          <cell r="T228">
            <v>-336</v>
          </cell>
          <cell r="U228">
            <v>-346</v>
          </cell>
          <cell r="V228">
            <v>-330</v>
          </cell>
          <cell r="W228">
            <v>-310</v>
          </cell>
          <cell r="X228">
            <v>-343</v>
          </cell>
          <cell r="Y228">
            <v>-369</v>
          </cell>
          <cell r="Z228">
            <v>-394.6829268292683</v>
          </cell>
          <cell r="AA228">
            <v>-420.89598657393282</v>
          </cell>
          <cell r="AB228">
            <v>-450.60781471046681</v>
          </cell>
          <cell r="AC228">
            <v>-480.31082346996345</v>
          </cell>
          <cell r="AD228">
            <v>-509.61311054958696</v>
          </cell>
          <cell r="AE228">
            <v>-538.72450229069352</v>
          </cell>
          <cell r="AF228">
            <v>-568.75712918084071</v>
          </cell>
          <cell r="AG228">
            <v>-598.79143940452582</v>
          </cell>
        </row>
        <row r="229">
          <cell r="A229" t="str">
            <v>Total</v>
          </cell>
          <cell r="K229">
            <v>-83</v>
          </cell>
          <cell r="L229">
            <v>-86</v>
          </cell>
          <cell r="M229">
            <v>-86</v>
          </cell>
          <cell r="N229">
            <v>-88</v>
          </cell>
          <cell r="O229">
            <v>-89</v>
          </cell>
          <cell r="P229">
            <v>-92</v>
          </cell>
          <cell r="Q229">
            <v>-103</v>
          </cell>
          <cell r="R229">
            <v>-110</v>
          </cell>
          <cell r="S229">
            <v>-270</v>
          </cell>
          <cell r="T229">
            <v>-361</v>
          </cell>
          <cell r="U229">
            <v>-372</v>
          </cell>
          <cell r="V229">
            <v>-353</v>
          </cell>
          <cell r="W229">
            <v>-332</v>
          </cell>
          <cell r="X229">
            <v>-365</v>
          </cell>
          <cell r="Y229">
            <v>-391</v>
          </cell>
          <cell r="Z229">
            <v>-416.6829268292683</v>
          </cell>
          <cell r="AA229">
            <v>-442.89598657393282</v>
          </cell>
          <cell r="AB229">
            <v>-472.60781471046681</v>
          </cell>
          <cell r="AC229">
            <v>-502.31082346996345</v>
          </cell>
          <cell r="AD229">
            <v>-531.61311054958696</v>
          </cell>
          <cell r="AE229">
            <v>-560.72450229069352</v>
          </cell>
          <cell r="AF229">
            <v>-590.75712918084071</v>
          </cell>
          <cell r="AG229">
            <v>-620.79143940452582</v>
          </cell>
        </row>
        <row r="231">
          <cell r="A231" t="str">
            <v>Amounts recognized in accumluated other comp income/ (loss)</v>
          </cell>
          <cell r="Q231">
            <v>0</v>
          </cell>
          <cell r="R231">
            <v>0</v>
          </cell>
          <cell r="S231">
            <v>30</v>
          </cell>
          <cell r="T231">
            <v>-361</v>
          </cell>
          <cell r="U231">
            <v>-372</v>
          </cell>
          <cell r="V231">
            <v>-353</v>
          </cell>
        </row>
        <row r="233">
          <cell r="A233" t="str">
            <v>Net actuarial loss (gain)</v>
          </cell>
          <cell r="K233">
            <v>8</v>
          </cell>
          <cell r="L233">
            <v>19</v>
          </cell>
          <cell r="M233">
            <v>9</v>
          </cell>
          <cell r="N233">
            <v>7</v>
          </cell>
          <cell r="O233">
            <v>11</v>
          </cell>
          <cell r="P233">
            <v>13</v>
          </cell>
          <cell r="Q233">
            <v>-1</v>
          </cell>
          <cell r="R233">
            <v>3</v>
          </cell>
          <cell r="S233">
            <v>-1</v>
          </cell>
          <cell r="T233">
            <v>-22</v>
          </cell>
          <cell r="U233">
            <v>-4</v>
          </cell>
          <cell r="V233">
            <v>3</v>
          </cell>
        </row>
        <row r="234">
          <cell r="A234" t="str">
            <v>Prior service cost (credit)</v>
          </cell>
          <cell r="K234">
            <v>-18</v>
          </cell>
          <cell r="L234">
            <v>-33</v>
          </cell>
          <cell r="M234">
            <v>-26</v>
          </cell>
          <cell r="N234">
            <v>-4</v>
          </cell>
          <cell r="O234">
            <v>-12</v>
          </cell>
          <cell r="P234">
            <v>-11</v>
          </cell>
          <cell r="Q234">
            <v>-6</v>
          </cell>
          <cell r="R234">
            <v>-25</v>
          </cell>
          <cell r="S234">
            <v>31</v>
          </cell>
          <cell r="T234">
            <v>-47</v>
          </cell>
          <cell r="U234">
            <v>-60</v>
          </cell>
          <cell r="V234">
            <v>-76</v>
          </cell>
        </row>
        <row r="235">
          <cell r="A235" t="str">
            <v>Total</v>
          </cell>
          <cell r="K235">
            <v>-10</v>
          </cell>
          <cell r="L235">
            <v>-14</v>
          </cell>
          <cell r="M235">
            <v>-17</v>
          </cell>
          <cell r="N235">
            <v>3</v>
          </cell>
          <cell r="O235">
            <v>-1</v>
          </cell>
          <cell r="P235">
            <v>2</v>
          </cell>
          <cell r="Q235">
            <v>-7</v>
          </cell>
          <cell r="R235">
            <v>-22</v>
          </cell>
          <cell r="S235">
            <v>30</v>
          </cell>
          <cell r="T235">
            <v>-69</v>
          </cell>
          <cell r="U235">
            <v>-64</v>
          </cell>
          <cell r="V235">
            <v>-73</v>
          </cell>
        </row>
        <row r="238">
          <cell r="A238" t="str">
            <v>Cash and debt</v>
          </cell>
        </row>
        <row r="240">
          <cell r="A240" t="str">
            <v>Short Term Debt</v>
          </cell>
        </row>
        <row r="241">
          <cell r="A241" t="str">
            <v>Beginning</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2415</v>
          </cell>
          <cell r="V241">
            <v>774</v>
          </cell>
          <cell r="W241">
            <v>6182</v>
          </cell>
          <cell r="X241">
            <v>42</v>
          </cell>
          <cell r="Y241">
            <v>48</v>
          </cell>
          <cell r="Z241">
            <v>95</v>
          </cell>
          <cell r="AA241">
            <v>47</v>
          </cell>
          <cell r="AB241">
            <v>47</v>
          </cell>
          <cell r="AC241">
            <v>1798.0140908289532</v>
          </cell>
          <cell r="AD241">
            <v>1960.8018468297091</v>
          </cell>
          <cell r="AE241">
            <v>2211.6466023718167</v>
          </cell>
          <cell r="AF241">
            <v>2136.8681709232478</v>
          </cell>
          <cell r="AG241">
            <v>1831.9258043768834</v>
          </cell>
        </row>
        <row r="242">
          <cell r="A242" t="str">
            <v>New Debt</v>
          </cell>
          <cell r="F242">
            <v>4</v>
          </cell>
          <cell r="G242">
            <v>16</v>
          </cell>
          <cell r="H242">
            <v>0</v>
          </cell>
          <cell r="I242">
            <v>0</v>
          </cell>
          <cell r="J242">
            <v>50</v>
          </cell>
          <cell r="K242">
            <v>0</v>
          </cell>
          <cell r="L242">
            <v>0</v>
          </cell>
          <cell r="M242">
            <v>0</v>
          </cell>
          <cell r="N242">
            <v>0</v>
          </cell>
          <cell r="O242">
            <v>0</v>
          </cell>
          <cell r="P242">
            <v>0</v>
          </cell>
          <cell r="Q242">
            <v>0</v>
          </cell>
          <cell r="R242">
            <v>0</v>
          </cell>
          <cell r="S242">
            <v>0</v>
          </cell>
          <cell r="T242">
            <v>80</v>
          </cell>
          <cell r="U242">
            <v>5</v>
          </cell>
          <cell r="V242">
            <v>2459</v>
          </cell>
          <cell r="W242">
            <v>-2495</v>
          </cell>
          <cell r="X242">
            <v>0</v>
          </cell>
          <cell r="Y242">
            <v>0</v>
          </cell>
          <cell r="Z242">
            <v>0</v>
          </cell>
          <cell r="AA242">
            <v>0</v>
          </cell>
          <cell r="AB242">
            <v>1751.0140908289532</v>
          </cell>
          <cell r="AC242">
            <v>162.78775600075596</v>
          </cell>
          <cell r="AD242">
            <v>250.84475554210758</v>
          </cell>
          <cell r="AE242">
            <v>0</v>
          </cell>
          <cell r="AF242">
            <v>0</v>
          </cell>
          <cell r="AG242">
            <v>0</v>
          </cell>
        </row>
        <row r="243">
          <cell r="A243" t="str">
            <v>Repayments</v>
          </cell>
          <cell r="F243">
            <v>0</v>
          </cell>
          <cell r="G243">
            <v>0</v>
          </cell>
          <cell r="H243">
            <v>83</v>
          </cell>
          <cell r="I243">
            <v>-43</v>
          </cell>
          <cell r="J243">
            <v>0</v>
          </cell>
          <cell r="K243">
            <v>-100</v>
          </cell>
          <cell r="L243">
            <v>0</v>
          </cell>
          <cell r="M243">
            <v>0</v>
          </cell>
          <cell r="N243">
            <v>0</v>
          </cell>
          <cell r="O243">
            <v>0</v>
          </cell>
          <cell r="P243">
            <v>0</v>
          </cell>
          <cell r="Q243">
            <v>0</v>
          </cell>
          <cell r="R243">
            <v>0</v>
          </cell>
          <cell r="S243">
            <v>0</v>
          </cell>
          <cell r="T243">
            <v>-146</v>
          </cell>
          <cell r="U243">
            <v>1503</v>
          </cell>
          <cell r="V243">
            <v>-1176</v>
          </cell>
          <cell r="W243">
            <v>-382</v>
          </cell>
          <cell r="X243">
            <v>0</v>
          </cell>
          <cell r="Y243">
            <v>0</v>
          </cell>
          <cell r="Z243">
            <v>-48</v>
          </cell>
          <cell r="AA243">
            <v>0</v>
          </cell>
          <cell r="AB243">
            <v>0</v>
          </cell>
          <cell r="AC243">
            <v>0</v>
          </cell>
          <cell r="AD243">
            <v>0</v>
          </cell>
          <cell r="AE243">
            <v>-74.778431448568881</v>
          </cell>
          <cell r="AF243">
            <v>-304.94236654636438</v>
          </cell>
          <cell r="AG243">
            <v>-306.87021113044307</v>
          </cell>
        </row>
        <row r="244">
          <cell r="A244" t="str">
            <v>Acquired/Others</v>
          </cell>
          <cell r="F244">
            <v>-4</v>
          </cell>
          <cell r="G244">
            <v>-16</v>
          </cell>
          <cell r="H244">
            <v>-83</v>
          </cell>
          <cell r="I244">
            <v>43</v>
          </cell>
          <cell r="J244">
            <v>-50</v>
          </cell>
          <cell r="K244">
            <v>100</v>
          </cell>
          <cell r="L244">
            <v>0</v>
          </cell>
          <cell r="M244">
            <v>0</v>
          </cell>
          <cell r="N244">
            <v>0</v>
          </cell>
          <cell r="O244">
            <v>0</v>
          </cell>
          <cell r="P244">
            <v>0</v>
          </cell>
          <cell r="Q244">
            <v>0</v>
          </cell>
          <cell r="R244">
            <v>0</v>
          </cell>
          <cell r="S244">
            <v>0</v>
          </cell>
          <cell r="T244">
            <v>2481</v>
          </cell>
          <cell r="U244">
            <v>-3149</v>
          </cell>
          <cell r="V244">
            <v>4125</v>
          </cell>
          <cell r="W244">
            <v>-3263</v>
          </cell>
          <cell r="X244">
            <v>6</v>
          </cell>
          <cell r="Y244">
            <v>47</v>
          </cell>
          <cell r="Z244">
            <v>0</v>
          </cell>
          <cell r="AA244">
            <v>0</v>
          </cell>
          <cell r="AB244">
            <v>0</v>
          </cell>
          <cell r="AC244">
            <v>0</v>
          </cell>
          <cell r="AD244">
            <v>0</v>
          </cell>
          <cell r="AE244">
            <v>0</v>
          </cell>
          <cell r="AF244">
            <v>0</v>
          </cell>
          <cell r="AG244">
            <v>0</v>
          </cell>
        </row>
        <row r="245">
          <cell r="A245" t="str">
            <v xml:space="preserve">End </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2415</v>
          </cell>
          <cell r="U245">
            <v>774</v>
          </cell>
          <cell r="V245">
            <v>6182</v>
          </cell>
          <cell r="W245">
            <v>42</v>
          </cell>
          <cell r="X245">
            <v>48</v>
          </cell>
          <cell r="Y245">
            <v>95</v>
          </cell>
          <cell r="Z245">
            <v>47</v>
          </cell>
          <cell r="AA245">
            <v>47</v>
          </cell>
          <cell r="AB245">
            <v>1798.0140908289532</v>
          </cell>
          <cell r="AC245">
            <v>1960.8018468297091</v>
          </cell>
          <cell r="AD245">
            <v>2211.6466023718167</v>
          </cell>
          <cell r="AE245">
            <v>2136.8681709232478</v>
          </cell>
          <cell r="AF245">
            <v>1831.9258043768834</v>
          </cell>
          <cell r="AG245">
            <v>1525.0555932464404</v>
          </cell>
        </row>
        <row r="247">
          <cell r="A247" t="str">
            <v>Current Maturities of long-term debt</v>
          </cell>
        </row>
        <row r="248">
          <cell r="A248" t="str">
            <v>Beginning</v>
          </cell>
          <cell r="F248">
            <v>29</v>
          </cell>
          <cell r="G248">
            <v>8</v>
          </cell>
          <cell r="H248">
            <v>10</v>
          </cell>
          <cell r="I248">
            <v>150</v>
          </cell>
          <cell r="J248">
            <v>112</v>
          </cell>
          <cell r="K248">
            <v>0</v>
          </cell>
          <cell r="L248">
            <v>1603</v>
          </cell>
          <cell r="M248">
            <v>225</v>
          </cell>
          <cell r="N248">
            <v>10</v>
          </cell>
          <cell r="O248">
            <v>7</v>
          </cell>
          <cell r="P248">
            <v>1</v>
          </cell>
          <cell r="Q248">
            <v>0</v>
          </cell>
          <cell r="R248">
            <v>308</v>
          </cell>
          <cell r="S248">
            <v>319</v>
          </cell>
          <cell r="T248">
            <v>22</v>
          </cell>
          <cell r="U248">
            <v>459</v>
          </cell>
          <cell r="V248">
            <v>22891</v>
          </cell>
          <cell r="W248">
            <v>497</v>
          </cell>
          <cell r="X248">
            <v>4</v>
          </cell>
          <cell r="Y248">
            <v>4</v>
          </cell>
          <cell r="Z248">
            <v>1</v>
          </cell>
          <cell r="AA248">
            <v>0</v>
          </cell>
          <cell r="AB248">
            <v>0</v>
          </cell>
          <cell r="AC248">
            <v>0</v>
          </cell>
          <cell r="AD248">
            <v>0</v>
          </cell>
          <cell r="AE248">
            <v>0</v>
          </cell>
          <cell r="AF248">
            <v>0</v>
          </cell>
          <cell r="AG248">
            <v>0</v>
          </cell>
        </row>
        <row r="249">
          <cell r="A249" t="str">
            <v>From long-term debt</v>
          </cell>
          <cell r="E249">
            <v>29</v>
          </cell>
          <cell r="F249">
            <v>8</v>
          </cell>
          <cell r="G249">
            <v>10</v>
          </cell>
          <cell r="H249">
            <v>150</v>
          </cell>
          <cell r="I249">
            <v>112</v>
          </cell>
          <cell r="J249">
            <v>0</v>
          </cell>
          <cell r="K249">
            <v>1603</v>
          </cell>
          <cell r="L249">
            <v>225</v>
          </cell>
          <cell r="M249">
            <v>10</v>
          </cell>
          <cell r="N249">
            <v>7</v>
          </cell>
          <cell r="O249">
            <v>1</v>
          </cell>
          <cell r="P249">
            <v>0</v>
          </cell>
          <cell r="Q249">
            <v>308</v>
          </cell>
          <cell r="R249">
            <v>319</v>
          </cell>
          <cell r="S249">
            <v>22</v>
          </cell>
          <cell r="T249">
            <v>459</v>
          </cell>
          <cell r="U249">
            <v>22891</v>
          </cell>
          <cell r="V249">
            <v>497</v>
          </cell>
          <cell r="W249">
            <v>4</v>
          </cell>
          <cell r="X249">
            <v>0</v>
          </cell>
          <cell r="Y249">
            <v>0</v>
          </cell>
          <cell r="Z249">
            <v>0</v>
          </cell>
        </row>
        <row r="250">
          <cell r="A250" t="str">
            <v>Repayment</v>
          </cell>
          <cell r="F250">
            <v>-29</v>
          </cell>
          <cell r="G250">
            <v>-8</v>
          </cell>
          <cell r="H250">
            <v>-10</v>
          </cell>
          <cell r="I250">
            <v>-150</v>
          </cell>
          <cell r="J250">
            <v>-112</v>
          </cell>
          <cell r="K250">
            <v>0</v>
          </cell>
          <cell r="L250">
            <v>-1603</v>
          </cell>
          <cell r="M250">
            <v>-225</v>
          </cell>
          <cell r="N250">
            <v>-10</v>
          </cell>
          <cell r="O250">
            <v>-7</v>
          </cell>
          <cell r="P250">
            <v>-1</v>
          </cell>
          <cell r="Q250">
            <v>0</v>
          </cell>
          <cell r="R250">
            <v>-308</v>
          </cell>
          <cell r="S250">
            <v>-319</v>
          </cell>
          <cell r="T250">
            <v>-22</v>
          </cell>
          <cell r="U250">
            <v>-459</v>
          </cell>
          <cell r="V250">
            <v>-22891</v>
          </cell>
          <cell r="W250">
            <v>-497</v>
          </cell>
          <cell r="X250">
            <v>0</v>
          </cell>
          <cell r="Y250">
            <v>-3</v>
          </cell>
          <cell r="Z250">
            <v>-1</v>
          </cell>
          <cell r="AA250">
            <v>0</v>
          </cell>
          <cell r="AB250">
            <v>0</v>
          </cell>
          <cell r="AC250">
            <v>0</v>
          </cell>
          <cell r="AD250">
            <v>0</v>
          </cell>
          <cell r="AE250">
            <v>0</v>
          </cell>
          <cell r="AF250">
            <v>0</v>
          </cell>
          <cell r="AG250">
            <v>0</v>
          </cell>
        </row>
        <row r="251">
          <cell r="A251" t="str">
            <v xml:space="preserve">End </v>
          </cell>
          <cell r="E251">
            <v>29</v>
          </cell>
          <cell r="F251">
            <v>8</v>
          </cell>
          <cell r="G251">
            <v>10</v>
          </cell>
          <cell r="H251">
            <v>150</v>
          </cell>
          <cell r="I251">
            <v>112</v>
          </cell>
          <cell r="J251">
            <v>0</v>
          </cell>
          <cell r="K251">
            <v>1603</v>
          </cell>
          <cell r="L251">
            <v>225</v>
          </cell>
          <cell r="M251">
            <v>10</v>
          </cell>
          <cell r="N251">
            <v>7</v>
          </cell>
          <cell r="O251">
            <v>1</v>
          </cell>
          <cell r="P251">
            <v>0</v>
          </cell>
          <cell r="Q251">
            <v>308</v>
          </cell>
          <cell r="R251">
            <v>319</v>
          </cell>
          <cell r="S251">
            <v>22</v>
          </cell>
          <cell r="T251">
            <v>459</v>
          </cell>
          <cell r="U251">
            <v>22891</v>
          </cell>
          <cell r="V251">
            <v>497</v>
          </cell>
          <cell r="W251">
            <v>4</v>
          </cell>
          <cell r="X251">
            <v>4</v>
          </cell>
          <cell r="Y251">
            <v>1</v>
          </cell>
          <cell r="Z251">
            <v>0</v>
          </cell>
          <cell r="AA251">
            <v>0</v>
          </cell>
          <cell r="AB251">
            <v>0</v>
          </cell>
          <cell r="AC251">
            <v>0</v>
          </cell>
          <cell r="AD251">
            <v>0</v>
          </cell>
          <cell r="AE251">
            <v>0</v>
          </cell>
          <cell r="AF251">
            <v>0</v>
          </cell>
          <cell r="AG251">
            <v>0</v>
          </cell>
        </row>
        <row r="253">
          <cell r="A253" t="str">
            <v>Long Term Debt</v>
          </cell>
        </row>
        <row r="254">
          <cell r="A254" t="str">
            <v>Beginning</v>
          </cell>
          <cell r="F254">
            <v>725</v>
          </cell>
          <cell r="G254">
            <v>717</v>
          </cell>
          <cell r="H254">
            <v>707</v>
          </cell>
          <cell r="I254">
            <v>807</v>
          </cell>
          <cell r="J254">
            <v>1194</v>
          </cell>
          <cell r="K254">
            <v>345</v>
          </cell>
          <cell r="L254">
            <v>5391</v>
          </cell>
          <cell r="M254">
            <v>6046</v>
          </cell>
          <cell r="N254">
            <v>3844</v>
          </cell>
          <cell r="O254">
            <v>3846</v>
          </cell>
          <cell r="P254">
            <v>3926</v>
          </cell>
          <cell r="Q254">
            <v>4151</v>
          </cell>
          <cell r="R254">
            <v>7555</v>
          </cell>
          <cell r="S254">
            <v>5974</v>
          </cell>
          <cell r="T254">
            <v>8018</v>
          </cell>
          <cell r="U254">
            <v>21541</v>
          </cell>
          <cell r="V254">
            <v>304</v>
          </cell>
          <cell r="W254">
            <v>305</v>
          </cell>
          <cell r="X254">
            <v>6036</v>
          </cell>
          <cell r="Y254">
            <v>3980</v>
          </cell>
          <cell r="Z254">
            <v>4304</v>
          </cell>
          <cell r="AA254">
            <v>4253</v>
          </cell>
          <cell r="AB254">
            <v>8339.1763364073431</v>
          </cell>
          <cell r="AC254">
            <v>7192.0563633158117</v>
          </cell>
          <cell r="AD254">
            <v>7843.2073873188365</v>
          </cell>
          <cell r="AE254">
            <v>8846.5864094872668</v>
          </cell>
          <cell r="AF254">
            <v>8547.4726836929913</v>
          </cell>
          <cell r="AG254">
            <v>7327.7032175075337</v>
          </cell>
        </row>
        <row r="255">
          <cell r="A255" t="str">
            <v>New Debt</v>
          </cell>
          <cell r="F255">
            <v>0</v>
          </cell>
          <cell r="G255">
            <v>0</v>
          </cell>
          <cell r="H255">
            <v>250</v>
          </cell>
          <cell r="I255">
            <v>499</v>
          </cell>
          <cell r="J255">
            <v>0</v>
          </cell>
          <cell r="K255">
            <v>0</v>
          </cell>
          <cell r="L255">
            <v>3400</v>
          </cell>
          <cell r="M255">
            <v>0</v>
          </cell>
          <cell r="N255">
            <v>385</v>
          </cell>
          <cell r="O255">
            <v>591</v>
          </cell>
          <cell r="P255">
            <v>318</v>
          </cell>
          <cell r="Q255">
            <v>4</v>
          </cell>
          <cell r="R255">
            <v>100</v>
          </cell>
          <cell r="S255">
            <v>4357</v>
          </cell>
          <cell r="T255">
            <v>21761</v>
          </cell>
          <cell r="U255">
            <v>1</v>
          </cell>
          <cell r="V255">
            <v>0</v>
          </cell>
          <cell r="W255">
            <v>2455</v>
          </cell>
          <cell r="X255">
            <v>1000</v>
          </cell>
          <cell r="Y255">
            <v>3000</v>
          </cell>
          <cell r="Z255">
            <v>0</v>
          </cell>
          <cell r="AA255">
            <v>4086.1763364073431</v>
          </cell>
          <cell r="AB255">
            <v>0</v>
          </cell>
          <cell r="AC255">
            <v>651.15102400302476</v>
          </cell>
          <cell r="AD255">
            <v>1003.3790221684303</v>
          </cell>
          <cell r="AE255">
            <v>0</v>
          </cell>
          <cell r="AF255">
            <v>0</v>
          </cell>
          <cell r="AG255">
            <v>0</v>
          </cell>
        </row>
        <row r="256">
          <cell r="A256" t="str">
            <v>Repayment</v>
          </cell>
          <cell r="F256">
            <v>-29</v>
          </cell>
          <cell r="G256">
            <v>-8</v>
          </cell>
          <cell r="H256">
            <v>-10</v>
          </cell>
          <cell r="I256">
            <v>-150</v>
          </cell>
          <cell r="J256">
            <v>-112</v>
          </cell>
          <cell r="K256">
            <v>-715</v>
          </cell>
          <cell r="L256">
            <v>-4122</v>
          </cell>
          <cell r="M256">
            <v>-2417</v>
          </cell>
          <cell r="N256">
            <v>-394</v>
          </cell>
          <cell r="O256">
            <v>-543</v>
          </cell>
          <cell r="P256">
            <v>-103</v>
          </cell>
          <cell r="Q256">
            <v>-319</v>
          </cell>
          <cell r="R256">
            <v>-1512</v>
          </cell>
          <cell r="S256">
            <v>-2677</v>
          </cell>
          <cell r="T256">
            <v>-9103</v>
          </cell>
          <cell r="U256">
            <v>-384</v>
          </cell>
          <cell r="V256">
            <v>-68</v>
          </cell>
          <cell r="W256">
            <v>0</v>
          </cell>
          <cell r="X256">
            <v>-3063</v>
          </cell>
          <cell r="Y256">
            <v>-2679</v>
          </cell>
          <cell r="Z256">
            <v>-51</v>
          </cell>
          <cell r="AA256">
            <v>0</v>
          </cell>
          <cell r="AB256">
            <v>-1147.1199730915314</v>
          </cell>
          <cell r="AC256">
            <v>0</v>
          </cell>
          <cell r="AD256">
            <v>0</v>
          </cell>
          <cell r="AE256">
            <v>-299.11372579427552</v>
          </cell>
          <cell r="AF256">
            <v>-1219.7694661854575</v>
          </cell>
          <cell r="AG256">
            <v>-1227.4808445217732</v>
          </cell>
        </row>
        <row r="257">
          <cell r="A257" t="str">
            <v>Acquired</v>
          </cell>
          <cell r="F257">
            <v>21</v>
          </cell>
          <cell r="G257">
            <v>-2</v>
          </cell>
          <cell r="H257">
            <v>-140</v>
          </cell>
          <cell r="I257">
            <v>38</v>
          </cell>
          <cell r="J257">
            <v>-737</v>
          </cell>
          <cell r="K257">
            <v>5761</v>
          </cell>
          <cell r="L257">
            <v>1377</v>
          </cell>
          <cell r="M257">
            <v>215</v>
          </cell>
          <cell r="N257">
            <v>11</v>
          </cell>
          <cell r="O257">
            <v>32</v>
          </cell>
          <cell r="P257">
            <v>10</v>
          </cell>
          <cell r="Q257">
            <v>3719</v>
          </cell>
          <cell r="R257">
            <v>-169</v>
          </cell>
          <cell r="S257">
            <v>364</v>
          </cell>
          <cell r="T257">
            <v>865</v>
          </cell>
          <cell r="U257">
            <v>-20854</v>
          </cell>
          <cell r="V257">
            <v>69</v>
          </cell>
          <cell r="W257">
            <v>3276</v>
          </cell>
          <cell r="X257">
            <v>7</v>
          </cell>
          <cell r="Y257">
            <v>3</v>
          </cell>
          <cell r="Z257">
            <v>0</v>
          </cell>
          <cell r="AA257">
            <v>0</v>
          </cell>
          <cell r="AB257">
            <v>0</v>
          </cell>
          <cell r="AC257">
            <v>0</v>
          </cell>
          <cell r="AD257">
            <v>0</v>
          </cell>
          <cell r="AE257">
            <v>0</v>
          </cell>
          <cell r="AF257">
            <v>0</v>
          </cell>
          <cell r="AG257">
            <v>0</v>
          </cell>
        </row>
        <row r="258">
          <cell r="A258" t="str">
            <v xml:space="preserve">End </v>
          </cell>
          <cell r="E258">
            <v>725</v>
          </cell>
          <cell r="F258">
            <v>717</v>
          </cell>
          <cell r="G258">
            <v>707</v>
          </cell>
          <cell r="H258">
            <v>807</v>
          </cell>
          <cell r="I258">
            <v>1194</v>
          </cell>
          <cell r="J258">
            <v>345</v>
          </cell>
          <cell r="K258">
            <v>5391</v>
          </cell>
          <cell r="L258">
            <v>6046</v>
          </cell>
          <cell r="M258">
            <v>3844</v>
          </cell>
          <cell r="N258">
            <v>3846</v>
          </cell>
          <cell r="O258">
            <v>3926</v>
          </cell>
          <cell r="P258">
            <v>4151</v>
          </cell>
          <cell r="Q258">
            <v>7555</v>
          </cell>
          <cell r="R258">
            <v>5974</v>
          </cell>
          <cell r="S258">
            <v>8018</v>
          </cell>
          <cell r="T258">
            <v>21541</v>
          </cell>
          <cell r="U258">
            <v>304</v>
          </cell>
          <cell r="V258">
            <v>305</v>
          </cell>
          <cell r="W258">
            <v>6036</v>
          </cell>
          <cell r="X258">
            <v>3980</v>
          </cell>
          <cell r="Y258">
            <v>4304</v>
          </cell>
          <cell r="Z258">
            <v>4253</v>
          </cell>
          <cell r="AA258">
            <v>8339.1763364073431</v>
          </cell>
          <cell r="AB258">
            <v>7192.0563633158117</v>
          </cell>
          <cell r="AC258">
            <v>7843.2073873188365</v>
          </cell>
          <cell r="AD258">
            <v>8846.5864094872668</v>
          </cell>
          <cell r="AE258">
            <v>8547.4726836929913</v>
          </cell>
          <cell r="AF258">
            <v>7327.7032175075337</v>
          </cell>
          <cell r="AG258">
            <v>6100.2223729857606</v>
          </cell>
        </row>
        <row r="260">
          <cell r="A260" t="str">
            <v>Total debt</v>
          </cell>
          <cell r="E260">
            <v>754</v>
          </cell>
          <cell r="F260">
            <v>725</v>
          </cell>
          <cell r="G260">
            <v>717</v>
          </cell>
          <cell r="H260">
            <v>957</v>
          </cell>
          <cell r="I260">
            <v>1306</v>
          </cell>
          <cell r="J260">
            <v>345</v>
          </cell>
          <cell r="K260">
            <v>6994</v>
          </cell>
          <cell r="L260">
            <v>6271</v>
          </cell>
          <cell r="M260">
            <v>3854</v>
          </cell>
          <cell r="N260">
            <v>3853</v>
          </cell>
          <cell r="O260">
            <v>3927</v>
          </cell>
          <cell r="P260">
            <v>4151</v>
          </cell>
          <cell r="Q260">
            <v>7863</v>
          </cell>
          <cell r="R260">
            <v>6293</v>
          </cell>
          <cell r="S260">
            <v>8040</v>
          </cell>
          <cell r="T260">
            <v>24415</v>
          </cell>
          <cell r="U260">
            <v>23969</v>
          </cell>
          <cell r="V260">
            <v>6984</v>
          </cell>
          <cell r="W260">
            <v>6082</v>
          </cell>
          <cell r="X260">
            <v>4032</v>
          </cell>
          <cell r="Y260">
            <v>4400</v>
          </cell>
          <cell r="Z260">
            <v>4300</v>
          </cell>
          <cell r="AA260">
            <v>8386.1763364073431</v>
          </cell>
          <cell r="AB260">
            <v>8990.0704541447649</v>
          </cell>
          <cell r="AC260">
            <v>9804.0092341485451</v>
          </cell>
          <cell r="AD260">
            <v>11058.233011859083</v>
          </cell>
          <cell r="AE260">
            <v>10684.340854616239</v>
          </cell>
          <cell r="AF260">
            <v>9159.6290218844169</v>
          </cell>
          <cell r="AG260">
            <v>7625.2779662322009</v>
          </cell>
        </row>
        <row r="262">
          <cell r="A262" t="str">
            <v>Cash and cash equivalents at year start</v>
          </cell>
          <cell r="F262">
            <v>108</v>
          </cell>
          <cell r="G262">
            <v>113</v>
          </cell>
          <cell r="H262">
            <v>94</v>
          </cell>
          <cell r="I262">
            <v>10</v>
          </cell>
          <cell r="J262">
            <v>68</v>
          </cell>
          <cell r="K262">
            <v>86</v>
          </cell>
          <cell r="L262">
            <v>233</v>
          </cell>
          <cell r="M262">
            <v>307</v>
          </cell>
          <cell r="N262">
            <v>260</v>
          </cell>
          <cell r="O262">
            <v>146</v>
          </cell>
          <cell r="P262">
            <v>286</v>
          </cell>
          <cell r="Q262">
            <v>438</v>
          </cell>
          <cell r="R262">
            <v>804</v>
          </cell>
          <cell r="S262">
            <v>593</v>
          </cell>
          <cell r="T262">
            <v>446</v>
          </cell>
          <cell r="U262">
            <v>560</v>
          </cell>
          <cell r="V262">
            <v>858</v>
          </cell>
          <cell r="W262">
            <v>558</v>
          </cell>
          <cell r="X262">
            <v>4222</v>
          </cell>
          <cell r="Y262">
            <v>1065</v>
          </cell>
          <cell r="Z262">
            <v>2732</v>
          </cell>
          <cell r="AA262">
            <v>3127.4135435410835</v>
          </cell>
          <cell r="AB262">
            <v>4587.9865573114776</v>
          </cell>
          <cell r="AC262">
            <v>3786.3661266704503</v>
          </cell>
          <cell r="AD262">
            <v>4870.3552840215771</v>
          </cell>
          <cell r="AE262">
            <v>6391.641976152494</v>
          </cell>
          <cell r="AF262">
            <v>6247.7261368908503</v>
          </cell>
          <cell r="AG262">
            <v>4822.1318902075609</v>
          </cell>
        </row>
        <row r="263">
          <cell r="A263" t="str">
            <v>Cash and cash equivalents at year end</v>
          </cell>
          <cell r="F263">
            <v>113</v>
          </cell>
          <cell r="G263">
            <v>94</v>
          </cell>
          <cell r="H263">
            <v>10</v>
          </cell>
          <cell r="I263">
            <v>68</v>
          </cell>
          <cell r="J263">
            <v>86</v>
          </cell>
          <cell r="K263">
            <v>233</v>
          </cell>
          <cell r="L263">
            <v>307</v>
          </cell>
          <cell r="M263">
            <v>260</v>
          </cell>
          <cell r="N263">
            <v>146</v>
          </cell>
          <cell r="O263">
            <v>286</v>
          </cell>
          <cell r="P263">
            <v>438</v>
          </cell>
          <cell r="Q263">
            <v>804</v>
          </cell>
          <cell r="R263">
            <v>593</v>
          </cell>
          <cell r="S263">
            <v>446</v>
          </cell>
          <cell r="T263">
            <v>560</v>
          </cell>
          <cell r="U263">
            <v>858</v>
          </cell>
          <cell r="V263">
            <v>558</v>
          </cell>
          <cell r="W263">
            <v>4222</v>
          </cell>
          <cell r="X263">
            <v>1065</v>
          </cell>
          <cell r="Y263">
            <v>2732</v>
          </cell>
          <cell r="Z263">
            <v>3127.4135435410835</v>
          </cell>
          <cell r="AA263">
            <v>4587.9865573114776</v>
          </cell>
          <cell r="AB263">
            <v>3786.3661266704503</v>
          </cell>
          <cell r="AC263">
            <v>4870.3552840215771</v>
          </cell>
          <cell r="AD263">
            <v>6391.641976152494</v>
          </cell>
          <cell r="AE263">
            <v>6247.7261368908503</v>
          </cell>
          <cell r="AF263">
            <v>4822.1318902075609</v>
          </cell>
          <cell r="AG263">
            <v>3379.484511594409</v>
          </cell>
        </row>
        <row r="265">
          <cell r="A265" t="str">
            <v>Interest rate on short term debt</v>
          </cell>
          <cell r="F265" t="str">
            <v>NM</v>
          </cell>
          <cell r="G265" t="str">
            <v>NM</v>
          </cell>
          <cell r="H265" t="str">
            <v>NM</v>
          </cell>
          <cell r="I265" t="str">
            <v>NM</v>
          </cell>
          <cell r="J265" t="str">
            <v>NM</v>
          </cell>
          <cell r="K265" t="str">
            <v>NM</v>
          </cell>
          <cell r="L265" t="str">
            <v>NM</v>
          </cell>
          <cell r="M265" t="str">
            <v>NM</v>
          </cell>
          <cell r="N265" t="str">
            <v>NM</v>
          </cell>
          <cell r="O265" t="str">
            <v>NM</v>
          </cell>
          <cell r="P265" t="str">
            <v>NM</v>
          </cell>
          <cell r="Q265" t="str">
            <v>NM</v>
          </cell>
          <cell r="R265" t="str">
            <v>NM</v>
          </cell>
          <cell r="S265" t="str">
            <v>NM</v>
          </cell>
          <cell r="T265">
            <v>0.05</v>
          </cell>
          <cell r="U265">
            <v>2.693634368140483E-2</v>
          </cell>
          <cell r="V265">
            <v>0.05</v>
          </cell>
          <cell r="W265">
            <v>0</v>
          </cell>
          <cell r="X265">
            <v>0</v>
          </cell>
          <cell r="Y265">
            <v>0</v>
          </cell>
          <cell r="Z265">
            <v>0</v>
          </cell>
          <cell r="AA265">
            <v>0</v>
          </cell>
          <cell r="AB265">
            <v>0</v>
          </cell>
          <cell r="AC265">
            <v>0</v>
          </cell>
          <cell r="AD265">
            <v>0</v>
          </cell>
          <cell r="AE265">
            <v>0</v>
          </cell>
          <cell r="AF265">
            <v>0</v>
          </cell>
          <cell r="AG265">
            <v>0</v>
          </cell>
        </row>
        <row r="266">
          <cell r="A266" t="str">
            <v>Interest rate on long term debt</v>
          </cell>
          <cell r="F266">
            <v>9.58630831643002E-2</v>
          </cell>
          <cell r="G266">
            <v>9.5795423023578366E-2</v>
          </cell>
          <cell r="H266">
            <v>9.0891278375149334E-2</v>
          </cell>
          <cell r="I266">
            <v>7.5480335837384005E-2</v>
          </cell>
          <cell r="J266">
            <v>1.1910963052695336E-2</v>
          </cell>
          <cell r="K266">
            <v>7.1759435890448281E-2</v>
          </cell>
          <cell r="L266">
            <v>7.5414174142480223E-2</v>
          </cell>
          <cell r="M266">
            <v>8.4952287407407415E-2</v>
          </cell>
          <cell r="N266">
            <v>9.087515245880369E-2</v>
          </cell>
          <cell r="O266">
            <v>9.5428938303341884E-2</v>
          </cell>
          <cell r="P266">
            <v>9.8625216637781621E-2</v>
          </cell>
          <cell r="Q266">
            <v>9.37393873813884E-2</v>
          </cell>
          <cell r="R266">
            <v>8.6502286945464843E-2</v>
          </cell>
          <cell r="S266">
            <v>7.9946882020512117E-2</v>
          </cell>
          <cell r="T266">
            <v>5.6592376830892147E-2</v>
          </cell>
          <cell r="U266">
            <v>7.1095618984400935E-2</v>
          </cell>
          <cell r="V266">
            <v>6.1549360336708766E-3</v>
          </cell>
          <cell r="W266">
            <v>0</v>
          </cell>
          <cell r="X266">
            <v>0</v>
          </cell>
          <cell r="Y266">
            <v>0</v>
          </cell>
          <cell r="Z266">
            <v>0</v>
          </cell>
          <cell r="AA266">
            <v>0</v>
          </cell>
          <cell r="AB266">
            <v>0</v>
          </cell>
          <cell r="AC266">
            <v>0</v>
          </cell>
          <cell r="AD266">
            <v>0</v>
          </cell>
          <cell r="AE266">
            <v>0</v>
          </cell>
          <cell r="AF266">
            <v>0</v>
          </cell>
          <cell r="AG266">
            <v>0</v>
          </cell>
        </row>
        <row r="267">
          <cell r="A267" t="str">
            <v>Interest rate on cash</v>
          </cell>
          <cell r="F267">
            <v>1.7699115044247787E-2</v>
          </cell>
          <cell r="G267">
            <v>4.8309178743961352E-2</v>
          </cell>
          <cell r="H267">
            <v>0.11538461538461539</v>
          </cell>
          <cell r="I267">
            <v>7.6923076923076927E-2</v>
          </cell>
          <cell r="J267">
            <v>0.18181818181818182</v>
          </cell>
          <cell r="K267">
            <v>0.15673981191222572</v>
          </cell>
          <cell r="L267">
            <v>0.1</v>
          </cell>
          <cell r="M267">
            <v>0.18342151675485008</v>
          </cell>
          <cell r="N267">
            <v>8.3743842364532015E-2</v>
          </cell>
          <cell r="O267">
            <v>5.0925925925925923E-2</v>
          </cell>
          <cell r="P267">
            <v>6.3535911602209949E-2</v>
          </cell>
          <cell r="Q267">
            <v>2.2544283413848631E-2</v>
          </cell>
          <cell r="R267">
            <v>6.5855404438081605E-2</v>
          </cell>
          <cell r="S267">
            <v>7.8922040423484122E-2</v>
          </cell>
          <cell r="T267">
            <v>0.13916500994035785</v>
          </cell>
          <cell r="U267">
            <v>9.7320169252468267E-2</v>
          </cell>
          <cell r="V267">
            <v>2.5423728813559324E-2</v>
          </cell>
          <cell r="W267">
            <v>0</v>
          </cell>
          <cell r="X267">
            <v>0</v>
          </cell>
          <cell r="Y267">
            <v>0</v>
          </cell>
          <cell r="Z267">
            <v>0</v>
          </cell>
          <cell r="AA267">
            <v>0</v>
          </cell>
          <cell r="AB267">
            <v>0</v>
          </cell>
          <cell r="AC267">
            <v>0</v>
          </cell>
          <cell r="AD267">
            <v>0</v>
          </cell>
          <cell r="AE267">
            <v>0</v>
          </cell>
          <cell r="AF267">
            <v>0</v>
          </cell>
          <cell r="AG267">
            <v>0</v>
          </cell>
        </row>
        <row r="268">
          <cell r="A268" t="str">
            <v>Interest rate on marketable securities</v>
          </cell>
        </row>
        <row r="270">
          <cell r="A270" t="str">
            <v>Interest paid on short term debt</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60.375</v>
          </cell>
          <cell r="U270">
            <v>42.95</v>
          </cell>
          <cell r="V270">
            <v>173.9</v>
          </cell>
        </row>
        <row r="271">
          <cell r="A271" t="str">
            <v>Interest paid on long term debt</v>
          </cell>
          <cell r="F271">
            <v>70.890749999999997</v>
          </cell>
          <cell r="G271">
            <v>69.0685</v>
          </cell>
          <cell r="H271">
            <v>76.075999999999993</v>
          </cell>
          <cell r="I271">
            <v>85.406000000000006</v>
          </cell>
          <cell r="J271">
            <v>9.8324999999999996</v>
          </cell>
          <cell r="K271">
            <v>263.32124999999996</v>
          </cell>
          <cell r="L271">
            <v>500.18451000000005</v>
          </cell>
          <cell r="M271">
            <v>430.07095500000003</v>
          </cell>
          <cell r="N271">
            <v>350.18740000000003</v>
          </cell>
          <cell r="O271">
            <v>371.21856999999994</v>
          </cell>
          <cell r="P271">
            <v>398.34724999999997</v>
          </cell>
          <cell r="Q271">
            <v>563.09250000000009</v>
          </cell>
          <cell r="R271">
            <v>612.26318700000013</v>
          </cell>
          <cell r="S271">
            <v>572.93933000000004</v>
          </cell>
          <cell r="T271">
            <v>850.01750000000004</v>
          </cell>
          <cell r="U271">
            <v>1606.5832500000001</v>
          </cell>
          <cell r="V271">
            <v>73.850000000000009</v>
          </cell>
        </row>
        <row r="272">
          <cell r="A272" t="str">
            <v>Interest received on cash</v>
          </cell>
          <cell r="F272">
            <v>2</v>
          </cell>
          <cell r="G272">
            <v>5</v>
          </cell>
          <cell r="H272">
            <v>6</v>
          </cell>
          <cell r="I272">
            <v>3</v>
          </cell>
          <cell r="J272">
            <v>14</v>
          </cell>
          <cell r="K272">
            <v>25</v>
          </cell>
          <cell r="L272">
            <v>27</v>
          </cell>
          <cell r="M272">
            <v>52</v>
          </cell>
          <cell r="N272">
            <v>17</v>
          </cell>
          <cell r="O272">
            <v>11</v>
          </cell>
          <cell r="P272">
            <v>23</v>
          </cell>
          <cell r="Q272">
            <v>14</v>
          </cell>
          <cell r="R272">
            <v>46</v>
          </cell>
          <cell r="S272">
            <v>41</v>
          </cell>
          <cell r="T272">
            <v>70</v>
          </cell>
          <cell r="U272">
            <v>69</v>
          </cell>
          <cell r="V272">
            <v>18</v>
          </cell>
        </row>
        <row r="273">
          <cell r="A273" t="str">
            <v>Interest received on marketable securities</v>
          </cell>
        </row>
        <row r="274">
          <cell r="A274" t="str">
            <v>Net interest received/ (paid) as calculated</v>
          </cell>
          <cell r="F274">
            <v>68.890749999999997</v>
          </cell>
          <cell r="G274">
            <v>64.0685</v>
          </cell>
          <cell r="H274">
            <v>70.075999999999993</v>
          </cell>
          <cell r="I274">
            <v>82.406000000000006</v>
          </cell>
          <cell r="J274">
            <v>-4.1675000000000004</v>
          </cell>
          <cell r="K274">
            <v>238.32124999999996</v>
          </cell>
          <cell r="L274">
            <v>473.18451000000005</v>
          </cell>
          <cell r="M274">
            <v>378.07095500000003</v>
          </cell>
          <cell r="N274">
            <v>333.18740000000003</v>
          </cell>
          <cell r="O274">
            <v>360.21856999999994</v>
          </cell>
          <cell r="P274">
            <v>375.34724999999997</v>
          </cell>
          <cell r="Q274">
            <v>549.09250000000009</v>
          </cell>
          <cell r="R274">
            <v>566.26318700000013</v>
          </cell>
          <cell r="S274">
            <v>531.93933000000004</v>
          </cell>
          <cell r="T274">
            <v>840.39250000000004</v>
          </cell>
          <cell r="U274">
            <v>1580.5332500000002</v>
          </cell>
          <cell r="V274">
            <v>229.75</v>
          </cell>
          <cell r="W274">
            <v>0</v>
          </cell>
          <cell r="X274">
            <v>0</v>
          </cell>
          <cell r="Y274">
            <v>0</v>
          </cell>
          <cell r="Z274">
            <v>0</v>
          </cell>
        </row>
        <row r="275">
          <cell r="A275" t="str">
            <v>Net interest as reported</v>
          </cell>
          <cell r="F275">
            <v>72</v>
          </cell>
          <cell r="G275">
            <v>69</v>
          </cell>
          <cell r="H275">
            <v>74</v>
          </cell>
          <cell r="I275">
            <v>78</v>
          </cell>
          <cell r="J275">
            <v>61</v>
          </cell>
          <cell r="K275">
            <v>262</v>
          </cell>
          <cell r="L275">
            <v>589</v>
          </cell>
          <cell r="M275">
            <v>462</v>
          </cell>
          <cell r="N275">
            <v>369</v>
          </cell>
          <cell r="O275">
            <v>373</v>
          </cell>
          <cell r="P275">
            <v>392</v>
          </cell>
          <cell r="Q275">
            <v>449</v>
          </cell>
          <cell r="R275">
            <v>603</v>
          </cell>
          <cell r="S275">
            <v>590</v>
          </cell>
          <cell r="T275">
            <v>353</v>
          </cell>
          <cell r="U275">
            <v>2476</v>
          </cell>
          <cell r="V275">
            <v>1795</v>
          </cell>
          <cell r="W275">
            <v>1236</v>
          </cell>
          <cell r="X275">
            <v>575</v>
          </cell>
          <cell r="Y275">
            <v>311</v>
          </cell>
          <cell r="Z275">
            <v>294</v>
          </cell>
          <cell r="AA275">
            <v>320</v>
          </cell>
          <cell r="AB275">
            <v>469.89664583189341</v>
          </cell>
          <cell r="AC275">
            <v>489.74903205147939</v>
          </cell>
          <cell r="AD275">
            <v>542.48717727319445</v>
          </cell>
          <cell r="AE275">
            <v>564.93563359512075</v>
          </cell>
          <cell r="AF275">
            <v>516.52123185076675</v>
          </cell>
          <cell r="AG275">
            <v>438.51512819697376</v>
          </cell>
        </row>
        <row r="276">
          <cell r="A276" t="str">
            <v>Interest rate on total debt</v>
          </cell>
          <cell r="F276">
            <v>9.58630831643002E-2</v>
          </cell>
          <cell r="G276">
            <v>9.5795423023578366E-2</v>
          </cell>
          <cell r="H276">
            <v>9.0891278375149334E-2</v>
          </cell>
          <cell r="I276">
            <v>7.5480335837384005E-2</v>
          </cell>
          <cell r="J276">
            <v>1.1910963052695336E-2</v>
          </cell>
          <cell r="K276">
            <v>7.1759435890448281E-2</v>
          </cell>
          <cell r="L276">
            <v>7.5414174142480223E-2</v>
          </cell>
          <cell r="M276">
            <v>8.4952287407407415E-2</v>
          </cell>
          <cell r="N276">
            <v>9.087515245880369E-2</v>
          </cell>
          <cell r="O276">
            <v>9.5428938303341884E-2</v>
          </cell>
          <cell r="P276">
            <v>9.8625216637781621E-2</v>
          </cell>
          <cell r="Q276">
            <v>9.37393873813884E-2</v>
          </cell>
          <cell r="R276">
            <v>8.6502286945464843E-2</v>
          </cell>
          <cell r="S276">
            <v>7.9946882020512117E-2</v>
          </cell>
          <cell r="T276">
            <v>5.6101833307656758E-2</v>
          </cell>
          <cell r="U276">
            <v>6.8185071511243395E-2</v>
          </cell>
          <cell r="V276">
            <v>1.6008141375634027E-2</v>
          </cell>
          <cell r="W276">
            <v>0.18919332619011173</v>
          </cell>
          <cell r="X276">
            <v>0.1137037769428515</v>
          </cell>
          <cell r="Y276">
            <v>7.3766603415559767E-2</v>
          </cell>
          <cell r="Z276">
            <v>6.7586206896551718E-2</v>
          </cell>
          <cell r="AA276">
            <v>5.04486129649089E-2</v>
          </cell>
          <cell r="AB276">
            <v>5.4084941529190037E-2</v>
          </cell>
          <cell r="AC276">
            <v>5.2117373148794333E-2</v>
          </cell>
          <cell r="AD276">
            <v>5.2006603209394653E-2</v>
          </cell>
          <cell r="AE276">
            <v>5.1965847011902294E-2</v>
          </cell>
          <cell r="AF276">
            <v>5.2058255990645723E-2</v>
          </cell>
          <cell r="AG276">
            <v>5.2251124001751546E-2</v>
          </cell>
        </row>
        <row r="278">
          <cell r="A278" t="str">
            <v>Interest paid on short term debt</v>
          </cell>
        </row>
        <row r="279">
          <cell r="A279" t="str">
            <v>Interest paid on long term debt</v>
          </cell>
        </row>
        <row r="280">
          <cell r="A280" t="str">
            <v>Interest received on cash</v>
          </cell>
        </row>
        <row r="281">
          <cell r="A281" t="str">
            <v>Net interest received/ (paid)</v>
          </cell>
        </row>
        <row r="283">
          <cell r="A283" t="str">
            <v>Net Debt</v>
          </cell>
        </row>
        <row r="284">
          <cell r="A284" t="str">
            <v>(+) Long Term Debt</v>
          </cell>
          <cell r="E284">
            <v>725</v>
          </cell>
          <cell r="F284">
            <v>717</v>
          </cell>
          <cell r="G284">
            <v>707</v>
          </cell>
          <cell r="H284">
            <v>807</v>
          </cell>
          <cell r="I284">
            <v>1194</v>
          </cell>
          <cell r="J284">
            <v>345</v>
          </cell>
          <cell r="K284">
            <v>5391</v>
          </cell>
          <cell r="L284">
            <v>6046</v>
          </cell>
          <cell r="M284">
            <v>3844</v>
          </cell>
          <cell r="N284">
            <v>3846</v>
          </cell>
          <cell r="O284">
            <v>3926</v>
          </cell>
          <cell r="P284">
            <v>4151</v>
          </cell>
          <cell r="Q284">
            <v>7555</v>
          </cell>
          <cell r="R284">
            <v>5974</v>
          </cell>
          <cell r="S284">
            <v>8018</v>
          </cell>
          <cell r="T284">
            <v>21541</v>
          </cell>
          <cell r="U284">
            <v>304</v>
          </cell>
          <cell r="V284">
            <v>305</v>
          </cell>
          <cell r="W284">
            <v>6036</v>
          </cell>
          <cell r="X284">
            <v>3980</v>
          </cell>
          <cell r="Y284">
            <v>4304</v>
          </cell>
          <cell r="Z284">
            <v>4253</v>
          </cell>
          <cell r="AA284">
            <v>8339.1763364073431</v>
          </cell>
          <cell r="AB284">
            <v>7192.0563633158117</v>
          </cell>
          <cell r="AC284">
            <v>7843.2073873188365</v>
          </cell>
          <cell r="AD284">
            <v>8846.5864094872668</v>
          </cell>
          <cell r="AE284">
            <v>8547.4726836929913</v>
          </cell>
          <cell r="AF284">
            <v>7327.7032175075337</v>
          </cell>
          <cell r="AG284">
            <v>6100.2223729857606</v>
          </cell>
        </row>
        <row r="285">
          <cell r="A285" t="str">
            <v>(+) Short Term Debt</v>
          </cell>
          <cell r="E285">
            <v>29</v>
          </cell>
          <cell r="F285">
            <v>8</v>
          </cell>
          <cell r="G285">
            <v>10</v>
          </cell>
          <cell r="H285">
            <v>150</v>
          </cell>
          <cell r="I285">
            <v>112</v>
          </cell>
          <cell r="J285">
            <v>0</v>
          </cell>
          <cell r="K285">
            <v>1603</v>
          </cell>
          <cell r="L285">
            <v>225</v>
          </cell>
          <cell r="M285">
            <v>10</v>
          </cell>
          <cell r="N285">
            <v>7</v>
          </cell>
          <cell r="O285">
            <v>1</v>
          </cell>
          <cell r="P285">
            <v>0</v>
          </cell>
          <cell r="Q285">
            <v>308</v>
          </cell>
          <cell r="R285">
            <v>319</v>
          </cell>
          <cell r="S285">
            <v>22</v>
          </cell>
          <cell r="T285">
            <v>2874</v>
          </cell>
          <cell r="U285">
            <v>23665</v>
          </cell>
          <cell r="V285">
            <v>6679</v>
          </cell>
          <cell r="W285">
            <v>46</v>
          </cell>
          <cell r="X285">
            <v>52</v>
          </cell>
          <cell r="Y285">
            <v>96</v>
          </cell>
          <cell r="Z285">
            <v>47</v>
          </cell>
          <cell r="AA285">
            <v>47</v>
          </cell>
          <cell r="AB285">
            <v>1798.0140908289532</v>
          </cell>
          <cell r="AC285">
            <v>1960.8018468297091</v>
          </cell>
          <cell r="AD285">
            <v>2211.6466023718167</v>
          </cell>
          <cell r="AE285">
            <v>2136.8681709232478</v>
          </cell>
          <cell r="AF285">
            <v>1831.9258043768834</v>
          </cell>
          <cell r="AG285">
            <v>1525.0555932464404</v>
          </cell>
        </row>
        <row r="286">
          <cell r="A286" t="str">
            <v>(+) Pensions and other long term liabilities</v>
          </cell>
          <cell r="E286">
            <v>9</v>
          </cell>
          <cell r="F286">
            <v>46</v>
          </cell>
          <cell r="G286">
            <v>28</v>
          </cell>
          <cell r="H286">
            <v>56</v>
          </cell>
          <cell r="I286">
            <v>43</v>
          </cell>
          <cell r="J286">
            <v>39</v>
          </cell>
          <cell r="K286">
            <v>112</v>
          </cell>
          <cell r="L286">
            <v>15</v>
          </cell>
          <cell r="M286">
            <v>88</v>
          </cell>
          <cell r="N286">
            <v>281</v>
          </cell>
          <cell r="O286">
            <v>390</v>
          </cell>
          <cell r="P286">
            <v>432</v>
          </cell>
          <cell r="Q286">
            <v>923</v>
          </cell>
          <cell r="R286">
            <v>916</v>
          </cell>
          <cell r="S286">
            <v>744</v>
          </cell>
          <cell r="T286">
            <v>747</v>
          </cell>
          <cell r="U286">
            <v>1434</v>
          </cell>
          <cell r="V286">
            <v>1493</v>
          </cell>
          <cell r="W286">
            <v>1505</v>
          </cell>
          <cell r="X286">
            <v>1443</v>
          </cell>
          <cell r="Y286">
            <v>1512</v>
          </cell>
          <cell r="Z286">
            <v>1432.3029268292682</v>
          </cell>
          <cell r="AA286">
            <v>1472.0303865739327</v>
          </cell>
          <cell r="AB286">
            <v>1541.1248439798169</v>
          </cell>
          <cell r="AC286">
            <v>1592.3825790318624</v>
          </cell>
          <cell r="AD286">
            <v>1618.3452880083578</v>
          </cell>
          <cell r="AE286">
            <v>1619.1796994698911</v>
          </cell>
          <cell r="AF286">
            <v>1607.1504197259555</v>
          </cell>
          <cell r="AG286">
            <v>1567.4114812585092</v>
          </cell>
        </row>
        <row r="287">
          <cell r="A287" t="str">
            <v>(-) Cash &amp; equivalents</v>
          </cell>
          <cell r="E287">
            <v>-108</v>
          </cell>
          <cell r="F287">
            <v>-113</v>
          </cell>
          <cell r="G287">
            <v>-94</v>
          </cell>
          <cell r="H287">
            <v>-10</v>
          </cell>
          <cell r="I287">
            <v>-68</v>
          </cell>
          <cell r="J287">
            <v>-86</v>
          </cell>
          <cell r="K287">
            <v>-233</v>
          </cell>
          <cell r="L287">
            <v>-307</v>
          </cell>
          <cell r="M287">
            <v>-260</v>
          </cell>
          <cell r="N287">
            <v>-146</v>
          </cell>
          <cell r="O287">
            <v>-286</v>
          </cell>
          <cell r="P287">
            <v>-438</v>
          </cell>
          <cell r="Q287">
            <v>-804</v>
          </cell>
          <cell r="R287">
            <v>-593</v>
          </cell>
          <cell r="S287">
            <v>-446</v>
          </cell>
          <cell r="T287">
            <v>-560</v>
          </cell>
          <cell r="U287">
            <v>-858</v>
          </cell>
          <cell r="V287">
            <v>-558</v>
          </cell>
          <cell r="W287">
            <v>-4222</v>
          </cell>
          <cell r="X287">
            <v>-1065</v>
          </cell>
          <cell r="Y287">
            <v>-2732</v>
          </cell>
          <cell r="Z287">
            <v>-3127.4135435410835</v>
          </cell>
          <cell r="AA287">
            <v>-4587.9865573114776</v>
          </cell>
          <cell r="AB287">
            <v>-3786.3661266704503</v>
          </cell>
          <cell r="AC287">
            <v>-4870.3552840215771</v>
          </cell>
          <cell r="AD287">
            <v>-6391.641976152494</v>
          </cell>
          <cell r="AE287">
            <v>-6247.7261368908503</v>
          </cell>
          <cell r="AF287">
            <v>-4822.1318902075609</v>
          </cell>
          <cell r="AG287">
            <v>-3379.484511594409</v>
          </cell>
        </row>
        <row r="288">
          <cell r="A288" t="str">
            <v>(-) Short term investments</v>
          </cell>
          <cell r="E288">
            <v>-13</v>
          </cell>
          <cell r="F288">
            <v>-6</v>
          </cell>
          <cell r="G288">
            <v>0</v>
          </cell>
          <cell r="H288">
            <v>0</v>
          </cell>
          <cell r="I288">
            <v>0</v>
          </cell>
          <cell r="J288">
            <v>0</v>
          </cell>
          <cell r="K288">
            <v>0</v>
          </cell>
          <cell r="L288">
            <v>0</v>
          </cell>
          <cell r="M288">
            <v>0</v>
          </cell>
          <cell r="N288">
            <v>0</v>
          </cell>
          <cell r="O288">
            <v>-44</v>
          </cell>
          <cell r="P288">
            <v>0</v>
          </cell>
          <cell r="Q288">
            <v>0</v>
          </cell>
          <cell r="R288">
            <v>0</v>
          </cell>
          <cell r="S288">
            <v>0</v>
          </cell>
          <cell r="T288">
            <v>0</v>
          </cell>
          <cell r="U288">
            <v>-32</v>
          </cell>
          <cell r="V288">
            <v>-11</v>
          </cell>
          <cell r="W288">
            <v>0</v>
          </cell>
          <cell r="X288">
            <v>0</v>
          </cell>
          <cell r="Y288">
            <v>0</v>
          </cell>
          <cell r="Z288">
            <v>0</v>
          </cell>
          <cell r="AA288">
            <v>0</v>
          </cell>
          <cell r="AB288">
            <v>0</v>
          </cell>
          <cell r="AC288">
            <v>0</v>
          </cell>
          <cell r="AD288">
            <v>0</v>
          </cell>
          <cell r="AE288">
            <v>0</v>
          </cell>
          <cell r="AF288">
            <v>0</v>
          </cell>
          <cell r="AG288">
            <v>0</v>
          </cell>
        </row>
        <row r="289">
          <cell r="A289" t="str">
            <v>(-) Investments under equity method</v>
          </cell>
        </row>
        <row r="290">
          <cell r="A290" t="str">
            <v>(+) Noncontrolling interests</v>
          </cell>
          <cell r="E290">
            <v>0</v>
          </cell>
          <cell r="F290">
            <v>124</v>
          </cell>
          <cell r="G290">
            <v>268</v>
          </cell>
          <cell r="H290">
            <v>459</v>
          </cell>
          <cell r="I290">
            <v>609</v>
          </cell>
          <cell r="J290">
            <v>5</v>
          </cell>
          <cell r="K290">
            <v>216</v>
          </cell>
          <cell r="L290">
            <v>202</v>
          </cell>
          <cell r="M290">
            <v>181</v>
          </cell>
          <cell r="N290">
            <v>176</v>
          </cell>
          <cell r="O290">
            <v>165</v>
          </cell>
          <cell r="P290">
            <v>155</v>
          </cell>
          <cell r="Q290">
            <v>181</v>
          </cell>
          <cell r="R290">
            <v>180</v>
          </cell>
          <cell r="S290">
            <v>174</v>
          </cell>
          <cell r="T290">
            <v>144</v>
          </cell>
          <cell r="U290">
            <v>135</v>
          </cell>
          <cell r="V290">
            <v>129</v>
          </cell>
          <cell r="W290">
            <v>61</v>
          </cell>
          <cell r="X290">
            <v>54</v>
          </cell>
          <cell r="Y290">
            <v>40</v>
          </cell>
          <cell r="Z290">
            <v>40</v>
          </cell>
          <cell r="AA290">
            <v>40</v>
          </cell>
          <cell r="AB290">
            <v>40</v>
          </cell>
          <cell r="AC290">
            <v>40</v>
          </cell>
          <cell r="AD290">
            <v>40</v>
          </cell>
          <cell r="AE290">
            <v>40</v>
          </cell>
          <cell r="AF290">
            <v>40</v>
          </cell>
          <cell r="AG290">
            <v>40</v>
          </cell>
        </row>
        <row r="291">
          <cell r="A291" t="str">
            <v>(+)Preferred stock</v>
          </cell>
        </row>
        <row r="292">
          <cell r="A292" t="str">
            <v>(=) Net Debt Including BS Pension Liabilities</v>
          </cell>
          <cell r="E292">
            <v>642</v>
          </cell>
          <cell r="F292">
            <v>776</v>
          </cell>
          <cell r="G292">
            <v>919</v>
          </cell>
          <cell r="H292">
            <v>1462</v>
          </cell>
          <cell r="I292">
            <v>1890</v>
          </cell>
          <cell r="J292">
            <v>303</v>
          </cell>
          <cell r="K292">
            <v>7089</v>
          </cell>
          <cell r="L292">
            <v>6181</v>
          </cell>
          <cell r="M292">
            <v>3863</v>
          </cell>
          <cell r="N292">
            <v>4164</v>
          </cell>
          <cell r="O292">
            <v>4152</v>
          </cell>
          <cell r="P292">
            <v>4300</v>
          </cell>
          <cell r="Q292">
            <v>8163</v>
          </cell>
          <cell r="R292">
            <v>6796</v>
          </cell>
          <cell r="S292">
            <v>8512</v>
          </cell>
          <cell r="T292">
            <v>24746</v>
          </cell>
          <cell r="U292">
            <v>24648</v>
          </cell>
          <cell r="V292">
            <v>8037</v>
          </cell>
          <cell r="W292">
            <v>3426</v>
          </cell>
          <cell r="X292">
            <v>4464</v>
          </cell>
          <cell r="Y292">
            <v>3220</v>
          </cell>
          <cell r="Z292">
            <v>2644.8893832881849</v>
          </cell>
          <cell r="AA292">
            <v>5310.2201656697989</v>
          </cell>
          <cell r="AB292">
            <v>6784.829171454131</v>
          </cell>
          <cell r="AC292">
            <v>6566.0365291588305</v>
          </cell>
          <cell r="AD292">
            <v>6324.9363237149464</v>
          </cell>
          <cell r="AE292">
            <v>6095.7944171952795</v>
          </cell>
          <cell r="AF292">
            <v>5984.6475514028107</v>
          </cell>
          <cell r="AG292">
            <v>5853.2049358963004</v>
          </cell>
        </row>
        <row r="293">
          <cell r="A293" t="str">
            <v>(=) Net Debt (Ex Pension Liabilities)</v>
          </cell>
          <cell r="E293">
            <v>633</v>
          </cell>
          <cell r="F293">
            <v>730</v>
          </cell>
          <cell r="G293">
            <v>891</v>
          </cell>
          <cell r="H293">
            <v>1406</v>
          </cell>
          <cell r="I293">
            <v>1847</v>
          </cell>
          <cell r="J293">
            <v>264</v>
          </cell>
          <cell r="K293">
            <v>6977</v>
          </cell>
          <cell r="L293">
            <v>6166</v>
          </cell>
          <cell r="M293">
            <v>3775</v>
          </cell>
          <cell r="N293">
            <v>3883</v>
          </cell>
          <cell r="O293">
            <v>3762</v>
          </cell>
          <cell r="P293">
            <v>3868</v>
          </cell>
          <cell r="Q293">
            <v>7240</v>
          </cell>
          <cell r="R293">
            <v>5880</v>
          </cell>
          <cell r="S293">
            <v>7768</v>
          </cell>
          <cell r="T293">
            <v>23999</v>
          </cell>
          <cell r="U293">
            <v>23214</v>
          </cell>
          <cell r="V293">
            <v>6544</v>
          </cell>
          <cell r="W293">
            <v>1921</v>
          </cell>
          <cell r="X293">
            <v>3021</v>
          </cell>
          <cell r="Y293">
            <v>1708</v>
          </cell>
          <cell r="Z293">
            <v>1212.5864564589167</v>
          </cell>
          <cell r="AA293">
            <v>3838.1897790958665</v>
          </cell>
          <cell r="AB293">
            <v>5243.7043274743137</v>
          </cell>
          <cell r="AC293">
            <v>4973.6539501269681</v>
          </cell>
          <cell r="AD293">
            <v>4706.5910357065886</v>
          </cell>
          <cell r="AE293">
            <v>4476.6147177253879</v>
          </cell>
          <cell r="AF293">
            <v>4377.4971316768551</v>
          </cell>
          <cell r="AG293">
            <v>4285.793454637791</v>
          </cell>
        </row>
        <row r="294">
          <cell r="B294" t="str">
            <v>Leverage</v>
          </cell>
          <cell r="X294">
            <v>1.0748856248495064</v>
          </cell>
          <cell r="Y294">
            <v>0.59311107017867015</v>
          </cell>
          <cell r="Z294">
            <v>0.46150573779238963</v>
          </cell>
          <cell r="AA294">
            <v>0.84128963334439144</v>
          </cell>
          <cell r="AB294">
            <v>1.064430819866433</v>
          </cell>
          <cell r="AC294">
            <v>1.0061381325824603</v>
          </cell>
          <cell r="AD294">
            <v>0.95340713774349728</v>
          </cell>
          <cell r="AE294">
            <v>0.94602177209863647</v>
          </cell>
          <cell r="AF294">
            <v>0.9754112497915659</v>
          </cell>
          <cell r="AG294">
            <v>1.3270587769228162</v>
          </cell>
        </row>
        <row r="296">
          <cell r="A296" t="str">
            <v>Equity and share repurchase</v>
          </cell>
        </row>
        <row r="298">
          <cell r="A298" t="str">
            <v>Operating Cash Flow</v>
          </cell>
          <cell r="E298">
            <v>108</v>
          </cell>
          <cell r="F298">
            <v>84</v>
          </cell>
          <cell r="G298">
            <v>155</v>
          </cell>
          <cell r="H298">
            <v>471</v>
          </cell>
          <cell r="I298">
            <v>232</v>
          </cell>
          <cell r="J298">
            <v>269</v>
          </cell>
          <cell r="K298">
            <v>263</v>
          </cell>
          <cell r="L298">
            <v>300</v>
          </cell>
          <cell r="M298">
            <v>61</v>
          </cell>
          <cell r="N298">
            <v>199</v>
          </cell>
          <cell r="O298">
            <v>289</v>
          </cell>
          <cell r="P298">
            <v>103</v>
          </cell>
          <cell r="Q298">
            <v>354</v>
          </cell>
          <cell r="R298">
            <v>1594</v>
          </cell>
          <cell r="S298">
            <v>1222</v>
          </cell>
          <cell r="T298">
            <v>1180</v>
          </cell>
          <cell r="U298">
            <v>1090</v>
          </cell>
          <cell r="V298">
            <v>-787</v>
          </cell>
          <cell r="W298">
            <v>2021</v>
          </cell>
          <cell r="X298">
            <v>2860</v>
          </cell>
          <cell r="Y298">
            <v>4787</v>
          </cell>
          <cell r="Z298">
            <v>5208.9911994654167</v>
          </cell>
          <cell r="AA298">
            <v>4327.8982162567881</v>
          </cell>
          <cell r="AB298">
            <v>3969.4385955154785</v>
          </cell>
          <cell r="AC298">
            <v>4491.8887851992558</v>
          </cell>
          <cell r="AD298">
            <v>4362.5213191333496</v>
          </cell>
          <cell r="AE298">
            <v>4118.201083654104</v>
          </cell>
          <cell r="AF298">
            <v>2960.2824669810861</v>
          </cell>
          <cell r="AG298">
            <v>2775.2653921178116</v>
          </cell>
        </row>
        <row r="299">
          <cell r="A299" t="str">
            <v>FCF</v>
          </cell>
          <cell r="E299">
            <v>21</v>
          </cell>
          <cell r="F299">
            <v>-12</v>
          </cell>
          <cell r="G299">
            <v>-103</v>
          </cell>
          <cell r="H299">
            <v>-525</v>
          </cell>
          <cell r="I299">
            <v>-328</v>
          </cell>
          <cell r="J299">
            <v>88</v>
          </cell>
          <cell r="K299">
            <v>-48</v>
          </cell>
          <cell r="L299">
            <v>69.15384615384616</v>
          </cell>
          <cell r="M299">
            <v>2261</v>
          </cell>
          <cell r="N299">
            <v>100</v>
          </cell>
          <cell r="O299">
            <v>259</v>
          </cell>
          <cell r="P299">
            <v>-226</v>
          </cell>
          <cell r="Q299">
            <v>-586</v>
          </cell>
          <cell r="R299">
            <v>1075</v>
          </cell>
          <cell r="S299">
            <v>1104</v>
          </cell>
          <cell r="T299">
            <v>255</v>
          </cell>
          <cell r="U299">
            <v>-514</v>
          </cell>
          <cell r="V299">
            <v>-2112</v>
          </cell>
          <cell r="W299">
            <v>994</v>
          </cell>
          <cell r="X299">
            <v>1447</v>
          </cell>
          <cell r="Y299">
            <v>3445</v>
          </cell>
          <cell r="Z299">
            <v>3365.131334596083</v>
          </cell>
          <cell r="AA299">
            <v>2854.2697934362973</v>
          </cell>
          <cell r="AB299">
            <v>2659.5384114517865</v>
          </cell>
          <cell r="AC299">
            <v>3440.0369575795635</v>
          </cell>
          <cell r="AD299">
            <v>3337.372557945509</v>
          </cell>
          <cell r="AE299">
            <v>3114.1004113311751</v>
          </cell>
          <cell r="AF299">
            <v>1982.3665169869935</v>
          </cell>
          <cell r="AG299">
            <v>1903.1854833368125</v>
          </cell>
        </row>
        <row r="300">
          <cell r="A300" t="str">
            <v>Cash used in Share repurchase</v>
          </cell>
          <cell r="E300">
            <v>0</v>
          </cell>
          <cell r="F300">
            <v>0</v>
          </cell>
          <cell r="G300">
            <v>0</v>
          </cell>
          <cell r="H300">
            <v>0</v>
          </cell>
          <cell r="I300">
            <v>0</v>
          </cell>
          <cell r="J300">
            <v>26</v>
          </cell>
          <cell r="K300">
            <v>59</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2400</v>
          </cell>
          <cell r="AA300">
            <v>4324.0687499999995</v>
          </cell>
          <cell r="AB300">
            <v>2659.5384114517865</v>
          </cell>
          <cell r="AC300">
            <v>1720.0184787897817</v>
          </cell>
          <cell r="AD300">
            <v>1668.6862789727545</v>
          </cell>
          <cell r="AE300">
            <v>1557.0502056655876</v>
          </cell>
          <cell r="AF300">
            <v>991.18325849349674</v>
          </cell>
          <cell r="AG300">
            <v>951.59274166840623</v>
          </cell>
        </row>
        <row r="301">
          <cell r="A301" t="str">
            <v>% of FCF used for repurchase</v>
          </cell>
          <cell r="E301">
            <v>0</v>
          </cell>
          <cell r="F301">
            <v>0</v>
          </cell>
          <cell r="G301">
            <v>0</v>
          </cell>
          <cell r="H301">
            <v>0</v>
          </cell>
          <cell r="I301">
            <v>0</v>
          </cell>
          <cell r="J301">
            <v>0.29545454545454547</v>
          </cell>
          <cell r="K301">
            <v>-1.2291666666666667</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0.7131965327255414</v>
          </cell>
          <cell r="AA301">
            <v>1.5149474516892776</v>
          </cell>
          <cell r="AB301">
            <v>1</v>
          </cell>
          <cell r="AC301">
            <v>0.5</v>
          </cell>
          <cell r="AD301">
            <v>0.5</v>
          </cell>
          <cell r="AE301">
            <v>0.5</v>
          </cell>
          <cell r="AF301">
            <v>0.5</v>
          </cell>
          <cell r="AG301">
            <v>0.5</v>
          </cell>
        </row>
        <row r="302">
          <cell r="A302" t="str">
            <v>Average Stock Repurchase Price ($)</v>
          </cell>
          <cell r="E302" t="str">
            <v>NM</v>
          </cell>
          <cell r="F302" t="str">
            <v>NM</v>
          </cell>
          <cell r="G302" t="str">
            <v>NM</v>
          </cell>
          <cell r="H302" t="str">
            <v>NM</v>
          </cell>
          <cell r="I302" t="str">
            <v>NM</v>
          </cell>
          <cell r="J302">
            <v>25.602848612325605</v>
          </cell>
          <cell r="K302">
            <v>28.758897588590809</v>
          </cell>
          <cell r="L302" t="str">
            <v>NM</v>
          </cell>
          <cell r="M302" t="str">
            <v>NM</v>
          </cell>
          <cell r="N302" t="str">
            <v>NM</v>
          </cell>
          <cell r="O302" t="str">
            <v>NM</v>
          </cell>
          <cell r="P302" t="str">
            <v>NM</v>
          </cell>
          <cell r="Q302" t="str">
            <v>NM</v>
          </cell>
          <cell r="R302" t="str">
            <v>NM</v>
          </cell>
          <cell r="S302" t="str">
            <v>NM</v>
          </cell>
          <cell r="T302" t="str">
            <v>NM</v>
          </cell>
          <cell r="U302" t="str">
            <v>NM</v>
          </cell>
          <cell r="V302" t="str">
            <v>NM</v>
          </cell>
          <cell r="W302" t="str">
            <v>NM</v>
          </cell>
          <cell r="X302" t="str">
            <v>NM</v>
          </cell>
          <cell r="Y302" t="str">
            <v>NM</v>
          </cell>
          <cell r="Z302">
            <v>75</v>
          </cell>
          <cell r="AA302">
            <v>83.962499999999991</v>
          </cell>
          <cell r="AB302">
            <v>93.99601874999999</v>
          </cell>
          <cell r="AC302">
            <v>105.22854299062499</v>
          </cell>
          <cell r="AD302">
            <v>117.80335387800467</v>
          </cell>
          <cell r="AE302">
            <v>131.88085466642622</v>
          </cell>
          <cell r="AF302">
            <v>147.64061679906413</v>
          </cell>
          <cell r="AG302">
            <v>165.28367050655228</v>
          </cell>
        </row>
        <row r="303">
          <cell r="A303" t="str">
            <v>Theoretical Cost of equity (%)</v>
          </cell>
        </row>
        <row r="304">
          <cell r="A304" t="str">
            <v>No. Shares Repurchase</v>
          </cell>
          <cell r="E304">
            <v>0</v>
          </cell>
          <cell r="F304">
            <v>0</v>
          </cell>
          <cell r="G304">
            <v>0</v>
          </cell>
          <cell r="H304">
            <v>0</v>
          </cell>
          <cell r="I304">
            <v>0</v>
          </cell>
          <cell r="J304">
            <v>1.015512</v>
          </cell>
          <cell r="K304">
            <v>2.051539</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32</v>
          </cell>
          <cell r="AA304">
            <v>51.5</v>
          </cell>
          <cell r="AB304">
            <v>28.294160186989693</v>
          </cell>
          <cell r="AC304">
            <v>16.345550645351246</v>
          </cell>
          <cell r="AD304">
            <v>14.165015035996515</v>
          </cell>
          <cell r="AE304">
            <v>11.806491621577095</v>
          </cell>
          <cell r="AF304">
            <v>6.7134863019603674</v>
          </cell>
          <cell r="AG304">
            <v>5.7573306470749186</v>
          </cell>
        </row>
        <row r="306">
          <cell r="A306" t="str">
            <v>Share count</v>
          </cell>
        </row>
        <row r="307">
          <cell r="A307" t="str">
            <v>Opening Share Count</v>
          </cell>
          <cell r="F307">
            <v>80</v>
          </cell>
          <cell r="G307">
            <v>80</v>
          </cell>
          <cell r="H307">
            <v>80</v>
          </cell>
          <cell r="I307">
            <v>80</v>
          </cell>
          <cell r="J307">
            <v>80</v>
          </cell>
          <cell r="K307">
            <v>78.984487999999999</v>
          </cell>
          <cell r="L307">
            <v>77.021797000000007</v>
          </cell>
          <cell r="M307">
            <v>117.57102399999999</v>
          </cell>
          <cell r="N307">
            <v>117.560333</v>
          </cell>
          <cell r="O307">
            <v>117.56292000000001</v>
          </cell>
          <cell r="P307">
            <v>160.41314400000002</v>
          </cell>
          <cell r="Q307">
            <v>176.792587</v>
          </cell>
          <cell r="R307">
            <v>243.68499800000001</v>
          </cell>
          <cell r="S307">
            <v>247.05023399999999</v>
          </cell>
          <cell r="T307">
            <v>0.40322599999999997</v>
          </cell>
          <cell r="U307">
            <v>0.40322599999999997</v>
          </cell>
          <cell r="V307">
            <v>0.40322599999999997</v>
          </cell>
          <cell r="W307">
            <v>0.40322599999999997</v>
          </cell>
          <cell r="X307">
            <v>565.67622200000005</v>
          </cell>
          <cell r="Y307">
            <v>573.39051400000005</v>
          </cell>
          <cell r="Z307">
            <v>575.21670900000004</v>
          </cell>
          <cell r="AA307">
            <v>548.91416995000009</v>
          </cell>
          <cell r="AB307">
            <v>498.67150394750013</v>
          </cell>
          <cell r="AC307">
            <v>471.69754445788544</v>
          </cell>
          <cell r="AD307">
            <v>456.73820454477794</v>
          </cell>
          <cell r="AE307">
            <v>444.02871077763734</v>
          </cell>
          <cell r="AF307">
            <v>433.75051648835898</v>
          </cell>
          <cell r="AG307">
            <v>428.64174238531228</v>
          </cell>
        </row>
        <row r="308">
          <cell r="A308" t="str">
            <v>Issued shares (mn)</v>
          </cell>
          <cell r="F308">
            <v>0</v>
          </cell>
          <cell r="G308">
            <v>0</v>
          </cell>
          <cell r="H308">
            <v>0</v>
          </cell>
          <cell r="I308">
            <v>0</v>
          </cell>
          <cell r="J308">
            <v>0</v>
          </cell>
          <cell r="K308">
            <v>8.8848000000007588E-2</v>
          </cell>
          <cell r="L308">
            <v>40.549226999999988</v>
          </cell>
          <cell r="M308">
            <v>-1.0690999999994233E-2</v>
          </cell>
          <cell r="N308">
            <v>-4.7030999999994556E-2</v>
          </cell>
          <cell r="O308">
            <v>42.748224000000015</v>
          </cell>
          <cell r="P308">
            <v>15.846442999999981</v>
          </cell>
          <cell r="Q308">
            <v>65.019411000000005</v>
          </cell>
          <cell r="R308">
            <v>8.6235999999981772E-2</v>
          </cell>
          <cell r="S308">
            <v>0.11933600000002031</v>
          </cell>
          <cell r="T308">
            <v>0</v>
          </cell>
          <cell r="U308">
            <v>0</v>
          </cell>
          <cell r="V308">
            <v>0</v>
          </cell>
          <cell r="W308">
            <v>563.49880000000007</v>
          </cell>
          <cell r="X308">
            <v>7.1794160000000007</v>
          </cell>
          <cell r="Y308">
            <v>0.68575599999998427</v>
          </cell>
          <cell r="Z308">
            <v>4.5</v>
          </cell>
          <cell r="AA308">
            <v>0</v>
          </cell>
          <cell r="AB308">
            <v>0</v>
          </cell>
          <cell r="AC308">
            <v>0</v>
          </cell>
          <cell r="AD308">
            <v>0</v>
          </cell>
          <cell r="AE308">
            <v>0</v>
          </cell>
          <cell r="AF308">
            <v>0</v>
          </cell>
          <cell r="AG308">
            <v>0</v>
          </cell>
        </row>
        <row r="309">
          <cell r="A309" t="str">
            <v>Stock options</v>
          </cell>
          <cell r="F309">
            <v>0</v>
          </cell>
          <cell r="G309">
            <v>0</v>
          </cell>
          <cell r="H309">
            <v>0</v>
          </cell>
          <cell r="I309">
            <v>0</v>
          </cell>
          <cell r="J309">
            <v>0</v>
          </cell>
          <cell r="K309">
            <v>0</v>
          </cell>
          <cell r="L309">
            <v>0</v>
          </cell>
          <cell r="M309">
            <v>0</v>
          </cell>
          <cell r="N309">
            <v>4.9618000000000002E-2</v>
          </cell>
          <cell r="O309">
            <v>0.10199999999999999</v>
          </cell>
          <cell r="P309">
            <v>0.53300000000000003</v>
          </cell>
          <cell r="Q309">
            <v>1.873</v>
          </cell>
          <cell r="R309">
            <v>3.2789999999999999</v>
          </cell>
          <cell r="S309">
            <v>1.8009999999999999</v>
          </cell>
          <cell r="T309">
            <v>0</v>
          </cell>
          <cell r="U309">
            <v>0</v>
          </cell>
          <cell r="V309">
            <v>0</v>
          </cell>
          <cell r="W309">
            <v>1.7741960000000001</v>
          </cell>
          <cell r="X309">
            <v>0.53487600000000002</v>
          </cell>
          <cell r="Y309">
            <v>1.140439</v>
          </cell>
          <cell r="Z309">
            <v>1.19746095</v>
          </cell>
          <cell r="AA309">
            <v>1.2573339975</v>
          </cell>
          <cell r="AB309">
            <v>1.320200697375</v>
          </cell>
          <cell r="AC309">
            <v>1.38621073224375</v>
          </cell>
          <cell r="AD309">
            <v>1.4555212688559376</v>
          </cell>
          <cell r="AE309">
            <v>1.5282973322987345</v>
          </cell>
          <cell r="AF309">
            <v>1.6047121989136715</v>
          </cell>
          <cell r="AG309">
            <v>1.684947808859355</v>
          </cell>
        </row>
        <row r="310">
          <cell r="A310" t="str">
            <v>Repurchased shares (mn)</v>
          </cell>
          <cell r="F310">
            <v>0</v>
          </cell>
          <cell r="G310">
            <v>0</v>
          </cell>
          <cell r="H310">
            <v>0</v>
          </cell>
          <cell r="I310">
            <v>0</v>
          </cell>
          <cell r="J310">
            <v>-1.015512</v>
          </cell>
          <cell r="K310">
            <v>-2.051539</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-32</v>
          </cell>
          <cell r="AA310">
            <v>-51.5</v>
          </cell>
          <cell r="AB310">
            <v>-28.294160186989693</v>
          </cell>
          <cell r="AC310">
            <v>-16.345550645351246</v>
          </cell>
          <cell r="AD310">
            <v>-14.165015035996515</v>
          </cell>
          <cell r="AE310">
            <v>-11.806491621577095</v>
          </cell>
          <cell r="AF310">
            <v>-6.7134863019603674</v>
          </cell>
          <cell r="AG310">
            <v>-5.7573306470749186</v>
          </cell>
        </row>
        <row r="311">
          <cell r="A311" t="str">
            <v>Closing Share Count</v>
          </cell>
          <cell r="E311">
            <v>80</v>
          </cell>
          <cell r="F311">
            <v>80</v>
          </cell>
          <cell r="G311">
            <v>80</v>
          </cell>
          <cell r="H311">
            <v>80</v>
          </cell>
          <cell r="I311">
            <v>80</v>
          </cell>
          <cell r="J311">
            <v>78.984487999999999</v>
          </cell>
          <cell r="K311">
            <v>77.021797000000007</v>
          </cell>
          <cell r="L311">
            <v>117.57102399999999</v>
          </cell>
          <cell r="M311">
            <v>117.560333</v>
          </cell>
          <cell r="N311">
            <v>117.56292000000001</v>
          </cell>
          <cell r="O311">
            <v>160.41314400000002</v>
          </cell>
          <cell r="P311">
            <v>176.792587</v>
          </cell>
          <cell r="Q311">
            <v>243.68499800000001</v>
          </cell>
          <cell r="R311">
            <v>247.05023399999999</v>
          </cell>
          <cell r="S311">
            <v>248.97057000000001</v>
          </cell>
          <cell r="T311">
            <v>0.40322599999999997</v>
          </cell>
          <cell r="U311">
            <v>0.40322599999999997</v>
          </cell>
          <cell r="V311">
            <v>0.40322599999999997</v>
          </cell>
          <cell r="W311">
            <v>565.67622200000005</v>
          </cell>
          <cell r="X311">
            <v>573.39051400000005</v>
          </cell>
          <cell r="Y311">
            <v>575.21670900000004</v>
          </cell>
          <cell r="Z311">
            <v>548.91416995000009</v>
          </cell>
          <cell r="AA311">
            <v>498.67150394750013</v>
          </cell>
          <cell r="AB311">
            <v>471.69754445788544</v>
          </cell>
          <cell r="AC311">
            <v>456.73820454477794</v>
          </cell>
          <cell r="AD311">
            <v>444.02871077763734</v>
          </cell>
          <cell r="AE311">
            <v>433.75051648835898</v>
          </cell>
          <cell r="AF311">
            <v>428.64174238531228</v>
          </cell>
          <cell r="AG311">
            <v>424.56935954709672</v>
          </cell>
          <cell r="AV311" t="str">
            <v>mstag:periodEndBasicSharesOutstanding</v>
          </cell>
          <cell r="AW311">
            <v>6</v>
          </cell>
          <cell r="AX311" t="str">
            <v>ms_eqr_gcim_Decimal:ms_eqr_gcim_decimal</v>
          </cell>
          <cell r="AY311" t="b">
            <v>0</v>
          </cell>
        </row>
        <row r="312">
          <cell r="A312" t="str">
            <v>Average share count</v>
          </cell>
          <cell r="E312">
            <v>80</v>
          </cell>
          <cell r="F312">
            <v>80</v>
          </cell>
          <cell r="G312">
            <v>80</v>
          </cell>
          <cell r="H312">
            <v>80</v>
          </cell>
          <cell r="I312">
            <v>80</v>
          </cell>
          <cell r="J312">
            <v>79.796000000000006</v>
          </cell>
          <cell r="K312">
            <v>77.668999999999997</v>
          </cell>
          <cell r="L312">
            <v>103.11499999999999</v>
          </cell>
          <cell r="M312">
            <v>117.557</v>
          </cell>
          <cell r="N312">
            <v>117.563</v>
          </cell>
          <cell r="O312">
            <v>133.94300000000001</v>
          </cell>
          <cell r="P312">
            <v>164.3</v>
          </cell>
          <cell r="Q312">
            <v>183.2</v>
          </cell>
          <cell r="R312">
            <v>245.9</v>
          </cell>
          <cell r="S312">
            <v>247.6</v>
          </cell>
          <cell r="T312">
            <v>0.40322599999999997</v>
          </cell>
          <cell r="U312">
            <v>0.40322599999999997</v>
          </cell>
          <cell r="V312">
            <v>0.40322599999999997</v>
          </cell>
          <cell r="W312">
            <v>565.75</v>
          </cell>
          <cell r="X312">
            <v>572.75</v>
          </cell>
          <cell r="Y312">
            <v>574.30361149999999</v>
          </cell>
          <cell r="Z312">
            <v>562.06543947500006</v>
          </cell>
          <cell r="AA312">
            <v>523.79283694875016</v>
          </cell>
          <cell r="AB312">
            <v>485.18452420269278</v>
          </cell>
          <cell r="AC312">
            <v>464.21787450133172</v>
          </cell>
          <cell r="AD312">
            <v>450.38345766120767</v>
          </cell>
          <cell r="AE312">
            <v>438.88961363299813</v>
          </cell>
          <cell r="AF312">
            <v>431.19612943683563</v>
          </cell>
          <cell r="AG312">
            <v>426.60555096620453</v>
          </cell>
          <cell r="AV312" t="str">
            <v>mstag:averageBasicSharesOutstanding</v>
          </cell>
          <cell r="AW312">
            <v>6</v>
          </cell>
          <cell r="AX312" t="str">
            <v>ms_eqr_gcim_Decimal:ms_eqr_gcim_decimal</v>
          </cell>
          <cell r="AY312" t="b">
            <v>0</v>
          </cell>
        </row>
        <row r="314">
          <cell r="A314" t="str">
            <v>Diluted Average Share Count</v>
          </cell>
          <cell r="E314">
            <v>80</v>
          </cell>
          <cell r="F314">
            <v>80</v>
          </cell>
          <cell r="G314">
            <v>80</v>
          </cell>
          <cell r="H314">
            <v>80</v>
          </cell>
          <cell r="I314">
            <v>80</v>
          </cell>
          <cell r="J314">
            <v>79.813000000000002</v>
          </cell>
          <cell r="K314">
            <v>77.698999999999998</v>
          </cell>
          <cell r="L314">
            <v>103.11499999999999</v>
          </cell>
          <cell r="M314">
            <v>117.77800000000001</v>
          </cell>
          <cell r="N314">
            <v>117.563</v>
          </cell>
          <cell r="O314">
            <v>133.94300000000001</v>
          </cell>
          <cell r="P314">
            <v>164.3</v>
          </cell>
          <cell r="Q314">
            <v>186</v>
          </cell>
          <cell r="R314">
            <v>259.89999999999998</v>
          </cell>
          <cell r="S314">
            <v>260.3</v>
          </cell>
          <cell r="T314">
            <v>0.40322599999999997</v>
          </cell>
          <cell r="U314">
            <v>0.40322599999999997</v>
          </cell>
          <cell r="V314">
            <v>0.40322599999999997</v>
          </cell>
          <cell r="W314">
            <v>565.75</v>
          </cell>
          <cell r="X314">
            <v>572.75</v>
          </cell>
          <cell r="Y314">
            <v>574.30361149999999</v>
          </cell>
          <cell r="Z314">
            <v>562.06543947500006</v>
          </cell>
          <cell r="AA314">
            <v>523.79283694875016</v>
          </cell>
          <cell r="AB314">
            <v>485.18452420269278</v>
          </cell>
          <cell r="AC314">
            <v>464.21787450133172</v>
          </cell>
          <cell r="AD314">
            <v>450.38345766120767</v>
          </cell>
          <cell r="AE314">
            <v>438.88961363299813</v>
          </cell>
          <cell r="AF314">
            <v>431.19612943683563</v>
          </cell>
          <cell r="AG314">
            <v>426.60555096620453</v>
          </cell>
        </row>
        <row r="315">
          <cell r="A315" t="str">
            <v>Period End Diluted Share Count</v>
          </cell>
          <cell r="E315">
            <v>80</v>
          </cell>
          <cell r="F315">
            <v>80</v>
          </cell>
          <cell r="G315">
            <v>80</v>
          </cell>
          <cell r="H315">
            <v>80</v>
          </cell>
          <cell r="I315">
            <v>80</v>
          </cell>
          <cell r="J315">
            <v>79.001487999999995</v>
          </cell>
          <cell r="K315">
            <v>77.051797000000008</v>
          </cell>
          <cell r="L315">
            <v>117.57102399999999</v>
          </cell>
          <cell r="M315">
            <v>117.781333</v>
          </cell>
          <cell r="N315">
            <v>117.56292000000001</v>
          </cell>
          <cell r="O315">
            <v>160.41314400000002</v>
          </cell>
          <cell r="P315">
            <v>176.792587</v>
          </cell>
          <cell r="Q315">
            <v>246.48499800000002</v>
          </cell>
          <cell r="R315">
            <v>261.05023399999993</v>
          </cell>
          <cell r="S315">
            <v>261.67057</v>
          </cell>
          <cell r="T315">
            <v>0.40322599999999997</v>
          </cell>
          <cell r="U315">
            <v>0.40322599999999997</v>
          </cell>
          <cell r="V315">
            <v>0.40322599999999997</v>
          </cell>
          <cell r="W315">
            <v>565.67622200000005</v>
          </cell>
          <cell r="X315">
            <v>573.39051400000005</v>
          </cell>
          <cell r="Y315">
            <v>575.21670900000004</v>
          </cell>
          <cell r="Z315">
            <v>548.91416995000009</v>
          </cell>
          <cell r="AA315">
            <v>498.67150394750013</v>
          </cell>
          <cell r="AB315">
            <v>471.69754445788544</v>
          </cell>
          <cell r="AC315">
            <v>456.73820454477794</v>
          </cell>
          <cell r="AD315">
            <v>444.02871077763734</v>
          </cell>
          <cell r="AE315">
            <v>433.75051648835898</v>
          </cell>
          <cell r="AF315">
            <v>428.64174238531228</v>
          </cell>
          <cell r="AG315">
            <v>424.56935954709672</v>
          </cell>
        </row>
        <row r="316">
          <cell r="A316" t="str">
            <v>Dilutive stock options</v>
          </cell>
          <cell r="E316">
            <v>0</v>
          </cell>
          <cell r="F316">
            <v>0</v>
          </cell>
          <cell r="G316">
            <v>0</v>
          </cell>
          <cell r="H316">
            <v>0</v>
          </cell>
          <cell r="I316">
            <v>0</v>
          </cell>
          <cell r="J316">
            <v>1.6999999999995907E-2</v>
          </cell>
          <cell r="K316">
            <v>3.0000000000001137E-2</v>
          </cell>
          <cell r="L316">
            <v>0</v>
          </cell>
          <cell r="M316">
            <v>0.22100000000000364</v>
          </cell>
          <cell r="N316">
            <v>0</v>
          </cell>
          <cell r="O316">
            <v>0</v>
          </cell>
          <cell r="P316">
            <v>0</v>
          </cell>
          <cell r="Q316">
            <v>2.8000000000000114</v>
          </cell>
          <cell r="R316">
            <v>13.999999999999972</v>
          </cell>
          <cell r="S316">
            <v>12.700000000000017</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row>
        <row r="318">
          <cell r="A318" t="str">
            <v>Additional paid-in capital</v>
          </cell>
        </row>
        <row r="319">
          <cell r="A319" t="str">
            <v>APIC at Jan 1</v>
          </cell>
          <cell r="F319">
            <v>158</v>
          </cell>
          <cell r="G319">
            <v>158</v>
          </cell>
          <cell r="H319">
            <v>158</v>
          </cell>
          <cell r="I319">
            <v>158</v>
          </cell>
          <cell r="J319">
            <v>158</v>
          </cell>
          <cell r="K319">
            <v>158</v>
          </cell>
          <cell r="L319">
            <v>158</v>
          </cell>
          <cell r="M319">
            <v>854</v>
          </cell>
          <cell r="N319">
            <v>854</v>
          </cell>
          <cell r="O319">
            <v>854</v>
          </cell>
          <cell r="P319">
            <v>1380</v>
          </cell>
          <cell r="Q319">
            <v>1571</v>
          </cell>
          <cell r="R319">
            <v>3000</v>
          </cell>
          <cell r="S319">
            <v>3211</v>
          </cell>
          <cell r="T319">
            <v>3248</v>
          </cell>
          <cell r="U319">
            <v>563</v>
          </cell>
          <cell r="V319">
            <v>563</v>
          </cell>
          <cell r="W319">
            <v>563</v>
          </cell>
          <cell r="X319">
            <v>9837</v>
          </cell>
          <cell r="Y319">
            <v>10272</v>
          </cell>
          <cell r="Z319">
            <v>10351</v>
          </cell>
          <cell r="AA319">
            <v>10688.5</v>
          </cell>
          <cell r="AB319">
            <v>10688.5</v>
          </cell>
          <cell r="AC319">
            <v>10688.5</v>
          </cell>
          <cell r="AD319">
            <v>10688.5</v>
          </cell>
          <cell r="AE319">
            <v>10688.5</v>
          </cell>
          <cell r="AF319">
            <v>10688.5</v>
          </cell>
          <cell r="AG319">
            <v>10688.5</v>
          </cell>
        </row>
        <row r="320">
          <cell r="A320" t="str">
            <v>Proceeds from exercise of stock options/issuance of common stock</v>
          </cell>
          <cell r="F320">
            <v>0</v>
          </cell>
          <cell r="G320">
            <v>0</v>
          </cell>
          <cell r="H320">
            <v>0</v>
          </cell>
          <cell r="I320">
            <v>0</v>
          </cell>
          <cell r="J320">
            <v>0</v>
          </cell>
          <cell r="K320">
            <v>0</v>
          </cell>
          <cell r="L320">
            <v>696</v>
          </cell>
          <cell r="M320">
            <v>0</v>
          </cell>
          <cell r="N320">
            <v>0</v>
          </cell>
          <cell r="O320">
            <v>518</v>
          </cell>
          <cell r="P320">
            <v>161</v>
          </cell>
          <cell r="Q320">
            <v>1392</v>
          </cell>
          <cell r="R320">
            <v>67</v>
          </cell>
          <cell r="S320">
            <v>37</v>
          </cell>
          <cell r="T320">
            <v>0</v>
          </cell>
          <cell r="U320">
            <v>0</v>
          </cell>
          <cell r="V320">
            <v>0</v>
          </cell>
          <cell r="W320">
            <v>0</v>
          </cell>
          <cell r="X320">
            <v>0</v>
          </cell>
          <cell r="Y320">
            <v>0</v>
          </cell>
          <cell r="Z320">
            <v>337.5</v>
          </cell>
          <cell r="AA320">
            <v>0</v>
          </cell>
          <cell r="AB320">
            <v>0</v>
          </cell>
          <cell r="AC320">
            <v>0</v>
          </cell>
          <cell r="AD320">
            <v>0</v>
          </cell>
          <cell r="AE320">
            <v>0</v>
          </cell>
          <cell r="AF320">
            <v>0</v>
          </cell>
          <cell r="AG320">
            <v>0</v>
          </cell>
        </row>
        <row r="321">
          <cell r="A321" t="str">
            <v>Stock dividend - Series B</v>
          </cell>
          <cell r="F321">
            <v>0</v>
          </cell>
          <cell r="G321">
            <v>0</v>
          </cell>
          <cell r="H321">
            <v>0</v>
          </cell>
          <cell r="I321">
            <v>0</v>
          </cell>
          <cell r="J321">
            <v>0</v>
          </cell>
          <cell r="K321">
            <v>0</v>
          </cell>
          <cell r="L321">
            <v>0</v>
          </cell>
          <cell r="M321">
            <v>0</v>
          </cell>
          <cell r="N321">
            <v>0</v>
          </cell>
          <cell r="O321">
            <v>7</v>
          </cell>
          <cell r="P321">
            <v>30</v>
          </cell>
          <cell r="Q321">
            <v>32</v>
          </cell>
          <cell r="R321">
            <v>0</v>
          </cell>
          <cell r="S321">
            <v>0</v>
          </cell>
          <cell r="T321">
            <v>0</v>
          </cell>
          <cell r="U321">
            <v>0</v>
          </cell>
          <cell r="V321">
            <v>0</v>
          </cell>
          <cell r="W321">
            <v>0</v>
          </cell>
          <cell r="X321">
            <v>0</v>
          </cell>
          <cell r="Y321">
            <v>0</v>
          </cell>
          <cell r="Z321">
            <v>0</v>
          </cell>
          <cell r="AA321">
            <v>0</v>
          </cell>
          <cell r="AB321">
            <v>0</v>
          </cell>
          <cell r="AC321">
            <v>0</v>
          </cell>
          <cell r="AD321">
            <v>0</v>
          </cell>
          <cell r="AE321">
            <v>0</v>
          </cell>
          <cell r="AF321">
            <v>0</v>
          </cell>
          <cell r="AG321">
            <v>0</v>
          </cell>
        </row>
        <row r="322">
          <cell r="A322" t="str">
            <v>Other</v>
          </cell>
          <cell r="F322">
            <v>0</v>
          </cell>
          <cell r="G322">
            <v>0</v>
          </cell>
          <cell r="H322">
            <v>0</v>
          </cell>
          <cell r="I322">
            <v>0</v>
          </cell>
          <cell r="J322">
            <v>0</v>
          </cell>
          <cell r="K322">
            <v>0</v>
          </cell>
          <cell r="L322">
            <v>0</v>
          </cell>
          <cell r="M322">
            <v>0</v>
          </cell>
          <cell r="N322">
            <v>0</v>
          </cell>
          <cell r="O322">
            <v>1</v>
          </cell>
          <cell r="P322">
            <v>0</v>
          </cell>
          <cell r="Q322">
            <v>5</v>
          </cell>
          <cell r="R322">
            <v>144</v>
          </cell>
          <cell r="S322">
            <v>0</v>
          </cell>
          <cell r="T322">
            <v>-2685</v>
          </cell>
          <cell r="U322">
            <v>0</v>
          </cell>
          <cell r="V322">
            <v>0</v>
          </cell>
          <cell r="W322">
            <v>9274</v>
          </cell>
          <cell r="X322">
            <v>435</v>
          </cell>
          <cell r="Y322">
            <v>79</v>
          </cell>
          <cell r="Z322">
            <v>0</v>
          </cell>
          <cell r="AA322">
            <v>0</v>
          </cell>
          <cell r="AB322">
            <v>0</v>
          </cell>
          <cell r="AC322">
            <v>0</v>
          </cell>
          <cell r="AD322">
            <v>0</v>
          </cell>
          <cell r="AE322">
            <v>0</v>
          </cell>
          <cell r="AF322">
            <v>0</v>
          </cell>
          <cell r="AG322">
            <v>0</v>
          </cell>
        </row>
        <row r="323">
          <cell r="A323" t="str">
            <v>APIC at Dec 31</v>
          </cell>
          <cell r="E323">
            <v>158</v>
          </cell>
          <cell r="F323">
            <v>158</v>
          </cell>
          <cell r="G323">
            <v>158</v>
          </cell>
          <cell r="H323">
            <v>158</v>
          </cell>
          <cell r="I323">
            <v>158</v>
          </cell>
          <cell r="J323">
            <v>158</v>
          </cell>
          <cell r="K323">
            <v>158</v>
          </cell>
          <cell r="L323">
            <v>854</v>
          </cell>
          <cell r="M323">
            <v>854</v>
          </cell>
          <cell r="N323">
            <v>854</v>
          </cell>
          <cell r="O323">
            <v>1380</v>
          </cell>
          <cell r="P323">
            <v>1571</v>
          </cell>
          <cell r="Q323">
            <v>3000</v>
          </cell>
          <cell r="R323">
            <v>3211</v>
          </cell>
          <cell r="S323">
            <v>3248</v>
          </cell>
          <cell r="T323">
            <v>563</v>
          </cell>
          <cell r="U323">
            <v>563</v>
          </cell>
          <cell r="V323">
            <v>563</v>
          </cell>
          <cell r="W323">
            <v>9837</v>
          </cell>
          <cell r="X323">
            <v>10272</v>
          </cell>
          <cell r="Y323">
            <v>10351</v>
          </cell>
          <cell r="Z323">
            <v>10688.5</v>
          </cell>
          <cell r="AA323">
            <v>10688.5</v>
          </cell>
          <cell r="AB323">
            <v>10688.5</v>
          </cell>
          <cell r="AC323">
            <v>10688.5</v>
          </cell>
          <cell r="AD323">
            <v>10688.5</v>
          </cell>
          <cell r="AE323">
            <v>10688.5</v>
          </cell>
          <cell r="AF323">
            <v>10688.5</v>
          </cell>
          <cell r="AG323">
            <v>10688.5</v>
          </cell>
        </row>
        <row r="325">
          <cell r="A325" t="str">
            <v>Retained earnings</v>
          </cell>
        </row>
        <row r="326">
          <cell r="A326" t="str">
            <v>Retained earnings at Jan 1</v>
          </cell>
          <cell r="F326">
            <v>-244</v>
          </cell>
          <cell r="G326">
            <v>-326</v>
          </cell>
          <cell r="H326">
            <v>-175</v>
          </cell>
          <cell r="I326">
            <v>142</v>
          </cell>
          <cell r="J326">
            <v>193</v>
          </cell>
          <cell r="K326">
            <v>407</v>
          </cell>
          <cell r="L326">
            <v>387</v>
          </cell>
          <cell r="M326">
            <v>172</v>
          </cell>
          <cell r="N326">
            <v>504</v>
          </cell>
          <cell r="O326">
            <v>247</v>
          </cell>
          <cell r="P326">
            <v>-18</v>
          </cell>
          <cell r="Q326">
            <v>-474</v>
          </cell>
          <cell r="R326">
            <v>-600</v>
          </cell>
          <cell r="S326">
            <v>-292</v>
          </cell>
          <cell r="T326">
            <v>-330</v>
          </cell>
          <cell r="U326">
            <v>881</v>
          </cell>
          <cell r="V326">
            <v>-6440</v>
          </cell>
          <cell r="W326">
            <v>-9313</v>
          </cell>
          <cell r="X326">
            <v>1587</v>
          </cell>
          <cell r="Y326">
            <v>841</v>
          </cell>
          <cell r="Z326">
            <v>1274</v>
          </cell>
          <cell r="AA326">
            <v>4111.2822089450001</v>
          </cell>
          <cell r="AB326">
            <v>6545.5750169769981</v>
          </cell>
          <cell r="AC326">
            <v>8597.1119299264319</v>
          </cell>
          <cell r="AD326">
            <v>10689.357231739223</v>
          </cell>
          <cell r="AE326">
            <v>12687.250748976998</v>
          </cell>
          <cell r="AF326">
            <v>14554.882847226118</v>
          </cell>
          <cell r="AG326">
            <v>15739.085557212462</v>
          </cell>
        </row>
        <row r="327">
          <cell r="A327" t="str">
            <v>Net Income</v>
          </cell>
          <cell r="F327">
            <v>26</v>
          </cell>
          <cell r="G327">
            <v>223</v>
          </cell>
          <cell r="H327">
            <v>389</v>
          </cell>
          <cell r="I327">
            <v>126</v>
          </cell>
          <cell r="J327">
            <v>286</v>
          </cell>
          <cell r="K327">
            <v>52</v>
          </cell>
          <cell r="L327">
            <v>-115</v>
          </cell>
          <cell r="M327">
            <v>437</v>
          </cell>
          <cell r="N327">
            <v>-150</v>
          </cell>
          <cell r="O327">
            <v>-148</v>
          </cell>
          <cell r="P327">
            <v>-302</v>
          </cell>
          <cell r="Q327">
            <v>54</v>
          </cell>
          <cell r="R327">
            <v>531</v>
          </cell>
          <cell r="S327">
            <v>186</v>
          </cell>
          <cell r="T327">
            <v>661</v>
          </cell>
          <cell r="U327">
            <v>-7321</v>
          </cell>
          <cell r="V327">
            <v>-2865</v>
          </cell>
          <cell r="W327">
            <v>10192</v>
          </cell>
          <cell r="X327">
            <v>2140</v>
          </cell>
          <cell r="Y327">
            <v>2834</v>
          </cell>
          <cell r="Z327">
            <v>3849</v>
          </cell>
          <cell r="AA327">
            <v>3424.2612698651355</v>
          </cell>
          <cell r="AB327">
            <v>3419.2281882490597</v>
          </cell>
          <cell r="AC327">
            <v>3487.0755030213177</v>
          </cell>
          <cell r="AD327">
            <v>3329.8225287296268</v>
          </cell>
          <cell r="AE327">
            <v>3112.7201637485314</v>
          </cell>
          <cell r="AF327">
            <v>1973.6711833105746</v>
          </cell>
          <cell r="AG327">
            <v>1819.2939875995435</v>
          </cell>
        </row>
        <row r="328">
          <cell r="A328" t="str">
            <v>Stock dividends - Series B</v>
          </cell>
          <cell r="F328">
            <v>0</v>
          </cell>
          <cell r="G328">
            <v>0</v>
          </cell>
          <cell r="H328">
            <v>0</v>
          </cell>
          <cell r="I328">
            <v>0</v>
          </cell>
          <cell r="J328">
            <v>0</v>
          </cell>
          <cell r="K328">
            <v>0</v>
          </cell>
          <cell r="L328">
            <v>0</v>
          </cell>
          <cell r="M328">
            <v>0</v>
          </cell>
          <cell r="N328">
            <v>0</v>
          </cell>
          <cell r="O328">
            <v>-8</v>
          </cell>
          <cell r="P328">
            <v>-32</v>
          </cell>
          <cell r="Q328">
            <v>-34</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row>
        <row r="329">
          <cell r="A329" t="str">
            <v>Cash dividends</v>
          </cell>
          <cell r="F329">
            <v>-108</v>
          </cell>
          <cell r="G329">
            <v>-72</v>
          </cell>
          <cell r="H329">
            <v>-72</v>
          </cell>
          <cell r="I329">
            <v>-72</v>
          </cell>
          <cell r="J329">
            <v>-72</v>
          </cell>
          <cell r="K329">
            <v>-70</v>
          </cell>
          <cell r="L329">
            <v>-97</v>
          </cell>
          <cell r="M329">
            <v>-106</v>
          </cell>
          <cell r="N329">
            <v>-106</v>
          </cell>
          <cell r="O329">
            <v>-109</v>
          </cell>
          <cell r="P329">
            <v>-116</v>
          </cell>
          <cell r="Q329">
            <v>-127</v>
          </cell>
          <cell r="R329">
            <v>-222</v>
          </cell>
          <cell r="S329">
            <v>-223</v>
          </cell>
          <cell r="T329">
            <v>-522</v>
          </cell>
          <cell r="U329">
            <v>0</v>
          </cell>
          <cell r="V329">
            <v>0</v>
          </cell>
          <cell r="W329">
            <v>0</v>
          </cell>
          <cell r="X329">
            <v>-2893</v>
          </cell>
          <cell r="Y329">
            <v>-2415</v>
          </cell>
          <cell r="Z329">
            <v>-1011.7177910550001</v>
          </cell>
          <cell r="AA329">
            <v>-989.96846183313778</v>
          </cell>
          <cell r="AB329">
            <v>-1367.6912752996241</v>
          </cell>
          <cell r="AC329">
            <v>-1394.8302012085271</v>
          </cell>
          <cell r="AD329">
            <v>-1331.9290114918508</v>
          </cell>
          <cell r="AE329">
            <v>-1245.0880654994126</v>
          </cell>
          <cell r="AF329">
            <v>-789.46847332422988</v>
          </cell>
          <cell r="AG329">
            <v>-727.71759503981741</v>
          </cell>
        </row>
        <row r="330">
          <cell r="A330" t="str">
            <v>Reissuance - treasury shares</v>
          </cell>
          <cell r="F330">
            <v>0</v>
          </cell>
          <cell r="G330">
            <v>0</v>
          </cell>
          <cell r="H330">
            <v>0</v>
          </cell>
          <cell r="I330">
            <v>0</v>
          </cell>
          <cell r="J330">
            <v>0</v>
          </cell>
          <cell r="K330">
            <v>0</v>
          </cell>
          <cell r="L330">
            <v>0</v>
          </cell>
          <cell r="M330">
            <v>0</v>
          </cell>
          <cell r="N330">
            <v>-1</v>
          </cell>
          <cell r="O330">
            <v>0</v>
          </cell>
          <cell r="P330">
            <v>-6</v>
          </cell>
          <cell r="Q330">
            <v>-19</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row>
        <row r="331">
          <cell r="A331" t="str">
            <v>Other</v>
          </cell>
          <cell r="F331">
            <v>0</v>
          </cell>
          <cell r="G331">
            <v>0</v>
          </cell>
          <cell r="H331">
            <v>0</v>
          </cell>
          <cell r="I331">
            <v>-3</v>
          </cell>
          <cell r="J331">
            <v>0</v>
          </cell>
          <cell r="K331">
            <v>-2</v>
          </cell>
          <cell r="L331">
            <v>-3</v>
          </cell>
          <cell r="M331">
            <v>1</v>
          </cell>
          <cell r="N331">
            <v>0</v>
          </cell>
          <cell r="O331">
            <v>0</v>
          </cell>
          <cell r="P331">
            <v>0</v>
          </cell>
          <cell r="Q331">
            <v>0</v>
          </cell>
          <cell r="R331">
            <v>-1</v>
          </cell>
          <cell r="S331">
            <v>-1</v>
          </cell>
          <cell r="T331">
            <v>1072</v>
          </cell>
          <cell r="U331">
            <v>0</v>
          </cell>
          <cell r="V331">
            <v>-8</v>
          </cell>
          <cell r="W331">
            <v>708</v>
          </cell>
          <cell r="X331">
            <v>7</v>
          </cell>
          <cell r="Y331">
            <v>14</v>
          </cell>
          <cell r="Z331">
            <v>0</v>
          </cell>
          <cell r="AA331">
            <v>0</v>
          </cell>
          <cell r="AB331">
            <v>0</v>
          </cell>
          <cell r="AC331">
            <v>0</v>
          </cell>
          <cell r="AD331">
            <v>0</v>
          </cell>
          <cell r="AE331">
            <v>0</v>
          </cell>
          <cell r="AF331">
            <v>0</v>
          </cell>
          <cell r="AG331">
            <v>0</v>
          </cell>
        </row>
        <row r="332">
          <cell r="A332" t="str">
            <v>Retained Earnings at Dec 31</v>
          </cell>
          <cell r="E332">
            <v>-244</v>
          </cell>
          <cell r="F332">
            <v>-326</v>
          </cell>
          <cell r="G332">
            <v>-175</v>
          </cell>
          <cell r="H332">
            <v>142</v>
          </cell>
          <cell r="I332">
            <v>193</v>
          </cell>
          <cell r="J332">
            <v>407</v>
          </cell>
          <cell r="K332">
            <v>387</v>
          </cell>
          <cell r="L332">
            <v>172</v>
          </cell>
          <cell r="M332">
            <v>504</v>
          </cell>
          <cell r="N332">
            <v>247</v>
          </cell>
          <cell r="O332">
            <v>-18</v>
          </cell>
          <cell r="P332">
            <v>-474</v>
          </cell>
          <cell r="Q332">
            <v>-600</v>
          </cell>
          <cell r="R332">
            <v>-292</v>
          </cell>
          <cell r="S332">
            <v>-330</v>
          </cell>
          <cell r="T332">
            <v>881</v>
          </cell>
          <cell r="U332">
            <v>-6440</v>
          </cell>
          <cell r="V332">
            <v>-9313</v>
          </cell>
          <cell r="W332">
            <v>1587</v>
          </cell>
          <cell r="X332">
            <v>841</v>
          </cell>
          <cell r="Y332">
            <v>1274</v>
          </cell>
          <cell r="Z332">
            <v>4111.2822089450001</v>
          </cell>
          <cell r="AA332">
            <v>6545.5750169769981</v>
          </cell>
          <cell r="AB332">
            <v>8597.1119299264319</v>
          </cell>
          <cell r="AC332">
            <v>10689.357231739223</v>
          </cell>
          <cell r="AD332">
            <v>12687.250748976998</v>
          </cell>
          <cell r="AE332">
            <v>14554.882847226118</v>
          </cell>
          <cell r="AF332">
            <v>15739.085557212462</v>
          </cell>
          <cell r="AG332">
            <v>16830.661949772191</v>
          </cell>
        </row>
        <row r="334">
          <cell r="A334" t="str">
            <v>Accumulated other comprehensive income</v>
          </cell>
        </row>
        <row r="335">
          <cell r="A335" t="str">
            <v>AOCI at Jan 1</v>
          </cell>
          <cell r="F335">
            <v>0</v>
          </cell>
          <cell r="G335">
            <v>0</v>
          </cell>
          <cell r="H335">
            <v>0</v>
          </cell>
          <cell r="I335">
            <v>0</v>
          </cell>
          <cell r="J335">
            <v>0</v>
          </cell>
          <cell r="K335">
            <v>0</v>
          </cell>
          <cell r="L335">
            <v>32</v>
          </cell>
          <cell r="M335">
            <v>-64</v>
          </cell>
          <cell r="N335">
            <v>-258</v>
          </cell>
          <cell r="O335">
            <v>-397</v>
          </cell>
          <cell r="P335">
            <v>-271</v>
          </cell>
          <cell r="Q335">
            <v>-54</v>
          </cell>
          <cell r="R335">
            <v>56</v>
          </cell>
          <cell r="S335">
            <v>-136</v>
          </cell>
          <cell r="T335">
            <v>42</v>
          </cell>
          <cell r="U335">
            <v>417</v>
          </cell>
          <cell r="V335">
            <v>-264</v>
          </cell>
          <cell r="W335">
            <v>-286</v>
          </cell>
          <cell r="X335">
            <v>81</v>
          </cell>
          <cell r="Y335">
            <v>-427</v>
          </cell>
          <cell r="Z335">
            <v>-411</v>
          </cell>
          <cell r="AA335">
            <v>-436.6829268292683</v>
          </cell>
          <cell r="AB335">
            <v>-462.89598657393282</v>
          </cell>
          <cell r="AC335">
            <v>-492.60781471046681</v>
          </cell>
          <cell r="AD335">
            <v>-522.31082346996345</v>
          </cell>
          <cell r="AE335">
            <v>-551.61311054958696</v>
          </cell>
          <cell r="AF335">
            <v>-580.72450229069352</v>
          </cell>
          <cell r="AG335">
            <v>-610.75712918084071</v>
          </cell>
        </row>
        <row r="336">
          <cell r="A336" t="str">
            <v>Cumulative translation adjustment</v>
          </cell>
          <cell r="F336">
            <v>0</v>
          </cell>
          <cell r="G336">
            <v>0</v>
          </cell>
          <cell r="H336">
            <v>0</v>
          </cell>
          <cell r="I336">
            <v>0</v>
          </cell>
          <cell r="J336">
            <v>0</v>
          </cell>
          <cell r="K336">
            <v>32</v>
          </cell>
          <cell r="L336">
            <v>-96</v>
          </cell>
          <cell r="M336">
            <v>-183</v>
          </cell>
          <cell r="N336">
            <v>-2</v>
          </cell>
          <cell r="O336">
            <v>189</v>
          </cell>
          <cell r="P336">
            <v>191</v>
          </cell>
          <cell r="Q336">
            <v>110</v>
          </cell>
          <cell r="R336">
            <v>-191</v>
          </cell>
          <cell r="S336">
            <v>172</v>
          </cell>
          <cell r="T336">
            <v>214</v>
          </cell>
          <cell r="U336">
            <v>-191</v>
          </cell>
          <cell r="V336">
            <v>-46</v>
          </cell>
          <cell r="W336">
            <v>0</v>
          </cell>
          <cell r="X336">
            <v>0</v>
          </cell>
          <cell r="Y336">
            <v>0</v>
          </cell>
          <cell r="Z336">
            <v>0</v>
          </cell>
          <cell r="AA336">
            <v>0</v>
          </cell>
          <cell r="AB336">
            <v>0</v>
          </cell>
          <cell r="AC336">
            <v>0</v>
          </cell>
          <cell r="AD336">
            <v>0</v>
          </cell>
          <cell r="AE336">
            <v>0</v>
          </cell>
          <cell r="AF336">
            <v>0</v>
          </cell>
          <cell r="AG336">
            <v>0</v>
          </cell>
        </row>
        <row r="337">
          <cell r="A337" t="str">
            <v>Unrealized gain on held-for-sale securities held by equity investees</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13</v>
          </cell>
          <cell r="U337">
            <v>-23</v>
          </cell>
          <cell r="V337">
            <v>31</v>
          </cell>
          <cell r="W337">
            <v>0</v>
          </cell>
          <cell r="X337">
            <v>0</v>
          </cell>
          <cell r="Y337">
            <v>0</v>
          </cell>
          <cell r="Z337">
            <v>0</v>
          </cell>
          <cell r="AA337">
            <v>0</v>
          </cell>
          <cell r="AB337">
            <v>0</v>
          </cell>
          <cell r="AC337">
            <v>0</v>
          </cell>
          <cell r="AD337">
            <v>0</v>
          </cell>
          <cell r="AE337">
            <v>0</v>
          </cell>
          <cell r="AF337">
            <v>0</v>
          </cell>
          <cell r="AG337">
            <v>0</v>
          </cell>
        </row>
        <row r="338">
          <cell r="A338" t="str">
            <v>Pension benefit plans/minimum pension liability</v>
          </cell>
          <cell r="F338">
            <v>0</v>
          </cell>
          <cell r="G338">
            <v>0</v>
          </cell>
          <cell r="H338">
            <v>0</v>
          </cell>
          <cell r="I338">
            <v>0</v>
          </cell>
          <cell r="J338">
            <v>0</v>
          </cell>
          <cell r="K338">
            <v>0</v>
          </cell>
          <cell r="L338">
            <v>0</v>
          </cell>
          <cell r="M338">
            <v>-11</v>
          </cell>
          <cell r="N338">
            <v>-53</v>
          </cell>
          <cell r="O338">
            <v>-65</v>
          </cell>
          <cell r="P338">
            <v>24</v>
          </cell>
          <cell r="Q338">
            <v>1</v>
          </cell>
          <cell r="R338">
            <v>0</v>
          </cell>
          <cell r="S338">
            <v>60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row>
        <row r="339">
          <cell r="A339" t="str">
            <v>Changes in unrecognized employee benefits gains and losses</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70</v>
          </cell>
          <cell r="U339">
            <v>-378</v>
          </cell>
          <cell r="V339">
            <v>-36</v>
          </cell>
          <cell r="W339">
            <v>21</v>
          </cell>
          <cell r="X339">
            <v>-32</v>
          </cell>
          <cell r="Y339">
            <v>-27</v>
          </cell>
          <cell r="Z339">
            <v>-25.68292682926829</v>
          </cell>
          <cell r="AA339">
            <v>-26.21305974466453</v>
          </cell>
          <cell r="AB339">
            <v>-29.711828136534013</v>
          </cell>
          <cell r="AC339">
            <v>-29.703008759496612</v>
          </cell>
          <cell r="AD339">
            <v>-29.302287079623557</v>
          </cell>
          <cell r="AE339">
            <v>-29.111391741106527</v>
          </cell>
          <cell r="AF339">
            <v>-30.032626890147192</v>
          </cell>
          <cell r="AG339">
            <v>-30.034310223685143</v>
          </cell>
        </row>
        <row r="340">
          <cell r="A340" t="str">
            <v>Others</v>
          </cell>
          <cell r="F340">
            <v>0</v>
          </cell>
          <cell r="G340">
            <v>0</v>
          </cell>
          <cell r="H340">
            <v>0</v>
          </cell>
          <cell r="I340">
            <v>0</v>
          </cell>
          <cell r="J340">
            <v>0</v>
          </cell>
          <cell r="K340">
            <v>0</v>
          </cell>
          <cell r="L340">
            <v>0</v>
          </cell>
          <cell r="M340">
            <v>0</v>
          </cell>
          <cell r="N340">
            <v>-84</v>
          </cell>
          <cell r="O340">
            <v>2</v>
          </cell>
          <cell r="P340">
            <v>2</v>
          </cell>
          <cell r="Q340">
            <v>-1</v>
          </cell>
          <cell r="R340">
            <v>-1</v>
          </cell>
          <cell r="S340">
            <v>-54</v>
          </cell>
          <cell r="T340">
            <v>78</v>
          </cell>
          <cell r="U340">
            <v>-89</v>
          </cell>
          <cell r="V340">
            <v>29</v>
          </cell>
          <cell r="W340">
            <v>346</v>
          </cell>
          <cell r="X340">
            <v>-476</v>
          </cell>
          <cell r="Y340">
            <v>43</v>
          </cell>
          <cell r="Z340">
            <v>0</v>
          </cell>
          <cell r="AA340">
            <v>0</v>
          </cell>
          <cell r="AB340">
            <v>0</v>
          </cell>
          <cell r="AC340">
            <v>0</v>
          </cell>
          <cell r="AD340">
            <v>0</v>
          </cell>
          <cell r="AE340">
            <v>0</v>
          </cell>
          <cell r="AF340">
            <v>0</v>
          </cell>
          <cell r="AG340">
            <v>0</v>
          </cell>
        </row>
        <row r="341">
          <cell r="A341" t="str">
            <v>AOCI at Dec 31</v>
          </cell>
          <cell r="E341">
            <v>0</v>
          </cell>
          <cell r="F341">
            <v>0</v>
          </cell>
          <cell r="G341">
            <v>0</v>
          </cell>
          <cell r="H341">
            <v>0</v>
          </cell>
          <cell r="I341">
            <v>0</v>
          </cell>
          <cell r="J341">
            <v>0</v>
          </cell>
          <cell r="K341">
            <v>32</v>
          </cell>
          <cell r="L341">
            <v>-64</v>
          </cell>
          <cell r="M341">
            <v>-258</v>
          </cell>
          <cell r="N341">
            <v>-397</v>
          </cell>
          <cell r="O341">
            <v>-271</v>
          </cell>
          <cell r="P341">
            <v>-54</v>
          </cell>
          <cell r="Q341">
            <v>56</v>
          </cell>
          <cell r="R341">
            <v>-136</v>
          </cell>
          <cell r="S341">
            <v>42</v>
          </cell>
          <cell r="T341">
            <v>417</v>
          </cell>
          <cell r="U341">
            <v>-264</v>
          </cell>
          <cell r="V341">
            <v>-286</v>
          </cell>
          <cell r="W341">
            <v>81</v>
          </cell>
          <cell r="X341">
            <v>-427</v>
          </cell>
          <cell r="Y341">
            <v>-411</v>
          </cell>
          <cell r="Z341">
            <v>-436.6829268292683</v>
          </cell>
          <cell r="AA341">
            <v>-462.89598657393282</v>
          </cell>
          <cell r="AB341">
            <v>-492.60781471046681</v>
          </cell>
          <cell r="AC341">
            <v>-522.31082346996345</v>
          </cell>
          <cell r="AD341">
            <v>-551.61311054958696</v>
          </cell>
          <cell r="AE341">
            <v>-580.72450229069352</v>
          </cell>
          <cell r="AF341">
            <v>-610.75712918084071</v>
          </cell>
          <cell r="AG341">
            <v>-640.79143940452582</v>
          </cell>
        </row>
        <row r="343">
          <cell r="A343" t="str">
            <v>Treasury stock</v>
          </cell>
        </row>
        <row r="344">
          <cell r="A344" t="str">
            <v>Treasury stock at Jan 1</v>
          </cell>
          <cell r="F344">
            <v>0</v>
          </cell>
          <cell r="G344">
            <v>0</v>
          </cell>
          <cell r="H344">
            <v>0</v>
          </cell>
          <cell r="I344">
            <v>0</v>
          </cell>
          <cell r="J344">
            <v>0</v>
          </cell>
          <cell r="K344">
            <v>-26</v>
          </cell>
          <cell r="L344">
            <v>-83</v>
          </cell>
          <cell r="M344">
            <v>-75</v>
          </cell>
          <cell r="N344">
            <v>-75</v>
          </cell>
          <cell r="O344">
            <v>-75</v>
          </cell>
          <cell r="P344">
            <v>-75</v>
          </cell>
          <cell r="Q344">
            <v>-66</v>
          </cell>
          <cell r="R344">
            <v>-28</v>
          </cell>
          <cell r="S344">
            <v>-23</v>
          </cell>
          <cell r="T344">
            <v>-22</v>
          </cell>
          <cell r="U344">
            <v>0</v>
          </cell>
          <cell r="V344">
            <v>0</v>
          </cell>
          <cell r="W344">
            <v>0</v>
          </cell>
          <cell r="X344">
            <v>0</v>
          </cell>
          <cell r="Y344">
            <v>-124</v>
          </cell>
          <cell r="Z344">
            <v>-106</v>
          </cell>
          <cell r="AA344">
            <v>-2506</v>
          </cell>
          <cell r="AB344">
            <v>-6830.0687499999995</v>
          </cell>
          <cell r="AC344">
            <v>-9489.6071614517859</v>
          </cell>
          <cell r="AD344">
            <v>-11209.625640241567</v>
          </cell>
          <cell r="AE344">
            <v>-12878.311919214322</v>
          </cell>
          <cell r="AF344">
            <v>-14435.36212487991</v>
          </cell>
          <cell r="AG344">
            <v>-15426.545383373406</v>
          </cell>
        </row>
        <row r="345">
          <cell r="A345" t="str">
            <v>Repurchases/reissuance of common stock</v>
          </cell>
          <cell r="F345">
            <v>0</v>
          </cell>
          <cell r="G345">
            <v>0</v>
          </cell>
          <cell r="H345">
            <v>0</v>
          </cell>
          <cell r="I345">
            <v>0</v>
          </cell>
          <cell r="J345">
            <v>-26</v>
          </cell>
          <cell r="K345">
            <v>-59</v>
          </cell>
          <cell r="L345">
            <v>0</v>
          </cell>
          <cell r="M345">
            <v>0</v>
          </cell>
          <cell r="N345">
            <v>0</v>
          </cell>
          <cell r="O345">
            <v>0</v>
          </cell>
          <cell r="P345">
            <v>9</v>
          </cell>
          <cell r="Q345">
            <v>42</v>
          </cell>
          <cell r="R345">
            <v>4</v>
          </cell>
          <cell r="S345">
            <v>1</v>
          </cell>
          <cell r="T345">
            <v>0</v>
          </cell>
          <cell r="U345">
            <v>0</v>
          </cell>
          <cell r="V345">
            <v>0</v>
          </cell>
          <cell r="W345">
            <v>0</v>
          </cell>
          <cell r="X345">
            <v>0</v>
          </cell>
          <cell r="Y345">
            <v>0</v>
          </cell>
          <cell r="Z345">
            <v>-2400</v>
          </cell>
          <cell r="AA345">
            <v>-4324.0687499999995</v>
          </cell>
          <cell r="AB345">
            <v>-2659.5384114517865</v>
          </cell>
          <cell r="AC345">
            <v>-1720.0184787897817</v>
          </cell>
          <cell r="AD345">
            <v>-1668.6862789727545</v>
          </cell>
          <cell r="AE345">
            <v>-1557.0502056655876</v>
          </cell>
          <cell r="AF345">
            <v>-991.18325849349674</v>
          </cell>
          <cell r="AG345">
            <v>-951.59274166840623</v>
          </cell>
        </row>
        <row r="346">
          <cell r="A346" t="str">
            <v>Other/Retired common stock</v>
          </cell>
          <cell r="F346">
            <v>0</v>
          </cell>
          <cell r="G346">
            <v>0</v>
          </cell>
          <cell r="H346">
            <v>0</v>
          </cell>
          <cell r="I346">
            <v>0</v>
          </cell>
          <cell r="J346">
            <v>0</v>
          </cell>
          <cell r="K346">
            <v>2</v>
          </cell>
          <cell r="L346">
            <v>8</v>
          </cell>
          <cell r="M346">
            <v>0</v>
          </cell>
          <cell r="N346">
            <v>0</v>
          </cell>
          <cell r="O346">
            <v>0</v>
          </cell>
          <cell r="P346">
            <v>0</v>
          </cell>
          <cell r="Q346">
            <v>-4</v>
          </cell>
          <cell r="R346">
            <v>1</v>
          </cell>
          <cell r="S346">
            <v>0</v>
          </cell>
          <cell r="T346">
            <v>22</v>
          </cell>
          <cell r="U346">
            <v>0</v>
          </cell>
          <cell r="V346">
            <v>0</v>
          </cell>
          <cell r="W346">
            <v>0</v>
          </cell>
          <cell r="X346">
            <v>0</v>
          </cell>
          <cell r="Y346">
            <v>0</v>
          </cell>
          <cell r="Z346">
            <v>0</v>
          </cell>
          <cell r="AA346">
            <v>0</v>
          </cell>
          <cell r="AB346">
            <v>0</v>
          </cell>
          <cell r="AC346">
            <v>0</v>
          </cell>
          <cell r="AD346">
            <v>0</v>
          </cell>
          <cell r="AE346">
            <v>0</v>
          </cell>
          <cell r="AF346">
            <v>0</v>
          </cell>
          <cell r="AG346">
            <v>0</v>
          </cell>
        </row>
        <row r="347">
          <cell r="A347" t="str">
            <v>Treasury stock at Dec 31</v>
          </cell>
          <cell r="E347">
            <v>0</v>
          </cell>
          <cell r="F347">
            <v>0</v>
          </cell>
          <cell r="G347">
            <v>0</v>
          </cell>
          <cell r="H347">
            <v>0</v>
          </cell>
          <cell r="I347">
            <v>0</v>
          </cell>
          <cell r="J347">
            <v>-26</v>
          </cell>
          <cell r="K347">
            <v>-83</v>
          </cell>
          <cell r="L347">
            <v>-75</v>
          </cell>
          <cell r="M347">
            <v>-75</v>
          </cell>
          <cell r="N347">
            <v>-75</v>
          </cell>
          <cell r="O347">
            <v>-75</v>
          </cell>
          <cell r="P347">
            <v>-66</v>
          </cell>
          <cell r="Q347">
            <v>-28</v>
          </cell>
          <cell r="R347">
            <v>-23</v>
          </cell>
          <cell r="S347">
            <v>-22</v>
          </cell>
          <cell r="T347">
            <v>0</v>
          </cell>
          <cell r="U347">
            <v>0</v>
          </cell>
          <cell r="V347">
            <v>0</v>
          </cell>
          <cell r="W347">
            <v>0</v>
          </cell>
          <cell r="X347">
            <v>-124</v>
          </cell>
          <cell r="Y347">
            <v>-106</v>
          </cell>
          <cell r="Z347">
            <v>-2506</v>
          </cell>
          <cell r="AA347">
            <v>-6830.0687499999995</v>
          </cell>
          <cell r="AB347">
            <v>-9489.6071614517859</v>
          </cell>
          <cell r="AC347">
            <v>-11209.625640241567</v>
          </cell>
          <cell r="AD347">
            <v>-12878.311919214322</v>
          </cell>
          <cell r="AE347">
            <v>-14435.36212487991</v>
          </cell>
          <cell r="AF347">
            <v>-15426.545383373406</v>
          </cell>
          <cell r="AG347">
            <v>-16378.138125041813</v>
          </cell>
        </row>
        <row r="350">
          <cell r="A350" t="str">
            <v>Modelware Changes requirements</v>
          </cell>
        </row>
        <row r="351">
          <cell r="A351" t="str">
            <v>Unrecorded goodwill</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V351" t="str">
            <v>mstag:unrecordedGoodwillFromPoolingAndAmortizedOrWrittenOffGoodwill</v>
          </cell>
          <cell r="AW351">
            <v>6</v>
          </cell>
          <cell r="AX351" t="str">
            <v>ISO4217:USD</v>
          </cell>
          <cell r="AY351" t="b">
            <v>0</v>
          </cell>
        </row>
        <row r="352">
          <cell r="A352" t="str">
            <v>Statutory Tax Rate</v>
          </cell>
          <cell r="E352">
            <v>0.32500000000000001</v>
          </cell>
          <cell r="F352">
            <v>0.54299999999999993</v>
          </cell>
          <cell r="G352">
            <v>0.36199999999999999</v>
          </cell>
          <cell r="H352">
            <v>0.37</v>
          </cell>
          <cell r="I352">
            <v>0.36199999999999999</v>
          </cell>
          <cell r="J352">
            <v>0.36799999999999999</v>
          </cell>
          <cell r="K352">
            <v>0.46799999999999997</v>
          </cell>
          <cell r="L352">
            <v>0.3</v>
          </cell>
          <cell r="M352">
            <v>0.29148629148629152</v>
          </cell>
          <cell r="N352">
            <v>0.2669683257918552</v>
          </cell>
          <cell r="O352">
            <v>0.28504672897196259</v>
          </cell>
          <cell r="P352">
            <v>0.36174636174636177</v>
          </cell>
          <cell r="Q352">
            <v>0.35</v>
          </cell>
          <cell r="R352">
            <v>0.36000000000000004</v>
          </cell>
          <cell r="S352">
            <v>0.37099494097807761</v>
          </cell>
          <cell r="T352">
            <v>0.22553191489361701</v>
          </cell>
          <cell r="U352">
            <v>0.35716031280547411</v>
          </cell>
          <cell r="V352">
            <v>0.35024549918166942</v>
          </cell>
          <cell r="W352">
            <v>0.35024549918166942</v>
          </cell>
          <cell r="X352">
            <v>0.35024549918166942</v>
          </cell>
          <cell r="Y352">
            <v>0.35024549918166942</v>
          </cell>
          <cell r="Z352">
            <v>0.35024549918166942</v>
          </cell>
          <cell r="AA352">
            <v>0.35024549918166942</v>
          </cell>
          <cell r="AB352">
            <v>0.35024549918166942</v>
          </cell>
          <cell r="AC352">
            <v>0.35024549918166942</v>
          </cell>
          <cell r="AD352">
            <v>0.35024549918166942</v>
          </cell>
          <cell r="AE352">
            <v>0.35024549918166942</v>
          </cell>
          <cell r="AF352">
            <v>0.35024549918166942</v>
          </cell>
          <cell r="AG352">
            <v>0.35024549918166942</v>
          </cell>
          <cell r="AV352" t="str">
            <v>mstag:statutoryTaxRate</v>
          </cell>
          <cell r="AW352">
            <v>0</v>
          </cell>
          <cell r="AX352" t="str">
            <v>ms_eqr_gcim_Decimal:ms_eqr_gcim_decimal</v>
          </cell>
          <cell r="AY352" t="b">
            <v>0</v>
          </cell>
        </row>
        <row r="353">
          <cell r="A353" t="str">
            <v>Federal</v>
          </cell>
          <cell r="E353">
            <v>0.34</v>
          </cell>
          <cell r="F353">
            <v>0.35</v>
          </cell>
          <cell r="G353">
            <v>0.35</v>
          </cell>
          <cell r="H353">
            <v>0.35</v>
          </cell>
          <cell r="I353">
            <v>0.35</v>
          </cell>
          <cell r="J353">
            <v>0.35</v>
          </cell>
          <cell r="K353">
            <v>0.35</v>
          </cell>
          <cell r="L353">
            <v>0.35</v>
          </cell>
          <cell r="M353">
            <v>0.35064935064935066</v>
          </cell>
          <cell r="N353">
            <v>0.34841628959276016</v>
          </cell>
          <cell r="O353">
            <v>0.35046728971962615</v>
          </cell>
          <cell r="P353">
            <v>0.34927234927234929</v>
          </cell>
          <cell r="Q353">
            <v>0.35064935064935066</v>
          </cell>
          <cell r="R353">
            <v>0.35066666666666668</v>
          </cell>
          <cell r="S353">
            <v>0.35075885328836426</v>
          </cell>
          <cell r="T353">
            <v>0.35</v>
          </cell>
          <cell r="U353">
            <v>0.34995112414467255</v>
          </cell>
          <cell r="V353">
            <v>0.35001169043722236</v>
          </cell>
          <cell r="W353">
            <v>0.35001169043722236</v>
          </cell>
          <cell r="X353">
            <v>0.35001169043722236</v>
          </cell>
          <cell r="Y353">
            <v>0.35001169043722236</v>
          </cell>
          <cell r="Z353">
            <v>0.35001169043722236</v>
          </cell>
          <cell r="AA353">
            <v>0.35001169043722236</v>
          </cell>
          <cell r="AB353">
            <v>0.35001169043722236</v>
          </cell>
          <cell r="AC353">
            <v>0.35001169043722236</v>
          </cell>
          <cell r="AD353">
            <v>0.35001169043722236</v>
          </cell>
          <cell r="AE353">
            <v>0.35001169043722236</v>
          </cell>
          <cell r="AF353">
            <v>0.35001169043722236</v>
          </cell>
          <cell r="AG353">
            <v>0.35001169043722236</v>
          </cell>
        </row>
        <row r="354">
          <cell r="A354" t="str">
            <v>Domestic operations</v>
          </cell>
          <cell r="B354" t="str">
            <v>State income taxes</v>
          </cell>
          <cell r="E354">
            <v>-1.4999999999999999E-2</v>
          </cell>
          <cell r="F354">
            <v>0.193</v>
          </cell>
          <cell r="G354">
            <v>1.2E-2</v>
          </cell>
          <cell r="H354">
            <v>0.02</v>
          </cell>
          <cell r="I354">
            <v>1.2E-2</v>
          </cell>
          <cell r="J354">
            <v>1.7999999999999999E-2</v>
          </cell>
          <cell r="K354">
            <v>4.9000000000000002E-2</v>
          </cell>
          <cell r="L354">
            <v>-7.3999999999999996E-2</v>
          </cell>
          <cell r="M354">
            <v>2.0202020202020204E-2</v>
          </cell>
          <cell r="N354">
            <v>-4.5248868778280547E-3</v>
          </cell>
          <cell r="O354">
            <v>-1.4018691588785047E-2</v>
          </cell>
          <cell r="P354">
            <v>2.0790020790020791E-3</v>
          </cell>
          <cell r="Q354">
            <v>-5.1948051948051951E-2</v>
          </cell>
          <cell r="R354">
            <v>-1.8666666666666668E-2</v>
          </cell>
          <cell r="S354">
            <v>1.5177065767284991E-2</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row>
        <row r="355">
          <cell r="A355" t="str">
            <v xml:space="preserve">Lower effective tax rates on international operations-net </v>
          </cell>
          <cell r="B355" t="str">
            <v>Non-US operations</v>
          </cell>
          <cell r="E355">
            <v>0</v>
          </cell>
          <cell r="F355">
            <v>0</v>
          </cell>
          <cell r="G355">
            <v>0</v>
          </cell>
          <cell r="H355">
            <v>0</v>
          </cell>
          <cell r="I355">
            <v>0</v>
          </cell>
          <cell r="J355">
            <v>0</v>
          </cell>
          <cell r="K355">
            <v>6.9000000000000006E-2</v>
          </cell>
          <cell r="L355">
            <v>2.4E-2</v>
          </cell>
          <cell r="M355">
            <v>-7.9365079365079361E-2</v>
          </cell>
          <cell r="N355">
            <v>-7.6923076923076927E-2</v>
          </cell>
          <cell r="O355">
            <v>-5.1401869158878503E-2</v>
          </cell>
          <cell r="P355">
            <v>1.0395010395010396E-2</v>
          </cell>
          <cell r="Q355">
            <v>-0.33766233766233766</v>
          </cell>
          <cell r="R355">
            <v>2.8000000000000001E-2</v>
          </cell>
          <cell r="S355">
            <v>5.0590219224283303E-3</v>
          </cell>
          <cell r="T355">
            <v>-0.12446808510638298</v>
          </cell>
          <cell r="U355">
            <v>7.2091886608015637E-3</v>
          </cell>
          <cell r="V355">
            <v>2.3380874444704232E-4</v>
          </cell>
          <cell r="W355">
            <v>2.3380874444704232E-4</v>
          </cell>
          <cell r="X355">
            <v>2.3380874444704232E-4</v>
          </cell>
          <cell r="Y355">
            <v>2.3380874444704232E-4</v>
          </cell>
          <cell r="Z355">
            <v>2.3380874444704232E-4</v>
          </cell>
          <cell r="AA355">
            <v>2.3380874444704232E-4</v>
          </cell>
          <cell r="AB355">
            <v>2.3380874444704232E-4</v>
          </cell>
          <cell r="AC355">
            <v>2.3380874444704232E-4</v>
          </cell>
          <cell r="AD355">
            <v>2.3380874444704232E-4</v>
          </cell>
          <cell r="AE355">
            <v>2.3380874444704232E-4</v>
          </cell>
          <cell r="AF355">
            <v>2.3380874444704232E-4</v>
          </cell>
          <cell r="AG355">
            <v>2.3380874444704232E-4</v>
          </cell>
        </row>
        <row r="357">
          <cell r="A357" t="str">
            <v>Dividend</v>
          </cell>
          <cell r="E357" t="str">
            <v>ND</v>
          </cell>
          <cell r="F357">
            <v>-108</v>
          </cell>
          <cell r="G357">
            <v>-72</v>
          </cell>
          <cell r="H357">
            <v>-72</v>
          </cell>
          <cell r="I357">
            <v>-72</v>
          </cell>
          <cell r="J357">
            <v>-72</v>
          </cell>
          <cell r="K357">
            <v>-70</v>
          </cell>
          <cell r="L357">
            <v>-97</v>
          </cell>
          <cell r="M357">
            <v>-106</v>
          </cell>
          <cell r="N357">
            <v>-106</v>
          </cell>
          <cell r="O357">
            <v>-109</v>
          </cell>
          <cell r="P357">
            <v>-116</v>
          </cell>
          <cell r="Q357">
            <v>-127</v>
          </cell>
          <cell r="R357">
            <v>-222</v>
          </cell>
          <cell r="S357">
            <v>-223</v>
          </cell>
          <cell r="T357">
            <v>-522</v>
          </cell>
          <cell r="U357">
            <v>0</v>
          </cell>
          <cell r="V357">
            <v>0</v>
          </cell>
          <cell r="W357">
            <v>0</v>
          </cell>
          <cell r="X357">
            <v>-2893</v>
          </cell>
          <cell r="Y357">
            <v>-2415</v>
          </cell>
          <cell r="Z357">
            <v>-1011.7177910550001</v>
          </cell>
          <cell r="AA357">
            <v>-989.96846183313778</v>
          </cell>
          <cell r="AB357">
            <v>-1367.6912752996241</v>
          </cell>
          <cell r="AC357">
            <v>-1394.8302012085271</v>
          </cell>
          <cell r="AD357">
            <v>-1331.9290114918508</v>
          </cell>
          <cell r="AE357">
            <v>-1245.0880654994126</v>
          </cell>
          <cell r="AF357">
            <v>-789.46847332422988</v>
          </cell>
          <cell r="AG357">
            <v>-727.71759503981741</v>
          </cell>
          <cell r="AV357" t="str">
            <v>mstag:commonDividends</v>
          </cell>
          <cell r="AW357">
            <v>6</v>
          </cell>
          <cell r="AX357" t="str">
            <v>ISO4217:USD</v>
          </cell>
          <cell r="AY357" t="b">
            <v>1</v>
          </cell>
        </row>
        <row r="358">
          <cell r="A358" t="str">
            <v>Change in Shareholders' Equity</v>
          </cell>
          <cell r="E358" t="str">
            <v>ND</v>
          </cell>
          <cell r="F358">
            <v>0</v>
          </cell>
          <cell r="G358">
            <v>0</v>
          </cell>
          <cell r="H358">
            <v>0</v>
          </cell>
          <cell r="I358">
            <v>-3</v>
          </cell>
          <cell r="J358">
            <v>-26</v>
          </cell>
          <cell r="K358">
            <v>-59</v>
          </cell>
          <cell r="L358">
            <v>741</v>
          </cell>
          <cell r="M358">
            <v>1</v>
          </cell>
          <cell r="N358">
            <v>-1</v>
          </cell>
          <cell r="O358">
            <v>561</v>
          </cell>
          <cell r="P358">
            <v>178</v>
          </cell>
          <cell r="Q358">
            <v>1480</v>
          </cell>
          <cell r="R358">
            <v>218</v>
          </cell>
          <cell r="S358">
            <v>39</v>
          </cell>
          <cell r="T358">
            <v>-1781</v>
          </cell>
          <cell r="U358">
            <v>0</v>
          </cell>
          <cell r="V358">
            <v>-8</v>
          </cell>
          <cell r="W358">
            <v>9952</v>
          </cell>
          <cell r="X358">
            <v>319</v>
          </cell>
          <cell r="Y358">
            <v>111</v>
          </cell>
          <cell r="Z358">
            <v>-2062.5</v>
          </cell>
          <cell r="AA358">
            <v>-4324.0687500000004</v>
          </cell>
          <cell r="AB358">
            <v>-2659.5384114517874</v>
          </cell>
          <cell r="AC358">
            <v>-1720.0184787897797</v>
          </cell>
          <cell r="AD358">
            <v>-1668.6862789727538</v>
          </cell>
          <cell r="AE358">
            <v>-1557.0502056655887</v>
          </cell>
          <cell r="AF358">
            <v>-991.18325849349503</v>
          </cell>
          <cell r="AG358">
            <v>-951.59274166840305</v>
          </cell>
          <cell r="AV358" t="str">
            <v>mstag:netIssuanceRepurchaseOfCommonStock</v>
          </cell>
          <cell r="AW358">
            <v>6</v>
          </cell>
          <cell r="AX358" t="str">
            <v>ISO4217:USD</v>
          </cell>
          <cell r="AY358" t="b">
            <v>0</v>
          </cell>
        </row>
        <row r="362">
          <cell r="E362" t="str">
            <v>1992-FY</v>
          </cell>
          <cell r="F362" t="str">
            <v>1993-FY</v>
          </cell>
          <cell r="G362" t="str">
            <v>1994-FY</v>
          </cell>
          <cell r="H362" t="str">
            <v>1995-FY</v>
          </cell>
          <cell r="I362" t="str">
            <v>1996-FY</v>
          </cell>
          <cell r="J362" t="str">
            <v>1997-FY</v>
          </cell>
          <cell r="K362" t="str">
            <v>1998-FY</v>
          </cell>
          <cell r="L362" t="str">
            <v>1999-FY</v>
          </cell>
          <cell r="M362" t="str">
            <v>2000-FY</v>
          </cell>
          <cell r="N362" t="str">
            <v>2001-FY</v>
          </cell>
          <cell r="O362" t="str">
            <v>2002-FY</v>
          </cell>
          <cell r="P362" t="str">
            <v>2003-FY</v>
          </cell>
          <cell r="Q362" t="str">
            <v>2004-FY</v>
          </cell>
          <cell r="R362" t="str">
            <v>2005-FY</v>
          </cell>
          <cell r="S362" t="str">
            <v>2006-FY</v>
          </cell>
          <cell r="T362" t="str">
            <v>2007-FY</v>
          </cell>
          <cell r="U362" t="str">
            <v>2008-FY</v>
          </cell>
          <cell r="V362" t="str">
            <v>2009-FY</v>
          </cell>
          <cell r="W362" t="str">
            <v>2010-FY</v>
          </cell>
          <cell r="X362" t="str">
            <v>2011-FY</v>
          </cell>
          <cell r="Y362" t="str">
            <v>2012-FY</v>
          </cell>
          <cell r="Z362" t="str">
            <v>2013-FY</v>
          </cell>
          <cell r="AA362" t="str">
            <v>2014-FY</v>
          </cell>
          <cell r="AB362" t="str">
            <v>2015-FY</v>
          </cell>
          <cell r="AC362" t="str">
            <v>2016-FY</v>
          </cell>
          <cell r="AD362" t="str">
            <v>2017-FY</v>
          </cell>
          <cell r="AE362" t="str">
            <v>2018-FY</v>
          </cell>
          <cell r="AF362" t="str">
            <v>2019-FY</v>
          </cell>
          <cell r="AG362" t="str">
            <v>2020-FY</v>
          </cell>
        </row>
      </sheetData>
      <sheetData sheetId="3" refreshError="1">
        <row r="1">
          <cell r="B1" t="str">
            <v>LyondellBasell (LYB) Cash Flow Statement</v>
          </cell>
          <cell r="AW1" t="str">
            <v>ElementName</v>
          </cell>
          <cell r="AX1" t="str">
            <v>ScaleOverride</v>
          </cell>
          <cell r="AY1" t="str">
            <v>UnitOverride</v>
          </cell>
          <cell r="AZ1" t="str">
            <v>ReverseSign</v>
          </cell>
          <cell r="BA1" t="str">
            <v>IsDrivingAssumption</v>
          </cell>
          <cell r="BB1" t="str">
            <v>SegmentID</v>
          </cell>
        </row>
        <row r="2">
          <cell r="B2" t="str">
            <v>Days</v>
          </cell>
          <cell r="D2">
            <v>365</v>
          </cell>
          <cell r="E2">
            <v>366</v>
          </cell>
          <cell r="F2">
            <v>1096</v>
          </cell>
          <cell r="G2">
            <v>365</v>
          </cell>
          <cell r="H2">
            <v>365</v>
          </cell>
          <cell r="I2">
            <v>366</v>
          </cell>
          <cell r="J2">
            <v>365</v>
          </cell>
          <cell r="K2">
            <v>365</v>
          </cell>
          <cell r="L2">
            <v>365</v>
          </cell>
          <cell r="M2">
            <v>366</v>
          </cell>
          <cell r="N2">
            <v>365</v>
          </cell>
          <cell r="O2">
            <v>365</v>
          </cell>
          <cell r="P2">
            <v>365</v>
          </cell>
          <cell r="Q2">
            <v>366</v>
          </cell>
          <cell r="R2">
            <v>365</v>
          </cell>
          <cell r="S2">
            <v>365</v>
          </cell>
          <cell r="T2">
            <v>365</v>
          </cell>
          <cell r="U2">
            <v>366</v>
          </cell>
          <cell r="V2">
            <v>365</v>
          </cell>
          <cell r="W2">
            <v>365</v>
          </cell>
          <cell r="X2">
            <v>365</v>
          </cell>
          <cell r="Y2">
            <v>366</v>
          </cell>
          <cell r="Z2">
            <v>365</v>
          </cell>
          <cell r="AA2">
            <v>365</v>
          </cell>
          <cell r="AB2">
            <v>365</v>
          </cell>
          <cell r="AC2">
            <v>366</v>
          </cell>
          <cell r="AD2">
            <v>365</v>
          </cell>
          <cell r="AE2">
            <v>365</v>
          </cell>
          <cell r="AF2">
            <v>365</v>
          </cell>
          <cell r="AG2">
            <v>366</v>
          </cell>
        </row>
        <row r="3">
          <cell r="B3" t="str">
            <v>Frequency</v>
          </cell>
          <cell r="D3" t="str">
            <v>A</v>
          </cell>
          <cell r="E3" t="str">
            <v>A</v>
          </cell>
          <cell r="F3" t="str">
            <v>A</v>
          </cell>
          <cell r="G3" t="str">
            <v>A</v>
          </cell>
          <cell r="H3" t="str">
            <v>A</v>
          </cell>
          <cell r="I3" t="str">
            <v>A</v>
          </cell>
          <cell r="J3" t="str">
            <v>A</v>
          </cell>
          <cell r="K3" t="str">
            <v>A</v>
          </cell>
          <cell r="L3" t="str">
            <v>A</v>
          </cell>
          <cell r="M3" t="str">
            <v>A</v>
          </cell>
          <cell r="N3" t="str">
            <v>A</v>
          </cell>
          <cell r="O3" t="str">
            <v>A</v>
          </cell>
          <cell r="P3" t="str">
            <v>A</v>
          </cell>
          <cell r="Q3" t="str">
            <v>A</v>
          </cell>
          <cell r="R3" t="str">
            <v>A</v>
          </cell>
          <cell r="S3" t="str">
            <v>A</v>
          </cell>
          <cell r="T3" t="str">
            <v>A</v>
          </cell>
          <cell r="U3" t="str">
            <v>A</v>
          </cell>
          <cell r="V3" t="str">
            <v>A</v>
          </cell>
          <cell r="W3" t="str">
            <v>A</v>
          </cell>
          <cell r="X3" t="str">
            <v>A</v>
          </cell>
          <cell r="Y3" t="str">
            <v>A</v>
          </cell>
          <cell r="Z3" t="str">
            <v>A</v>
          </cell>
          <cell r="AA3" t="str">
            <v>A</v>
          </cell>
          <cell r="AB3" t="str">
            <v>A</v>
          </cell>
          <cell r="AC3" t="str">
            <v>A</v>
          </cell>
          <cell r="AD3" t="str">
            <v>A</v>
          </cell>
          <cell r="AE3" t="str">
            <v>A</v>
          </cell>
          <cell r="AF3" t="str">
            <v>A</v>
          </cell>
          <cell r="AG3" t="str">
            <v>A</v>
          </cell>
        </row>
        <row r="4">
          <cell r="B4" t="str">
            <v>Date</v>
          </cell>
          <cell r="C4">
            <v>33238</v>
          </cell>
          <cell r="D4">
            <v>33603</v>
          </cell>
          <cell r="E4">
            <v>33969</v>
          </cell>
          <cell r="F4">
            <v>34334</v>
          </cell>
          <cell r="G4">
            <v>34699</v>
          </cell>
          <cell r="H4">
            <v>35064</v>
          </cell>
          <cell r="I4">
            <v>35430</v>
          </cell>
          <cell r="J4">
            <v>35795</v>
          </cell>
          <cell r="K4">
            <v>36160</v>
          </cell>
          <cell r="L4">
            <v>36525</v>
          </cell>
          <cell r="M4">
            <v>36891</v>
          </cell>
          <cell r="N4">
            <v>37256</v>
          </cell>
          <cell r="O4">
            <v>37621</v>
          </cell>
          <cell r="P4">
            <v>37986</v>
          </cell>
          <cell r="Q4">
            <v>38352</v>
          </cell>
          <cell r="R4">
            <v>38717</v>
          </cell>
          <cell r="S4">
            <v>39082</v>
          </cell>
          <cell r="T4">
            <v>39447</v>
          </cell>
          <cell r="U4">
            <v>39813</v>
          </cell>
          <cell r="V4">
            <v>40178</v>
          </cell>
          <cell r="W4">
            <v>40543</v>
          </cell>
          <cell r="X4">
            <v>40908</v>
          </cell>
          <cell r="Y4">
            <v>41274</v>
          </cell>
          <cell r="Z4">
            <v>41639</v>
          </cell>
          <cell r="AA4">
            <v>42004</v>
          </cell>
          <cell r="AB4">
            <v>42369</v>
          </cell>
          <cell r="AC4">
            <v>42735</v>
          </cell>
          <cell r="AD4">
            <v>43100</v>
          </cell>
          <cell r="AE4">
            <v>43465</v>
          </cell>
          <cell r="AF4">
            <v>43830</v>
          </cell>
          <cell r="AG4">
            <v>44196</v>
          </cell>
        </row>
        <row r="5">
          <cell r="B5" t="str">
            <v>Year</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v>2006</v>
          </cell>
          <cell r="T5">
            <v>2007</v>
          </cell>
          <cell r="U5">
            <v>2008</v>
          </cell>
          <cell r="V5">
            <v>2009</v>
          </cell>
          <cell r="W5">
            <v>2010</v>
          </cell>
          <cell r="X5">
            <v>2011</v>
          </cell>
          <cell r="Y5">
            <v>2012</v>
          </cell>
          <cell r="Z5">
            <v>2013</v>
          </cell>
          <cell r="AA5">
            <v>2014</v>
          </cell>
          <cell r="AB5">
            <v>2015</v>
          </cell>
          <cell r="AC5">
            <v>2016</v>
          </cell>
          <cell r="AD5">
            <v>2017</v>
          </cell>
          <cell r="AE5">
            <v>2018</v>
          </cell>
          <cell r="AF5">
            <v>2019</v>
          </cell>
          <cell r="AG5">
            <v>2020</v>
          </cell>
        </row>
        <row r="6">
          <cell r="B6" t="str">
            <v>Quarter</v>
          </cell>
        </row>
        <row r="8">
          <cell r="B8" t="str">
            <v>In US$ millions (except per share data)</v>
          </cell>
          <cell r="D8">
            <v>1991</v>
          </cell>
          <cell r="E8">
            <v>1992</v>
          </cell>
          <cell r="F8">
            <v>1993</v>
          </cell>
          <cell r="G8">
            <v>1994</v>
          </cell>
          <cell r="H8">
            <v>1995</v>
          </cell>
          <cell r="I8">
            <v>1996</v>
          </cell>
          <cell r="J8">
            <v>1997</v>
          </cell>
          <cell r="K8">
            <v>1998</v>
          </cell>
          <cell r="L8">
            <v>1999</v>
          </cell>
          <cell r="M8">
            <v>2000</v>
          </cell>
          <cell r="N8">
            <v>2001</v>
          </cell>
          <cell r="O8">
            <v>2002</v>
          </cell>
          <cell r="P8">
            <v>2003</v>
          </cell>
          <cell r="Q8">
            <v>2004</v>
          </cell>
          <cell r="R8">
            <v>2005</v>
          </cell>
          <cell r="S8">
            <v>2006</v>
          </cell>
          <cell r="T8">
            <v>2007</v>
          </cell>
          <cell r="U8">
            <v>2008</v>
          </cell>
          <cell r="V8" t="str">
            <v>2009</v>
          </cell>
          <cell r="W8" t="str">
            <v>2010</v>
          </cell>
          <cell r="X8" t="str">
            <v>2011</v>
          </cell>
          <cell r="Y8" t="str">
            <v>2012</v>
          </cell>
          <cell r="Z8" t="str">
            <v>2013e</v>
          </cell>
          <cell r="AA8" t="str">
            <v>2014e</v>
          </cell>
          <cell r="AB8" t="str">
            <v>2015e</v>
          </cell>
          <cell r="AC8" t="str">
            <v>2016e</v>
          </cell>
          <cell r="AD8" t="str">
            <v>2017e</v>
          </cell>
          <cell r="AE8" t="str">
            <v>2018e</v>
          </cell>
          <cell r="AF8" t="str">
            <v>2019e</v>
          </cell>
          <cell r="AG8" t="str">
            <v>2020e</v>
          </cell>
          <cell r="AI8" t="str">
            <v>2010q1</v>
          </cell>
          <cell r="AJ8" t="str">
            <v>2010q2</v>
          </cell>
          <cell r="AK8" t="str">
            <v>2010q3</v>
          </cell>
          <cell r="AL8" t="str">
            <v>2010q4</v>
          </cell>
          <cell r="AM8" t="str">
            <v>2011q1</v>
          </cell>
          <cell r="AN8" t="str">
            <v>2011q2</v>
          </cell>
          <cell r="AO8" t="str">
            <v>2011q3</v>
          </cell>
          <cell r="AP8" t="str">
            <v>2011q4</v>
          </cell>
          <cell r="AQ8" t="str">
            <v>2012q1</v>
          </cell>
          <cell r="AR8" t="str">
            <v>2012q2</v>
          </cell>
          <cell r="AS8" t="str">
            <v>2012q3</v>
          </cell>
          <cell r="AT8" t="str">
            <v>2012q4</v>
          </cell>
        </row>
        <row r="10">
          <cell r="B10" t="str">
            <v>Cash flow from operating activities:</v>
          </cell>
        </row>
        <row r="11">
          <cell r="B11" t="str">
            <v>Net income (loss)</v>
          </cell>
          <cell r="D11">
            <v>222</v>
          </cell>
          <cell r="E11">
            <v>16</v>
          </cell>
          <cell r="F11">
            <v>26</v>
          </cell>
          <cell r="G11">
            <v>223</v>
          </cell>
          <cell r="H11">
            <v>389</v>
          </cell>
          <cell r="I11">
            <v>126</v>
          </cell>
          <cell r="J11">
            <v>286</v>
          </cell>
          <cell r="K11">
            <v>52</v>
          </cell>
          <cell r="L11">
            <v>-115</v>
          </cell>
          <cell r="M11">
            <v>437</v>
          </cell>
          <cell r="N11">
            <v>-150</v>
          </cell>
          <cell r="O11">
            <v>-148</v>
          </cell>
          <cell r="P11">
            <v>-302</v>
          </cell>
          <cell r="Q11">
            <v>54</v>
          </cell>
          <cell r="R11">
            <v>531</v>
          </cell>
          <cell r="S11">
            <v>186</v>
          </cell>
          <cell r="T11">
            <v>661</v>
          </cell>
          <cell r="U11">
            <v>-7306</v>
          </cell>
          <cell r="V11">
            <v>-2864</v>
          </cell>
          <cell r="W11">
            <v>10256</v>
          </cell>
          <cell r="X11">
            <v>2140</v>
          </cell>
          <cell r="Y11">
            <v>2812</v>
          </cell>
          <cell r="Z11">
            <v>3842</v>
          </cell>
          <cell r="AA11">
            <v>3424.2612698651355</v>
          </cell>
          <cell r="AB11">
            <v>3419.2281882490597</v>
          </cell>
          <cell r="AC11">
            <v>3487.0755030213177</v>
          </cell>
          <cell r="AD11">
            <v>3329.8225287296268</v>
          </cell>
          <cell r="AE11">
            <v>3112.7201637485314</v>
          </cell>
          <cell r="AF11">
            <v>1973.6711833105746</v>
          </cell>
          <cell r="AG11">
            <v>1819.2939875995435</v>
          </cell>
          <cell r="AI11">
            <v>8</v>
          </cell>
          <cell r="AJ11">
            <v>8843</v>
          </cell>
          <cell r="AK11">
            <v>467</v>
          </cell>
          <cell r="AL11">
            <v>874</v>
          </cell>
          <cell r="AM11">
            <v>660</v>
          </cell>
          <cell r="AN11">
            <v>803</v>
          </cell>
          <cell r="AO11">
            <v>895</v>
          </cell>
          <cell r="AP11">
            <v>-218</v>
          </cell>
          <cell r="AQ11">
            <v>599</v>
          </cell>
          <cell r="AR11">
            <v>768</v>
          </cell>
          <cell r="AS11">
            <v>844</v>
          </cell>
          <cell r="AT11">
            <v>623</v>
          </cell>
          <cell r="AW11" t="str">
            <v>mstag:netIncomeReported</v>
          </cell>
          <cell r="AX11">
            <v>6</v>
          </cell>
          <cell r="AY11" t="str">
            <v>ISO4217:USD</v>
          </cell>
          <cell r="AZ11" t="b">
            <v>0</v>
          </cell>
        </row>
        <row r="12">
          <cell r="B12" t="str">
            <v>Loss (income) from discontinued operations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-15</v>
          </cell>
          <cell r="V12">
            <v>-1</v>
          </cell>
          <cell r="W12">
            <v>-64</v>
          </cell>
          <cell r="X12">
            <v>0</v>
          </cell>
          <cell r="Y12">
            <v>22</v>
          </cell>
          <cell r="Z12">
            <v>7</v>
          </cell>
          <cell r="AA12">
            <v>0</v>
          </cell>
          <cell r="AB12">
            <v>0</v>
          </cell>
          <cell r="AC12">
            <v>0</v>
          </cell>
          <cell r="AD12">
            <v>0</v>
          </cell>
          <cell r="AE12">
            <v>0</v>
          </cell>
          <cell r="AF12">
            <v>0</v>
          </cell>
          <cell r="AG12">
            <v>0</v>
          </cell>
          <cell r="AW12" t="str">
            <v>mstag:netCashFlowFromDiscontinuedOperations</v>
          </cell>
          <cell r="AX12">
            <v>6</v>
          </cell>
          <cell r="AY12" t="str">
            <v>ISO4217:USD</v>
          </cell>
          <cell r="AZ12" t="b">
            <v>0</v>
          </cell>
        </row>
        <row r="13">
          <cell r="B13" t="str">
            <v>Adjustments to reconcile net loss to net cash</v>
          </cell>
        </row>
        <row r="14">
          <cell r="B14" t="str">
            <v>Depreciation and amortization</v>
          </cell>
          <cell r="D14">
            <v>39</v>
          </cell>
          <cell r="E14">
            <v>39</v>
          </cell>
          <cell r="F14">
            <v>58</v>
          </cell>
          <cell r="G14">
            <v>65</v>
          </cell>
          <cell r="H14">
            <v>86</v>
          </cell>
          <cell r="I14">
            <v>110</v>
          </cell>
          <cell r="J14">
            <v>84</v>
          </cell>
          <cell r="K14">
            <v>138</v>
          </cell>
          <cell r="L14">
            <v>330</v>
          </cell>
          <cell r="M14">
            <v>279</v>
          </cell>
          <cell r="N14">
            <v>254</v>
          </cell>
          <cell r="O14">
            <v>244</v>
          </cell>
          <cell r="P14">
            <v>250</v>
          </cell>
          <cell r="Q14">
            <v>289</v>
          </cell>
          <cell r="R14">
            <v>729</v>
          </cell>
          <cell r="S14">
            <v>805</v>
          </cell>
          <cell r="T14">
            <v>472</v>
          </cell>
          <cell r="U14">
            <v>1911</v>
          </cell>
          <cell r="V14">
            <v>1774</v>
          </cell>
          <cell r="W14">
            <v>1123</v>
          </cell>
          <cell r="X14">
            <v>931</v>
          </cell>
          <cell r="Y14">
            <v>983</v>
          </cell>
          <cell r="Z14">
            <v>1022</v>
          </cell>
          <cell r="AA14">
            <v>1007.3338930967184</v>
          </cell>
          <cell r="AB14">
            <v>1015.4871786611533</v>
          </cell>
          <cell r="AC14">
            <v>1011.1941539246532</v>
          </cell>
          <cell r="AD14">
            <v>1006.5295915636952</v>
          </cell>
          <cell r="AE14">
            <v>1001.6764986110137</v>
          </cell>
          <cell r="AF14">
            <v>996.79812147224277</v>
          </cell>
          <cell r="AG14">
            <v>988.35892852175675</v>
          </cell>
          <cell r="AI14">
            <v>424</v>
          </cell>
          <cell r="AJ14">
            <v>270</v>
          </cell>
          <cell r="AK14">
            <v>0</v>
          </cell>
          <cell r="AL14">
            <v>0</v>
          </cell>
          <cell r="AM14">
            <v>215</v>
          </cell>
          <cell r="AN14">
            <v>224</v>
          </cell>
          <cell r="AO14">
            <v>237</v>
          </cell>
          <cell r="AP14">
            <v>255</v>
          </cell>
          <cell r="AQ14">
            <v>237</v>
          </cell>
          <cell r="AR14">
            <v>244</v>
          </cell>
          <cell r="AS14">
            <v>236</v>
          </cell>
          <cell r="AT14">
            <v>266</v>
          </cell>
          <cell r="AW14" t="str">
            <v>mstag:depreciation</v>
          </cell>
          <cell r="AX14">
            <v>6</v>
          </cell>
          <cell r="AY14" t="str">
            <v>ISO4217:USD</v>
          </cell>
          <cell r="AZ14" t="b">
            <v>0</v>
          </cell>
        </row>
        <row r="15">
          <cell r="B15" t="str">
            <v>Amortization of debt-related costs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77</v>
          </cell>
          <cell r="U15">
            <v>513</v>
          </cell>
          <cell r="V15">
            <v>347</v>
          </cell>
          <cell r="W15">
            <v>330</v>
          </cell>
          <cell r="X15">
            <v>30</v>
          </cell>
          <cell r="Y15">
            <v>24</v>
          </cell>
          <cell r="Z15">
            <v>0</v>
          </cell>
          <cell r="AA15">
            <v>0</v>
          </cell>
          <cell r="AB15">
            <v>0</v>
          </cell>
          <cell r="AC15">
            <v>0</v>
          </cell>
          <cell r="AD15">
            <v>0</v>
          </cell>
          <cell r="AE15">
            <v>0</v>
          </cell>
          <cell r="AF15">
            <v>0</v>
          </cell>
          <cell r="AG15">
            <v>0</v>
          </cell>
          <cell r="AI15">
            <v>106</v>
          </cell>
          <cell r="AJ15">
            <v>206</v>
          </cell>
          <cell r="AK15">
            <v>0</v>
          </cell>
          <cell r="AL15">
            <v>0</v>
          </cell>
          <cell r="AM15">
            <v>8</v>
          </cell>
          <cell r="AN15">
            <v>12</v>
          </cell>
          <cell r="AO15">
            <v>8</v>
          </cell>
          <cell r="AP15">
            <v>2</v>
          </cell>
          <cell r="AQ15">
            <v>6</v>
          </cell>
          <cell r="AR15">
            <v>40</v>
          </cell>
          <cell r="AS15">
            <v>6</v>
          </cell>
          <cell r="AT15">
            <v>-28</v>
          </cell>
          <cell r="AW15" t="str">
            <v>mstag:amortizationOfDiscountPremiumOnDebtCashFlowStatement</v>
          </cell>
          <cell r="AX15">
            <v>6</v>
          </cell>
          <cell r="AY15" t="str">
            <v>ISO4217:USD</v>
          </cell>
          <cell r="AZ15" t="b">
            <v>0</v>
          </cell>
        </row>
        <row r="16">
          <cell r="B16" t="str">
            <v>Debt prepayment premiums and charges</v>
          </cell>
          <cell r="D16">
            <v>0</v>
          </cell>
          <cell r="E16">
            <v>0</v>
          </cell>
          <cell r="F16">
            <v>0</v>
          </cell>
          <cell r="G16">
            <v>0</v>
          </cell>
          <cell r="H16">
            <v>0</v>
          </cell>
          <cell r="I16">
            <v>0</v>
          </cell>
          <cell r="J16">
            <v>0</v>
          </cell>
          <cell r="K16">
            <v>0</v>
          </cell>
          <cell r="L16">
            <v>0</v>
          </cell>
          <cell r="M16">
            <v>0</v>
          </cell>
          <cell r="N16">
            <v>0</v>
          </cell>
          <cell r="O16">
            <v>23</v>
          </cell>
          <cell r="P16">
            <v>5</v>
          </cell>
          <cell r="Q16">
            <v>18</v>
          </cell>
          <cell r="R16">
            <v>45</v>
          </cell>
          <cell r="S16">
            <v>40</v>
          </cell>
          <cell r="T16">
            <v>0</v>
          </cell>
          <cell r="U16">
            <v>0</v>
          </cell>
          <cell r="V16">
            <v>0</v>
          </cell>
          <cell r="W16">
            <v>26</v>
          </cell>
          <cell r="X16">
            <v>31</v>
          </cell>
          <cell r="Y16">
            <v>34</v>
          </cell>
          <cell r="Z16">
            <v>0</v>
          </cell>
          <cell r="AA16">
            <v>0</v>
          </cell>
          <cell r="AB16">
            <v>0</v>
          </cell>
          <cell r="AC16">
            <v>0</v>
          </cell>
          <cell r="AD16">
            <v>0</v>
          </cell>
          <cell r="AE16">
            <v>0</v>
          </cell>
          <cell r="AF16">
            <v>0</v>
          </cell>
          <cell r="AG16">
            <v>0</v>
          </cell>
          <cell r="AI16">
            <v>0</v>
          </cell>
          <cell r="AJ16">
            <v>0</v>
          </cell>
          <cell r="AK16">
            <v>0</v>
          </cell>
          <cell r="AL16">
            <v>0</v>
          </cell>
          <cell r="AM16">
            <v>0</v>
          </cell>
          <cell r="AN16">
            <v>0</v>
          </cell>
          <cell r="AO16">
            <v>0</v>
          </cell>
          <cell r="AP16">
            <v>31</v>
          </cell>
          <cell r="AQ16">
            <v>0</v>
          </cell>
          <cell r="AR16">
            <v>0</v>
          </cell>
          <cell r="AS16">
            <v>0</v>
          </cell>
          <cell r="AT16">
            <v>34</v>
          </cell>
          <cell r="AW16" t="str">
            <v>mstag:gainLossOnRedemptionAndExtinguishmentOfDebtCashFlowStatement</v>
          </cell>
          <cell r="AX16">
            <v>6</v>
          </cell>
          <cell r="AY16" t="str">
            <v>ISO4217:USD</v>
          </cell>
          <cell r="AZ16" t="b">
            <v>1</v>
          </cell>
        </row>
        <row r="17">
          <cell r="B17" t="str">
            <v>Asset impairments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210</v>
          </cell>
          <cell r="S17">
            <v>673</v>
          </cell>
          <cell r="T17">
            <v>20</v>
          </cell>
          <cell r="U17">
            <v>5207</v>
          </cell>
          <cell r="V17">
            <v>17</v>
          </cell>
          <cell r="W17">
            <v>37</v>
          </cell>
          <cell r="X17">
            <v>52</v>
          </cell>
          <cell r="Y17">
            <v>22</v>
          </cell>
          <cell r="Z17">
            <v>0</v>
          </cell>
          <cell r="AA17">
            <v>0</v>
          </cell>
          <cell r="AB17">
            <v>0</v>
          </cell>
          <cell r="AC17">
            <v>0</v>
          </cell>
          <cell r="AD17">
            <v>0</v>
          </cell>
          <cell r="AE17">
            <v>0</v>
          </cell>
          <cell r="AF17">
            <v>0</v>
          </cell>
          <cell r="AG17">
            <v>0</v>
          </cell>
          <cell r="AI17">
            <v>0</v>
          </cell>
          <cell r="AJ17">
            <v>0</v>
          </cell>
          <cell r="AK17">
            <v>0</v>
          </cell>
          <cell r="AL17">
            <v>0</v>
          </cell>
          <cell r="AM17">
            <v>5</v>
          </cell>
          <cell r="AN17">
            <v>13</v>
          </cell>
          <cell r="AO17">
            <v>26</v>
          </cell>
          <cell r="AP17">
            <v>8</v>
          </cell>
          <cell r="AQ17">
            <v>22</v>
          </cell>
          <cell r="AR17">
            <v>0</v>
          </cell>
          <cell r="AS17">
            <v>0</v>
          </cell>
          <cell r="AT17">
            <v>0</v>
          </cell>
          <cell r="AW17" t="str">
            <v>mstag:assetImpairmentNonGoodwillOneTime</v>
          </cell>
          <cell r="AX17">
            <v>6</v>
          </cell>
          <cell r="AY17" t="str">
            <v>ISO4217:USD</v>
          </cell>
          <cell r="AZ17" t="b">
            <v>0</v>
          </cell>
        </row>
        <row r="18">
          <cell r="B18" t="str">
            <v>Inventory valuation adjustment</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1256</v>
          </cell>
          <cell r="V18">
            <v>127</v>
          </cell>
          <cell r="W18">
            <v>42</v>
          </cell>
          <cell r="X18">
            <v>0</v>
          </cell>
          <cell r="Y18">
            <v>0</v>
          </cell>
          <cell r="Z18">
            <v>0</v>
          </cell>
          <cell r="AA18">
            <v>0</v>
          </cell>
          <cell r="AB18">
            <v>0</v>
          </cell>
          <cell r="AC18">
            <v>0</v>
          </cell>
          <cell r="AD18">
            <v>0</v>
          </cell>
          <cell r="AE18">
            <v>0</v>
          </cell>
          <cell r="AF18">
            <v>0</v>
          </cell>
          <cell r="AG18">
            <v>0</v>
          </cell>
          <cell r="AI18">
            <v>0</v>
          </cell>
          <cell r="AJ18">
            <v>333</v>
          </cell>
          <cell r="AK18">
            <v>0</v>
          </cell>
          <cell r="AL18">
            <v>0</v>
          </cell>
          <cell r="AM18">
            <v>0</v>
          </cell>
          <cell r="AN18">
            <v>0</v>
          </cell>
          <cell r="AO18">
            <v>0</v>
          </cell>
          <cell r="AP18">
            <v>0</v>
          </cell>
          <cell r="AQ18">
            <v>0</v>
          </cell>
          <cell r="AR18">
            <v>71</v>
          </cell>
          <cell r="AS18">
            <v>-71</v>
          </cell>
          <cell r="AT18">
            <v>0</v>
          </cell>
          <cell r="AW18" t="str">
            <v>mstag:otherCashFlow</v>
          </cell>
          <cell r="AX18">
            <v>6</v>
          </cell>
          <cell r="AY18" t="str">
            <v>ISO4217:USD</v>
          </cell>
          <cell r="AZ18" t="b">
            <v>0</v>
          </cell>
        </row>
        <row r="19">
          <cell r="B19" t="str">
            <v>Equity investments</v>
          </cell>
        </row>
        <row r="20">
          <cell r="B20" t="str">
            <v>Equity (income) loss</v>
          </cell>
          <cell r="D20">
            <v>0</v>
          </cell>
          <cell r="E20">
            <v>0</v>
          </cell>
          <cell r="F20">
            <v>0</v>
          </cell>
          <cell r="G20">
            <v>0</v>
          </cell>
          <cell r="H20">
            <v>0</v>
          </cell>
          <cell r="I20">
            <v>0</v>
          </cell>
          <cell r="J20">
            <v>0</v>
          </cell>
          <cell r="K20">
            <v>0</v>
          </cell>
          <cell r="L20">
            <v>0</v>
          </cell>
          <cell r="M20">
            <v>0</v>
          </cell>
          <cell r="N20">
            <v>89</v>
          </cell>
          <cell r="O20">
            <v>121</v>
          </cell>
          <cell r="P20">
            <v>103</v>
          </cell>
          <cell r="Q20">
            <v>-451</v>
          </cell>
          <cell r="R20">
            <v>-124</v>
          </cell>
          <cell r="S20">
            <v>-78</v>
          </cell>
          <cell r="T20">
            <v>-162</v>
          </cell>
          <cell r="U20">
            <v>-38</v>
          </cell>
          <cell r="V20">
            <v>181</v>
          </cell>
          <cell r="W20">
            <v>-170</v>
          </cell>
          <cell r="X20">
            <v>-216</v>
          </cell>
          <cell r="Y20">
            <v>-143</v>
          </cell>
          <cell r="Z20">
            <v>-203</v>
          </cell>
          <cell r="AA20">
            <v>10.557269493411033</v>
          </cell>
          <cell r="AB20">
            <v>-74.784484614118654</v>
          </cell>
          <cell r="AC20">
            <v>-63.241399844058883</v>
          </cell>
          <cell r="AD20">
            <v>-53.53709795964869</v>
          </cell>
          <cell r="AE20">
            <v>-45.342785210017396</v>
          </cell>
          <cell r="AF20">
            <v>-31.601867252842197</v>
          </cell>
          <cell r="AG20">
            <v>-11.885686940319928</v>
          </cell>
          <cell r="AI20">
            <v>-55</v>
          </cell>
          <cell r="AJ20">
            <v>-56</v>
          </cell>
          <cell r="AK20">
            <v>0</v>
          </cell>
          <cell r="AL20">
            <v>0</v>
          </cell>
          <cell r="AM20">
            <v>-58</v>
          </cell>
          <cell r="AN20">
            <v>-73</v>
          </cell>
          <cell r="AO20">
            <v>-52</v>
          </cell>
          <cell r="AP20">
            <v>-33</v>
          </cell>
          <cell r="AQ20">
            <v>-46</v>
          </cell>
          <cell r="AR20">
            <v>-27</v>
          </cell>
          <cell r="AS20">
            <v>-32</v>
          </cell>
          <cell r="AT20">
            <v>-38</v>
          </cell>
          <cell r="AW20" t="str">
            <v>mstag:otherCashFlow</v>
          </cell>
          <cell r="AX20">
            <v>6</v>
          </cell>
          <cell r="AY20" t="str">
            <v>ISO4217:USD</v>
          </cell>
          <cell r="AZ20" t="b">
            <v>0</v>
          </cell>
        </row>
        <row r="21">
          <cell r="B21" t="str">
            <v>Distributions of earnings</v>
          </cell>
          <cell r="D21">
            <v>0</v>
          </cell>
          <cell r="E21">
            <v>0</v>
          </cell>
          <cell r="F21">
            <v>0</v>
          </cell>
          <cell r="G21">
            <v>0</v>
          </cell>
          <cell r="H21">
            <v>0</v>
          </cell>
          <cell r="I21">
            <v>0</v>
          </cell>
          <cell r="J21">
            <v>0</v>
          </cell>
          <cell r="K21">
            <v>0</v>
          </cell>
          <cell r="L21">
            <v>0</v>
          </cell>
          <cell r="M21">
            <v>0</v>
          </cell>
          <cell r="N21">
            <v>0</v>
          </cell>
          <cell r="O21">
            <v>0</v>
          </cell>
          <cell r="P21">
            <v>144</v>
          </cell>
          <cell r="Q21">
            <v>424</v>
          </cell>
          <cell r="R21">
            <v>123</v>
          </cell>
          <cell r="S21">
            <v>73</v>
          </cell>
          <cell r="T21">
            <v>148</v>
          </cell>
          <cell r="U21">
            <v>98</v>
          </cell>
          <cell r="V21">
            <v>26</v>
          </cell>
          <cell r="W21">
            <v>52</v>
          </cell>
          <cell r="X21">
            <v>206</v>
          </cell>
          <cell r="Y21">
            <v>147</v>
          </cell>
          <cell r="Z21">
            <v>101.5</v>
          </cell>
          <cell r="AA21">
            <v>-5.2786347467055164</v>
          </cell>
          <cell r="AB21">
            <v>37.392242307059327</v>
          </cell>
          <cell r="AC21">
            <v>31.620699922029441</v>
          </cell>
          <cell r="AD21">
            <v>26.768548979824345</v>
          </cell>
          <cell r="AE21">
            <v>22.671392605008698</v>
          </cell>
          <cell r="AF21">
            <v>15.800933626421099</v>
          </cell>
          <cell r="AG21">
            <v>5.9428434701599642</v>
          </cell>
          <cell r="AI21">
            <v>13</v>
          </cell>
          <cell r="AJ21">
            <v>33</v>
          </cell>
          <cell r="AK21">
            <v>0</v>
          </cell>
          <cell r="AL21">
            <v>0</v>
          </cell>
          <cell r="AM21">
            <v>96</v>
          </cell>
          <cell r="AN21">
            <v>11</v>
          </cell>
          <cell r="AO21">
            <v>55</v>
          </cell>
          <cell r="AP21">
            <v>44</v>
          </cell>
          <cell r="AQ21">
            <v>14</v>
          </cell>
          <cell r="AR21">
            <v>73</v>
          </cell>
          <cell r="AS21">
            <v>10</v>
          </cell>
          <cell r="AT21">
            <v>50</v>
          </cell>
          <cell r="AW21" t="str">
            <v>mstag:incomeLossFromEquityinvestmentsNetOfDividendsReceivedNonoperating</v>
          </cell>
          <cell r="AX21">
            <v>6</v>
          </cell>
          <cell r="AY21" t="str">
            <v>ISO4217:USD</v>
          </cell>
          <cell r="AZ21" t="b">
            <v>1</v>
          </cell>
        </row>
        <row r="22">
          <cell r="B22" t="str">
            <v>Deferred income taxes</v>
          </cell>
          <cell r="D22">
            <v>18</v>
          </cell>
          <cell r="E22">
            <v>2</v>
          </cell>
          <cell r="F22">
            <v>7</v>
          </cell>
          <cell r="G22">
            <v>10</v>
          </cell>
          <cell r="H22">
            <v>3</v>
          </cell>
          <cell r="I22">
            <v>50</v>
          </cell>
          <cell r="J22">
            <v>43</v>
          </cell>
          <cell r="K22">
            <v>76</v>
          </cell>
          <cell r="L22">
            <v>36</v>
          </cell>
          <cell r="M22">
            <v>55</v>
          </cell>
          <cell r="N22">
            <v>3</v>
          </cell>
          <cell r="O22">
            <v>-24</v>
          </cell>
          <cell r="P22">
            <v>-172</v>
          </cell>
          <cell r="Q22">
            <v>19</v>
          </cell>
          <cell r="R22">
            <v>142</v>
          </cell>
          <cell r="S22">
            <v>42</v>
          </cell>
          <cell r="T22">
            <v>-111</v>
          </cell>
          <cell r="U22">
            <v>-831</v>
          </cell>
          <cell r="V22">
            <v>-1399</v>
          </cell>
          <cell r="W22">
            <v>-699</v>
          </cell>
          <cell r="X22">
            <v>452</v>
          </cell>
          <cell r="Y22">
            <v>715</v>
          </cell>
          <cell r="Z22">
            <v>21.499999999996362</v>
          </cell>
          <cell r="AA22">
            <v>0</v>
          </cell>
          <cell r="AB22">
            <v>0</v>
          </cell>
          <cell r="AC22">
            <v>0</v>
          </cell>
          <cell r="AD22">
            <v>0</v>
          </cell>
          <cell r="AE22">
            <v>0</v>
          </cell>
          <cell r="AF22">
            <v>0</v>
          </cell>
          <cell r="AG22">
            <v>0</v>
          </cell>
          <cell r="AI22">
            <v>-15</v>
          </cell>
          <cell r="AJ22">
            <v>-758</v>
          </cell>
          <cell r="AK22">
            <v>0</v>
          </cell>
          <cell r="AL22">
            <v>0</v>
          </cell>
          <cell r="AM22">
            <v>81</v>
          </cell>
          <cell r="AN22">
            <v>235</v>
          </cell>
          <cell r="AO22">
            <v>351</v>
          </cell>
          <cell r="AP22">
            <v>-215</v>
          </cell>
          <cell r="AQ22">
            <v>153</v>
          </cell>
          <cell r="AR22">
            <v>198</v>
          </cell>
          <cell r="AS22">
            <v>223</v>
          </cell>
          <cell r="AT22">
            <v>141</v>
          </cell>
          <cell r="AW22" t="str">
            <v>mstag:deferredTax</v>
          </cell>
          <cell r="AX22">
            <v>6</v>
          </cell>
          <cell r="AY22" t="str">
            <v>ISO4217:USD</v>
          </cell>
          <cell r="AZ22" t="b">
            <v>0</v>
          </cell>
        </row>
        <row r="23">
          <cell r="B23" t="str">
            <v>Reorganization items/restructuring/extraordinary</v>
          </cell>
          <cell r="D23">
            <v>0</v>
          </cell>
          <cell r="E23">
            <v>0</v>
          </cell>
          <cell r="F23">
            <v>0</v>
          </cell>
          <cell r="G23">
            <v>0</v>
          </cell>
          <cell r="H23">
            <v>0</v>
          </cell>
          <cell r="I23">
            <v>0</v>
          </cell>
          <cell r="J23">
            <v>0</v>
          </cell>
          <cell r="K23">
            <v>61</v>
          </cell>
          <cell r="L23">
            <v>35</v>
          </cell>
          <cell r="M23">
            <v>-557</v>
          </cell>
          <cell r="N23">
            <v>68</v>
          </cell>
          <cell r="O23">
            <v>0</v>
          </cell>
          <cell r="P23">
            <v>0</v>
          </cell>
          <cell r="Q23">
            <v>0</v>
          </cell>
          <cell r="R23">
            <v>0</v>
          </cell>
          <cell r="S23">
            <v>0</v>
          </cell>
          <cell r="T23">
            <v>0</v>
          </cell>
          <cell r="U23">
            <v>0</v>
          </cell>
          <cell r="V23">
            <v>2961</v>
          </cell>
          <cell r="W23">
            <v>-8276</v>
          </cell>
          <cell r="X23">
            <v>45</v>
          </cell>
          <cell r="Y23">
            <v>-4</v>
          </cell>
          <cell r="Z23">
            <v>0</v>
          </cell>
          <cell r="AA23">
            <v>0</v>
          </cell>
          <cell r="AB23">
            <v>0</v>
          </cell>
          <cell r="AC23">
            <v>0</v>
          </cell>
          <cell r="AD23">
            <v>0</v>
          </cell>
          <cell r="AE23">
            <v>0</v>
          </cell>
          <cell r="AF23">
            <v>0</v>
          </cell>
          <cell r="AG23">
            <v>0</v>
          </cell>
          <cell r="AI23">
            <v>-207</v>
          </cell>
          <cell r="AJ23">
            <v>-7795</v>
          </cell>
          <cell r="AK23">
            <v>0</v>
          </cell>
          <cell r="AL23">
            <v>0</v>
          </cell>
          <cell r="AM23">
            <v>2</v>
          </cell>
          <cell r="AN23">
            <v>-2</v>
          </cell>
          <cell r="AO23">
            <v>0</v>
          </cell>
          <cell r="AP23">
            <v>45</v>
          </cell>
          <cell r="AQ23">
            <v>-5</v>
          </cell>
          <cell r="AR23">
            <v>5</v>
          </cell>
          <cell r="AS23">
            <v>0</v>
          </cell>
          <cell r="AT23">
            <v>-4</v>
          </cell>
          <cell r="AW23" t="str">
            <v>mstag:incomeLossFromExtraordinaryitemsCashFlowStatement</v>
          </cell>
          <cell r="AX23">
            <v>6</v>
          </cell>
          <cell r="AY23" t="str">
            <v>ISO4217:USD</v>
          </cell>
          <cell r="AZ23" t="b">
            <v>1</v>
          </cell>
        </row>
        <row r="24">
          <cell r="B24" t="str">
            <v>Reorganization-related payments, net</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-181</v>
          </cell>
          <cell r="W24">
            <v>-467</v>
          </cell>
          <cell r="X24">
            <v>-112</v>
          </cell>
          <cell r="Y24">
            <v>0</v>
          </cell>
          <cell r="Z24">
            <v>0</v>
          </cell>
          <cell r="AA24">
            <v>0</v>
          </cell>
          <cell r="AB24">
            <v>0</v>
          </cell>
          <cell r="AC24">
            <v>0</v>
          </cell>
          <cell r="AD24">
            <v>0</v>
          </cell>
          <cell r="AE24">
            <v>0</v>
          </cell>
          <cell r="AF24">
            <v>0</v>
          </cell>
          <cell r="AG24">
            <v>0</v>
          </cell>
          <cell r="AI24">
            <v>-87</v>
          </cell>
          <cell r="AJ24">
            <v>-595</v>
          </cell>
          <cell r="AK24">
            <v>0</v>
          </cell>
          <cell r="AL24">
            <v>0</v>
          </cell>
          <cell r="AM24">
            <v>0</v>
          </cell>
          <cell r="AN24">
            <v>0</v>
          </cell>
          <cell r="AO24">
            <v>0</v>
          </cell>
          <cell r="AP24">
            <v>-112</v>
          </cell>
          <cell r="AQ24">
            <v>0</v>
          </cell>
          <cell r="AR24">
            <v>0</v>
          </cell>
          <cell r="AS24">
            <v>0</v>
          </cell>
          <cell r="AT24">
            <v>0</v>
          </cell>
          <cell r="AW24" t="str">
            <v>mstag:incomeLossFromExtraordinaryitemsCashFlowStatement</v>
          </cell>
          <cell r="AX24">
            <v>6</v>
          </cell>
          <cell r="AY24" t="str">
            <v>ISO4217:USD</v>
          </cell>
          <cell r="AZ24" t="b">
            <v>1</v>
          </cell>
        </row>
        <row r="25">
          <cell r="B25" t="str">
            <v>(Gain) loss on sale of assets</v>
          </cell>
          <cell r="W25">
            <v>-61</v>
          </cell>
          <cell r="X25">
            <v>-42</v>
          </cell>
          <cell r="Y25">
            <v>-12</v>
          </cell>
          <cell r="Z25">
            <v>0</v>
          </cell>
          <cell r="AA25">
            <v>0</v>
          </cell>
          <cell r="AB25">
            <v>0</v>
          </cell>
          <cell r="AC25">
            <v>0</v>
          </cell>
          <cell r="AD25">
            <v>0</v>
          </cell>
          <cell r="AE25">
            <v>0</v>
          </cell>
          <cell r="AF25">
            <v>0</v>
          </cell>
          <cell r="AG25">
            <v>0</v>
          </cell>
          <cell r="AM25">
            <v>0</v>
          </cell>
          <cell r="AN25">
            <v>-48</v>
          </cell>
          <cell r="AO25">
            <v>3</v>
          </cell>
          <cell r="AP25">
            <v>3</v>
          </cell>
          <cell r="AQ25">
            <v>-4</v>
          </cell>
          <cell r="AR25">
            <v>-6</v>
          </cell>
          <cell r="AS25">
            <v>-2</v>
          </cell>
          <cell r="AT25">
            <v>0</v>
          </cell>
          <cell r="AW25" t="str">
            <v>mstag:incomeLossFromExtraordinaryitemsCashFlowStatement</v>
          </cell>
          <cell r="AX25">
            <v>6</v>
          </cell>
          <cell r="AY25" t="str">
            <v>ISO4217:USD</v>
          </cell>
          <cell r="AZ25" t="b">
            <v>1</v>
          </cell>
        </row>
        <row r="26">
          <cell r="B26" t="str">
            <v>Unrealized foreign currency exchange loss</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-3</v>
          </cell>
          <cell r="U26">
            <v>-20</v>
          </cell>
          <cell r="V26">
            <v>-193</v>
          </cell>
          <cell r="W26">
            <v>286</v>
          </cell>
          <cell r="X26">
            <v>0</v>
          </cell>
          <cell r="Y26">
            <v>0</v>
          </cell>
          <cell r="Z26">
            <v>0</v>
          </cell>
          <cell r="AA26">
            <v>0</v>
          </cell>
          <cell r="AB26">
            <v>0</v>
          </cell>
          <cell r="AC26">
            <v>0</v>
          </cell>
          <cell r="AD26">
            <v>0</v>
          </cell>
          <cell r="AE26">
            <v>0</v>
          </cell>
          <cell r="AF26">
            <v>0</v>
          </cell>
          <cell r="AG26">
            <v>0</v>
          </cell>
          <cell r="AI26">
            <v>202</v>
          </cell>
          <cell r="AJ26">
            <v>76</v>
          </cell>
          <cell r="AK26">
            <v>0</v>
          </cell>
          <cell r="AL26">
            <v>0</v>
          </cell>
          <cell r="AM26">
            <v>3</v>
          </cell>
          <cell r="AN26">
            <v>-3</v>
          </cell>
          <cell r="AO26">
            <v>0</v>
          </cell>
          <cell r="AP26">
            <v>0</v>
          </cell>
          <cell r="AQ26">
            <v>10</v>
          </cell>
          <cell r="AR26">
            <v>-10</v>
          </cell>
          <cell r="AS26">
            <v>0</v>
          </cell>
          <cell r="AT26">
            <v>0</v>
          </cell>
          <cell r="AW26" t="str">
            <v>mstag:unrealizedForeignCurrencyExchangeGainLossCashFlowStatement</v>
          </cell>
          <cell r="AX26">
            <v>6</v>
          </cell>
          <cell r="AY26" t="str">
            <v>ISO4217:USD</v>
          </cell>
          <cell r="AZ26" t="b">
            <v>1</v>
          </cell>
        </row>
        <row r="27">
          <cell r="B27" t="str">
            <v>Changes in assets and liabilities:</v>
          </cell>
        </row>
        <row r="28">
          <cell r="B28" t="str">
            <v>Accounts receivable</v>
          </cell>
          <cell r="D28">
            <v>-1</v>
          </cell>
          <cell r="E28">
            <v>54</v>
          </cell>
          <cell r="F28">
            <v>50</v>
          </cell>
          <cell r="G28">
            <v>-156</v>
          </cell>
          <cell r="H28">
            <v>-1</v>
          </cell>
          <cell r="I28">
            <v>-94</v>
          </cell>
          <cell r="J28">
            <v>-64</v>
          </cell>
          <cell r="K28">
            <v>93</v>
          </cell>
          <cell r="L28">
            <v>-124</v>
          </cell>
          <cell r="M28">
            <v>-160</v>
          </cell>
          <cell r="N28">
            <v>154</v>
          </cell>
          <cell r="O28">
            <v>-7</v>
          </cell>
          <cell r="P28">
            <v>-54</v>
          </cell>
          <cell r="Q28">
            <v>42</v>
          </cell>
          <cell r="R28">
            <v>-156</v>
          </cell>
          <cell r="S28">
            <v>-95</v>
          </cell>
          <cell r="T28">
            <v>503</v>
          </cell>
          <cell r="U28">
            <v>1367</v>
          </cell>
          <cell r="V28">
            <v>-129</v>
          </cell>
          <cell r="W28">
            <v>-610</v>
          </cell>
          <cell r="X28">
            <v>-89</v>
          </cell>
          <cell r="Y28">
            <v>-101</v>
          </cell>
          <cell r="Z28">
            <v>765.33698630136996</v>
          </cell>
          <cell r="AA28">
            <v>-95.06355731548274</v>
          </cell>
          <cell r="AB28">
            <v>-373.98050812143128</v>
          </cell>
          <cell r="AC28">
            <v>2.0351391199533282</v>
          </cell>
          <cell r="AD28">
            <v>45.653328666253401</v>
          </cell>
          <cell r="AE28">
            <v>42.1394288045758</v>
          </cell>
          <cell r="AF28">
            <v>28.342104831455345</v>
          </cell>
          <cell r="AG28">
            <v>31.395329294302428</v>
          </cell>
          <cell r="AI28">
            <v>-480</v>
          </cell>
          <cell r="AJ28">
            <v>-31</v>
          </cell>
          <cell r="AK28">
            <v>0</v>
          </cell>
          <cell r="AL28">
            <v>0</v>
          </cell>
          <cell r="AM28">
            <v>-897</v>
          </cell>
          <cell r="AN28">
            <v>-105</v>
          </cell>
          <cell r="AO28">
            <v>720</v>
          </cell>
          <cell r="AP28">
            <v>193</v>
          </cell>
          <cell r="AQ28">
            <v>-374</v>
          </cell>
          <cell r="AR28">
            <v>218</v>
          </cell>
          <cell r="AS28">
            <v>-158</v>
          </cell>
          <cell r="AT28">
            <v>213</v>
          </cell>
          <cell r="AW28" t="str">
            <v>mstag:netDecreaseInTradeReceivables</v>
          </cell>
          <cell r="AX28">
            <v>6</v>
          </cell>
          <cell r="AY28" t="str">
            <v>ISO4217:USD</v>
          </cell>
          <cell r="AZ28" t="b">
            <v>0</v>
          </cell>
        </row>
        <row r="29">
          <cell r="B29" t="str">
            <v>Inventories</v>
          </cell>
          <cell r="D29">
            <v>0</v>
          </cell>
          <cell r="E29">
            <v>0</v>
          </cell>
          <cell r="F29">
            <v>-11</v>
          </cell>
          <cell r="G29">
            <v>-38</v>
          </cell>
          <cell r="H29">
            <v>-36</v>
          </cell>
          <cell r="I29">
            <v>-29</v>
          </cell>
          <cell r="J29">
            <v>-37</v>
          </cell>
          <cell r="K29">
            <v>-15</v>
          </cell>
          <cell r="L29">
            <v>15</v>
          </cell>
          <cell r="M29">
            <v>3</v>
          </cell>
          <cell r="N29">
            <v>48</v>
          </cell>
          <cell r="O29">
            <v>-14</v>
          </cell>
          <cell r="P29">
            <v>14</v>
          </cell>
          <cell r="Q29">
            <v>-137</v>
          </cell>
          <cell r="R29">
            <v>-94</v>
          </cell>
          <cell r="S29">
            <v>-236</v>
          </cell>
          <cell r="T29">
            <v>-161</v>
          </cell>
          <cell r="U29">
            <v>943</v>
          </cell>
          <cell r="V29">
            <v>-40</v>
          </cell>
          <cell r="W29">
            <v>-327</v>
          </cell>
          <cell r="X29">
            <v>-732</v>
          </cell>
          <cell r="Y29">
            <v>441</v>
          </cell>
          <cell r="Z29">
            <v>521.61643835616451</v>
          </cell>
          <cell r="AA29">
            <v>-93.988450712738995</v>
          </cell>
          <cell r="AB29">
            <v>-620.30447648911741</v>
          </cell>
          <cell r="AC29">
            <v>15.951893649994418</v>
          </cell>
          <cell r="AD29">
            <v>56.656556654399537</v>
          </cell>
          <cell r="AE29">
            <v>33.844261683108016</v>
          </cell>
          <cell r="AF29">
            <v>-163.32784078448276</v>
          </cell>
          <cell r="AG29">
            <v>14.250328685370732</v>
          </cell>
          <cell r="AI29">
            <v>-384</v>
          </cell>
          <cell r="AJ29">
            <v>72</v>
          </cell>
          <cell r="AK29">
            <v>0</v>
          </cell>
          <cell r="AL29">
            <v>0</v>
          </cell>
          <cell r="AM29">
            <v>-799</v>
          </cell>
          <cell r="AN29">
            <v>180</v>
          </cell>
          <cell r="AO29">
            <v>-245</v>
          </cell>
          <cell r="AP29">
            <v>132</v>
          </cell>
          <cell r="AQ29">
            <v>346</v>
          </cell>
          <cell r="AR29">
            <v>-725</v>
          </cell>
          <cell r="AS29">
            <v>633</v>
          </cell>
          <cell r="AT29">
            <v>187</v>
          </cell>
          <cell r="AW29" t="str">
            <v>mstag:netDecreaseInInventories</v>
          </cell>
          <cell r="AX29">
            <v>6</v>
          </cell>
          <cell r="AY29" t="str">
            <v>ISO4217:USD</v>
          </cell>
          <cell r="AZ29" t="b">
            <v>0</v>
          </cell>
        </row>
        <row r="30">
          <cell r="B30" t="str">
            <v>Accounts payable</v>
          </cell>
          <cell r="D30">
            <v>0</v>
          </cell>
          <cell r="E30">
            <v>0</v>
          </cell>
          <cell r="F30">
            <v>-50</v>
          </cell>
          <cell r="G30">
            <v>59</v>
          </cell>
          <cell r="H30">
            <v>54</v>
          </cell>
          <cell r="I30">
            <v>160</v>
          </cell>
          <cell r="J30">
            <v>-44</v>
          </cell>
          <cell r="K30">
            <v>-148</v>
          </cell>
          <cell r="L30">
            <v>52</v>
          </cell>
          <cell r="M30">
            <v>67</v>
          </cell>
          <cell r="N30">
            <v>-74</v>
          </cell>
          <cell r="O30">
            <v>13</v>
          </cell>
          <cell r="P30">
            <v>61</v>
          </cell>
          <cell r="Q30">
            <v>-4</v>
          </cell>
          <cell r="R30">
            <v>292</v>
          </cell>
          <cell r="S30">
            <v>-53</v>
          </cell>
          <cell r="T30">
            <v>-126</v>
          </cell>
          <cell r="U30">
            <v>-1563</v>
          </cell>
          <cell r="V30">
            <v>99</v>
          </cell>
          <cell r="W30">
            <v>593</v>
          </cell>
          <cell r="X30">
            <v>703</v>
          </cell>
          <cell r="Y30">
            <v>-189</v>
          </cell>
          <cell r="Z30">
            <v>-160.24390243902417</v>
          </cell>
          <cell r="AA30">
            <v>64.499504706542666</v>
          </cell>
          <cell r="AB30">
            <v>425.6834876774542</v>
          </cell>
          <cell r="AC30">
            <v>-10.94697520550335</v>
          </cell>
          <cell r="AD30">
            <v>-38.880520051935036</v>
          </cell>
          <cell r="AE30">
            <v>-23.22559951957237</v>
          </cell>
          <cell r="AF30">
            <v>112.08360979994723</v>
          </cell>
          <cell r="AG30">
            <v>-9.7792775084790264</v>
          </cell>
          <cell r="AI30">
            <v>122</v>
          </cell>
          <cell r="AJ30">
            <v>353</v>
          </cell>
          <cell r="AK30">
            <v>0</v>
          </cell>
          <cell r="AL30">
            <v>0</v>
          </cell>
          <cell r="AM30">
            <v>1264</v>
          </cell>
          <cell r="AN30">
            <v>-124</v>
          </cell>
          <cell r="AO30">
            <v>-588</v>
          </cell>
          <cell r="AP30">
            <v>151</v>
          </cell>
          <cell r="AQ30">
            <v>80</v>
          </cell>
          <cell r="AR30">
            <v>-425</v>
          </cell>
          <cell r="AS30">
            <v>245</v>
          </cell>
          <cell r="AT30">
            <v>-89</v>
          </cell>
          <cell r="AW30" t="str">
            <v>mstag:netIncreaseInTradeAndOtherPayables</v>
          </cell>
          <cell r="AX30">
            <v>6</v>
          </cell>
          <cell r="AY30" t="str">
            <v>ISO4217:USD</v>
          </cell>
          <cell r="AZ30" t="b">
            <v>0</v>
          </cell>
        </row>
        <row r="31">
          <cell r="B31" t="str">
            <v>Income taxes refundable (payable), net</v>
          </cell>
          <cell r="D31">
            <v>0</v>
          </cell>
          <cell r="E31">
            <v>0</v>
          </cell>
          <cell r="F31">
            <v>0</v>
          </cell>
          <cell r="G31">
            <v>0</v>
          </cell>
          <cell r="H31">
            <v>0</v>
          </cell>
          <cell r="I31">
            <v>0</v>
          </cell>
          <cell r="J31">
            <v>0</v>
          </cell>
          <cell r="K31">
            <v>0</v>
          </cell>
          <cell r="L31">
            <v>0</v>
          </cell>
          <cell r="M31">
            <v>0</v>
          </cell>
          <cell r="N31">
            <v>0</v>
          </cell>
          <cell r="O31">
            <v>62</v>
          </cell>
          <cell r="P31">
            <v>27</v>
          </cell>
          <cell r="Q31">
            <v>0</v>
          </cell>
          <cell r="R31">
            <v>0</v>
          </cell>
          <cell r="S31">
            <v>0</v>
          </cell>
          <cell r="T31">
            <v>0</v>
          </cell>
          <cell r="U31">
            <v>0</v>
          </cell>
          <cell r="V31">
            <v>0</v>
          </cell>
          <cell r="W31">
            <v>0</v>
          </cell>
          <cell r="X31">
            <v>7</v>
          </cell>
          <cell r="Y31">
            <v>306</v>
          </cell>
          <cell r="Z31">
            <v>0</v>
          </cell>
          <cell r="AA31">
            <v>0</v>
          </cell>
          <cell r="AB31">
            <v>0</v>
          </cell>
          <cell r="AC31">
            <v>0</v>
          </cell>
          <cell r="AD31">
            <v>0</v>
          </cell>
          <cell r="AE31">
            <v>0</v>
          </cell>
          <cell r="AF31">
            <v>0</v>
          </cell>
          <cell r="AG31">
            <v>0</v>
          </cell>
          <cell r="AI31">
            <v>0</v>
          </cell>
          <cell r="AJ31">
            <v>0</v>
          </cell>
          <cell r="AK31">
            <v>0</v>
          </cell>
          <cell r="AL31">
            <v>0</v>
          </cell>
          <cell r="AM31">
            <v>2</v>
          </cell>
          <cell r="AN31">
            <v>-2</v>
          </cell>
          <cell r="AO31">
            <v>0</v>
          </cell>
          <cell r="AP31">
            <v>7</v>
          </cell>
          <cell r="AQ31">
            <v>244</v>
          </cell>
          <cell r="AR31">
            <v>44</v>
          </cell>
          <cell r="AS31">
            <v>3</v>
          </cell>
          <cell r="AT31">
            <v>15</v>
          </cell>
          <cell r="AW31" t="str">
            <v>mstag:netIncreaseInIncomeTaxPayableReceivable</v>
          </cell>
          <cell r="AX31">
            <v>6</v>
          </cell>
          <cell r="AY31" t="str">
            <v>ISO4217:USD</v>
          </cell>
          <cell r="AZ31" t="b">
            <v>0</v>
          </cell>
        </row>
        <row r="32">
          <cell r="B32" t="str">
            <v>Other assets and liabilities, net</v>
          </cell>
          <cell r="D32">
            <v>3</v>
          </cell>
          <cell r="E32">
            <v>-20</v>
          </cell>
          <cell r="F32">
            <v>16</v>
          </cell>
          <cell r="G32">
            <v>28</v>
          </cell>
          <cell r="H32">
            <v>-1</v>
          </cell>
          <cell r="I32">
            <v>6</v>
          </cell>
          <cell r="J32">
            <v>-2</v>
          </cell>
          <cell r="K32">
            <v>24</v>
          </cell>
          <cell r="L32">
            <v>-11</v>
          </cell>
          <cell r="M32">
            <v>-148</v>
          </cell>
          <cell r="N32">
            <v>-108</v>
          </cell>
          <cell r="O32">
            <v>19</v>
          </cell>
          <cell r="P32">
            <v>45</v>
          </cell>
          <cell r="Q32">
            <v>0</v>
          </cell>
          <cell r="R32">
            <v>0</v>
          </cell>
          <cell r="S32">
            <v>0</v>
          </cell>
          <cell r="T32">
            <v>0</v>
          </cell>
          <cell r="U32">
            <v>0</v>
          </cell>
          <cell r="V32">
            <v>0</v>
          </cell>
          <cell r="W32">
            <v>0</v>
          </cell>
          <cell r="X32">
            <v>0</v>
          </cell>
          <cell r="Y32">
            <v>0</v>
          </cell>
          <cell r="Z32">
            <v>-166.57512195121944</v>
          </cell>
          <cell r="AA32">
            <v>74.696597608394313</v>
          </cell>
          <cell r="AB32">
            <v>299.88358725475655</v>
          </cell>
          <cell r="AC32">
            <v>47.198308136536525</v>
          </cell>
          <cell r="AD32">
            <v>3.0075943232077407</v>
          </cell>
          <cell r="AE32">
            <v>-11.757610682867835</v>
          </cell>
          <cell r="AF32">
            <v>48.738120272413198</v>
          </cell>
          <cell r="AG32">
            <v>-43.144364767326806</v>
          </cell>
          <cell r="AI32">
            <v>0</v>
          </cell>
          <cell r="AJ32">
            <v>0</v>
          </cell>
          <cell r="AK32">
            <v>0</v>
          </cell>
          <cell r="AL32">
            <v>0</v>
          </cell>
          <cell r="AM32">
            <v>0</v>
          </cell>
          <cell r="AN32">
            <v>0</v>
          </cell>
          <cell r="AO32">
            <v>0</v>
          </cell>
          <cell r="AP32">
            <v>0</v>
          </cell>
          <cell r="AQ32">
            <v>0</v>
          </cell>
          <cell r="AR32">
            <v>0</v>
          </cell>
          <cell r="AS32">
            <v>0</v>
          </cell>
          <cell r="AT32">
            <v>0</v>
          </cell>
          <cell r="AW32" t="str">
            <v>mstag:netDecreaseInOtherAssets</v>
          </cell>
          <cell r="AX32">
            <v>6</v>
          </cell>
          <cell r="AY32" t="str">
            <v>ISO4217:USD</v>
          </cell>
          <cell r="AZ32" t="b">
            <v>0</v>
          </cell>
        </row>
        <row r="33">
          <cell r="B33" t="str">
            <v>Repayment of accounts receivable securitization facility</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-503</v>
          </cell>
          <cell r="W33">
            <v>0</v>
          </cell>
          <cell r="X33">
            <v>0</v>
          </cell>
          <cell r="Y33">
            <v>0</v>
          </cell>
          <cell r="Z33">
            <v>0</v>
          </cell>
          <cell r="AA33">
            <v>0</v>
          </cell>
          <cell r="AB33">
            <v>0</v>
          </cell>
          <cell r="AC33">
            <v>0</v>
          </cell>
          <cell r="AD33">
            <v>0</v>
          </cell>
          <cell r="AE33">
            <v>0</v>
          </cell>
          <cell r="AF33">
            <v>0</v>
          </cell>
          <cell r="AG33">
            <v>0</v>
          </cell>
          <cell r="AI33">
            <v>0</v>
          </cell>
          <cell r="AJ33">
            <v>0</v>
          </cell>
          <cell r="AK33">
            <v>0</v>
          </cell>
          <cell r="AL33">
            <v>0</v>
          </cell>
          <cell r="AM33">
            <v>0</v>
          </cell>
          <cell r="AN33">
            <v>0</v>
          </cell>
          <cell r="AO33">
            <v>0</v>
          </cell>
          <cell r="AP33">
            <v>0</v>
          </cell>
          <cell r="AQ33">
            <v>0</v>
          </cell>
          <cell r="AR33">
            <v>0</v>
          </cell>
          <cell r="AS33">
            <v>0</v>
          </cell>
          <cell r="AT33">
            <v>0</v>
          </cell>
          <cell r="AW33" t="str">
            <v>mstag:netDecreaseInOtherAssets</v>
          </cell>
          <cell r="AX33">
            <v>6</v>
          </cell>
          <cell r="AY33" t="str">
            <v>ISO4217:USD</v>
          </cell>
          <cell r="AZ33" t="b">
            <v>0</v>
          </cell>
        </row>
        <row r="34">
          <cell r="B34" t="str">
            <v>Accrued interest</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-217</v>
          </cell>
          <cell r="U34">
            <v>-65</v>
          </cell>
          <cell r="V34">
            <v>-19</v>
          </cell>
          <cell r="W34">
            <v>0</v>
          </cell>
          <cell r="X34">
            <v>0</v>
          </cell>
          <cell r="Y34">
            <v>0</v>
          </cell>
          <cell r="Z34">
            <v>0</v>
          </cell>
          <cell r="AA34">
            <v>0</v>
          </cell>
          <cell r="AB34">
            <v>0</v>
          </cell>
          <cell r="AC34">
            <v>0</v>
          </cell>
          <cell r="AD34">
            <v>0</v>
          </cell>
          <cell r="AE34">
            <v>0</v>
          </cell>
          <cell r="AF34">
            <v>0</v>
          </cell>
          <cell r="AG34">
            <v>0</v>
          </cell>
          <cell r="AI34">
            <v>0</v>
          </cell>
          <cell r="AJ34">
            <v>0</v>
          </cell>
          <cell r="AK34">
            <v>0</v>
          </cell>
          <cell r="AL34">
            <v>0</v>
          </cell>
          <cell r="AM34">
            <v>0</v>
          </cell>
          <cell r="AN34">
            <v>0</v>
          </cell>
          <cell r="AO34">
            <v>0</v>
          </cell>
          <cell r="AP34">
            <v>0</v>
          </cell>
          <cell r="AQ34">
            <v>0</v>
          </cell>
          <cell r="AR34">
            <v>0</v>
          </cell>
          <cell r="AS34">
            <v>0</v>
          </cell>
          <cell r="AT34">
            <v>0</v>
          </cell>
          <cell r="AW34" t="str">
            <v>mstag:otherCashFlow</v>
          </cell>
          <cell r="AX34">
            <v>6</v>
          </cell>
          <cell r="AY34" t="str">
            <v>ISO4217:USD</v>
          </cell>
          <cell r="AZ34" t="b">
            <v>0</v>
          </cell>
        </row>
        <row r="35">
          <cell r="B35" t="str">
            <v>Prepaid expenses and other current assets</v>
          </cell>
          <cell r="D35">
            <v>0</v>
          </cell>
          <cell r="E35">
            <v>0</v>
          </cell>
          <cell r="F35">
            <v>0</v>
          </cell>
          <cell r="G35">
            <v>0</v>
          </cell>
          <cell r="H35">
            <v>0</v>
          </cell>
          <cell r="I35">
            <v>0</v>
          </cell>
          <cell r="J35">
            <v>0</v>
          </cell>
          <cell r="K35">
            <v>0</v>
          </cell>
          <cell r="L35">
            <v>0</v>
          </cell>
          <cell r="M35">
            <v>85</v>
          </cell>
          <cell r="N35">
            <v>-85</v>
          </cell>
          <cell r="O35">
            <v>0</v>
          </cell>
          <cell r="P35">
            <v>0</v>
          </cell>
          <cell r="Q35">
            <v>0</v>
          </cell>
          <cell r="R35">
            <v>0</v>
          </cell>
          <cell r="S35">
            <v>0</v>
          </cell>
          <cell r="T35">
            <v>-72</v>
          </cell>
          <cell r="U35">
            <v>101</v>
          </cell>
          <cell r="V35">
            <v>-329</v>
          </cell>
          <cell r="W35">
            <v>95</v>
          </cell>
          <cell r="X35">
            <v>-23</v>
          </cell>
          <cell r="Y35">
            <v>-98</v>
          </cell>
          <cell r="Z35">
            <v>-516.46027397260264</v>
          </cell>
          <cell r="AA35">
            <v>-32.906615993821106</v>
          </cell>
          <cell r="AB35">
            <v>-129.45479127280305</v>
          </cell>
          <cell r="AC35">
            <v>0.70447123382996324</v>
          </cell>
          <cell r="AD35">
            <v>15.803075307549307</v>
          </cell>
          <cell r="AE35">
            <v>14.586725355429962</v>
          </cell>
          <cell r="AF35">
            <v>9.8107285955038606</v>
          </cell>
          <cell r="AG35">
            <v>10.867613986489232</v>
          </cell>
          <cell r="AI35">
            <v>158</v>
          </cell>
          <cell r="AJ35">
            <v>-119</v>
          </cell>
          <cell r="AK35">
            <v>0</v>
          </cell>
          <cell r="AL35">
            <v>0</v>
          </cell>
          <cell r="AM35">
            <v>-86</v>
          </cell>
          <cell r="AN35">
            <v>-10</v>
          </cell>
          <cell r="AO35">
            <v>-43</v>
          </cell>
          <cell r="AP35">
            <v>116</v>
          </cell>
          <cell r="AQ35">
            <v>-274</v>
          </cell>
          <cell r="AR35">
            <v>197</v>
          </cell>
          <cell r="AS35">
            <v>-59</v>
          </cell>
          <cell r="AT35">
            <v>38</v>
          </cell>
          <cell r="AW35" t="str">
            <v>mstag:netDecreaseInPrepaidExpenses</v>
          </cell>
          <cell r="AX35">
            <v>6</v>
          </cell>
          <cell r="AY35" t="str">
            <v>ISO4217:USD</v>
          </cell>
          <cell r="AZ35" t="b">
            <v>0</v>
          </cell>
        </row>
        <row r="36">
          <cell r="B36" t="str">
            <v>Minority interest</v>
          </cell>
          <cell r="D36">
            <v>0</v>
          </cell>
          <cell r="E36">
            <v>0</v>
          </cell>
          <cell r="F36">
            <v>5</v>
          </cell>
          <cell r="G36">
            <v>6</v>
          </cell>
          <cell r="H36">
            <v>14</v>
          </cell>
          <cell r="I36">
            <v>4</v>
          </cell>
          <cell r="J36">
            <v>17</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I36">
            <v>0</v>
          </cell>
          <cell r="AJ36">
            <v>0</v>
          </cell>
          <cell r="AK36">
            <v>0</v>
          </cell>
          <cell r="AL36">
            <v>0</v>
          </cell>
          <cell r="AM36">
            <v>0</v>
          </cell>
          <cell r="AN36">
            <v>0</v>
          </cell>
          <cell r="AO36">
            <v>0</v>
          </cell>
          <cell r="AP36">
            <v>0</v>
          </cell>
          <cell r="AQ36">
            <v>0</v>
          </cell>
          <cell r="AR36">
            <v>0</v>
          </cell>
          <cell r="AS36">
            <v>0</v>
          </cell>
          <cell r="AT36">
            <v>0</v>
          </cell>
          <cell r="AW36" t="str">
            <v>mstag:minorityInterestCashFlowStatement</v>
          </cell>
          <cell r="AX36">
            <v>6</v>
          </cell>
          <cell r="AY36" t="str">
            <v>ISO4217:USD</v>
          </cell>
          <cell r="AZ36" t="b">
            <v>0</v>
          </cell>
        </row>
        <row r="37">
          <cell r="B37" t="str">
            <v>Other, net</v>
          </cell>
          <cell r="D37">
            <v>-11</v>
          </cell>
          <cell r="E37">
            <v>17</v>
          </cell>
          <cell r="F37">
            <v>-17</v>
          </cell>
          <cell r="G37">
            <v>-42</v>
          </cell>
          <cell r="H37">
            <v>-37</v>
          </cell>
          <cell r="I37">
            <v>-101</v>
          </cell>
          <cell r="J37">
            <v>-14</v>
          </cell>
          <cell r="K37">
            <v>-18</v>
          </cell>
          <cell r="L37">
            <v>82</v>
          </cell>
          <cell r="M37">
            <v>0</v>
          </cell>
          <cell r="N37">
            <v>0</v>
          </cell>
          <cell r="O37">
            <v>0</v>
          </cell>
          <cell r="P37">
            <v>-18</v>
          </cell>
          <cell r="Q37">
            <v>100</v>
          </cell>
          <cell r="R37">
            <v>-104</v>
          </cell>
          <cell r="S37">
            <v>-135</v>
          </cell>
          <cell r="T37">
            <v>151</v>
          </cell>
          <cell r="U37">
            <v>-468</v>
          </cell>
          <cell r="V37">
            <v>-661</v>
          </cell>
          <cell r="W37">
            <v>-145</v>
          </cell>
          <cell r="X37">
            <v>-523</v>
          </cell>
          <cell r="Y37">
            <v>-172</v>
          </cell>
          <cell r="Z37">
            <v>-25.682926829268297</v>
          </cell>
          <cell r="AA37">
            <v>-26.21305974466452</v>
          </cell>
          <cell r="AB37">
            <v>-29.711828136533995</v>
          </cell>
          <cell r="AC37">
            <v>-29.70300875949664</v>
          </cell>
          <cell r="AD37">
            <v>-29.302287079623511</v>
          </cell>
          <cell r="AE37">
            <v>-29.111391741106559</v>
          </cell>
          <cell r="AF37">
            <v>-30.032626890147185</v>
          </cell>
          <cell r="AG37">
            <v>-30.034310223685111</v>
          </cell>
          <cell r="AI37">
            <v>-178</v>
          </cell>
          <cell r="AJ37">
            <v>-291</v>
          </cell>
          <cell r="AK37">
            <v>0</v>
          </cell>
          <cell r="AL37">
            <v>0</v>
          </cell>
          <cell r="AM37">
            <v>-275</v>
          </cell>
          <cell r="AN37">
            <v>-85</v>
          </cell>
          <cell r="AO37">
            <v>164</v>
          </cell>
          <cell r="AP37">
            <v>-327</v>
          </cell>
          <cell r="AQ37">
            <v>-87</v>
          </cell>
          <cell r="AR37">
            <v>-156</v>
          </cell>
          <cell r="AS37">
            <v>169</v>
          </cell>
          <cell r="AT37">
            <v>-98</v>
          </cell>
          <cell r="AW37" t="str">
            <v>mstag:otherCashFlow</v>
          </cell>
          <cell r="AX37">
            <v>6</v>
          </cell>
          <cell r="AY37" t="str">
            <v>ISO4217:USD</v>
          </cell>
          <cell r="AZ37" t="b">
            <v>0</v>
          </cell>
        </row>
        <row r="38">
          <cell r="B38" t="str">
            <v>Net cash used in operating activities</v>
          </cell>
          <cell r="D38">
            <v>270</v>
          </cell>
          <cell r="E38">
            <v>108</v>
          </cell>
          <cell r="F38">
            <v>84</v>
          </cell>
          <cell r="G38">
            <v>155</v>
          </cell>
          <cell r="H38">
            <v>471</v>
          </cell>
          <cell r="I38">
            <v>232</v>
          </cell>
          <cell r="J38">
            <v>269</v>
          </cell>
          <cell r="K38">
            <v>263</v>
          </cell>
          <cell r="L38">
            <v>300</v>
          </cell>
          <cell r="M38">
            <v>61</v>
          </cell>
          <cell r="N38">
            <v>199</v>
          </cell>
          <cell r="O38">
            <v>289</v>
          </cell>
          <cell r="P38">
            <v>103</v>
          </cell>
          <cell r="Q38">
            <v>354</v>
          </cell>
          <cell r="R38">
            <v>1594</v>
          </cell>
          <cell r="S38">
            <v>1222</v>
          </cell>
          <cell r="T38">
            <v>1180</v>
          </cell>
          <cell r="U38">
            <v>1090</v>
          </cell>
          <cell r="V38">
            <v>-787</v>
          </cell>
          <cell r="W38">
            <v>2021</v>
          </cell>
          <cell r="X38">
            <v>2860</v>
          </cell>
          <cell r="Y38">
            <v>4787</v>
          </cell>
          <cell r="Z38">
            <v>5208.9911994654167</v>
          </cell>
          <cell r="AA38">
            <v>4327.8982162567881</v>
          </cell>
          <cell r="AB38">
            <v>3969.4385955154785</v>
          </cell>
          <cell r="AC38">
            <v>4491.8887851992558</v>
          </cell>
          <cell r="AD38">
            <v>4362.5213191333496</v>
          </cell>
          <cell r="AE38">
            <v>4118.201083654104</v>
          </cell>
          <cell r="AF38">
            <v>2960.2824669810861</v>
          </cell>
          <cell r="AG38">
            <v>2775.2653921178116</v>
          </cell>
          <cell r="AI38">
            <v>-373</v>
          </cell>
          <cell r="AJ38">
            <v>541</v>
          </cell>
          <cell r="AK38">
            <v>467</v>
          </cell>
          <cell r="AL38">
            <v>874</v>
          </cell>
          <cell r="AM38">
            <v>221</v>
          </cell>
          <cell r="AN38">
            <v>1026</v>
          </cell>
          <cell r="AO38">
            <v>1531</v>
          </cell>
          <cell r="AP38">
            <v>82</v>
          </cell>
          <cell r="AQ38">
            <v>921</v>
          </cell>
          <cell r="AR38">
            <v>509</v>
          </cell>
          <cell r="AS38">
            <v>2047</v>
          </cell>
          <cell r="AT38">
            <v>1310</v>
          </cell>
        </row>
        <row r="40">
          <cell r="B40" t="str">
            <v>Cash flow from investing activities:</v>
          </cell>
        </row>
        <row r="41">
          <cell r="B41" t="str">
            <v>Expenditures for PP&amp;E</v>
          </cell>
          <cell r="D41">
            <v>-43</v>
          </cell>
          <cell r="E41">
            <v>-97</v>
          </cell>
          <cell r="F41">
            <v>-69</v>
          </cell>
          <cell r="G41">
            <v>-252</v>
          </cell>
          <cell r="H41">
            <v>-982</v>
          </cell>
          <cell r="I41">
            <v>-609</v>
          </cell>
          <cell r="J41">
            <v>-49</v>
          </cell>
          <cell r="K41">
            <v>-64</v>
          </cell>
          <cell r="L41">
            <v>-131</v>
          </cell>
          <cell r="M41">
            <v>-104</v>
          </cell>
          <cell r="N41">
            <v>-68</v>
          </cell>
          <cell r="O41">
            <v>-22</v>
          </cell>
          <cell r="P41">
            <v>-268</v>
          </cell>
          <cell r="Q41">
            <v>-70</v>
          </cell>
          <cell r="R41">
            <v>-249</v>
          </cell>
          <cell r="S41">
            <v>-400</v>
          </cell>
          <cell r="T41">
            <v>-411</v>
          </cell>
          <cell r="U41">
            <v>-1000</v>
          </cell>
          <cell r="V41">
            <v>-779</v>
          </cell>
          <cell r="W41">
            <v>-692</v>
          </cell>
          <cell r="X41">
            <v>-1050</v>
          </cell>
          <cell r="Y41">
            <v>-1060</v>
          </cell>
          <cell r="Z41">
            <v>-1544.3598648693337</v>
          </cell>
          <cell r="AA41">
            <v>-1489.4643270606</v>
          </cell>
          <cell r="AB41">
            <v>-1197.7234571425172</v>
          </cell>
          <cell r="AC41">
            <v>-956.9897278536007</v>
          </cell>
          <cell r="AD41">
            <v>-944.84311424836517</v>
          </cell>
          <cell r="AE41">
            <v>-936.08649450790256</v>
          </cell>
          <cell r="AF41">
            <v>-930.513149114827</v>
          </cell>
          <cell r="AG41">
            <v>-854.25137837052353</v>
          </cell>
          <cell r="AI41">
            <v>-139</v>
          </cell>
          <cell r="AJ41">
            <v>-200</v>
          </cell>
          <cell r="AK41">
            <v>0</v>
          </cell>
          <cell r="AL41">
            <v>0</v>
          </cell>
          <cell r="AM41">
            <v>-221</v>
          </cell>
          <cell r="AN41">
            <v>-261</v>
          </cell>
          <cell r="AO41">
            <v>-279</v>
          </cell>
          <cell r="AP41">
            <v>-289</v>
          </cell>
          <cell r="AQ41">
            <v>-228</v>
          </cell>
          <cell r="AR41">
            <v>-233</v>
          </cell>
          <cell r="AS41">
            <v>-266</v>
          </cell>
          <cell r="AT41">
            <v>-333</v>
          </cell>
          <cell r="AW41" t="str">
            <v>mstag:capitalExpenditures</v>
          </cell>
          <cell r="AX41">
            <v>6</v>
          </cell>
          <cell r="AY41" t="str">
            <v>ISO4217:USD</v>
          </cell>
          <cell r="AZ41" t="b">
            <v>1</v>
          </cell>
        </row>
        <row r="42">
          <cell r="B42" t="str">
            <v>Proceeds from insurance claims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89</v>
          </cell>
          <cell r="V42">
            <v>120</v>
          </cell>
          <cell r="W42">
            <v>0</v>
          </cell>
          <cell r="X42">
            <v>0</v>
          </cell>
          <cell r="Y42">
            <v>0</v>
          </cell>
          <cell r="Z42">
            <v>0</v>
          </cell>
          <cell r="AA42">
            <v>0</v>
          </cell>
          <cell r="AB42">
            <v>0</v>
          </cell>
          <cell r="AC42">
            <v>0</v>
          </cell>
          <cell r="AD42">
            <v>0</v>
          </cell>
          <cell r="AE42">
            <v>0</v>
          </cell>
          <cell r="AF42">
            <v>0</v>
          </cell>
          <cell r="AG42">
            <v>0</v>
          </cell>
          <cell r="AI42">
            <v>0</v>
          </cell>
          <cell r="AJ42">
            <v>0</v>
          </cell>
          <cell r="AK42">
            <v>0</v>
          </cell>
          <cell r="AL42">
            <v>0</v>
          </cell>
          <cell r="AM42">
            <v>0</v>
          </cell>
          <cell r="AN42">
            <v>0</v>
          </cell>
          <cell r="AO42">
            <v>0</v>
          </cell>
          <cell r="AP42">
            <v>0</v>
          </cell>
          <cell r="AQ42">
            <v>0</v>
          </cell>
          <cell r="AR42">
            <v>0</v>
          </cell>
          <cell r="AS42">
            <v>0</v>
          </cell>
          <cell r="AT42">
            <v>0</v>
          </cell>
          <cell r="AW42" t="str">
            <v>mstag:netDecreaseInInvestmentsNonOperating</v>
          </cell>
          <cell r="AX42">
            <v>6</v>
          </cell>
          <cell r="AY42" t="str">
            <v>ISO4217:USD</v>
          </cell>
          <cell r="AZ42" t="b">
            <v>0</v>
          </cell>
        </row>
        <row r="43">
          <cell r="B43" t="str">
            <v>Acquisition of businesses, net of cash</v>
          </cell>
          <cell r="D43">
            <v>0</v>
          </cell>
          <cell r="E43">
            <v>0</v>
          </cell>
          <cell r="F43">
            <v>0</v>
          </cell>
          <cell r="G43">
            <v>0</v>
          </cell>
          <cell r="H43">
            <v>0</v>
          </cell>
          <cell r="I43">
            <v>0</v>
          </cell>
          <cell r="J43">
            <v>0</v>
          </cell>
          <cell r="K43">
            <v>-5869</v>
          </cell>
          <cell r="L43">
            <v>0</v>
          </cell>
          <cell r="M43">
            <v>0</v>
          </cell>
          <cell r="N43">
            <v>0</v>
          </cell>
          <cell r="O43">
            <v>0</v>
          </cell>
          <cell r="P43">
            <v>0</v>
          </cell>
          <cell r="Q43">
            <v>0</v>
          </cell>
          <cell r="R43">
            <v>0</v>
          </cell>
          <cell r="S43">
            <v>-2505</v>
          </cell>
          <cell r="T43">
            <v>-11470</v>
          </cell>
          <cell r="U43">
            <v>-1061</v>
          </cell>
          <cell r="V43">
            <v>0</v>
          </cell>
          <cell r="W43">
            <v>0</v>
          </cell>
          <cell r="X43">
            <v>0</v>
          </cell>
          <cell r="Y43">
            <v>0</v>
          </cell>
          <cell r="Z43">
            <v>-100</v>
          </cell>
          <cell r="AA43">
            <v>-150</v>
          </cell>
          <cell r="AB43">
            <v>-150</v>
          </cell>
          <cell r="AC43">
            <v>-150</v>
          </cell>
          <cell r="AD43">
            <v>-150</v>
          </cell>
          <cell r="AE43">
            <v>-150</v>
          </cell>
          <cell r="AF43">
            <v>-150</v>
          </cell>
          <cell r="AG43">
            <v>-150</v>
          </cell>
          <cell r="AI43">
            <v>0</v>
          </cell>
          <cell r="AJ43">
            <v>0</v>
          </cell>
          <cell r="AK43">
            <v>0</v>
          </cell>
          <cell r="AL43">
            <v>0</v>
          </cell>
          <cell r="AM43">
            <v>0</v>
          </cell>
          <cell r="AN43">
            <v>0</v>
          </cell>
          <cell r="AO43">
            <v>0</v>
          </cell>
          <cell r="AP43">
            <v>0</v>
          </cell>
          <cell r="AQ43">
            <v>0</v>
          </cell>
          <cell r="AR43">
            <v>0</v>
          </cell>
          <cell r="AS43">
            <v>0</v>
          </cell>
          <cell r="AT43">
            <v>0</v>
          </cell>
          <cell r="AW43" t="str">
            <v>mstag:netDisposalsAcquisitions</v>
          </cell>
          <cell r="AX43">
            <v>6</v>
          </cell>
          <cell r="AY43" t="str">
            <v>ISO4217:USD</v>
          </cell>
          <cell r="AZ43" t="b">
            <v>0</v>
          </cell>
        </row>
        <row r="44">
          <cell r="B44" t="str">
            <v>(Advances) and (contributions)/distributions to affiliates</v>
          </cell>
          <cell r="D44">
            <v>0</v>
          </cell>
          <cell r="E44">
            <v>0</v>
          </cell>
          <cell r="F44">
            <v>0</v>
          </cell>
          <cell r="G44">
            <v>0</v>
          </cell>
          <cell r="H44">
            <v>0</v>
          </cell>
          <cell r="I44">
            <v>0</v>
          </cell>
          <cell r="J44">
            <v>-26</v>
          </cell>
          <cell r="K44">
            <v>389</v>
          </cell>
          <cell r="L44">
            <v>82</v>
          </cell>
          <cell r="M44">
            <v>45</v>
          </cell>
          <cell r="N44">
            <v>-123</v>
          </cell>
          <cell r="O44">
            <v>-114</v>
          </cell>
          <cell r="P44">
            <v>-26</v>
          </cell>
          <cell r="Q44">
            <v>42</v>
          </cell>
          <cell r="R44">
            <v>35</v>
          </cell>
          <cell r="S44">
            <v>31</v>
          </cell>
          <cell r="T44">
            <v>0</v>
          </cell>
          <cell r="U44">
            <v>-60</v>
          </cell>
          <cell r="V44">
            <v>-4</v>
          </cell>
          <cell r="W44">
            <v>0</v>
          </cell>
          <cell r="X44">
            <v>0</v>
          </cell>
          <cell r="Y44">
            <v>0</v>
          </cell>
          <cell r="Z44">
            <v>0</v>
          </cell>
          <cell r="AA44">
            <v>0</v>
          </cell>
          <cell r="AB44">
            <v>0</v>
          </cell>
          <cell r="AC44">
            <v>0</v>
          </cell>
          <cell r="AD44">
            <v>0</v>
          </cell>
          <cell r="AE44">
            <v>0</v>
          </cell>
          <cell r="AF44">
            <v>0</v>
          </cell>
          <cell r="AG44">
            <v>0</v>
          </cell>
          <cell r="AI44">
            <v>0</v>
          </cell>
          <cell r="AJ44">
            <v>0</v>
          </cell>
          <cell r="AK44">
            <v>0</v>
          </cell>
          <cell r="AL44">
            <v>0</v>
          </cell>
          <cell r="AM44">
            <v>0</v>
          </cell>
          <cell r="AN44">
            <v>0</v>
          </cell>
          <cell r="AO44">
            <v>0</v>
          </cell>
          <cell r="AP44">
            <v>0</v>
          </cell>
          <cell r="AQ44">
            <v>0</v>
          </cell>
          <cell r="AR44">
            <v>0</v>
          </cell>
          <cell r="AS44">
            <v>0</v>
          </cell>
          <cell r="AT44">
            <v>0</v>
          </cell>
          <cell r="AW44" t="str">
            <v>mstag:proceedsFromSaleOfFundsUsedTopurchaseSecuritiesAndOtherInvestments</v>
          </cell>
          <cell r="AX44">
            <v>6</v>
          </cell>
          <cell r="AY44" t="str">
            <v>ISO4217:USD</v>
          </cell>
          <cell r="AZ44" t="b">
            <v>0</v>
          </cell>
        </row>
        <row r="45">
          <cell r="B45" t="str">
            <v>Equity investments - (purchase)/proceeds</v>
          </cell>
          <cell r="D45">
            <v>0</v>
          </cell>
          <cell r="E45">
            <v>0</v>
          </cell>
          <cell r="F45">
            <v>0</v>
          </cell>
          <cell r="G45">
            <v>0</v>
          </cell>
          <cell r="H45">
            <v>0</v>
          </cell>
          <cell r="I45">
            <v>0</v>
          </cell>
          <cell r="J45">
            <v>0</v>
          </cell>
          <cell r="K45">
            <v>0</v>
          </cell>
          <cell r="L45">
            <v>0</v>
          </cell>
          <cell r="M45">
            <v>0</v>
          </cell>
          <cell r="N45">
            <v>0</v>
          </cell>
          <cell r="O45">
            <v>-440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I45">
            <v>0</v>
          </cell>
          <cell r="AJ45">
            <v>0</v>
          </cell>
          <cell r="AK45">
            <v>0</v>
          </cell>
          <cell r="AL45">
            <v>0</v>
          </cell>
          <cell r="AM45">
            <v>0</v>
          </cell>
          <cell r="AN45">
            <v>0</v>
          </cell>
          <cell r="AO45">
            <v>0</v>
          </cell>
          <cell r="AP45">
            <v>0</v>
          </cell>
          <cell r="AQ45">
            <v>0</v>
          </cell>
          <cell r="AR45">
            <v>0</v>
          </cell>
          <cell r="AS45">
            <v>0</v>
          </cell>
          <cell r="AT45">
            <v>0</v>
          </cell>
          <cell r="AW45" t="str">
            <v>mstag:proceedsFromDivestituresOfFundsUsedTopurchaseInterestInEquityMethodInvestmentsNonoperating</v>
          </cell>
          <cell r="AX45">
            <v>6</v>
          </cell>
          <cell r="AY45" t="str">
            <v>ISO4217:USD</v>
          </cell>
          <cell r="AZ45" t="b">
            <v>0</v>
          </cell>
        </row>
        <row r="46">
          <cell r="B46" t="str">
            <v>Proceeds from disposal of assets</v>
          </cell>
          <cell r="D46">
            <v>0</v>
          </cell>
          <cell r="E46">
            <v>0</v>
          </cell>
          <cell r="F46">
            <v>0</v>
          </cell>
          <cell r="G46">
            <v>0</v>
          </cell>
          <cell r="H46">
            <v>0</v>
          </cell>
          <cell r="I46">
            <v>55</v>
          </cell>
          <cell r="J46">
            <v>0</v>
          </cell>
          <cell r="K46">
            <v>0</v>
          </cell>
          <cell r="L46">
            <v>0</v>
          </cell>
          <cell r="M46">
            <v>2497</v>
          </cell>
          <cell r="N46">
            <v>0</v>
          </cell>
          <cell r="O46">
            <v>0</v>
          </cell>
          <cell r="P46">
            <v>0</v>
          </cell>
          <cell r="Q46">
            <v>0</v>
          </cell>
          <cell r="R46">
            <v>0</v>
          </cell>
          <cell r="S46">
            <v>0</v>
          </cell>
          <cell r="T46">
            <v>0</v>
          </cell>
          <cell r="U46">
            <v>173</v>
          </cell>
          <cell r="V46">
            <v>20</v>
          </cell>
          <cell r="W46">
            <v>154</v>
          </cell>
          <cell r="X46">
            <v>71</v>
          </cell>
          <cell r="Y46">
            <v>12</v>
          </cell>
          <cell r="Z46">
            <v>0</v>
          </cell>
          <cell r="AA46">
            <v>0</v>
          </cell>
          <cell r="AB46">
            <v>0</v>
          </cell>
          <cell r="AC46">
            <v>0</v>
          </cell>
          <cell r="AD46">
            <v>0</v>
          </cell>
          <cell r="AE46">
            <v>0</v>
          </cell>
          <cell r="AF46">
            <v>0</v>
          </cell>
          <cell r="AG46">
            <v>0</v>
          </cell>
          <cell r="AI46">
            <v>0</v>
          </cell>
          <cell r="AJ46">
            <v>0</v>
          </cell>
          <cell r="AK46">
            <v>0</v>
          </cell>
          <cell r="AL46">
            <v>0</v>
          </cell>
          <cell r="AM46">
            <v>5</v>
          </cell>
          <cell r="AN46">
            <v>65</v>
          </cell>
          <cell r="AO46">
            <v>1</v>
          </cell>
          <cell r="AP46">
            <v>0</v>
          </cell>
          <cell r="AQ46">
            <v>4</v>
          </cell>
          <cell r="AR46">
            <v>6</v>
          </cell>
          <cell r="AS46">
            <v>2</v>
          </cell>
          <cell r="AT46">
            <v>0</v>
          </cell>
          <cell r="AW46" t="str">
            <v>mstag:proceedsFromSaleOfPpeAndIntangibleAssets</v>
          </cell>
          <cell r="AX46">
            <v>6</v>
          </cell>
          <cell r="AY46" t="str">
            <v>ISO4217:USD</v>
          </cell>
          <cell r="AZ46" t="b">
            <v>0</v>
          </cell>
        </row>
        <row r="47">
          <cell r="B47" t="str">
            <v>Short-term investments - Maturity (purchase)</v>
          </cell>
          <cell r="D47">
            <v>-101</v>
          </cell>
          <cell r="E47">
            <v>88</v>
          </cell>
          <cell r="F47">
            <v>7</v>
          </cell>
          <cell r="G47">
            <v>6</v>
          </cell>
          <cell r="H47">
            <v>0</v>
          </cell>
          <cell r="I47">
            <v>0</v>
          </cell>
          <cell r="J47">
            <v>0</v>
          </cell>
          <cell r="K47">
            <v>0</v>
          </cell>
          <cell r="L47">
            <v>0</v>
          </cell>
          <cell r="M47">
            <v>0</v>
          </cell>
          <cell r="N47">
            <v>0</v>
          </cell>
          <cell r="O47">
            <v>-44</v>
          </cell>
          <cell r="P47">
            <v>44</v>
          </cell>
          <cell r="Q47">
            <v>0</v>
          </cell>
          <cell r="R47">
            <v>0</v>
          </cell>
          <cell r="S47">
            <v>0</v>
          </cell>
          <cell r="T47">
            <v>0</v>
          </cell>
          <cell r="U47">
            <v>-32</v>
          </cell>
          <cell r="V47">
            <v>23</v>
          </cell>
          <cell r="W47">
            <v>0</v>
          </cell>
          <cell r="X47">
            <v>0</v>
          </cell>
          <cell r="Y47">
            <v>0</v>
          </cell>
          <cell r="Z47">
            <v>0</v>
          </cell>
          <cell r="AA47">
            <v>0</v>
          </cell>
          <cell r="AB47">
            <v>0</v>
          </cell>
          <cell r="AC47">
            <v>0</v>
          </cell>
          <cell r="AD47">
            <v>0</v>
          </cell>
          <cell r="AE47">
            <v>0</v>
          </cell>
          <cell r="AF47">
            <v>0</v>
          </cell>
          <cell r="AG47">
            <v>0</v>
          </cell>
          <cell r="AI47">
            <v>0</v>
          </cell>
          <cell r="AJ47">
            <v>0</v>
          </cell>
          <cell r="AK47">
            <v>0</v>
          </cell>
          <cell r="AL47">
            <v>0</v>
          </cell>
          <cell r="AM47">
            <v>0</v>
          </cell>
          <cell r="AN47">
            <v>0</v>
          </cell>
          <cell r="AO47">
            <v>0</v>
          </cell>
          <cell r="AP47">
            <v>0</v>
          </cell>
          <cell r="AQ47">
            <v>0</v>
          </cell>
          <cell r="AR47">
            <v>0</v>
          </cell>
          <cell r="AS47">
            <v>0</v>
          </cell>
          <cell r="AT47">
            <v>0</v>
          </cell>
          <cell r="AW47" t="str">
            <v>mstag:proceedsFromSaleOfFundsUsedTopurchaseSecuritiesAndOtherInvestments</v>
          </cell>
          <cell r="AX47">
            <v>6</v>
          </cell>
          <cell r="AY47" t="str">
            <v>ISO4217:USD</v>
          </cell>
          <cell r="AZ47" t="b">
            <v>0</v>
          </cell>
        </row>
        <row r="48">
          <cell r="B48" t="str">
            <v>Cash restricted for business acquisition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I48">
            <v>0</v>
          </cell>
          <cell r="AJ48">
            <v>0</v>
          </cell>
          <cell r="AK48">
            <v>0</v>
          </cell>
          <cell r="AL48">
            <v>0</v>
          </cell>
          <cell r="AM48">
            <v>0</v>
          </cell>
          <cell r="AN48">
            <v>0</v>
          </cell>
          <cell r="AO48">
            <v>0</v>
          </cell>
          <cell r="AP48">
            <v>0</v>
          </cell>
          <cell r="AQ48">
            <v>0</v>
          </cell>
          <cell r="AR48">
            <v>0</v>
          </cell>
          <cell r="AS48">
            <v>0</v>
          </cell>
          <cell r="AT48">
            <v>0</v>
          </cell>
          <cell r="AW48" t="str">
            <v>mstag:netDecreaseInInvestmentsNonOperating</v>
          </cell>
          <cell r="AX48">
            <v>6</v>
          </cell>
          <cell r="AY48" t="str">
            <v>ISO4217:USD</v>
          </cell>
          <cell r="AZ48" t="b">
            <v>0</v>
          </cell>
        </row>
        <row r="49">
          <cell r="B49" t="str">
            <v>Cash received in acquisition</v>
          </cell>
          <cell r="D49">
            <v>0</v>
          </cell>
          <cell r="E49">
            <v>0</v>
          </cell>
          <cell r="F49">
            <v>0</v>
          </cell>
          <cell r="G49">
            <v>0</v>
          </cell>
          <cell r="H49">
            <v>0</v>
          </cell>
          <cell r="I49">
            <v>0</v>
          </cell>
          <cell r="J49">
            <v>0</v>
          </cell>
          <cell r="K49">
            <v>0</v>
          </cell>
          <cell r="L49">
            <v>0</v>
          </cell>
          <cell r="M49">
            <v>0</v>
          </cell>
          <cell r="N49">
            <v>0</v>
          </cell>
          <cell r="O49">
            <v>0</v>
          </cell>
          <cell r="P49">
            <v>0</v>
          </cell>
          <cell r="Q49">
            <v>452</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I49">
            <v>0</v>
          </cell>
          <cell r="AJ49">
            <v>0</v>
          </cell>
          <cell r="AK49">
            <v>0</v>
          </cell>
          <cell r="AL49">
            <v>0</v>
          </cell>
          <cell r="AM49">
            <v>0</v>
          </cell>
          <cell r="AN49">
            <v>0</v>
          </cell>
          <cell r="AO49">
            <v>0</v>
          </cell>
          <cell r="AP49">
            <v>0</v>
          </cell>
          <cell r="AQ49">
            <v>0</v>
          </cell>
          <cell r="AR49">
            <v>0</v>
          </cell>
          <cell r="AS49">
            <v>0</v>
          </cell>
          <cell r="AT49">
            <v>0</v>
          </cell>
          <cell r="AW49" t="str">
            <v>mstag:netDisposalsAcquisitions</v>
          </cell>
          <cell r="AX49">
            <v>6</v>
          </cell>
          <cell r="AY49" t="str">
            <v>ISO4217:USD</v>
          </cell>
          <cell r="AZ49" t="b">
            <v>0</v>
          </cell>
        </row>
        <row r="50">
          <cell r="B50" t="str">
            <v>Other</v>
          </cell>
          <cell r="D50">
            <v>0</v>
          </cell>
          <cell r="E50">
            <v>0</v>
          </cell>
          <cell r="F50">
            <v>0</v>
          </cell>
          <cell r="G50">
            <v>0</v>
          </cell>
          <cell r="H50">
            <v>0</v>
          </cell>
          <cell r="I50">
            <v>0</v>
          </cell>
          <cell r="J50">
            <v>0</v>
          </cell>
          <cell r="K50">
            <v>0</v>
          </cell>
          <cell r="L50">
            <v>4</v>
          </cell>
          <cell r="M50">
            <v>0</v>
          </cell>
          <cell r="N50">
            <v>0</v>
          </cell>
          <cell r="O50">
            <v>-3</v>
          </cell>
          <cell r="P50">
            <v>28</v>
          </cell>
          <cell r="Q50">
            <v>0</v>
          </cell>
          <cell r="R50">
            <v>3</v>
          </cell>
          <cell r="S50">
            <v>6</v>
          </cell>
          <cell r="T50">
            <v>-18</v>
          </cell>
          <cell r="U50">
            <v>7</v>
          </cell>
          <cell r="V50">
            <v>9</v>
          </cell>
          <cell r="W50">
            <v>13</v>
          </cell>
          <cell r="X50">
            <v>-42</v>
          </cell>
          <cell r="Y50">
            <v>35</v>
          </cell>
          <cell r="Z50">
            <v>0</v>
          </cell>
          <cell r="AA50">
            <v>0</v>
          </cell>
          <cell r="AB50">
            <v>0</v>
          </cell>
          <cell r="AC50">
            <v>0</v>
          </cell>
          <cell r="AD50">
            <v>0</v>
          </cell>
          <cell r="AE50">
            <v>0</v>
          </cell>
          <cell r="AF50">
            <v>0</v>
          </cell>
          <cell r="AG50">
            <v>0</v>
          </cell>
          <cell r="AI50">
            <v>12</v>
          </cell>
          <cell r="AJ50">
            <v>5</v>
          </cell>
          <cell r="AK50">
            <v>0</v>
          </cell>
          <cell r="AL50">
            <v>0</v>
          </cell>
          <cell r="AM50">
            <v>0</v>
          </cell>
          <cell r="AN50">
            <v>-239</v>
          </cell>
          <cell r="AO50">
            <v>-42</v>
          </cell>
          <cell r="AP50">
            <v>239</v>
          </cell>
          <cell r="AQ50">
            <v>39</v>
          </cell>
          <cell r="AR50">
            <v>-18</v>
          </cell>
          <cell r="AS50">
            <v>-2</v>
          </cell>
          <cell r="AT50">
            <v>16</v>
          </cell>
          <cell r="AW50" t="str">
            <v>mstag:netDecreaseInInvestmentsNonOperating</v>
          </cell>
          <cell r="AX50">
            <v>6</v>
          </cell>
          <cell r="AY50" t="str">
            <v>ISO4217:USD</v>
          </cell>
          <cell r="AZ50" t="b">
            <v>0</v>
          </cell>
        </row>
        <row r="51">
          <cell r="B51" t="str">
            <v>Net cash used in investing activities</v>
          </cell>
          <cell r="D51">
            <v>-144</v>
          </cell>
          <cell r="E51">
            <v>-9</v>
          </cell>
          <cell r="F51">
            <v>-62</v>
          </cell>
          <cell r="G51">
            <v>-246</v>
          </cell>
          <cell r="H51">
            <v>-982</v>
          </cell>
          <cell r="I51">
            <v>-554</v>
          </cell>
          <cell r="J51">
            <v>-75</v>
          </cell>
          <cell r="K51">
            <v>-5544</v>
          </cell>
          <cell r="L51">
            <v>-45</v>
          </cell>
          <cell r="M51">
            <v>2438</v>
          </cell>
          <cell r="N51">
            <v>-191</v>
          </cell>
          <cell r="O51">
            <v>-623</v>
          </cell>
          <cell r="P51">
            <v>-222</v>
          </cell>
          <cell r="Q51">
            <v>424</v>
          </cell>
          <cell r="R51">
            <v>-211</v>
          </cell>
          <cell r="S51">
            <v>-2868</v>
          </cell>
          <cell r="T51">
            <v>-11899</v>
          </cell>
          <cell r="U51">
            <v>-1884</v>
          </cell>
          <cell r="V51">
            <v>-611</v>
          </cell>
          <cell r="W51">
            <v>-525</v>
          </cell>
          <cell r="X51">
            <v>-1021</v>
          </cell>
          <cell r="Y51">
            <v>-1013</v>
          </cell>
          <cell r="Z51">
            <v>-1644.3598648693337</v>
          </cell>
          <cell r="AA51">
            <v>-1639.4643270606</v>
          </cell>
          <cell r="AB51">
            <v>-1347.7234571425172</v>
          </cell>
          <cell r="AC51">
            <v>-1106.9897278536007</v>
          </cell>
          <cell r="AD51">
            <v>-1094.8431142483651</v>
          </cell>
          <cell r="AE51">
            <v>-1086.0864945079024</v>
          </cell>
          <cell r="AF51">
            <v>-1080.513149114827</v>
          </cell>
          <cell r="AG51">
            <v>-1004.2513783705235</v>
          </cell>
          <cell r="AI51">
            <v>-127</v>
          </cell>
          <cell r="AJ51">
            <v>-195</v>
          </cell>
          <cell r="AK51">
            <v>0</v>
          </cell>
          <cell r="AL51">
            <v>0</v>
          </cell>
          <cell r="AM51">
            <v>-216</v>
          </cell>
          <cell r="AN51">
            <v>-435</v>
          </cell>
          <cell r="AO51">
            <v>-320</v>
          </cell>
          <cell r="AP51">
            <v>-50</v>
          </cell>
          <cell r="AQ51">
            <v>-185</v>
          </cell>
          <cell r="AR51">
            <v>-245</v>
          </cell>
          <cell r="AS51">
            <v>-266</v>
          </cell>
          <cell r="AT51">
            <v>-317</v>
          </cell>
        </row>
        <row r="53">
          <cell r="B53" t="str">
            <v>Cash flow from financing activities:</v>
          </cell>
        </row>
        <row r="54">
          <cell r="B54" t="str">
            <v>Proceeds from issuance of DIP term loan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1992</v>
          </cell>
          <cell r="W54">
            <v>-2495</v>
          </cell>
          <cell r="X54">
            <v>0</v>
          </cell>
          <cell r="Y54">
            <v>0</v>
          </cell>
          <cell r="Z54">
            <v>0</v>
          </cell>
          <cell r="AA54">
            <v>0</v>
          </cell>
          <cell r="AB54">
            <v>0</v>
          </cell>
          <cell r="AC54">
            <v>0</v>
          </cell>
          <cell r="AD54">
            <v>0</v>
          </cell>
          <cell r="AE54">
            <v>0</v>
          </cell>
          <cell r="AF54">
            <v>0</v>
          </cell>
          <cell r="AG54">
            <v>0</v>
          </cell>
          <cell r="AI54">
            <v>0</v>
          </cell>
          <cell r="AJ54">
            <v>0</v>
          </cell>
          <cell r="AK54">
            <v>0</v>
          </cell>
          <cell r="AL54">
            <v>0</v>
          </cell>
          <cell r="AM54">
            <v>0</v>
          </cell>
          <cell r="AN54">
            <v>0</v>
          </cell>
          <cell r="AO54">
            <v>0</v>
          </cell>
          <cell r="AP54">
            <v>0</v>
          </cell>
          <cell r="AQ54">
            <v>0</v>
          </cell>
          <cell r="AR54">
            <v>0</v>
          </cell>
          <cell r="AS54">
            <v>0</v>
          </cell>
          <cell r="AT54">
            <v>0</v>
          </cell>
          <cell r="AW54" t="str">
            <v>mstag:proceedsFromIssuanceAndCashUsedToRepayShortTermBorrowings</v>
          </cell>
          <cell r="AX54">
            <v>6</v>
          </cell>
          <cell r="AY54" t="str">
            <v>ISO4217:USD</v>
          </cell>
          <cell r="AZ54" t="b">
            <v>0</v>
          </cell>
        </row>
        <row r="55">
          <cell r="B55" t="str">
            <v>Proceeds from note payable</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100</v>
          </cell>
          <cell r="W55">
            <v>0</v>
          </cell>
          <cell r="X55">
            <v>0</v>
          </cell>
          <cell r="Y55">
            <v>0</v>
          </cell>
          <cell r="Z55">
            <v>0</v>
          </cell>
          <cell r="AA55">
            <v>0</v>
          </cell>
          <cell r="AB55">
            <v>0</v>
          </cell>
          <cell r="AC55">
            <v>0</v>
          </cell>
          <cell r="AD55">
            <v>0</v>
          </cell>
          <cell r="AE55">
            <v>0</v>
          </cell>
          <cell r="AF55">
            <v>0</v>
          </cell>
          <cell r="AG55">
            <v>0</v>
          </cell>
          <cell r="AI55">
            <v>0</v>
          </cell>
          <cell r="AJ55">
            <v>0</v>
          </cell>
          <cell r="AK55">
            <v>0</v>
          </cell>
          <cell r="AL55">
            <v>0</v>
          </cell>
          <cell r="AM55">
            <v>0</v>
          </cell>
          <cell r="AN55">
            <v>0</v>
          </cell>
          <cell r="AO55">
            <v>0</v>
          </cell>
          <cell r="AP55">
            <v>0</v>
          </cell>
          <cell r="AQ55">
            <v>0</v>
          </cell>
          <cell r="AR55">
            <v>0</v>
          </cell>
          <cell r="AS55">
            <v>0</v>
          </cell>
          <cell r="AT55">
            <v>0</v>
          </cell>
          <cell r="AW55" t="str">
            <v>mstag:proceedsFromIssuanceAndCashUsedToRepayShortTermBorrowings</v>
          </cell>
          <cell r="AX55">
            <v>6</v>
          </cell>
          <cell r="AY55" t="str">
            <v>ISO4217:USD</v>
          </cell>
          <cell r="AZ55" t="b">
            <v>0</v>
          </cell>
        </row>
        <row r="56">
          <cell r="B56" t="str">
            <v>Repayment of note payable</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-100</v>
          </cell>
          <cell r="W56">
            <v>0</v>
          </cell>
          <cell r="X56">
            <v>0</v>
          </cell>
          <cell r="Y56">
            <v>0</v>
          </cell>
          <cell r="Z56">
            <v>0</v>
          </cell>
          <cell r="AA56">
            <v>0</v>
          </cell>
          <cell r="AB56">
            <v>0</v>
          </cell>
          <cell r="AC56">
            <v>0</v>
          </cell>
          <cell r="AD56">
            <v>0</v>
          </cell>
          <cell r="AE56">
            <v>0</v>
          </cell>
          <cell r="AF56">
            <v>0</v>
          </cell>
          <cell r="AG56">
            <v>0</v>
          </cell>
          <cell r="AI56">
            <v>0</v>
          </cell>
          <cell r="AJ56">
            <v>0</v>
          </cell>
          <cell r="AK56">
            <v>0</v>
          </cell>
          <cell r="AL56">
            <v>0</v>
          </cell>
          <cell r="AM56">
            <v>0</v>
          </cell>
          <cell r="AN56">
            <v>0</v>
          </cell>
          <cell r="AO56">
            <v>0</v>
          </cell>
          <cell r="AP56">
            <v>0</v>
          </cell>
          <cell r="AQ56">
            <v>0</v>
          </cell>
          <cell r="AR56">
            <v>0</v>
          </cell>
          <cell r="AS56">
            <v>0</v>
          </cell>
          <cell r="AT56">
            <v>0</v>
          </cell>
          <cell r="AW56" t="str">
            <v>mstag:proceedsFromIssuanceAndCashUsedToRepayShortTermBorrowings</v>
          </cell>
          <cell r="AX56">
            <v>6</v>
          </cell>
          <cell r="AY56" t="str">
            <v>ISO4217:USD</v>
          </cell>
          <cell r="AZ56" t="b">
            <v>0</v>
          </cell>
        </row>
        <row r="57">
          <cell r="B57" t="str">
            <v>Repayment of DIP revolving credit facility</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-6</v>
          </cell>
          <cell r="W57">
            <v>0</v>
          </cell>
          <cell r="X57">
            <v>0</v>
          </cell>
          <cell r="Y57">
            <v>0</v>
          </cell>
          <cell r="Z57">
            <v>0</v>
          </cell>
          <cell r="AA57">
            <v>0</v>
          </cell>
          <cell r="AB57">
            <v>0</v>
          </cell>
          <cell r="AC57">
            <v>0</v>
          </cell>
          <cell r="AD57">
            <v>0</v>
          </cell>
          <cell r="AE57">
            <v>0</v>
          </cell>
          <cell r="AF57">
            <v>0</v>
          </cell>
          <cell r="AG57">
            <v>0</v>
          </cell>
          <cell r="AI57">
            <v>0</v>
          </cell>
          <cell r="AJ57">
            <v>-3017</v>
          </cell>
          <cell r="AK57">
            <v>0</v>
          </cell>
          <cell r="AL57">
            <v>0</v>
          </cell>
          <cell r="AM57">
            <v>0</v>
          </cell>
          <cell r="AN57">
            <v>0</v>
          </cell>
          <cell r="AO57">
            <v>0</v>
          </cell>
          <cell r="AP57">
            <v>0</v>
          </cell>
          <cell r="AQ57">
            <v>0</v>
          </cell>
          <cell r="AR57">
            <v>0</v>
          </cell>
          <cell r="AS57">
            <v>0</v>
          </cell>
          <cell r="AT57">
            <v>0</v>
          </cell>
          <cell r="AW57" t="str">
            <v>mstag:proceedsFromIssuanceAndCashUsedToRepayShortTermBorrowings</v>
          </cell>
          <cell r="AX57">
            <v>6</v>
          </cell>
          <cell r="AY57" t="str">
            <v>ISO4217:USD</v>
          </cell>
          <cell r="AZ57" t="b">
            <v>0</v>
          </cell>
        </row>
        <row r="58">
          <cell r="B58" t="str">
            <v>Net borrowing under DIP revolver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325</v>
          </cell>
          <cell r="W58">
            <v>0</v>
          </cell>
          <cell r="X58">
            <v>0</v>
          </cell>
          <cell r="Y58">
            <v>0</v>
          </cell>
          <cell r="Z58">
            <v>0</v>
          </cell>
          <cell r="AA58">
            <v>0</v>
          </cell>
          <cell r="AB58">
            <v>0</v>
          </cell>
          <cell r="AC58">
            <v>0</v>
          </cell>
          <cell r="AD58">
            <v>0</v>
          </cell>
          <cell r="AE58">
            <v>0</v>
          </cell>
          <cell r="AF58">
            <v>0</v>
          </cell>
          <cell r="AG58">
            <v>0</v>
          </cell>
          <cell r="AI58">
            <v>522</v>
          </cell>
          <cell r="AJ58">
            <v>0</v>
          </cell>
          <cell r="AK58">
            <v>0</v>
          </cell>
          <cell r="AL58">
            <v>0</v>
          </cell>
          <cell r="AM58">
            <v>0</v>
          </cell>
          <cell r="AN58">
            <v>0</v>
          </cell>
          <cell r="AO58">
            <v>0</v>
          </cell>
          <cell r="AP58">
            <v>0</v>
          </cell>
          <cell r="AQ58">
            <v>0</v>
          </cell>
          <cell r="AR58">
            <v>0</v>
          </cell>
          <cell r="AS58">
            <v>0</v>
          </cell>
          <cell r="AT58">
            <v>0</v>
          </cell>
          <cell r="AW58" t="str">
            <v>mstag:proceedsFromIssuanceAndCashUsedToRepayShortTermBorrowings</v>
          </cell>
          <cell r="AX58">
            <v>6</v>
          </cell>
          <cell r="AY58" t="str">
            <v>ISO4217:USD</v>
          </cell>
          <cell r="AZ58" t="b">
            <v>0</v>
          </cell>
        </row>
        <row r="59">
          <cell r="B59" t="str">
            <v>Net repayments under pre-petition revolver</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-130</v>
          </cell>
          <cell r="U59">
            <v>1510</v>
          </cell>
          <cell r="V59">
            <v>-766</v>
          </cell>
          <cell r="W59">
            <v>0</v>
          </cell>
          <cell r="X59">
            <v>0</v>
          </cell>
          <cell r="Y59">
            <v>0</v>
          </cell>
          <cell r="Z59">
            <v>0</v>
          </cell>
          <cell r="AA59">
            <v>0</v>
          </cell>
          <cell r="AB59">
            <v>0</v>
          </cell>
          <cell r="AC59">
            <v>0</v>
          </cell>
          <cell r="AD59">
            <v>0</v>
          </cell>
          <cell r="AE59">
            <v>0</v>
          </cell>
          <cell r="AF59">
            <v>0</v>
          </cell>
          <cell r="AG59">
            <v>0</v>
          </cell>
          <cell r="AI59">
            <v>0</v>
          </cell>
          <cell r="AJ59">
            <v>0</v>
          </cell>
          <cell r="AK59">
            <v>0</v>
          </cell>
          <cell r="AL59">
            <v>0</v>
          </cell>
          <cell r="AM59">
            <v>0</v>
          </cell>
          <cell r="AN59">
            <v>0</v>
          </cell>
          <cell r="AO59">
            <v>0</v>
          </cell>
          <cell r="AP59">
            <v>0</v>
          </cell>
          <cell r="AQ59">
            <v>0</v>
          </cell>
          <cell r="AR59">
            <v>0</v>
          </cell>
          <cell r="AS59">
            <v>0</v>
          </cell>
          <cell r="AT59">
            <v>0</v>
          </cell>
          <cell r="AW59" t="str">
            <v>mstag:proceedsFromIssuanceAndCashUsedToRepayShortTermBorrowings</v>
          </cell>
          <cell r="AX59">
            <v>6</v>
          </cell>
          <cell r="AY59" t="str">
            <v>ISO4217:USD</v>
          </cell>
          <cell r="AZ59" t="b">
            <v>0</v>
          </cell>
        </row>
        <row r="60">
          <cell r="B60" t="str">
            <v>Net repayments on revolving credit facilities</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-298</v>
          </cell>
          <cell r="W60">
            <v>-382</v>
          </cell>
          <cell r="X60">
            <v>0</v>
          </cell>
          <cell r="Y60">
            <v>0</v>
          </cell>
          <cell r="Z60">
            <v>0</v>
          </cell>
          <cell r="AA60">
            <v>0</v>
          </cell>
          <cell r="AB60">
            <v>0</v>
          </cell>
          <cell r="AC60">
            <v>0</v>
          </cell>
          <cell r="AD60">
            <v>0</v>
          </cell>
          <cell r="AE60">
            <v>0</v>
          </cell>
          <cell r="AF60">
            <v>0</v>
          </cell>
          <cell r="AG60">
            <v>0</v>
          </cell>
          <cell r="AI60">
            <v>-4</v>
          </cell>
          <cell r="AJ60">
            <v>166</v>
          </cell>
          <cell r="AK60">
            <v>0</v>
          </cell>
          <cell r="AL60">
            <v>0</v>
          </cell>
          <cell r="AM60">
            <v>0</v>
          </cell>
          <cell r="AN60">
            <v>0</v>
          </cell>
          <cell r="AO60">
            <v>0</v>
          </cell>
          <cell r="AP60">
            <v>0</v>
          </cell>
          <cell r="AQ60">
            <v>0</v>
          </cell>
          <cell r="AR60">
            <v>0</v>
          </cell>
          <cell r="AS60">
            <v>0</v>
          </cell>
          <cell r="AT60">
            <v>0</v>
          </cell>
          <cell r="AW60" t="str">
            <v>mstag:proceedsFromIssuanceAndCashUsedToRepayShortTermBorrowings</v>
          </cell>
          <cell r="AX60">
            <v>6</v>
          </cell>
          <cell r="AY60" t="str">
            <v>ISO4217:USD</v>
          </cell>
          <cell r="AZ60" t="b">
            <v>0</v>
          </cell>
        </row>
        <row r="61">
          <cell r="B61" t="str">
            <v>Proceeds from short-term debt</v>
          </cell>
          <cell r="D61">
            <v>0</v>
          </cell>
          <cell r="E61">
            <v>0</v>
          </cell>
          <cell r="F61">
            <v>4</v>
          </cell>
          <cell r="G61">
            <v>16</v>
          </cell>
          <cell r="H61">
            <v>0</v>
          </cell>
          <cell r="I61">
            <v>0</v>
          </cell>
          <cell r="J61">
            <v>50</v>
          </cell>
          <cell r="K61">
            <v>0</v>
          </cell>
          <cell r="L61">
            <v>0</v>
          </cell>
          <cell r="M61">
            <v>0</v>
          </cell>
          <cell r="N61">
            <v>0</v>
          </cell>
          <cell r="O61">
            <v>0</v>
          </cell>
          <cell r="P61">
            <v>0</v>
          </cell>
          <cell r="Q61">
            <v>0</v>
          </cell>
          <cell r="R61">
            <v>0</v>
          </cell>
          <cell r="S61">
            <v>0</v>
          </cell>
          <cell r="T61">
            <v>80</v>
          </cell>
          <cell r="U61">
            <v>5</v>
          </cell>
          <cell r="V61">
            <v>42</v>
          </cell>
          <cell r="W61">
            <v>0</v>
          </cell>
          <cell r="X61">
            <v>0</v>
          </cell>
          <cell r="Y61">
            <v>0</v>
          </cell>
          <cell r="Z61">
            <v>0</v>
          </cell>
          <cell r="AA61">
            <v>0</v>
          </cell>
          <cell r="AB61">
            <v>1751.0140908289532</v>
          </cell>
          <cell r="AC61">
            <v>162.78775600075596</v>
          </cell>
          <cell r="AD61">
            <v>250.84475554210758</v>
          </cell>
          <cell r="AE61">
            <v>0</v>
          </cell>
          <cell r="AF61">
            <v>0</v>
          </cell>
          <cell r="AG61">
            <v>0</v>
          </cell>
          <cell r="AI61">
            <v>0</v>
          </cell>
          <cell r="AJ61">
            <v>0</v>
          </cell>
          <cell r="AK61">
            <v>0</v>
          </cell>
          <cell r="AL61">
            <v>0</v>
          </cell>
          <cell r="AM61">
            <v>0</v>
          </cell>
          <cell r="AN61">
            <v>0</v>
          </cell>
          <cell r="AO61">
            <v>0</v>
          </cell>
          <cell r="AP61">
            <v>0</v>
          </cell>
          <cell r="AQ61">
            <v>10</v>
          </cell>
          <cell r="AR61">
            <v>-10</v>
          </cell>
          <cell r="AS61">
            <v>0</v>
          </cell>
          <cell r="AT61">
            <v>0</v>
          </cell>
          <cell r="AW61" t="str">
            <v>mstag:proceedsFromIssuanceAndCashUsedToRepayShortTermBorrowings</v>
          </cell>
          <cell r="AX61">
            <v>6</v>
          </cell>
          <cell r="AY61" t="str">
            <v>ISO4217:USD</v>
          </cell>
          <cell r="AZ61" t="b">
            <v>0</v>
          </cell>
        </row>
        <row r="62">
          <cell r="B62" t="str">
            <v>Repayments of short-term debt</v>
          </cell>
          <cell r="D62">
            <v>0</v>
          </cell>
          <cell r="E62">
            <v>0</v>
          </cell>
          <cell r="F62">
            <v>0</v>
          </cell>
          <cell r="G62">
            <v>0</v>
          </cell>
          <cell r="H62">
            <v>83</v>
          </cell>
          <cell r="I62">
            <v>-43</v>
          </cell>
          <cell r="J62">
            <v>0</v>
          </cell>
          <cell r="K62">
            <v>-100</v>
          </cell>
          <cell r="L62">
            <v>0</v>
          </cell>
          <cell r="M62">
            <v>0</v>
          </cell>
          <cell r="N62">
            <v>0</v>
          </cell>
          <cell r="O62">
            <v>0</v>
          </cell>
          <cell r="P62">
            <v>0</v>
          </cell>
          <cell r="Q62">
            <v>0</v>
          </cell>
          <cell r="R62">
            <v>0</v>
          </cell>
          <cell r="S62">
            <v>0</v>
          </cell>
          <cell r="T62">
            <v>-16</v>
          </cell>
          <cell r="U62">
            <v>-7</v>
          </cell>
          <cell r="V62">
            <v>-6</v>
          </cell>
          <cell r="W62">
            <v>0</v>
          </cell>
          <cell r="X62">
            <v>0</v>
          </cell>
          <cell r="Y62">
            <v>0</v>
          </cell>
          <cell r="Z62">
            <v>-48</v>
          </cell>
          <cell r="AA62">
            <v>0</v>
          </cell>
          <cell r="AB62">
            <v>0</v>
          </cell>
          <cell r="AC62">
            <v>0</v>
          </cell>
          <cell r="AD62">
            <v>0</v>
          </cell>
          <cell r="AE62">
            <v>-74.778431448568881</v>
          </cell>
          <cell r="AF62">
            <v>-304.94236654636438</v>
          </cell>
          <cell r="AG62">
            <v>-306.87021113044307</v>
          </cell>
          <cell r="AI62">
            <v>0</v>
          </cell>
          <cell r="AJ62">
            <v>0</v>
          </cell>
          <cell r="AK62">
            <v>0</v>
          </cell>
          <cell r="AL62">
            <v>0</v>
          </cell>
          <cell r="AM62">
            <v>0</v>
          </cell>
          <cell r="AN62">
            <v>0</v>
          </cell>
          <cell r="AO62">
            <v>0</v>
          </cell>
          <cell r="AP62">
            <v>0</v>
          </cell>
          <cell r="AQ62">
            <v>-19</v>
          </cell>
          <cell r="AR62">
            <v>19</v>
          </cell>
          <cell r="AS62">
            <v>0</v>
          </cell>
          <cell r="AT62">
            <v>0</v>
          </cell>
          <cell r="AW62" t="str">
            <v>mstag:proceedsFromIssuanceAndCashUsedToRepayShortTermBorrowings</v>
          </cell>
          <cell r="AX62">
            <v>6</v>
          </cell>
          <cell r="AY62" t="str">
            <v>ISO4217:USD</v>
          </cell>
          <cell r="AZ62" t="b">
            <v>0</v>
          </cell>
        </row>
        <row r="63">
          <cell r="B63" t="str">
            <v>Issuance of long-term debt</v>
          </cell>
          <cell r="D63">
            <v>150</v>
          </cell>
          <cell r="E63">
            <v>200</v>
          </cell>
          <cell r="F63">
            <v>0</v>
          </cell>
          <cell r="G63">
            <v>0</v>
          </cell>
          <cell r="H63">
            <v>250</v>
          </cell>
          <cell r="I63">
            <v>499</v>
          </cell>
          <cell r="J63">
            <v>0</v>
          </cell>
          <cell r="K63">
            <v>0</v>
          </cell>
          <cell r="L63">
            <v>3400</v>
          </cell>
          <cell r="M63">
            <v>0</v>
          </cell>
          <cell r="N63">
            <v>385</v>
          </cell>
          <cell r="O63">
            <v>591</v>
          </cell>
          <cell r="P63">
            <v>318</v>
          </cell>
          <cell r="Q63">
            <v>4</v>
          </cell>
          <cell r="R63">
            <v>100</v>
          </cell>
          <cell r="S63">
            <v>4357</v>
          </cell>
          <cell r="T63">
            <v>21761</v>
          </cell>
          <cell r="U63">
            <v>1</v>
          </cell>
          <cell r="V63">
            <v>0</v>
          </cell>
          <cell r="W63">
            <v>2455</v>
          </cell>
          <cell r="X63">
            <v>1000</v>
          </cell>
          <cell r="Y63">
            <v>3000</v>
          </cell>
          <cell r="Z63">
            <v>0</v>
          </cell>
          <cell r="AA63">
            <v>4086.1763364073431</v>
          </cell>
          <cell r="AB63">
            <v>0</v>
          </cell>
          <cell r="AC63">
            <v>651.15102400302476</v>
          </cell>
          <cell r="AD63">
            <v>1003.3790221684303</v>
          </cell>
          <cell r="AE63">
            <v>0</v>
          </cell>
          <cell r="AF63">
            <v>0</v>
          </cell>
          <cell r="AG63">
            <v>0</v>
          </cell>
          <cell r="AI63">
            <v>0</v>
          </cell>
          <cell r="AJ63">
            <v>3242</v>
          </cell>
          <cell r="AK63">
            <v>0</v>
          </cell>
          <cell r="AL63">
            <v>0</v>
          </cell>
          <cell r="AM63">
            <v>0</v>
          </cell>
          <cell r="AN63">
            <v>0</v>
          </cell>
          <cell r="AO63">
            <v>0</v>
          </cell>
          <cell r="AP63">
            <v>1000</v>
          </cell>
          <cell r="AQ63">
            <v>0</v>
          </cell>
          <cell r="AR63">
            <v>3000</v>
          </cell>
          <cell r="AS63">
            <v>0</v>
          </cell>
          <cell r="AT63">
            <v>0</v>
          </cell>
          <cell r="AW63" t="str">
            <v>mstag:proceedsFromIssuanceAndCashUsedToRepayLongTermDebt</v>
          </cell>
          <cell r="AX63">
            <v>6</v>
          </cell>
          <cell r="AY63" t="str">
            <v>ISO4217:USD</v>
          </cell>
          <cell r="AZ63" t="b">
            <v>0</v>
          </cell>
        </row>
        <row r="64">
          <cell r="B64" t="str">
            <v>Repayments of long-term debt</v>
          </cell>
          <cell r="D64">
            <v>-57</v>
          </cell>
          <cell r="E64">
            <v>-253</v>
          </cell>
          <cell r="F64">
            <v>-29</v>
          </cell>
          <cell r="G64">
            <v>-8</v>
          </cell>
          <cell r="H64">
            <v>-10</v>
          </cell>
          <cell r="I64">
            <v>-150</v>
          </cell>
          <cell r="J64">
            <v>-112</v>
          </cell>
          <cell r="K64">
            <v>-715</v>
          </cell>
          <cell r="L64">
            <v>-4122</v>
          </cell>
          <cell r="M64">
            <v>-2417</v>
          </cell>
          <cell r="N64">
            <v>-394</v>
          </cell>
          <cell r="O64">
            <v>-543</v>
          </cell>
          <cell r="P64">
            <v>-103</v>
          </cell>
          <cell r="Q64">
            <v>-319</v>
          </cell>
          <cell r="R64">
            <v>-1512</v>
          </cell>
          <cell r="S64">
            <v>-2677</v>
          </cell>
          <cell r="T64">
            <v>-9103</v>
          </cell>
          <cell r="U64">
            <v>-384</v>
          </cell>
          <cell r="V64">
            <v>-68</v>
          </cell>
          <cell r="W64">
            <v>0</v>
          </cell>
          <cell r="X64">
            <v>-3063</v>
          </cell>
          <cell r="Y64">
            <v>-2679</v>
          </cell>
          <cell r="Z64">
            <v>-52</v>
          </cell>
          <cell r="AA64">
            <v>0</v>
          </cell>
          <cell r="AB64">
            <v>-1147.1199730915314</v>
          </cell>
          <cell r="AC64">
            <v>0</v>
          </cell>
          <cell r="AD64">
            <v>0</v>
          </cell>
          <cell r="AE64">
            <v>-299.11372579427552</v>
          </cell>
          <cell r="AF64">
            <v>-1219.7694661854575</v>
          </cell>
          <cell r="AG64">
            <v>-1227.4808445217732</v>
          </cell>
          <cell r="AI64">
            <v>-9</v>
          </cell>
          <cell r="AJ64">
            <v>0</v>
          </cell>
          <cell r="AK64">
            <v>0</v>
          </cell>
          <cell r="AL64">
            <v>0</v>
          </cell>
          <cell r="AM64">
            <v>0</v>
          </cell>
          <cell r="AN64">
            <v>-260</v>
          </cell>
          <cell r="AO64">
            <v>0</v>
          </cell>
          <cell r="AP64">
            <v>-2803</v>
          </cell>
          <cell r="AQ64">
            <v>-2</v>
          </cell>
          <cell r="AR64">
            <v>-2677</v>
          </cell>
          <cell r="AS64">
            <v>0</v>
          </cell>
          <cell r="AT64">
            <v>0</v>
          </cell>
          <cell r="AW64" t="str">
            <v>mstag:proceedsFromIssuanceAndCashUsedToRepayLongTermDebt</v>
          </cell>
          <cell r="AX64">
            <v>6</v>
          </cell>
          <cell r="AY64" t="str">
            <v>ISO4217:USD</v>
          </cell>
          <cell r="AZ64" t="b">
            <v>0</v>
          </cell>
        </row>
        <row r="65">
          <cell r="B65" t="str">
            <v>Payments of debt issuance costs</v>
          </cell>
          <cell r="D65">
            <v>0</v>
          </cell>
          <cell r="E65">
            <v>0</v>
          </cell>
          <cell r="F65">
            <v>0</v>
          </cell>
          <cell r="G65">
            <v>0</v>
          </cell>
          <cell r="H65">
            <v>0</v>
          </cell>
          <cell r="I65">
            <v>0</v>
          </cell>
          <cell r="J65">
            <v>0</v>
          </cell>
          <cell r="K65">
            <v>-130</v>
          </cell>
          <cell r="L65">
            <v>-107</v>
          </cell>
          <cell r="M65">
            <v>-20</v>
          </cell>
          <cell r="N65">
            <v>0</v>
          </cell>
          <cell r="O65">
            <v>0</v>
          </cell>
          <cell r="P65">
            <v>0</v>
          </cell>
          <cell r="Q65">
            <v>0</v>
          </cell>
          <cell r="R65">
            <v>0</v>
          </cell>
          <cell r="S65">
            <v>0</v>
          </cell>
          <cell r="T65">
            <v>-264</v>
          </cell>
          <cell r="U65">
            <v>-42</v>
          </cell>
          <cell r="V65">
            <v>-93</v>
          </cell>
          <cell r="W65">
            <v>-255</v>
          </cell>
          <cell r="X65">
            <v>-35</v>
          </cell>
          <cell r="Y65">
            <v>-53</v>
          </cell>
          <cell r="Z65">
            <v>0</v>
          </cell>
          <cell r="AA65">
            <v>0</v>
          </cell>
          <cell r="AB65">
            <v>0</v>
          </cell>
          <cell r="AC65">
            <v>0</v>
          </cell>
          <cell r="AD65">
            <v>0</v>
          </cell>
          <cell r="AE65">
            <v>0</v>
          </cell>
          <cell r="AF65">
            <v>0</v>
          </cell>
          <cell r="AG65">
            <v>0</v>
          </cell>
          <cell r="AI65">
            <v>-13</v>
          </cell>
          <cell r="AJ65">
            <v>-242</v>
          </cell>
          <cell r="AK65">
            <v>0</v>
          </cell>
          <cell r="AL65">
            <v>0</v>
          </cell>
          <cell r="AM65">
            <v>0</v>
          </cell>
          <cell r="AN65">
            <v>-15</v>
          </cell>
          <cell r="AO65">
            <v>0</v>
          </cell>
          <cell r="AP65">
            <v>-20</v>
          </cell>
          <cell r="AQ65">
            <v>0</v>
          </cell>
          <cell r="AR65">
            <v>-50</v>
          </cell>
          <cell r="AS65">
            <v>-3</v>
          </cell>
          <cell r="AT65">
            <v>0</v>
          </cell>
          <cell r="AW65" t="str">
            <v>mstag:otherCashFlowsFromUsedInFinancingActivities</v>
          </cell>
          <cell r="AX65">
            <v>6</v>
          </cell>
          <cell r="AY65" t="str">
            <v>ISO4217:USD</v>
          </cell>
          <cell r="AZ65" t="b">
            <v>0</v>
          </cell>
        </row>
        <row r="66">
          <cell r="B66" t="str">
            <v>Issuance of common stock</v>
          </cell>
          <cell r="D66">
            <v>0</v>
          </cell>
          <cell r="E66">
            <v>0</v>
          </cell>
          <cell r="F66">
            <v>0</v>
          </cell>
          <cell r="G66">
            <v>0</v>
          </cell>
          <cell r="H66">
            <v>0</v>
          </cell>
          <cell r="I66">
            <v>0</v>
          </cell>
          <cell r="J66">
            <v>0</v>
          </cell>
          <cell r="K66">
            <v>6500</v>
          </cell>
          <cell r="L66">
            <v>736</v>
          </cell>
          <cell r="M66">
            <v>0</v>
          </cell>
          <cell r="N66">
            <v>0</v>
          </cell>
          <cell r="O66">
            <v>550</v>
          </cell>
          <cell r="P66">
            <v>171</v>
          </cell>
          <cell r="Q66">
            <v>0</v>
          </cell>
          <cell r="R66">
            <v>0</v>
          </cell>
          <cell r="S66">
            <v>0</v>
          </cell>
          <cell r="T66">
            <v>0</v>
          </cell>
          <cell r="U66">
            <v>0</v>
          </cell>
          <cell r="V66">
            <v>0</v>
          </cell>
          <cell r="W66">
            <v>2800</v>
          </cell>
          <cell r="X66">
            <v>0</v>
          </cell>
          <cell r="Y66">
            <v>0</v>
          </cell>
          <cell r="Z66">
            <v>337.5</v>
          </cell>
          <cell r="AA66">
            <v>0</v>
          </cell>
          <cell r="AB66">
            <v>0</v>
          </cell>
          <cell r="AC66">
            <v>0</v>
          </cell>
          <cell r="AD66">
            <v>0</v>
          </cell>
          <cell r="AE66">
            <v>0</v>
          </cell>
          <cell r="AF66">
            <v>0</v>
          </cell>
          <cell r="AG66">
            <v>0</v>
          </cell>
          <cell r="AI66">
            <v>0</v>
          </cell>
          <cell r="AJ66">
            <v>2800</v>
          </cell>
          <cell r="AK66">
            <v>0</v>
          </cell>
          <cell r="AL66">
            <v>0</v>
          </cell>
          <cell r="AM66">
            <v>0</v>
          </cell>
          <cell r="AN66">
            <v>0</v>
          </cell>
          <cell r="AO66">
            <v>0</v>
          </cell>
          <cell r="AP66">
            <v>0</v>
          </cell>
          <cell r="AQ66">
            <v>0</v>
          </cell>
          <cell r="AR66">
            <v>0</v>
          </cell>
          <cell r="AS66">
            <v>0</v>
          </cell>
          <cell r="AT66">
            <v>0</v>
          </cell>
          <cell r="AW66" t="str">
            <v>mstag:proceedsFromIssuanceOfCommonStock</v>
          </cell>
          <cell r="AX66">
            <v>6</v>
          </cell>
          <cell r="AY66" t="str">
            <v>ISO4217:USD</v>
          </cell>
          <cell r="AZ66" t="b">
            <v>0</v>
          </cell>
        </row>
        <row r="67">
          <cell r="B67" t="str">
            <v>Changes in restricted cash</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-1371</v>
          </cell>
          <cell r="U67">
            <v>0</v>
          </cell>
          <cell r="V67">
            <v>0</v>
          </cell>
          <cell r="W67">
            <v>0</v>
          </cell>
          <cell r="X67">
            <v>0</v>
          </cell>
          <cell r="Y67">
            <v>0</v>
          </cell>
          <cell r="Z67">
            <v>5</v>
          </cell>
          <cell r="AA67">
            <v>0</v>
          </cell>
          <cell r="AB67">
            <v>0</v>
          </cell>
          <cell r="AC67">
            <v>0</v>
          </cell>
          <cell r="AD67">
            <v>0</v>
          </cell>
          <cell r="AE67">
            <v>0</v>
          </cell>
          <cell r="AF67">
            <v>0</v>
          </cell>
          <cell r="AG67">
            <v>0</v>
          </cell>
          <cell r="AI67">
            <v>0</v>
          </cell>
          <cell r="AJ67">
            <v>0</v>
          </cell>
          <cell r="AK67">
            <v>0</v>
          </cell>
          <cell r="AL67">
            <v>0</v>
          </cell>
          <cell r="AM67">
            <v>0</v>
          </cell>
          <cell r="AN67">
            <v>0</v>
          </cell>
          <cell r="AO67">
            <v>0</v>
          </cell>
          <cell r="AP67">
            <v>0</v>
          </cell>
          <cell r="AQ67">
            <v>0</v>
          </cell>
          <cell r="AR67">
            <v>0</v>
          </cell>
          <cell r="AS67">
            <v>0</v>
          </cell>
          <cell r="AT67">
            <v>0</v>
          </cell>
          <cell r="AW67" t="str">
            <v>mstag:otherCashFlowsFromUsedInFinancingActivities</v>
          </cell>
          <cell r="AX67">
            <v>6</v>
          </cell>
          <cell r="AY67" t="str">
            <v>ISO4217:USD</v>
          </cell>
          <cell r="AZ67" t="b">
            <v>0</v>
          </cell>
        </row>
        <row r="68">
          <cell r="B68" t="str">
            <v>Dividends paid</v>
          </cell>
          <cell r="D68">
            <v>-140</v>
          </cell>
          <cell r="E68">
            <v>-144</v>
          </cell>
          <cell r="F68">
            <v>-108</v>
          </cell>
          <cell r="G68">
            <v>-72</v>
          </cell>
          <cell r="H68">
            <v>-72</v>
          </cell>
          <cell r="I68">
            <v>-72</v>
          </cell>
          <cell r="J68">
            <v>-72</v>
          </cell>
          <cell r="K68">
            <v>-70</v>
          </cell>
          <cell r="L68">
            <v>-97</v>
          </cell>
          <cell r="M68">
            <v>-106</v>
          </cell>
          <cell r="N68">
            <v>-106</v>
          </cell>
          <cell r="O68">
            <v>-109</v>
          </cell>
          <cell r="P68">
            <v>-116</v>
          </cell>
          <cell r="Q68">
            <v>-127</v>
          </cell>
          <cell r="R68">
            <v>-222</v>
          </cell>
          <cell r="S68">
            <v>-223</v>
          </cell>
          <cell r="T68">
            <v>-522</v>
          </cell>
          <cell r="U68">
            <v>0</v>
          </cell>
          <cell r="V68">
            <v>0</v>
          </cell>
          <cell r="W68">
            <v>0</v>
          </cell>
          <cell r="X68">
            <v>-2893</v>
          </cell>
          <cell r="Y68">
            <v>-2415</v>
          </cell>
          <cell r="Z68">
            <v>-1011.7177910550001</v>
          </cell>
          <cell r="AA68">
            <v>-989.96846183313778</v>
          </cell>
          <cell r="AB68">
            <v>-1367.6912752996241</v>
          </cell>
          <cell r="AC68">
            <v>-1394.8302012085271</v>
          </cell>
          <cell r="AD68">
            <v>-1331.9290114918508</v>
          </cell>
          <cell r="AE68">
            <v>-1245.0880654994126</v>
          </cell>
          <cell r="AF68">
            <v>-789.46847332422988</v>
          </cell>
          <cell r="AG68">
            <v>-727.71759503981741</v>
          </cell>
          <cell r="AI68">
            <v>0</v>
          </cell>
          <cell r="AJ68">
            <v>0</v>
          </cell>
          <cell r="AK68">
            <v>0</v>
          </cell>
          <cell r="AL68">
            <v>0</v>
          </cell>
          <cell r="AM68">
            <v>0</v>
          </cell>
          <cell r="AN68">
            <v>-57</v>
          </cell>
          <cell r="AO68">
            <v>-114</v>
          </cell>
          <cell r="AP68">
            <v>-2722</v>
          </cell>
          <cell r="AQ68">
            <v>-143</v>
          </cell>
          <cell r="AR68">
            <v>-230</v>
          </cell>
          <cell r="AS68">
            <v>-230</v>
          </cell>
          <cell r="AT68">
            <v>-1812</v>
          </cell>
          <cell r="AW68" t="str">
            <v>mstag:cashDividendsPaid</v>
          </cell>
          <cell r="AX68">
            <v>6</v>
          </cell>
          <cell r="AY68" t="str">
            <v>ISO4217:USD</v>
          </cell>
          <cell r="AZ68" t="b">
            <v>1</v>
          </cell>
        </row>
        <row r="69">
          <cell r="B69" t="str">
            <v>Repurchase of common stock</v>
          </cell>
          <cell r="D69">
            <v>0</v>
          </cell>
          <cell r="E69">
            <v>0</v>
          </cell>
          <cell r="F69">
            <v>0</v>
          </cell>
          <cell r="G69">
            <v>0</v>
          </cell>
          <cell r="H69">
            <v>0</v>
          </cell>
          <cell r="I69">
            <v>0</v>
          </cell>
          <cell r="J69">
            <v>-26</v>
          </cell>
          <cell r="K69">
            <v>-59</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-2400</v>
          </cell>
          <cell r="AA69">
            <v>-4324.0687499999995</v>
          </cell>
          <cell r="AB69">
            <v>-2659.5384114517865</v>
          </cell>
          <cell r="AC69">
            <v>-1720.0184787897817</v>
          </cell>
          <cell r="AD69">
            <v>-1668.6862789727545</v>
          </cell>
          <cell r="AE69">
            <v>-1557.0502056655876</v>
          </cell>
          <cell r="AF69">
            <v>-991.18325849349674</v>
          </cell>
          <cell r="AG69">
            <v>-951.59274166840623</v>
          </cell>
          <cell r="AI69">
            <v>0</v>
          </cell>
          <cell r="AJ69">
            <v>0</v>
          </cell>
          <cell r="AK69">
            <v>0</v>
          </cell>
          <cell r="AL69">
            <v>0</v>
          </cell>
          <cell r="AM69">
            <v>0</v>
          </cell>
          <cell r="AN69">
            <v>0</v>
          </cell>
          <cell r="AO69">
            <v>0</v>
          </cell>
          <cell r="AP69">
            <v>0</v>
          </cell>
          <cell r="AQ69">
            <v>0</v>
          </cell>
          <cell r="AR69">
            <v>0</v>
          </cell>
          <cell r="AS69">
            <v>0</v>
          </cell>
          <cell r="AT69">
            <v>0</v>
          </cell>
          <cell r="AW69" t="str">
            <v>mstag:fundsUsedToRepurchaseCommonStock</v>
          </cell>
          <cell r="AX69">
            <v>6</v>
          </cell>
          <cell r="AY69" t="str">
            <v>ISO4217:USD</v>
          </cell>
          <cell r="AZ69" t="b">
            <v>1</v>
          </cell>
        </row>
        <row r="70">
          <cell r="B70" t="str">
            <v>Proceeds from stock option exercises</v>
          </cell>
          <cell r="D70">
            <v>0</v>
          </cell>
          <cell r="E70">
            <v>0</v>
          </cell>
          <cell r="F70">
            <v>0</v>
          </cell>
          <cell r="G70">
            <v>0</v>
          </cell>
          <cell r="H70">
            <v>0</v>
          </cell>
          <cell r="I70">
            <v>0</v>
          </cell>
          <cell r="J70">
            <v>0</v>
          </cell>
          <cell r="K70">
            <v>0</v>
          </cell>
          <cell r="L70">
            <v>0</v>
          </cell>
          <cell r="M70">
            <v>0</v>
          </cell>
          <cell r="N70">
            <v>0</v>
          </cell>
          <cell r="O70">
            <v>0</v>
          </cell>
          <cell r="P70">
            <v>0</v>
          </cell>
          <cell r="Q70">
            <v>25</v>
          </cell>
          <cell r="R70">
            <v>48</v>
          </cell>
          <cell r="S70">
            <v>27</v>
          </cell>
          <cell r="T70">
            <v>0</v>
          </cell>
          <cell r="U70">
            <v>0</v>
          </cell>
          <cell r="V70">
            <v>0</v>
          </cell>
          <cell r="W70">
            <v>0</v>
          </cell>
          <cell r="X70">
            <v>37</v>
          </cell>
          <cell r="Y70">
            <v>1</v>
          </cell>
          <cell r="AI70">
            <v>0</v>
          </cell>
          <cell r="AJ70">
            <v>0</v>
          </cell>
          <cell r="AK70">
            <v>0</v>
          </cell>
          <cell r="AL70">
            <v>0</v>
          </cell>
          <cell r="AM70">
            <v>37</v>
          </cell>
          <cell r="AN70">
            <v>0</v>
          </cell>
          <cell r="AO70">
            <v>0</v>
          </cell>
          <cell r="AP70">
            <v>0</v>
          </cell>
          <cell r="AQ70">
            <v>1</v>
          </cell>
          <cell r="AR70">
            <v>0</v>
          </cell>
          <cell r="AS70">
            <v>0</v>
          </cell>
          <cell r="AT70">
            <v>0</v>
          </cell>
          <cell r="AW70" t="str">
            <v>mstag:proceedsFromExerciseOfStockOptions</v>
          </cell>
          <cell r="AX70">
            <v>6</v>
          </cell>
          <cell r="AY70" t="str">
            <v>ISO4217:USD</v>
          </cell>
          <cell r="AZ70" t="b">
            <v>0</v>
          </cell>
        </row>
        <row r="71">
          <cell r="B71" t="str">
            <v>Minority owners (distributions) contributions</v>
          </cell>
          <cell r="D71">
            <v>0</v>
          </cell>
          <cell r="E71">
            <v>0</v>
          </cell>
          <cell r="F71">
            <v>116</v>
          </cell>
          <cell r="G71">
            <v>136</v>
          </cell>
          <cell r="H71">
            <v>176</v>
          </cell>
          <cell r="I71">
            <v>146</v>
          </cell>
          <cell r="J71">
            <v>-16</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I71">
            <v>0</v>
          </cell>
          <cell r="AJ71">
            <v>0</v>
          </cell>
          <cell r="AK71">
            <v>0</v>
          </cell>
          <cell r="AL71">
            <v>0</v>
          </cell>
          <cell r="AM71">
            <v>0</v>
          </cell>
          <cell r="AN71">
            <v>0</v>
          </cell>
          <cell r="AO71">
            <v>0</v>
          </cell>
          <cell r="AP71">
            <v>0</v>
          </cell>
          <cell r="AQ71">
            <v>0</v>
          </cell>
          <cell r="AR71">
            <v>0</v>
          </cell>
          <cell r="AS71">
            <v>0</v>
          </cell>
          <cell r="AT71">
            <v>0</v>
          </cell>
          <cell r="AW71" t="str">
            <v>mstag:netIncreaseInMinorityInterestsInShareholdersEquity</v>
          </cell>
          <cell r="AX71">
            <v>6</v>
          </cell>
          <cell r="AY71" t="str">
            <v>ISO4217:USD</v>
          </cell>
          <cell r="AZ71" t="b">
            <v>0</v>
          </cell>
        </row>
        <row r="72">
          <cell r="B72" t="str">
            <v>Other, net</v>
          </cell>
          <cell r="D72">
            <v>0</v>
          </cell>
          <cell r="E72">
            <v>0</v>
          </cell>
          <cell r="F72">
            <v>0</v>
          </cell>
          <cell r="G72">
            <v>0</v>
          </cell>
          <cell r="H72">
            <v>0</v>
          </cell>
          <cell r="I72">
            <v>0</v>
          </cell>
          <cell r="J72">
            <v>0</v>
          </cell>
          <cell r="K72">
            <v>0</v>
          </cell>
          <cell r="L72">
            <v>8</v>
          </cell>
          <cell r="N72">
            <v>-7</v>
          </cell>
          <cell r="O72">
            <v>-18</v>
          </cell>
          <cell r="P72">
            <v>-4</v>
          </cell>
          <cell r="Q72">
            <v>1</v>
          </cell>
          <cell r="R72">
            <v>6</v>
          </cell>
          <cell r="S72">
            <v>7</v>
          </cell>
          <cell r="T72">
            <v>-19</v>
          </cell>
          <cell r="U72">
            <v>0</v>
          </cell>
          <cell r="V72">
            <v>-21</v>
          </cell>
          <cell r="W72">
            <v>-2</v>
          </cell>
          <cell r="X72">
            <v>-10</v>
          </cell>
          <cell r="Y72">
            <v>1</v>
          </cell>
          <cell r="Z72">
            <v>0</v>
          </cell>
          <cell r="AA72">
            <v>0</v>
          </cell>
          <cell r="AB72">
            <v>0</v>
          </cell>
          <cell r="AC72">
            <v>0</v>
          </cell>
          <cell r="AD72">
            <v>0</v>
          </cell>
          <cell r="AE72">
            <v>0</v>
          </cell>
          <cell r="AF72">
            <v>0</v>
          </cell>
          <cell r="AG72">
            <v>0</v>
          </cell>
          <cell r="AI72">
            <v>-6</v>
          </cell>
          <cell r="AJ72">
            <v>9</v>
          </cell>
          <cell r="AK72">
            <v>0</v>
          </cell>
          <cell r="AL72">
            <v>0</v>
          </cell>
          <cell r="AM72">
            <v>-9</v>
          </cell>
          <cell r="AN72">
            <v>5</v>
          </cell>
          <cell r="AO72">
            <v>-4</v>
          </cell>
          <cell r="AP72">
            <v>7</v>
          </cell>
          <cell r="AQ72">
            <v>5</v>
          </cell>
          <cell r="AR72">
            <v>-2</v>
          </cell>
          <cell r="AS72">
            <v>-6</v>
          </cell>
          <cell r="AT72">
            <v>4</v>
          </cell>
          <cell r="AW72" t="str">
            <v>mstag:otherCashFlowsFromUsedInFinancingActivities</v>
          </cell>
          <cell r="AX72">
            <v>6</v>
          </cell>
          <cell r="AY72" t="str">
            <v>ISO4217:USD</v>
          </cell>
          <cell r="AZ72" t="b">
            <v>0</v>
          </cell>
        </row>
        <row r="73">
          <cell r="B73" t="str">
            <v>Net cash used in financing activities</v>
          </cell>
          <cell r="D73">
            <v>-47</v>
          </cell>
          <cell r="E73">
            <v>-197</v>
          </cell>
          <cell r="F73">
            <v>-17</v>
          </cell>
          <cell r="G73">
            <v>72</v>
          </cell>
          <cell r="H73">
            <v>427</v>
          </cell>
          <cell r="I73">
            <v>380</v>
          </cell>
          <cell r="J73">
            <v>-176</v>
          </cell>
          <cell r="K73">
            <v>5426</v>
          </cell>
          <cell r="L73">
            <v>-182</v>
          </cell>
          <cell r="M73">
            <v>-2543</v>
          </cell>
          <cell r="N73">
            <v>-122</v>
          </cell>
          <cell r="O73">
            <v>471</v>
          </cell>
          <cell r="P73">
            <v>266</v>
          </cell>
          <cell r="Q73">
            <v>-416</v>
          </cell>
          <cell r="R73">
            <v>-1580</v>
          </cell>
          <cell r="S73">
            <v>1491</v>
          </cell>
          <cell r="T73">
            <v>10416</v>
          </cell>
          <cell r="U73">
            <v>1083</v>
          </cell>
          <cell r="V73">
            <v>1101</v>
          </cell>
          <cell r="W73">
            <v>2121</v>
          </cell>
          <cell r="X73">
            <v>-4964</v>
          </cell>
          <cell r="Y73">
            <v>-2145</v>
          </cell>
          <cell r="Z73">
            <v>-3169.2177910549999</v>
          </cell>
          <cell r="AA73">
            <v>-1227.8608754257939</v>
          </cell>
          <cell r="AB73">
            <v>-3423.3355690139888</v>
          </cell>
          <cell r="AC73">
            <v>-2300.9098999945281</v>
          </cell>
          <cell r="AD73">
            <v>-1746.3915127540674</v>
          </cell>
          <cell r="AE73">
            <v>-3176.0304284078447</v>
          </cell>
          <cell r="AF73">
            <v>-3305.3635645495488</v>
          </cell>
          <cell r="AG73">
            <v>-3213.66139236044</v>
          </cell>
          <cell r="AI73">
            <v>490</v>
          </cell>
          <cell r="AJ73">
            <v>2958</v>
          </cell>
          <cell r="AK73">
            <v>0</v>
          </cell>
          <cell r="AL73">
            <v>0</v>
          </cell>
          <cell r="AM73">
            <v>28</v>
          </cell>
          <cell r="AN73">
            <v>-327</v>
          </cell>
          <cell r="AO73">
            <v>-118</v>
          </cell>
          <cell r="AP73">
            <v>-4538</v>
          </cell>
          <cell r="AQ73">
            <v>-148</v>
          </cell>
          <cell r="AR73">
            <v>50</v>
          </cell>
          <cell r="AS73">
            <v>-239</v>
          </cell>
          <cell r="AT73">
            <v>-1808</v>
          </cell>
        </row>
        <row r="75">
          <cell r="B75" t="str">
            <v>Effect of exchange rate changes on cash</v>
          </cell>
          <cell r="D75">
            <v>0</v>
          </cell>
          <cell r="E75">
            <v>0</v>
          </cell>
          <cell r="F75">
            <v>0</v>
          </cell>
          <cell r="G75">
            <v>0</v>
          </cell>
          <cell r="H75">
            <v>0</v>
          </cell>
          <cell r="I75">
            <v>0</v>
          </cell>
          <cell r="J75">
            <v>0</v>
          </cell>
          <cell r="K75">
            <v>2</v>
          </cell>
          <cell r="L75">
            <v>1</v>
          </cell>
          <cell r="M75">
            <v>-3</v>
          </cell>
          <cell r="N75">
            <v>0</v>
          </cell>
          <cell r="O75">
            <v>3</v>
          </cell>
          <cell r="P75">
            <v>5</v>
          </cell>
          <cell r="Q75">
            <v>4</v>
          </cell>
          <cell r="R75">
            <v>-14</v>
          </cell>
          <cell r="S75">
            <v>8</v>
          </cell>
          <cell r="T75">
            <v>33</v>
          </cell>
          <cell r="U75">
            <v>9</v>
          </cell>
          <cell r="V75">
            <v>-3</v>
          </cell>
          <cell r="W75">
            <v>47</v>
          </cell>
          <cell r="X75">
            <v>-41</v>
          </cell>
          <cell r="Y75">
            <v>38</v>
          </cell>
          <cell r="Z75">
            <v>0</v>
          </cell>
          <cell r="AA75">
            <v>0</v>
          </cell>
          <cell r="AB75">
            <v>0</v>
          </cell>
          <cell r="AC75">
            <v>0</v>
          </cell>
          <cell r="AD75">
            <v>0</v>
          </cell>
          <cell r="AE75">
            <v>0</v>
          </cell>
          <cell r="AF75">
            <v>0</v>
          </cell>
          <cell r="AG75">
            <v>0</v>
          </cell>
          <cell r="AI75">
            <v>-11</v>
          </cell>
          <cell r="AJ75">
            <v>-88</v>
          </cell>
          <cell r="AK75">
            <v>0</v>
          </cell>
          <cell r="AL75">
            <v>0</v>
          </cell>
          <cell r="AM75">
            <v>128</v>
          </cell>
          <cell r="AN75">
            <v>40</v>
          </cell>
          <cell r="AO75">
            <v>-171</v>
          </cell>
          <cell r="AP75">
            <v>-38</v>
          </cell>
          <cell r="AQ75">
            <v>17</v>
          </cell>
          <cell r="AR75">
            <v>-34</v>
          </cell>
          <cell r="AS75">
            <v>35</v>
          </cell>
          <cell r="AT75">
            <v>20</v>
          </cell>
          <cell r="AW75" t="str">
            <v>mstag:effectOfForeignExchangeRatesOnCash</v>
          </cell>
          <cell r="AX75">
            <v>6</v>
          </cell>
          <cell r="AY75" t="str">
            <v>ISO4217:USD</v>
          </cell>
          <cell r="AZ75" t="b">
            <v>0</v>
          </cell>
        </row>
        <row r="76">
          <cell r="B76" t="str">
            <v>Restatement of cash</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384</v>
          </cell>
          <cell r="U76">
            <v>0</v>
          </cell>
          <cell r="V76">
            <v>0</v>
          </cell>
          <cell r="W76">
            <v>0</v>
          </cell>
          <cell r="X76">
            <v>9</v>
          </cell>
          <cell r="Y76">
            <v>0</v>
          </cell>
          <cell r="Z76">
            <v>0</v>
          </cell>
          <cell r="AA76">
            <v>0</v>
          </cell>
          <cell r="AB76">
            <v>0</v>
          </cell>
          <cell r="AC76">
            <v>0</v>
          </cell>
          <cell r="AD76">
            <v>0</v>
          </cell>
          <cell r="AE76">
            <v>0</v>
          </cell>
          <cell r="AF76">
            <v>0</v>
          </cell>
          <cell r="AG76">
            <v>0</v>
          </cell>
          <cell r="AW76" t="str">
            <v>mstag:changeIncashFlowDueToRestatements</v>
          </cell>
          <cell r="AX76">
            <v>6</v>
          </cell>
          <cell r="AY76" t="str">
            <v>ISO4217:USD</v>
          </cell>
          <cell r="AZ76" t="b">
            <v>0</v>
          </cell>
        </row>
        <row r="78">
          <cell r="B78" t="str">
            <v>Increase (decrease) in cash and cash equivalents</v>
          </cell>
          <cell r="D78">
            <v>79</v>
          </cell>
          <cell r="E78">
            <v>-98</v>
          </cell>
          <cell r="F78">
            <v>5</v>
          </cell>
          <cell r="G78">
            <v>-19</v>
          </cell>
          <cell r="H78">
            <v>-84</v>
          </cell>
          <cell r="I78">
            <v>58</v>
          </cell>
          <cell r="J78">
            <v>18</v>
          </cell>
          <cell r="K78">
            <v>147</v>
          </cell>
          <cell r="L78">
            <v>74</v>
          </cell>
          <cell r="M78">
            <v>-47</v>
          </cell>
          <cell r="N78">
            <v>-114</v>
          </cell>
          <cell r="O78">
            <v>140</v>
          </cell>
          <cell r="P78">
            <v>152</v>
          </cell>
          <cell r="Q78">
            <v>366</v>
          </cell>
          <cell r="R78">
            <v>-211</v>
          </cell>
          <cell r="S78">
            <v>-147</v>
          </cell>
          <cell r="T78">
            <v>114</v>
          </cell>
          <cell r="U78">
            <v>298</v>
          </cell>
          <cell r="V78">
            <v>-300</v>
          </cell>
          <cell r="W78">
            <v>3664</v>
          </cell>
          <cell r="X78">
            <v>-3157</v>
          </cell>
          <cell r="Y78">
            <v>1667</v>
          </cell>
          <cell r="Z78">
            <v>395.41354354108353</v>
          </cell>
          <cell r="AA78">
            <v>1460.573013770394</v>
          </cell>
          <cell r="AB78">
            <v>-801.62043064102727</v>
          </cell>
          <cell r="AC78">
            <v>1083.9891573511268</v>
          </cell>
          <cell r="AD78">
            <v>1521.2866921309169</v>
          </cell>
          <cell r="AE78">
            <v>-143.91583926164367</v>
          </cell>
          <cell r="AF78">
            <v>-1425.5942466832894</v>
          </cell>
          <cell r="AG78">
            <v>-1442.6473786131519</v>
          </cell>
          <cell r="AI78">
            <v>-21</v>
          </cell>
          <cell r="AJ78">
            <v>3216</v>
          </cell>
          <cell r="AK78">
            <v>467</v>
          </cell>
          <cell r="AL78">
            <v>874</v>
          </cell>
          <cell r="AM78">
            <v>161</v>
          </cell>
          <cell r="AN78">
            <v>304</v>
          </cell>
          <cell r="AO78">
            <v>922</v>
          </cell>
          <cell r="AP78">
            <v>-4544</v>
          </cell>
          <cell r="AQ78">
            <v>605</v>
          </cell>
          <cell r="AR78">
            <v>280</v>
          </cell>
          <cell r="AS78">
            <v>1577</v>
          </cell>
          <cell r="AT78">
            <v>-795</v>
          </cell>
        </row>
        <row r="79">
          <cell r="B79" t="str">
            <v>Cash and cash equivalents at beginning of period</v>
          </cell>
          <cell r="D79">
            <v>127</v>
          </cell>
          <cell r="E79">
            <v>206</v>
          </cell>
          <cell r="F79">
            <v>108</v>
          </cell>
          <cell r="G79">
            <v>113</v>
          </cell>
          <cell r="H79">
            <v>94</v>
          </cell>
          <cell r="I79">
            <v>10</v>
          </cell>
          <cell r="J79">
            <v>68</v>
          </cell>
          <cell r="K79">
            <v>86</v>
          </cell>
          <cell r="L79">
            <v>233</v>
          </cell>
          <cell r="M79">
            <v>307</v>
          </cell>
          <cell r="N79">
            <v>260</v>
          </cell>
          <cell r="O79">
            <v>146</v>
          </cell>
          <cell r="P79">
            <v>286</v>
          </cell>
          <cell r="Q79">
            <v>438</v>
          </cell>
          <cell r="R79">
            <v>804</v>
          </cell>
          <cell r="S79">
            <v>593</v>
          </cell>
          <cell r="T79">
            <v>446</v>
          </cell>
          <cell r="U79">
            <v>560</v>
          </cell>
          <cell r="V79">
            <v>858</v>
          </cell>
          <cell r="W79">
            <v>558</v>
          </cell>
          <cell r="X79">
            <v>4222</v>
          </cell>
          <cell r="Y79">
            <v>1065</v>
          </cell>
          <cell r="Z79">
            <v>2732</v>
          </cell>
          <cell r="AA79">
            <v>3127.4135435410835</v>
          </cell>
          <cell r="AB79">
            <v>4587.9865573114776</v>
          </cell>
          <cell r="AC79">
            <v>3786.3661266704503</v>
          </cell>
          <cell r="AD79">
            <v>4870.3552840215771</v>
          </cell>
          <cell r="AE79">
            <v>6391.641976152494</v>
          </cell>
          <cell r="AF79">
            <v>6247.7261368908503</v>
          </cell>
          <cell r="AG79">
            <v>4822.1318902075609</v>
          </cell>
          <cell r="AI79">
            <v>558</v>
          </cell>
          <cell r="AJ79">
            <v>537</v>
          </cell>
          <cell r="AK79">
            <v>3753</v>
          </cell>
          <cell r="AL79">
            <v>4220</v>
          </cell>
          <cell r="AM79">
            <v>4222</v>
          </cell>
          <cell r="AN79">
            <v>4383</v>
          </cell>
          <cell r="AO79">
            <v>4687</v>
          </cell>
          <cell r="AP79">
            <v>5609</v>
          </cell>
          <cell r="AQ79">
            <v>1065</v>
          </cell>
          <cell r="AR79">
            <v>1670</v>
          </cell>
          <cell r="AS79">
            <v>1950</v>
          </cell>
          <cell r="AT79">
            <v>3527</v>
          </cell>
        </row>
        <row r="80">
          <cell r="B80" t="str">
            <v>Cash and cash equivalents at end of period</v>
          </cell>
          <cell r="D80">
            <v>206</v>
          </cell>
          <cell r="E80">
            <v>108</v>
          </cell>
          <cell r="F80">
            <v>113</v>
          </cell>
          <cell r="G80">
            <v>94</v>
          </cell>
          <cell r="H80">
            <v>10</v>
          </cell>
          <cell r="I80">
            <v>68</v>
          </cell>
          <cell r="J80">
            <v>86</v>
          </cell>
          <cell r="K80">
            <v>233</v>
          </cell>
          <cell r="L80">
            <v>307</v>
          </cell>
          <cell r="M80">
            <v>260</v>
          </cell>
          <cell r="N80">
            <v>146</v>
          </cell>
          <cell r="O80">
            <v>286</v>
          </cell>
          <cell r="P80">
            <v>438</v>
          </cell>
          <cell r="Q80">
            <v>804</v>
          </cell>
          <cell r="R80">
            <v>593</v>
          </cell>
          <cell r="S80">
            <v>446</v>
          </cell>
          <cell r="T80">
            <v>560</v>
          </cell>
          <cell r="U80">
            <v>858</v>
          </cell>
          <cell r="V80">
            <v>558</v>
          </cell>
          <cell r="W80">
            <v>4222</v>
          </cell>
          <cell r="X80">
            <v>1065</v>
          </cell>
          <cell r="Y80">
            <v>2732</v>
          </cell>
          <cell r="Z80">
            <v>3127.4135435410835</v>
          </cell>
          <cell r="AA80">
            <v>4587.9865573114776</v>
          </cell>
          <cell r="AB80">
            <v>3786.3661266704503</v>
          </cell>
          <cell r="AC80">
            <v>4870.3552840215771</v>
          </cell>
          <cell r="AD80">
            <v>6391.641976152494</v>
          </cell>
          <cell r="AE80">
            <v>6247.7261368908503</v>
          </cell>
          <cell r="AF80">
            <v>4822.1318902075609</v>
          </cell>
          <cell r="AG80">
            <v>3379.484511594409</v>
          </cell>
          <cell r="AI80">
            <v>537</v>
          </cell>
          <cell r="AJ80">
            <v>3753</v>
          </cell>
          <cell r="AK80">
            <v>4220</v>
          </cell>
          <cell r="AL80">
            <v>4222</v>
          </cell>
          <cell r="AM80">
            <v>4383</v>
          </cell>
          <cell r="AN80">
            <v>4687</v>
          </cell>
          <cell r="AO80">
            <v>5609</v>
          </cell>
          <cell r="AP80">
            <v>1065</v>
          </cell>
          <cell r="AQ80">
            <v>1670</v>
          </cell>
          <cell r="AR80">
            <v>1950</v>
          </cell>
          <cell r="AS80">
            <v>3527</v>
          </cell>
          <cell r="AT80">
            <v>2732</v>
          </cell>
        </row>
        <row r="82">
          <cell r="B82" t="str">
            <v>Check</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L82">
            <v>0</v>
          </cell>
          <cell r="AM82">
            <v>0</v>
          </cell>
          <cell r="AN82">
            <v>0</v>
          </cell>
          <cell r="AO82">
            <v>0</v>
          </cell>
          <cell r="AP82">
            <v>0</v>
          </cell>
          <cell r="AQ82">
            <v>0</v>
          </cell>
          <cell r="AR82">
            <v>0</v>
          </cell>
          <cell r="AS82">
            <v>0</v>
          </cell>
          <cell r="AT82">
            <v>0</v>
          </cell>
        </row>
        <row r="85">
          <cell r="E85" t="str">
            <v>1992-FY</v>
          </cell>
          <cell r="F85" t="str">
            <v>1993-FY</v>
          </cell>
          <cell r="G85" t="str">
            <v>1994-FY</v>
          </cell>
          <cell r="H85" t="str">
            <v>1995-FY</v>
          </cell>
          <cell r="I85" t="str">
            <v>1996-FY</v>
          </cell>
          <cell r="J85" t="str">
            <v>1997-FY</v>
          </cell>
          <cell r="K85" t="str">
            <v>1998-FY</v>
          </cell>
          <cell r="L85" t="str">
            <v>1999-FY</v>
          </cell>
          <cell r="M85" t="str">
            <v>2000-FY</v>
          </cell>
          <cell r="N85" t="str">
            <v>2001-FY</v>
          </cell>
          <cell r="O85" t="str">
            <v>2002-FY</v>
          </cell>
          <cell r="P85" t="str">
            <v>2003-FY</v>
          </cell>
          <cell r="Q85" t="str">
            <v>2004-FY</v>
          </cell>
          <cell r="R85" t="str">
            <v>2005-FY</v>
          </cell>
          <cell r="S85" t="str">
            <v>2006-FY</v>
          </cell>
          <cell r="T85" t="str">
            <v>2007-FY</v>
          </cell>
          <cell r="U85" t="str">
            <v>2008-FY</v>
          </cell>
          <cell r="V85" t="str">
            <v>2009-FY</v>
          </cell>
          <cell r="W85" t="str">
            <v>2010-FY</v>
          </cell>
          <cell r="X85" t="str">
            <v>2011-FY</v>
          </cell>
          <cell r="Y85" t="str">
            <v>2012-FY</v>
          </cell>
          <cell r="Z85" t="str">
            <v>2013-FY</v>
          </cell>
          <cell r="AA85" t="str">
            <v>2014-FY</v>
          </cell>
          <cell r="AB85" t="str">
            <v>2015-FY</v>
          </cell>
          <cell r="AC85" t="str">
            <v>2016-FY</v>
          </cell>
          <cell r="AD85" t="str">
            <v>2017-FY</v>
          </cell>
          <cell r="AE85" t="str">
            <v>2018-FY</v>
          </cell>
          <cell r="AF85" t="str">
            <v>2019-FY</v>
          </cell>
          <cell r="AG85" t="str">
            <v>2020-FY</v>
          </cell>
        </row>
        <row r="87">
          <cell r="B87" t="str">
            <v>Reported interest expense, net</v>
          </cell>
        </row>
        <row r="88">
          <cell r="B88" t="str">
            <v>Effective interest rate</v>
          </cell>
        </row>
        <row r="90">
          <cell r="B90" t="str">
            <v>Cash interest paid, net</v>
          </cell>
        </row>
        <row r="91">
          <cell r="B91" t="str">
            <v>Cash interest rate</v>
          </cell>
        </row>
      </sheetData>
      <sheetData sheetId="4" refreshError="1">
        <row r="1">
          <cell r="B1" t="str">
            <v>LyondellBasell (LYB) Income Statement</v>
          </cell>
          <cell r="DX1" t="str">
            <v>ElementName</v>
          </cell>
          <cell r="DY1" t="str">
            <v>ScaleOverride</v>
          </cell>
          <cell r="DZ1" t="str">
            <v>UnitOverride</v>
          </cell>
          <cell r="EA1" t="str">
            <v>ReverseSign</v>
          </cell>
          <cell r="EB1" t="str">
            <v>IsDrivingAssumption</v>
          </cell>
          <cell r="EC1" t="str">
            <v>SegmentID</v>
          </cell>
        </row>
        <row r="2">
          <cell r="B2" t="str">
            <v>Days</v>
          </cell>
          <cell r="E2">
            <v>366</v>
          </cell>
          <cell r="F2">
            <v>365</v>
          </cell>
          <cell r="G2">
            <v>365</v>
          </cell>
          <cell r="H2">
            <v>365</v>
          </cell>
          <cell r="I2">
            <v>366</v>
          </cell>
          <cell r="J2">
            <v>365</v>
          </cell>
          <cell r="K2">
            <v>365</v>
          </cell>
          <cell r="L2">
            <v>365</v>
          </cell>
          <cell r="M2">
            <v>366</v>
          </cell>
          <cell r="N2">
            <v>365</v>
          </cell>
          <cell r="O2">
            <v>365</v>
          </cell>
          <cell r="P2">
            <v>365</v>
          </cell>
          <cell r="Q2">
            <v>366</v>
          </cell>
          <cell r="R2">
            <v>365</v>
          </cell>
          <cell r="S2">
            <v>365</v>
          </cell>
          <cell r="T2">
            <v>365</v>
          </cell>
          <cell r="U2">
            <v>366</v>
          </cell>
          <cell r="V2">
            <v>365</v>
          </cell>
          <cell r="W2">
            <v>365</v>
          </cell>
          <cell r="X2">
            <v>365</v>
          </cell>
          <cell r="Y2">
            <v>366</v>
          </cell>
          <cell r="Z2">
            <v>365</v>
          </cell>
          <cell r="AA2">
            <v>365</v>
          </cell>
          <cell r="AB2">
            <v>365</v>
          </cell>
          <cell r="AC2">
            <v>366</v>
          </cell>
          <cell r="AD2">
            <v>365</v>
          </cell>
          <cell r="AE2">
            <v>365</v>
          </cell>
          <cell r="AF2">
            <v>365</v>
          </cell>
          <cell r="AG2">
            <v>366</v>
          </cell>
          <cell r="AJ2">
            <v>90</v>
          </cell>
          <cell r="AK2">
            <v>91</v>
          </cell>
          <cell r="AL2">
            <v>92</v>
          </cell>
          <cell r="AM2">
            <v>92</v>
          </cell>
          <cell r="AN2">
            <v>90</v>
          </cell>
          <cell r="AO2">
            <v>91</v>
          </cell>
          <cell r="AP2">
            <v>92</v>
          </cell>
          <cell r="AQ2">
            <v>92</v>
          </cell>
          <cell r="AR2">
            <v>90</v>
          </cell>
          <cell r="AS2">
            <v>91</v>
          </cell>
          <cell r="AT2">
            <v>92</v>
          </cell>
          <cell r="AU2">
            <v>92</v>
          </cell>
          <cell r="AV2">
            <v>91</v>
          </cell>
          <cell r="AW2">
            <v>91</v>
          </cell>
          <cell r="AX2">
            <v>92</v>
          </cell>
          <cell r="AY2">
            <v>92</v>
          </cell>
          <cell r="AZ2">
            <v>90</v>
          </cell>
          <cell r="BA2">
            <v>91</v>
          </cell>
          <cell r="BB2">
            <v>92</v>
          </cell>
          <cell r="BC2">
            <v>92</v>
          </cell>
          <cell r="BD2">
            <v>90</v>
          </cell>
          <cell r="BE2">
            <v>91</v>
          </cell>
          <cell r="BF2">
            <v>92</v>
          </cell>
          <cell r="BG2">
            <v>92</v>
          </cell>
          <cell r="BH2">
            <v>90</v>
          </cell>
          <cell r="BI2">
            <v>91</v>
          </cell>
          <cell r="BJ2">
            <v>92</v>
          </cell>
          <cell r="BK2">
            <v>92</v>
          </cell>
          <cell r="BL2">
            <v>91</v>
          </cell>
          <cell r="BM2">
            <v>91</v>
          </cell>
          <cell r="BN2">
            <v>92</v>
          </cell>
          <cell r="BO2">
            <v>92</v>
          </cell>
          <cell r="BP2">
            <v>90</v>
          </cell>
          <cell r="BQ2">
            <v>91</v>
          </cell>
          <cell r="BR2">
            <v>92</v>
          </cell>
          <cell r="BS2">
            <v>92</v>
          </cell>
          <cell r="BT2">
            <v>90</v>
          </cell>
          <cell r="BU2">
            <v>91</v>
          </cell>
          <cell r="BV2">
            <v>92</v>
          </cell>
          <cell r="BW2">
            <v>92</v>
          </cell>
          <cell r="BX2">
            <v>90</v>
          </cell>
          <cell r="BY2">
            <v>91</v>
          </cell>
          <cell r="BZ2">
            <v>92</v>
          </cell>
          <cell r="CA2">
            <v>92</v>
          </cell>
          <cell r="CB2">
            <v>91</v>
          </cell>
          <cell r="CC2">
            <v>91</v>
          </cell>
          <cell r="CD2">
            <v>92</v>
          </cell>
          <cell r="CE2">
            <v>92</v>
          </cell>
          <cell r="CF2">
            <v>90</v>
          </cell>
          <cell r="CG2">
            <v>91</v>
          </cell>
          <cell r="CH2">
            <v>92</v>
          </cell>
          <cell r="CI2">
            <v>92</v>
          </cell>
          <cell r="CJ2">
            <v>90</v>
          </cell>
          <cell r="CK2">
            <v>91</v>
          </cell>
          <cell r="CL2">
            <v>92</v>
          </cell>
          <cell r="CM2">
            <v>92</v>
          </cell>
          <cell r="CN2">
            <v>90</v>
          </cell>
          <cell r="CO2">
            <v>91</v>
          </cell>
          <cell r="CP2">
            <v>92</v>
          </cell>
          <cell r="CQ2">
            <v>92</v>
          </cell>
          <cell r="CR2">
            <v>91</v>
          </cell>
          <cell r="CS2">
            <v>91</v>
          </cell>
          <cell r="CT2">
            <v>92</v>
          </cell>
          <cell r="CU2">
            <v>92</v>
          </cell>
          <cell r="CV2">
            <v>90</v>
          </cell>
          <cell r="CW2">
            <v>91</v>
          </cell>
          <cell r="CX2">
            <v>92</v>
          </cell>
          <cell r="CY2">
            <v>92</v>
          </cell>
          <cell r="CZ2">
            <v>90</v>
          </cell>
          <cell r="DA2">
            <v>91</v>
          </cell>
          <cell r="DB2">
            <v>92</v>
          </cell>
          <cell r="DC2">
            <v>92</v>
          </cell>
          <cell r="DD2">
            <v>90</v>
          </cell>
          <cell r="DE2">
            <v>91</v>
          </cell>
          <cell r="DF2">
            <v>92</v>
          </cell>
          <cell r="DG2">
            <v>92</v>
          </cell>
          <cell r="DH2">
            <v>91</v>
          </cell>
          <cell r="DI2">
            <v>91</v>
          </cell>
          <cell r="DJ2">
            <v>92</v>
          </cell>
          <cell r="DK2">
            <v>92</v>
          </cell>
          <cell r="DL2">
            <v>90</v>
          </cell>
          <cell r="DM2">
            <v>91</v>
          </cell>
          <cell r="DN2">
            <v>92</v>
          </cell>
          <cell r="DO2">
            <v>92</v>
          </cell>
          <cell r="DP2">
            <v>90</v>
          </cell>
          <cell r="DQ2">
            <v>91</v>
          </cell>
          <cell r="DR2">
            <v>92</v>
          </cell>
          <cell r="DS2">
            <v>92</v>
          </cell>
          <cell r="DU2">
            <v>92</v>
          </cell>
        </row>
        <row r="3">
          <cell r="B3" t="str">
            <v>Frequency</v>
          </cell>
          <cell r="D3" t="str">
            <v>A</v>
          </cell>
          <cell r="E3" t="str">
            <v>A</v>
          </cell>
          <cell r="F3" t="str">
            <v>A</v>
          </cell>
          <cell r="G3" t="str">
            <v>A</v>
          </cell>
          <cell r="H3" t="str">
            <v>A</v>
          </cell>
          <cell r="I3" t="str">
            <v>A</v>
          </cell>
          <cell r="J3" t="str">
            <v>A</v>
          </cell>
          <cell r="K3" t="str">
            <v>A</v>
          </cell>
          <cell r="L3" t="str">
            <v>A</v>
          </cell>
          <cell r="M3" t="str">
            <v>A</v>
          </cell>
          <cell r="N3" t="str">
            <v>A</v>
          </cell>
          <cell r="O3" t="str">
            <v>A</v>
          </cell>
          <cell r="P3" t="str">
            <v>A</v>
          </cell>
          <cell r="Q3" t="str">
            <v>A</v>
          </cell>
          <cell r="R3" t="str">
            <v>A</v>
          </cell>
          <cell r="S3" t="str">
            <v>A</v>
          </cell>
          <cell r="T3" t="str">
            <v>A</v>
          </cell>
          <cell r="U3" t="str">
            <v>A</v>
          </cell>
          <cell r="V3" t="str">
            <v>A</v>
          </cell>
          <cell r="W3" t="str">
            <v>A</v>
          </cell>
          <cell r="X3" t="str">
            <v>A</v>
          </cell>
          <cell r="Y3" t="str">
            <v>A</v>
          </cell>
          <cell r="Z3" t="str">
            <v>A</v>
          </cell>
          <cell r="AA3" t="str">
            <v>A</v>
          </cell>
          <cell r="AB3" t="str">
            <v>A</v>
          </cell>
          <cell r="AC3" t="str">
            <v>A</v>
          </cell>
          <cell r="AD3" t="str">
            <v>A</v>
          </cell>
          <cell r="AE3" t="str">
            <v>A</v>
          </cell>
          <cell r="AF3" t="str">
            <v>A</v>
          </cell>
          <cell r="AG3" t="str">
            <v>A</v>
          </cell>
          <cell r="AJ3" t="str">
            <v>Q</v>
          </cell>
          <cell r="AK3" t="str">
            <v>Q</v>
          </cell>
          <cell r="AL3" t="str">
            <v>Q</v>
          </cell>
          <cell r="AM3" t="str">
            <v>Q</v>
          </cell>
          <cell r="AN3" t="str">
            <v>Q</v>
          </cell>
          <cell r="AO3" t="str">
            <v>Q</v>
          </cell>
          <cell r="AP3" t="str">
            <v>Q</v>
          </cell>
          <cell r="AQ3" t="str">
            <v>Q</v>
          </cell>
          <cell r="AR3" t="str">
            <v>Q</v>
          </cell>
          <cell r="AS3" t="str">
            <v>Q</v>
          </cell>
          <cell r="AT3" t="str">
            <v>Q</v>
          </cell>
          <cell r="AU3" t="str">
            <v>Q</v>
          </cell>
          <cell r="AV3" t="str">
            <v>Q</v>
          </cell>
          <cell r="AW3" t="str">
            <v>Q</v>
          </cell>
          <cell r="AX3" t="str">
            <v>Q</v>
          </cell>
          <cell r="AY3" t="str">
            <v>Q</v>
          </cell>
          <cell r="AZ3" t="str">
            <v>Q</v>
          </cell>
          <cell r="BA3" t="str">
            <v>Q</v>
          </cell>
          <cell r="BB3" t="str">
            <v>Q</v>
          </cell>
          <cell r="BC3" t="str">
            <v>Q</v>
          </cell>
          <cell r="BD3" t="str">
            <v>Q</v>
          </cell>
          <cell r="BE3" t="str">
            <v>Q</v>
          </cell>
          <cell r="BF3" t="str">
            <v>Q</v>
          </cell>
          <cell r="BG3" t="str">
            <v>Q</v>
          </cell>
          <cell r="BH3" t="str">
            <v>Q</v>
          </cell>
          <cell r="BI3" t="str">
            <v>Q</v>
          </cell>
          <cell r="BJ3" t="str">
            <v>Q</v>
          </cell>
          <cell r="BK3" t="str">
            <v>Q</v>
          </cell>
          <cell r="BL3" t="str">
            <v>Q</v>
          </cell>
          <cell r="BM3" t="str">
            <v>Q</v>
          </cell>
          <cell r="BN3" t="str">
            <v>Q</v>
          </cell>
          <cell r="BO3" t="str">
            <v>Q</v>
          </cell>
          <cell r="BP3" t="str">
            <v>Q</v>
          </cell>
          <cell r="BQ3" t="str">
            <v>Q</v>
          </cell>
          <cell r="BR3" t="str">
            <v>Q</v>
          </cell>
          <cell r="BS3" t="str">
            <v>Q</v>
          </cell>
          <cell r="BT3" t="str">
            <v>Q</v>
          </cell>
          <cell r="BU3" t="str">
            <v>Q</v>
          </cell>
          <cell r="BV3" t="str">
            <v>Q</v>
          </cell>
          <cell r="BW3" t="str">
            <v>Q</v>
          </cell>
          <cell r="BX3" t="str">
            <v>Q</v>
          </cell>
          <cell r="BY3" t="str">
            <v>Q</v>
          </cell>
          <cell r="BZ3" t="str">
            <v>Q</v>
          </cell>
          <cell r="CA3" t="str">
            <v>Q</v>
          </cell>
          <cell r="CB3" t="str">
            <v>Q</v>
          </cell>
          <cell r="CC3" t="str">
            <v>Q</v>
          </cell>
          <cell r="CD3" t="str">
            <v>Q</v>
          </cell>
          <cell r="CE3" t="str">
            <v>Q</v>
          </cell>
          <cell r="CF3" t="str">
            <v>Q</v>
          </cell>
          <cell r="CG3" t="str">
            <v>Q</v>
          </cell>
          <cell r="CH3" t="str">
            <v>Q</v>
          </cell>
          <cell r="CI3" t="str">
            <v>Q</v>
          </cell>
          <cell r="CJ3" t="str">
            <v>Q</v>
          </cell>
          <cell r="CK3" t="str">
            <v>Q</v>
          </cell>
          <cell r="CL3" t="str">
            <v>Q</v>
          </cell>
          <cell r="CM3" t="str">
            <v>Q</v>
          </cell>
          <cell r="CN3" t="str">
            <v>Q</v>
          </cell>
          <cell r="CO3" t="str">
            <v>Q</v>
          </cell>
          <cell r="CP3" t="str">
            <v>Q</v>
          </cell>
          <cell r="CQ3" t="str">
            <v>Q</v>
          </cell>
          <cell r="CR3" t="str">
            <v>Q</v>
          </cell>
          <cell r="CS3" t="str">
            <v>Q</v>
          </cell>
          <cell r="CT3" t="str">
            <v>Q</v>
          </cell>
          <cell r="CU3" t="str">
            <v>Q</v>
          </cell>
          <cell r="CV3" t="str">
            <v>Q</v>
          </cell>
          <cell r="CW3" t="str">
            <v>Q</v>
          </cell>
          <cell r="CX3" t="str">
            <v>Q</v>
          </cell>
          <cell r="CY3" t="str">
            <v>Q</v>
          </cell>
          <cell r="CZ3" t="str">
            <v>Q</v>
          </cell>
          <cell r="DA3" t="str">
            <v>Q</v>
          </cell>
          <cell r="DB3" t="str">
            <v>Q</v>
          </cell>
          <cell r="DC3" t="str">
            <v>Q</v>
          </cell>
          <cell r="DD3" t="str">
            <v>Q</v>
          </cell>
          <cell r="DE3" t="str">
            <v>Q</v>
          </cell>
          <cell r="DF3" t="str">
            <v>Q</v>
          </cell>
          <cell r="DG3" t="str">
            <v>Q</v>
          </cell>
          <cell r="DH3" t="str">
            <v>Q</v>
          </cell>
          <cell r="DI3" t="str">
            <v>Q</v>
          </cell>
          <cell r="DJ3" t="str">
            <v>Q</v>
          </cell>
          <cell r="DK3" t="str">
            <v>Q</v>
          </cell>
          <cell r="DL3" t="str">
            <v>Q</v>
          </cell>
          <cell r="DM3" t="str">
            <v>Q</v>
          </cell>
          <cell r="DN3" t="str">
            <v>Q</v>
          </cell>
          <cell r="DO3" t="str">
            <v>Q</v>
          </cell>
          <cell r="DP3" t="str">
            <v>Q</v>
          </cell>
          <cell r="DQ3" t="str">
            <v>Q</v>
          </cell>
          <cell r="DR3" t="str">
            <v>Q</v>
          </cell>
          <cell r="DS3" t="str">
            <v>Q</v>
          </cell>
          <cell r="DU3" t="str">
            <v>Q</v>
          </cell>
        </row>
        <row r="4">
          <cell r="B4" t="str">
            <v>Date</v>
          </cell>
          <cell r="D4">
            <v>33603</v>
          </cell>
          <cell r="E4">
            <v>33969</v>
          </cell>
          <cell r="F4">
            <v>34334</v>
          </cell>
          <cell r="G4">
            <v>34699</v>
          </cell>
          <cell r="H4">
            <v>35064</v>
          </cell>
          <cell r="I4">
            <v>35430</v>
          </cell>
          <cell r="J4">
            <v>35795</v>
          </cell>
          <cell r="K4">
            <v>36160</v>
          </cell>
          <cell r="L4">
            <v>36525</v>
          </cell>
          <cell r="M4">
            <v>36891</v>
          </cell>
          <cell r="N4">
            <v>37256</v>
          </cell>
          <cell r="O4">
            <v>37621</v>
          </cell>
          <cell r="P4">
            <v>37986</v>
          </cell>
          <cell r="Q4">
            <v>38352</v>
          </cell>
          <cell r="R4">
            <v>38717</v>
          </cell>
          <cell r="S4">
            <v>39082</v>
          </cell>
          <cell r="T4">
            <v>39447</v>
          </cell>
          <cell r="U4">
            <v>39813</v>
          </cell>
          <cell r="V4">
            <v>40178</v>
          </cell>
          <cell r="W4">
            <v>40543</v>
          </cell>
          <cell r="X4">
            <v>40908</v>
          </cell>
          <cell r="Y4">
            <v>41274</v>
          </cell>
          <cell r="Z4">
            <v>41639</v>
          </cell>
          <cell r="AA4">
            <v>42004</v>
          </cell>
          <cell r="AB4">
            <v>42369</v>
          </cell>
          <cell r="AC4">
            <v>42735</v>
          </cell>
          <cell r="AD4">
            <v>43100</v>
          </cell>
          <cell r="AE4">
            <v>43465</v>
          </cell>
          <cell r="AF4">
            <v>43830</v>
          </cell>
          <cell r="AG4">
            <v>44196</v>
          </cell>
          <cell r="AI4">
            <v>33969</v>
          </cell>
          <cell r="AJ4">
            <v>34059</v>
          </cell>
          <cell r="AK4">
            <v>34150</v>
          </cell>
          <cell r="AL4">
            <v>34242</v>
          </cell>
          <cell r="AM4">
            <v>34334</v>
          </cell>
          <cell r="AN4">
            <v>34424</v>
          </cell>
          <cell r="AO4">
            <v>34515</v>
          </cell>
          <cell r="AP4">
            <v>34607</v>
          </cell>
          <cell r="AQ4">
            <v>34699</v>
          </cell>
          <cell r="AR4">
            <v>34789</v>
          </cell>
          <cell r="AS4">
            <v>34880</v>
          </cell>
          <cell r="AT4">
            <v>34972</v>
          </cell>
          <cell r="AU4">
            <v>35064</v>
          </cell>
          <cell r="AV4">
            <v>35155</v>
          </cell>
          <cell r="AW4">
            <v>35246</v>
          </cell>
          <cell r="AX4">
            <v>35338</v>
          </cell>
          <cell r="AY4">
            <v>35430</v>
          </cell>
          <cell r="AZ4">
            <v>35520</v>
          </cell>
          <cell r="BA4">
            <v>35611</v>
          </cell>
          <cell r="BB4">
            <v>35703</v>
          </cell>
          <cell r="BC4">
            <v>35795</v>
          </cell>
          <cell r="BD4">
            <v>35885</v>
          </cell>
          <cell r="BE4">
            <v>35976</v>
          </cell>
          <cell r="BF4">
            <v>36068</v>
          </cell>
          <cell r="BG4">
            <v>36160</v>
          </cell>
          <cell r="BH4">
            <v>36250</v>
          </cell>
          <cell r="BI4">
            <v>36341</v>
          </cell>
          <cell r="BJ4">
            <v>36433</v>
          </cell>
          <cell r="BK4">
            <v>36525</v>
          </cell>
          <cell r="BL4">
            <v>36616</v>
          </cell>
          <cell r="BM4">
            <v>36707</v>
          </cell>
          <cell r="BN4">
            <v>36799</v>
          </cell>
          <cell r="BO4">
            <v>36891</v>
          </cell>
          <cell r="BP4">
            <v>36981</v>
          </cell>
          <cell r="BQ4">
            <v>37072</v>
          </cell>
          <cell r="BR4">
            <v>37164</v>
          </cell>
          <cell r="BS4">
            <v>37256</v>
          </cell>
          <cell r="BT4">
            <v>37346</v>
          </cell>
          <cell r="BU4">
            <v>37437</v>
          </cell>
          <cell r="BV4">
            <v>37529</v>
          </cell>
          <cell r="BW4">
            <v>37621</v>
          </cell>
          <cell r="BX4">
            <v>37711</v>
          </cell>
          <cell r="BY4">
            <v>37802</v>
          </cell>
          <cell r="BZ4">
            <v>37894</v>
          </cell>
          <cell r="CA4">
            <v>37986</v>
          </cell>
          <cell r="CB4">
            <v>38077</v>
          </cell>
          <cell r="CC4">
            <v>38168</v>
          </cell>
          <cell r="CD4">
            <v>38260</v>
          </cell>
          <cell r="CE4">
            <v>38352</v>
          </cell>
          <cell r="CF4">
            <v>38442</v>
          </cell>
          <cell r="CG4">
            <v>38533</v>
          </cell>
          <cell r="CH4">
            <v>38625</v>
          </cell>
          <cell r="CI4">
            <v>38717</v>
          </cell>
          <cell r="CJ4">
            <v>38807</v>
          </cell>
          <cell r="CK4">
            <v>38898</v>
          </cell>
          <cell r="CL4">
            <v>38990</v>
          </cell>
          <cell r="CM4">
            <v>39082</v>
          </cell>
          <cell r="CN4">
            <v>39172</v>
          </cell>
          <cell r="CO4">
            <v>39263</v>
          </cell>
          <cell r="CP4">
            <v>39355</v>
          </cell>
          <cell r="CQ4">
            <v>39447</v>
          </cell>
          <cell r="CR4">
            <v>39538</v>
          </cell>
          <cell r="CS4">
            <v>39629</v>
          </cell>
          <cell r="CT4">
            <v>39721</v>
          </cell>
          <cell r="CU4">
            <v>39813</v>
          </cell>
          <cell r="CV4">
            <v>39903</v>
          </cell>
          <cell r="CW4">
            <v>39994</v>
          </cell>
          <cell r="CX4">
            <v>40086</v>
          </cell>
          <cell r="CY4">
            <v>40178</v>
          </cell>
          <cell r="CZ4">
            <v>40268</v>
          </cell>
          <cell r="DA4">
            <v>40359</v>
          </cell>
          <cell r="DB4">
            <v>40451</v>
          </cell>
          <cell r="DC4">
            <v>40543</v>
          </cell>
          <cell r="DD4">
            <v>40633</v>
          </cell>
          <cell r="DE4">
            <v>40724</v>
          </cell>
          <cell r="DF4">
            <v>40816</v>
          </cell>
          <cell r="DG4">
            <v>40908</v>
          </cell>
          <cell r="DH4">
            <v>40999</v>
          </cell>
          <cell r="DI4">
            <v>41090</v>
          </cell>
          <cell r="DJ4">
            <v>41182</v>
          </cell>
          <cell r="DK4">
            <v>41274</v>
          </cell>
          <cell r="DL4">
            <v>41364</v>
          </cell>
          <cell r="DM4">
            <v>41455</v>
          </cell>
          <cell r="DN4">
            <v>41547</v>
          </cell>
          <cell r="DO4">
            <v>41639</v>
          </cell>
          <cell r="DP4">
            <v>41729</v>
          </cell>
          <cell r="DQ4">
            <v>41820</v>
          </cell>
          <cell r="DR4">
            <v>41912</v>
          </cell>
          <cell r="DS4">
            <v>42004</v>
          </cell>
          <cell r="DU4">
            <v>40543</v>
          </cell>
        </row>
        <row r="5">
          <cell r="B5" t="str">
            <v>Year</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v>2006</v>
          </cell>
          <cell r="T5">
            <v>2007</v>
          </cell>
          <cell r="U5">
            <v>2008</v>
          </cell>
          <cell r="V5">
            <v>2009</v>
          </cell>
          <cell r="W5">
            <v>2010</v>
          </cell>
          <cell r="X5">
            <v>2011</v>
          </cell>
          <cell r="Y5">
            <v>2012</v>
          </cell>
          <cell r="Z5">
            <v>2013</v>
          </cell>
          <cell r="AA5">
            <v>2014</v>
          </cell>
          <cell r="AB5">
            <v>2015</v>
          </cell>
          <cell r="AC5">
            <v>2016</v>
          </cell>
          <cell r="AD5">
            <v>2017</v>
          </cell>
          <cell r="AE5">
            <v>2018</v>
          </cell>
          <cell r="AF5">
            <v>2019</v>
          </cell>
          <cell r="AG5">
            <v>2020</v>
          </cell>
          <cell r="AJ5">
            <v>1993</v>
          </cell>
          <cell r="AK5">
            <v>1993</v>
          </cell>
          <cell r="AL5">
            <v>1993</v>
          </cell>
          <cell r="AM5">
            <v>1993</v>
          </cell>
          <cell r="AN5">
            <v>1994</v>
          </cell>
          <cell r="AO5">
            <v>1994</v>
          </cell>
          <cell r="AP5">
            <v>1994</v>
          </cell>
          <cell r="AQ5">
            <v>1994</v>
          </cell>
          <cell r="AR5">
            <v>1995</v>
          </cell>
          <cell r="AS5">
            <v>1995</v>
          </cell>
          <cell r="AT5">
            <v>1995</v>
          </cell>
          <cell r="AU5">
            <v>1995</v>
          </cell>
          <cell r="AV5">
            <v>1996</v>
          </cell>
          <cell r="AW5">
            <v>1996</v>
          </cell>
          <cell r="AX5">
            <v>1996</v>
          </cell>
          <cell r="AY5">
            <v>1996</v>
          </cell>
          <cell r="AZ5">
            <v>1997</v>
          </cell>
          <cell r="BA5">
            <v>1997</v>
          </cell>
          <cell r="BB5">
            <v>1997</v>
          </cell>
          <cell r="BC5">
            <v>1997</v>
          </cell>
          <cell r="BD5">
            <v>1998</v>
          </cell>
          <cell r="BE5">
            <v>1998</v>
          </cell>
          <cell r="BF5">
            <v>1998</v>
          </cell>
          <cell r="BG5">
            <v>1998</v>
          </cell>
          <cell r="BH5">
            <v>1999</v>
          </cell>
          <cell r="BI5">
            <v>1999</v>
          </cell>
          <cell r="BJ5">
            <v>1999</v>
          </cell>
          <cell r="BK5">
            <v>1999</v>
          </cell>
          <cell r="BL5">
            <v>2000</v>
          </cell>
          <cell r="BM5">
            <v>2000</v>
          </cell>
          <cell r="BN5">
            <v>2000</v>
          </cell>
          <cell r="BO5">
            <v>2000</v>
          </cell>
          <cell r="BP5">
            <v>2001</v>
          </cell>
          <cell r="BQ5">
            <v>2001</v>
          </cell>
          <cell r="BR5">
            <v>2001</v>
          </cell>
          <cell r="BS5">
            <v>2001</v>
          </cell>
          <cell r="BT5">
            <v>2002</v>
          </cell>
          <cell r="BU5">
            <v>2002</v>
          </cell>
          <cell r="BV5">
            <v>2002</v>
          </cell>
          <cell r="BW5">
            <v>2002</v>
          </cell>
          <cell r="BX5">
            <v>2003</v>
          </cell>
          <cell r="BY5">
            <v>2003</v>
          </cell>
          <cell r="BZ5">
            <v>2003</v>
          </cell>
          <cell r="CA5">
            <v>2003</v>
          </cell>
          <cell r="CB5">
            <v>2004</v>
          </cell>
          <cell r="CC5">
            <v>2004</v>
          </cell>
          <cell r="CD5">
            <v>2004</v>
          </cell>
          <cell r="CE5">
            <v>2004</v>
          </cell>
          <cell r="CF5">
            <v>2005</v>
          </cell>
          <cell r="CG5">
            <v>2005</v>
          </cell>
          <cell r="CH5">
            <v>2005</v>
          </cell>
          <cell r="CI5">
            <v>2005</v>
          </cell>
          <cell r="CJ5">
            <v>2006</v>
          </cell>
          <cell r="CK5">
            <v>2006</v>
          </cell>
          <cell r="CL5">
            <v>2006</v>
          </cell>
          <cell r="CM5">
            <v>2006</v>
          </cell>
          <cell r="CN5">
            <v>2007</v>
          </cell>
          <cell r="CO5">
            <v>2007</v>
          </cell>
          <cell r="CP5">
            <v>2007</v>
          </cell>
          <cell r="CQ5">
            <v>2007</v>
          </cell>
          <cell r="CR5">
            <v>2008</v>
          </cell>
          <cell r="CS5">
            <v>2008</v>
          </cell>
          <cell r="CT5">
            <v>2008</v>
          </cell>
          <cell r="CU5">
            <v>2008</v>
          </cell>
          <cell r="CV5">
            <v>2009</v>
          </cell>
          <cell r="CW5">
            <v>2009</v>
          </cell>
          <cell r="CX5">
            <v>2009</v>
          </cell>
          <cell r="CY5">
            <v>2009</v>
          </cell>
          <cell r="CZ5">
            <v>2010</v>
          </cell>
          <cell r="DA5">
            <v>2010</v>
          </cell>
          <cell r="DB5">
            <v>2010</v>
          </cell>
          <cell r="DC5">
            <v>2010</v>
          </cell>
          <cell r="DD5">
            <v>2011</v>
          </cell>
          <cell r="DE5">
            <v>2011</v>
          </cell>
          <cell r="DF5">
            <v>2011</v>
          </cell>
          <cell r="DG5">
            <v>2011</v>
          </cell>
          <cell r="DH5">
            <v>2012</v>
          </cell>
          <cell r="DI5">
            <v>2012</v>
          </cell>
          <cell r="DJ5">
            <v>2012</v>
          </cell>
          <cell r="DK5">
            <v>2012</v>
          </cell>
          <cell r="DL5">
            <v>2013</v>
          </cell>
          <cell r="DM5">
            <v>2013</v>
          </cell>
          <cell r="DN5">
            <v>2013</v>
          </cell>
          <cell r="DO5">
            <v>2013</v>
          </cell>
          <cell r="DP5">
            <v>2014</v>
          </cell>
          <cell r="DQ5">
            <v>2014</v>
          </cell>
          <cell r="DR5">
            <v>2014</v>
          </cell>
          <cell r="DS5">
            <v>2014</v>
          </cell>
          <cell r="DU5">
            <v>2010</v>
          </cell>
        </row>
        <row r="6">
          <cell r="B6" t="str">
            <v>Quarter</v>
          </cell>
          <cell r="AJ6" t="str">
            <v>1993q1</v>
          </cell>
          <cell r="AK6" t="str">
            <v>1993q2</v>
          </cell>
          <cell r="AL6" t="str">
            <v>1993q3</v>
          </cell>
          <cell r="AM6" t="str">
            <v>1993q4</v>
          </cell>
          <cell r="AN6" t="str">
            <v>1994q1</v>
          </cell>
          <cell r="AO6" t="str">
            <v>1994q2</v>
          </cell>
          <cell r="AP6" t="str">
            <v>1994q3</v>
          </cell>
          <cell r="AQ6" t="str">
            <v>1994q4</v>
          </cell>
          <cell r="AR6" t="str">
            <v>1995q1</v>
          </cell>
          <cell r="AS6" t="str">
            <v>1995q2</v>
          </cell>
          <cell r="AT6" t="str">
            <v>1995q3</v>
          </cell>
          <cell r="AU6" t="str">
            <v>1995q4</v>
          </cell>
          <cell r="AV6" t="str">
            <v>1996q1</v>
          </cell>
          <cell r="AW6" t="str">
            <v>1996q2</v>
          </cell>
          <cell r="AX6" t="str">
            <v>1996q3</v>
          </cell>
          <cell r="AY6" t="str">
            <v>1996q4</v>
          </cell>
          <cell r="AZ6" t="str">
            <v>1997q1</v>
          </cell>
          <cell r="BA6" t="str">
            <v>1997q2</v>
          </cell>
          <cell r="BB6" t="str">
            <v>1997q3</v>
          </cell>
          <cell r="BC6" t="str">
            <v>1997q4</v>
          </cell>
          <cell r="BD6" t="str">
            <v>1998q1</v>
          </cell>
          <cell r="BE6" t="str">
            <v>1998q2</v>
          </cell>
          <cell r="BF6" t="str">
            <v>1998q3</v>
          </cell>
          <cell r="BG6" t="str">
            <v>1998q4</v>
          </cell>
          <cell r="BH6" t="str">
            <v>1999q1</v>
          </cell>
          <cell r="BI6" t="str">
            <v>1999q2</v>
          </cell>
          <cell r="BJ6" t="str">
            <v>1999q3</v>
          </cell>
          <cell r="BK6" t="str">
            <v>1999q4</v>
          </cell>
          <cell r="BL6" t="str">
            <v>2000q1</v>
          </cell>
          <cell r="BM6" t="str">
            <v>2000q2</v>
          </cell>
          <cell r="BN6" t="str">
            <v>2000q3</v>
          </cell>
          <cell r="BO6" t="str">
            <v>2000q4</v>
          </cell>
          <cell r="BP6" t="str">
            <v>2001q1</v>
          </cell>
          <cell r="BQ6" t="str">
            <v>2001q2</v>
          </cell>
          <cell r="BR6" t="str">
            <v>2001q3</v>
          </cell>
          <cell r="BS6" t="str">
            <v>2001q4</v>
          </cell>
          <cell r="BT6" t="str">
            <v>2002q1</v>
          </cell>
          <cell r="BU6" t="str">
            <v>2002q2</v>
          </cell>
          <cell r="BV6" t="str">
            <v>2002q3</v>
          </cell>
          <cell r="BW6" t="str">
            <v>2002q4</v>
          </cell>
          <cell r="BX6" t="str">
            <v>2003q1</v>
          </cell>
          <cell r="BY6" t="str">
            <v>2003q2</v>
          </cell>
          <cell r="BZ6" t="str">
            <v>2003q3</v>
          </cell>
          <cell r="CA6" t="str">
            <v>2003q4</v>
          </cell>
          <cell r="CB6" t="str">
            <v>2004q1</v>
          </cell>
          <cell r="CC6" t="str">
            <v>2004q2</v>
          </cell>
          <cell r="CD6" t="str">
            <v>2004q3</v>
          </cell>
          <cell r="CE6" t="str">
            <v>2004q4</v>
          </cell>
          <cell r="CF6" t="str">
            <v>2005q1</v>
          </cell>
          <cell r="CG6" t="str">
            <v>2005q2</v>
          </cell>
          <cell r="CH6" t="str">
            <v>2005q3</v>
          </cell>
          <cell r="CI6" t="str">
            <v>2005q4</v>
          </cell>
          <cell r="CJ6" t="str">
            <v>2006q1</v>
          </cell>
          <cell r="CK6" t="str">
            <v>2006q2</v>
          </cell>
          <cell r="CL6" t="str">
            <v>2006q3</v>
          </cell>
          <cell r="CM6" t="str">
            <v>2006q4</v>
          </cell>
          <cell r="CN6" t="str">
            <v>2007q1</v>
          </cell>
          <cell r="CO6" t="str">
            <v>2007q2</v>
          </cell>
          <cell r="CP6" t="str">
            <v>2007q3</v>
          </cell>
          <cell r="CQ6" t="str">
            <v>2007q4</v>
          </cell>
          <cell r="CR6" t="str">
            <v>2008q1</v>
          </cell>
          <cell r="CS6" t="str">
            <v>2008q2</v>
          </cell>
          <cell r="CT6" t="str">
            <v>2008q3</v>
          </cell>
          <cell r="CU6" t="str">
            <v>2008q4</v>
          </cell>
          <cell r="CV6" t="str">
            <v>2009q1</v>
          </cell>
          <cell r="CW6" t="str">
            <v>2009q2</v>
          </cell>
          <cell r="CX6" t="str">
            <v>2009q3</v>
          </cell>
          <cell r="CY6" t="str">
            <v>2009q4</v>
          </cell>
          <cell r="CZ6" t="str">
            <v>2010q1</v>
          </cell>
          <cell r="DA6" t="str">
            <v>2010q2</v>
          </cell>
          <cell r="DB6" t="str">
            <v>2010q3</v>
          </cell>
          <cell r="DC6" t="str">
            <v>2010q4</v>
          </cell>
          <cell r="DD6" t="str">
            <v>2011q1</v>
          </cell>
          <cell r="DE6" t="str">
            <v>2011q2</v>
          </cell>
          <cell r="DF6" t="str">
            <v>2011q3</v>
          </cell>
          <cell r="DG6" t="str">
            <v>2011q4</v>
          </cell>
          <cell r="DH6" t="str">
            <v>2012q1</v>
          </cell>
          <cell r="DI6" t="str">
            <v>2012q2</v>
          </cell>
          <cell r="DJ6" t="str">
            <v>2012q3</v>
          </cell>
          <cell r="DK6" t="str">
            <v>2012q4</v>
          </cell>
          <cell r="DL6" t="str">
            <v>2013q1e</v>
          </cell>
          <cell r="DM6" t="str">
            <v>2013q2e</v>
          </cell>
          <cell r="DN6" t="str">
            <v>2013q3e</v>
          </cell>
          <cell r="DO6" t="str">
            <v>2013q4e</v>
          </cell>
          <cell r="DP6" t="str">
            <v>2014q1e</v>
          </cell>
          <cell r="DQ6" t="str">
            <v>2014q2e</v>
          </cell>
          <cell r="DR6" t="str">
            <v>2014q3e</v>
          </cell>
          <cell r="DS6" t="str">
            <v>2014q4e</v>
          </cell>
          <cell r="DU6" t="str">
            <v>2010q4e</v>
          </cell>
        </row>
        <row r="8">
          <cell r="B8" t="str">
            <v>In US$ millions (except per share data)</v>
          </cell>
          <cell r="D8">
            <v>1991</v>
          </cell>
          <cell r="E8">
            <v>1992</v>
          </cell>
          <cell r="F8">
            <v>1993</v>
          </cell>
          <cell r="G8">
            <v>1994</v>
          </cell>
          <cell r="H8">
            <v>1995</v>
          </cell>
          <cell r="I8">
            <v>1996</v>
          </cell>
          <cell r="J8">
            <v>1997</v>
          </cell>
          <cell r="K8">
            <v>1998</v>
          </cell>
          <cell r="L8">
            <v>1999</v>
          </cell>
          <cell r="M8">
            <v>2000</v>
          </cell>
          <cell r="N8">
            <v>2001</v>
          </cell>
          <cell r="O8">
            <v>2002</v>
          </cell>
          <cell r="P8">
            <v>2003</v>
          </cell>
          <cell r="Q8">
            <v>2004</v>
          </cell>
          <cell r="R8">
            <v>2005</v>
          </cell>
          <cell r="S8">
            <v>2006</v>
          </cell>
          <cell r="T8">
            <v>2007</v>
          </cell>
          <cell r="U8">
            <v>2008</v>
          </cell>
          <cell r="V8" t="str">
            <v>2009</v>
          </cell>
          <cell r="W8" t="str">
            <v>2010</v>
          </cell>
          <cell r="X8" t="str">
            <v>2011</v>
          </cell>
          <cell r="Y8" t="str">
            <v>2012</v>
          </cell>
          <cell r="Z8" t="str">
            <v>2013e</v>
          </cell>
          <cell r="AA8" t="str">
            <v>2014e</v>
          </cell>
          <cell r="AB8" t="str">
            <v>2015e</v>
          </cell>
          <cell r="AC8" t="str">
            <v>2016e</v>
          </cell>
          <cell r="AD8" t="str">
            <v>2017e</v>
          </cell>
          <cell r="AE8" t="str">
            <v>2018e</v>
          </cell>
          <cell r="AF8" t="str">
            <v>2019e</v>
          </cell>
          <cell r="AG8" t="str">
            <v>2020e</v>
          </cell>
          <cell r="AJ8" t="str">
            <v>1993q1</v>
          </cell>
          <cell r="AK8" t="str">
            <v>1993q2</v>
          </cell>
          <cell r="AL8" t="str">
            <v>1993q3</v>
          </cell>
          <cell r="AM8" t="str">
            <v>1993q4</v>
          </cell>
          <cell r="AN8" t="str">
            <v>1994q1</v>
          </cell>
          <cell r="AO8" t="str">
            <v>1994q2</v>
          </cell>
          <cell r="AP8" t="str">
            <v>1994q3</v>
          </cell>
          <cell r="AQ8" t="str">
            <v>1994q4</v>
          </cell>
          <cell r="AR8" t="str">
            <v>1995q1</v>
          </cell>
          <cell r="AS8" t="str">
            <v>1995q2</v>
          </cell>
          <cell r="AT8" t="str">
            <v>1995q3</v>
          </cell>
          <cell r="AU8" t="str">
            <v>1995q4</v>
          </cell>
          <cell r="AV8" t="str">
            <v>1996q1</v>
          </cell>
          <cell r="AW8" t="str">
            <v>1996q2</v>
          </cell>
          <cell r="AX8" t="str">
            <v>1996q3</v>
          </cell>
          <cell r="AY8" t="str">
            <v>1996q4</v>
          </cell>
          <cell r="AZ8" t="str">
            <v>1997q1</v>
          </cell>
          <cell r="BA8" t="str">
            <v>1997q2</v>
          </cell>
          <cell r="BB8" t="str">
            <v>1997q3</v>
          </cell>
          <cell r="BC8" t="str">
            <v>1997q4</v>
          </cell>
          <cell r="BD8" t="str">
            <v>1998q1</v>
          </cell>
          <cell r="BE8" t="str">
            <v>1998q2</v>
          </cell>
          <cell r="BF8" t="str">
            <v>1998q3</v>
          </cell>
          <cell r="BG8" t="str">
            <v>1998q4</v>
          </cell>
          <cell r="BH8" t="str">
            <v>1999q1</v>
          </cell>
          <cell r="BI8" t="str">
            <v>1999q2</v>
          </cell>
          <cell r="BJ8" t="str">
            <v>1999q3</v>
          </cell>
          <cell r="BK8" t="str">
            <v>1999q4</v>
          </cell>
          <cell r="BL8" t="str">
            <v>2000q1</v>
          </cell>
          <cell r="BM8" t="str">
            <v>2000q2</v>
          </cell>
          <cell r="BN8" t="str">
            <v>2000q3</v>
          </cell>
          <cell r="BO8" t="str">
            <v>2000q4</v>
          </cell>
          <cell r="BP8" t="str">
            <v>2001q1</v>
          </cell>
          <cell r="BQ8" t="str">
            <v>2001q2</v>
          </cell>
          <cell r="BR8" t="str">
            <v>2001q3</v>
          </cell>
          <cell r="BS8" t="str">
            <v>2001q4</v>
          </cell>
          <cell r="BT8" t="str">
            <v>2002q1</v>
          </cell>
          <cell r="BU8" t="str">
            <v>2002q2</v>
          </cell>
          <cell r="BV8" t="str">
            <v>2002q3</v>
          </cell>
          <cell r="BW8" t="str">
            <v>2002q4</v>
          </cell>
          <cell r="BX8" t="str">
            <v>2003q1</v>
          </cell>
          <cell r="BY8" t="str">
            <v>2003q2</v>
          </cell>
          <cell r="BZ8" t="str">
            <v>2003q3</v>
          </cell>
          <cell r="CA8" t="str">
            <v>2003q4</v>
          </cell>
          <cell r="CB8" t="str">
            <v>2004q1</v>
          </cell>
          <cell r="CC8" t="str">
            <v>2004q2</v>
          </cell>
          <cell r="CD8" t="str">
            <v>2004q3</v>
          </cell>
          <cell r="CE8" t="str">
            <v>2004q4</v>
          </cell>
          <cell r="CF8" t="str">
            <v>2005q1</v>
          </cell>
          <cell r="CG8" t="str">
            <v>2005q2</v>
          </cell>
          <cell r="CH8" t="str">
            <v>2005q3</v>
          </cell>
          <cell r="CI8" t="str">
            <v>2005q4</v>
          </cell>
          <cell r="CJ8" t="str">
            <v>2006q1</v>
          </cell>
          <cell r="CK8" t="str">
            <v>2006q2</v>
          </cell>
          <cell r="CL8" t="str">
            <v>2006q3</v>
          </cell>
          <cell r="CM8" t="str">
            <v>2006q4</v>
          </cell>
          <cell r="CN8" t="str">
            <v>2007q1</v>
          </cell>
          <cell r="CO8" t="str">
            <v>2007q2</v>
          </cell>
          <cell r="CP8" t="str">
            <v>2007q3</v>
          </cell>
          <cell r="CQ8" t="str">
            <v>2007q4</v>
          </cell>
          <cell r="CR8" t="str">
            <v>2008q1</v>
          </cell>
          <cell r="CS8" t="str">
            <v>2008q2</v>
          </cell>
          <cell r="CT8" t="str">
            <v>2008q3</v>
          </cell>
          <cell r="CU8" t="str">
            <v>2008q4</v>
          </cell>
          <cell r="CV8" t="str">
            <v>2009q1</v>
          </cell>
          <cell r="CW8" t="str">
            <v>2009q2</v>
          </cell>
          <cell r="CX8" t="str">
            <v>2009q3</v>
          </cell>
          <cell r="CY8" t="str">
            <v>2009q4</v>
          </cell>
          <cell r="CZ8" t="str">
            <v>2010q1</v>
          </cell>
          <cell r="DA8" t="str">
            <v>2010q2</v>
          </cell>
          <cell r="DB8" t="str">
            <v>2010q3</v>
          </cell>
          <cell r="DC8" t="str">
            <v>2010q4</v>
          </cell>
          <cell r="DD8" t="str">
            <v>2011q1</v>
          </cell>
          <cell r="DE8" t="str">
            <v>2011q2</v>
          </cell>
          <cell r="DF8" t="str">
            <v>2011q3</v>
          </cell>
          <cell r="DG8" t="str">
            <v>2011q4</v>
          </cell>
          <cell r="DH8" t="str">
            <v>2012q1</v>
          </cell>
          <cell r="DI8" t="str">
            <v>2012q2</v>
          </cell>
          <cell r="DJ8" t="str">
            <v>2012q3</v>
          </cell>
          <cell r="DK8" t="str">
            <v>2012q4</v>
          </cell>
          <cell r="DL8" t="str">
            <v>2013q1e</v>
          </cell>
          <cell r="DM8" t="str">
            <v>2013q2e</v>
          </cell>
          <cell r="DN8" t="str">
            <v>2013q3e</v>
          </cell>
          <cell r="DO8" t="str">
            <v>2013q4e</v>
          </cell>
          <cell r="DP8" t="str">
            <v>2014q1e</v>
          </cell>
          <cell r="DQ8" t="str">
            <v>2014q2e</v>
          </cell>
          <cell r="DR8" t="str">
            <v>2014q3e</v>
          </cell>
          <cell r="DS8" t="str">
            <v>2014q4e</v>
          </cell>
          <cell r="DU8" t="str">
            <v>2010q4e</v>
          </cell>
        </row>
        <row r="9">
          <cell r="AV9" t="str">
            <v>Proforma</v>
          </cell>
          <cell r="AW9" t="str">
            <v>Proforma</v>
          </cell>
          <cell r="AX9" t="str">
            <v>Proforma</v>
          </cell>
          <cell r="AY9" t="str">
            <v>Proforma</v>
          </cell>
        </row>
        <row r="10">
          <cell r="B10" t="str">
            <v>Sales and other operating revenues</v>
          </cell>
        </row>
        <row r="11">
          <cell r="B11" t="str">
            <v>Trade</v>
          </cell>
          <cell r="D11" t="str">
            <v>ND</v>
          </cell>
          <cell r="E11" t="str">
            <v>ND</v>
          </cell>
          <cell r="F11" t="str">
            <v>ND</v>
          </cell>
          <cell r="G11" t="str">
            <v>ND</v>
          </cell>
          <cell r="H11" t="str">
            <v>ND</v>
          </cell>
          <cell r="I11" t="str">
            <v>ND</v>
          </cell>
          <cell r="J11" t="str">
            <v>ND</v>
          </cell>
          <cell r="K11" t="str">
            <v>ND</v>
          </cell>
          <cell r="L11" t="str">
            <v>ND</v>
          </cell>
          <cell r="M11" t="str">
            <v>ND</v>
          </cell>
          <cell r="N11" t="str">
            <v>ND</v>
          </cell>
          <cell r="O11" t="str">
            <v>ND</v>
          </cell>
          <cell r="P11" t="str">
            <v>ND</v>
          </cell>
          <cell r="Q11">
            <v>5821</v>
          </cell>
          <cell r="R11">
            <v>16907</v>
          </cell>
          <cell r="S11">
            <v>19548</v>
          </cell>
          <cell r="T11">
            <v>16168</v>
          </cell>
          <cell r="U11">
            <v>49903</v>
          </cell>
          <cell r="V11">
            <v>30207</v>
          </cell>
          <cell r="AJ11" t="str">
            <v>ND</v>
          </cell>
          <cell r="AK11" t="str">
            <v>ND</v>
          </cell>
          <cell r="AL11" t="str">
            <v>ND</v>
          </cell>
          <cell r="AM11" t="str">
            <v>ND</v>
          </cell>
          <cell r="AN11" t="str">
            <v>ND</v>
          </cell>
          <cell r="AO11" t="str">
            <v>ND</v>
          </cell>
          <cell r="AP11" t="str">
            <v>ND</v>
          </cell>
          <cell r="AQ11" t="str">
            <v>ND</v>
          </cell>
          <cell r="AR11" t="str">
            <v>ND</v>
          </cell>
          <cell r="AS11" t="str">
            <v>ND</v>
          </cell>
          <cell r="AT11" t="str">
            <v>ND</v>
          </cell>
          <cell r="AU11" t="str">
            <v>ND</v>
          </cell>
          <cell r="AV11" t="str">
            <v>ND</v>
          </cell>
          <cell r="AW11" t="str">
            <v>ND</v>
          </cell>
          <cell r="AX11" t="str">
            <v>ND</v>
          </cell>
          <cell r="AY11" t="str">
            <v>ND</v>
          </cell>
          <cell r="AZ11" t="str">
            <v>ND</v>
          </cell>
          <cell r="BA11" t="str">
            <v>ND</v>
          </cell>
          <cell r="BB11" t="str">
            <v>ND</v>
          </cell>
          <cell r="BC11" t="str">
            <v>ND</v>
          </cell>
          <cell r="BD11" t="str">
            <v>ND</v>
          </cell>
          <cell r="BE11" t="str">
            <v>ND</v>
          </cell>
          <cell r="BF11" t="str">
            <v>ND</v>
          </cell>
          <cell r="BG11" t="str">
            <v>ND</v>
          </cell>
          <cell r="BH11" t="str">
            <v>ND</v>
          </cell>
          <cell r="BI11" t="str">
            <v>ND</v>
          </cell>
          <cell r="BJ11" t="str">
            <v>ND</v>
          </cell>
          <cell r="BK11" t="str">
            <v>ND</v>
          </cell>
          <cell r="BL11" t="str">
            <v>ND</v>
          </cell>
          <cell r="BM11" t="str">
            <v>ND</v>
          </cell>
          <cell r="BN11" t="str">
            <v>ND</v>
          </cell>
          <cell r="BO11" t="str">
            <v>ND</v>
          </cell>
          <cell r="BP11" t="str">
            <v>ND</v>
          </cell>
          <cell r="BQ11" t="str">
            <v>ND</v>
          </cell>
          <cell r="BR11" t="str">
            <v>ND</v>
          </cell>
          <cell r="BS11" t="str">
            <v>ND</v>
          </cell>
          <cell r="BT11" t="str">
            <v>ND</v>
          </cell>
          <cell r="BU11" t="str">
            <v>ND</v>
          </cell>
          <cell r="BV11" t="str">
            <v>ND</v>
          </cell>
          <cell r="BW11" t="str">
            <v>ND</v>
          </cell>
          <cell r="BX11" t="str">
            <v>ND</v>
          </cell>
          <cell r="BY11" t="str">
            <v>ND</v>
          </cell>
          <cell r="BZ11" t="str">
            <v>ND</v>
          </cell>
          <cell r="CA11" t="str">
            <v>ND</v>
          </cell>
          <cell r="CB11">
            <v>1093</v>
          </cell>
          <cell r="CC11">
            <v>1137</v>
          </cell>
          <cell r="CD11">
            <v>1293</v>
          </cell>
          <cell r="CE11">
            <v>2298</v>
          </cell>
          <cell r="CF11">
            <v>4028</v>
          </cell>
          <cell r="CG11">
            <v>4003</v>
          </cell>
          <cell r="CH11">
            <v>4363</v>
          </cell>
          <cell r="CI11">
            <v>4513</v>
          </cell>
          <cell r="CJ11">
            <v>4004</v>
          </cell>
          <cell r="CK11">
            <v>4283</v>
          </cell>
          <cell r="CL11">
            <v>5495</v>
          </cell>
          <cell r="CM11">
            <v>5766</v>
          </cell>
          <cell r="CN11">
            <v>3526</v>
          </cell>
          <cell r="CO11">
            <v>3884</v>
          </cell>
          <cell r="CP11">
            <v>3831</v>
          </cell>
          <cell r="CQ11">
            <v>4927</v>
          </cell>
          <cell r="CR11">
            <v>12560</v>
          </cell>
          <cell r="CS11">
            <v>15390</v>
          </cell>
          <cell r="CT11">
            <v>13903</v>
          </cell>
          <cell r="CU11">
            <v>8050</v>
          </cell>
          <cell r="CV11">
            <v>5807</v>
          </cell>
          <cell r="CW11">
            <v>7396</v>
          </cell>
          <cell r="CX11">
            <v>8488</v>
          </cell>
          <cell r="CY11">
            <v>8516</v>
          </cell>
          <cell r="CZ11">
            <v>9606</v>
          </cell>
        </row>
        <row r="12">
          <cell r="B12" t="str">
            <v>Related parties</v>
          </cell>
          <cell r="D12" t="str">
            <v>ND</v>
          </cell>
          <cell r="E12" t="str">
            <v>ND</v>
          </cell>
          <cell r="F12" t="str">
            <v>ND</v>
          </cell>
          <cell r="G12" t="str">
            <v>ND</v>
          </cell>
          <cell r="H12" t="str">
            <v>ND</v>
          </cell>
          <cell r="I12" t="str">
            <v>ND</v>
          </cell>
          <cell r="J12" t="str">
            <v>ND</v>
          </cell>
          <cell r="K12" t="str">
            <v>ND</v>
          </cell>
          <cell r="L12" t="str">
            <v>ND</v>
          </cell>
          <cell r="M12" t="str">
            <v>ND</v>
          </cell>
          <cell r="N12" t="str">
            <v>ND</v>
          </cell>
          <cell r="O12" t="str">
            <v>ND</v>
          </cell>
          <cell r="P12" t="str">
            <v>ND</v>
          </cell>
          <cell r="Q12">
            <v>125</v>
          </cell>
          <cell r="R12">
            <v>1699</v>
          </cell>
          <cell r="S12">
            <v>1334</v>
          </cell>
          <cell r="T12">
            <v>952</v>
          </cell>
          <cell r="U12">
            <v>803</v>
          </cell>
          <cell r="V12">
            <v>621</v>
          </cell>
          <cell r="AJ12" t="str">
            <v>ND</v>
          </cell>
          <cell r="AK12" t="str">
            <v>ND</v>
          </cell>
          <cell r="AL12" t="str">
            <v>ND</v>
          </cell>
          <cell r="AM12" t="str">
            <v>ND</v>
          </cell>
          <cell r="AN12" t="str">
            <v>ND</v>
          </cell>
          <cell r="AO12" t="str">
            <v>ND</v>
          </cell>
          <cell r="AP12" t="str">
            <v>ND</v>
          </cell>
          <cell r="AQ12" t="str">
            <v>ND</v>
          </cell>
          <cell r="AR12" t="str">
            <v>ND</v>
          </cell>
          <cell r="AS12" t="str">
            <v>ND</v>
          </cell>
          <cell r="AT12" t="str">
            <v>ND</v>
          </cell>
          <cell r="AU12" t="str">
            <v>ND</v>
          </cell>
          <cell r="AV12" t="str">
            <v>ND</v>
          </cell>
          <cell r="AW12" t="str">
            <v>ND</v>
          </cell>
          <cell r="AX12" t="str">
            <v>ND</v>
          </cell>
          <cell r="AY12" t="str">
            <v>ND</v>
          </cell>
          <cell r="AZ12" t="str">
            <v>ND</v>
          </cell>
          <cell r="BA12" t="str">
            <v>ND</v>
          </cell>
          <cell r="BB12" t="str">
            <v>ND</v>
          </cell>
          <cell r="BC12" t="str">
            <v>ND</v>
          </cell>
          <cell r="BD12" t="str">
            <v>ND</v>
          </cell>
          <cell r="BE12" t="str">
            <v>ND</v>
          </cell>
          <cell r="BF12" t="str">
            <v>ND</v>
          </cell>
          <cell r="BG12" t="str">
            <v>ND</v>
          </cell>
          <cell r="BH12" t="str">
            <v>ND</v>
          </cell>
          <cell r="BI12" t="str">
            <v>ND</v>
          </cell>
          <cell r="BJ12" t="str">
            <v>ND</v>
          </cell>
          <cell r="BK12" t="str">
            <v>ND</v>
          </cell>
          <cell r="BL12" t="str">
            <v>ND</v>
          </cell>
          <cell r="BM12" t="str">
            <v>ND</v>
          </cell>
          <cell r="BN12" t="str">
            <v>ND</v>
          </cell>
          <cell r="BO12" t="str">
            <v>ND</v>
          </cell>
          <cell r="BP12" t="str">
            <v>ND</v>
          </cell>
          <cell r="BQ12" t="str">
            <v>ND</v>
          </cell>
          <cell r="BR12" t="str">
            <v>ND</v>
          </cell>
          <cell r="BS12" t="str">
            <v>ND</v>
          </cell>
          <cell r="BT12" t="str">
            <v>ND</v>
          </cell>
          <cell r="BU12" t="str">
            <v>ND</v>
          </cell>
          <cell r="BV12" t="str">
            <v>ND</v>
          </cell>
          <cell r="BW12" t="str">
            <v>ND</v>
          </cell>
          <cell r="BX12" t="str">
            <v>ND</v>
          </cell>
          <cell r="BY12" t="str">
            <v>ND</v>
          </cell>
          <cell r="BZ12" t="str">
            <v>ND</v>
          </cell>
          <cell r="CA12" t="str">
            <v>ND</v>
          </cell>
          <cell r="CB12">
            <v>12</v>
          </cell>
          <cell r="CC12">
            <v>24</v>
          </cell>
          <cell r="CD12">
            <v>14</v>
          </cell>
          <cell r="CE12">
            <v>75</v>
          </cell>
          <cell r="CF12">
            <v>412</v>
          </cell>
          <cell r="CG12">
            <v>373</v>
          </cell>
          <cell r="CH12">
            <v>427</v>
          </cell>
          <cell r="CI12">
            <v>487</v>
          </cell>
          <cell r="CJ12">
            <v>414</v>
          </cell>
          <cell r="CK12">
            <v>432</v>
          </cell>
          <cell r="CL12">
            <v>320</v>
          </cell>
          <cell r="CM12">
            <v>168</v>
          </cell>
          <cell r="CN12">
            <v>192</v>
          </cell>
          <cell r="CO12">
            <v>208</v>
          </cell>
          <cell r="CP12">
            <v>221</v>
          </cell>
          <cell r="CQ12">
            <v>331</v>
          </cell>
          <cell r="CR12">
            <v>205</v>
          </cell>
          <cell r="CS12">
            <v>209</v>
          </cell>
          <cell r="CT12">
            <v>183</v>
          </cell>
          <cell r="CU12">
            <v>206</v>
          </cell>
          <cell r="CV12">
            <v>93</v>
          </cell>
          <cell r="CW12">
            <v>103</v>
          </cell>
          <cell r="CX12">
            <v>124</v>
          </cell>
          <cell r="CY12">
            <v>301</v>
          </cell>
          <cell r="CZ12">
            <v>149</v>
          </cell>
        </row>
        <row r="13">
          <cell r="B13" t="str">
            <v>Total Revenue</v>
          </cell>
          <cell r="D13">
            <v>5735</v>
          </cell>
          <cell r="E13">
            <v>4809</v>
          </cell>
          <cell r="F13">
            <v>3850</v>
          </cell>
          <cell r="G13">
            <v>3857</v>
          </cell>
          <cell r="H13">
            <v>4936</v>
          </cell>
          <cell r="I13">
            <v>2644</v>
          </cell>
          <cell r="J13">
            <v>2878</v>
          </cell>
          <cell r="K13">
            <v>1447</v>
          </cell>
          <cell r="L13">
            <v>3693</v>
          </cell>
          <cell r="M13">
            <v>4036</v>
          </cell>
          <cell r="N13">
            <v>3193</v>
          </cell>
          <cell r="O13">
            <v>3262</v>
          </cell>
          <cell r="P13">
            <v>3801</v>
          </cell>
          <cell r="Q13">
            <v>5946</v>
          </cell>
          <cell r="R13">
            <v>18606</v>
          </cell>
          <cell r="S13">
            <v>20882</v>
          </cell>
          <cell r="T13">
            <v>17120</v>
          </cell>
          <cell r="U13">
            <v>50706</v>
          </cell>
          <cell r="V13">
            <v>30828</v>
          </cell>
          <cell r="W13">
            <v>41151</v>
          </cell>
          <cell r="X13">
            <v>51035</v>
          </cell>
          <cell r="Y13">
            <v>45497</v>
          </cell>
          <cell r="Z13">
            <v>44062</v>
          </cell>
          <cell r="AA13">
            <v>45396.546093082739</v>
          </cell>
          <cell r="AB13">
            <v>50646.657072479749</v>
          </cell>
          <cell r="AC13">
            <v>50756.766540219469</v>
          </cell>
          <cell r="AD13">
            <v>49977.184351634925</v>
          </cell>
          <cell r="AE13">
            <v>49385.611601109151</v>
          </cell>
          <cell r="AF13">
            <v>48987.732052513718</v>
          </cell>
          <cell r="AG13">
            <v>48679.99538159059</v>
          </cell>
          <cell r="AJ13">
            <v>1065</v>
          </cell>
          <cell r="AK13">
            <v>1080</v>
          </cell>
          <cell r="AL13">
            <v>885</v>
          </cell>
          <cell r="AM13">
            <v>820</v>
          </cell>
          <cell r="AN13">
            <v>824</v>
          </cell>
          <cell r="AO13">
            <v>900</v>
          </cell>
          <cell r="AP13">
            <v>1037</v>
          </cell>
          <cell r="AQ13">
            <v>1096</v>
          </cell>
          <cell r="AR13">
            <v>1174</v>
          </cell>
          <cell r="AS13">
            <v>1370</v>
          </cell>
          <cell r="AT13">
            <v>1249</v>
          </cell>
          <cell r="AU13">
            <v>1143</v>
          </cell>
          <cell r="AV13">
            <v>579</v>
          </cell>
          <cell r="AW13">
            <v>613</v>
          </cell>
          <cell r="AX13">
            <v>682</v>
          </cell>
          <cell r="AY13">
            <v>770</v>
          </cell>
          <cell r="AZ13">
            <v>755</v>
          </cell>
          <cell r="BA13">
            <v>789</v>
          </cell>
          <cell r="BB13">
            <v>799</v>
          </cell>
          <cell r="BC13">
            <v>535</v>
          </cell>
          <cell r="BD13">
            <v>0</v>
          </cell>
          <cell r="BE13">
            <v>0</v>
          </cell>
          <cell r="BF13">
            <v>566</v>
          </cell>
          <cell r="BG13">
            <v>881</v>
          </cell>
          <cell r="BH13">
            <v>855</v>
          </cell>
          <cell r="BI13">
            <v>854</v>
          </cell>
          <cell r="BJ13">
            <v>976</v>
          </cell>
          <cell r="BK13">
            <v>1008</v>
          </cell>
          <cell r="BL13">
            <v>1136</v>
          </cell>
          <cell r="BM13">
            <v>976</v>
          </cell>
          <cell r="BN13">
            <v>975</v>
          </cell>
          <cell r="BO13">
            <v>949</v>
          </cell>
          <cell r="BP13">
            <v>849</v>
          </cell>
          <cell r="BQ13">
            <v>893</v>
          </cell>
          <cell r="BR13">
            <v>742</v>
          </cell>
          <cell r="BS13">
            <v>709</v>
          </cell>
          <cell r="BT13">
            <v>674</v>
          </cell>
          <cell r="BU13">
            <v>843</v>
          </cell>
          <cell r="BV13">
            <v>855</v>
          </cell>
          <cell r="BW13">
            <v>890</v>
          </cell>
          <cell r="BX13">
            <v>989</v>
          </cell>
          <cell r="BY13">
            <v>913</v>
          </cell>
          <cell r="BZ13">
            <v>954</v>
          </cell>
          <cell r="CA13">
            <v>945</v>
          </cell>
          <cell r="CB13">
            <v>1105</v>
          </cell>
          <cell r="CC13">
            <v>1161</v>
          </cell>
          <cell r="CD13">
            <v>1307</v>
          </cell>
          <cell r="CE13">
            <v>2373</v>
          </cell>
          <cell r="CF13">
            <v>4440</v>
          </cell>
          <cell r="CG13">
            <v>4376</v>
          </cell>
          <cell r="CH13">
            <v>4790</v>
          </cell>
          <cell r="CI13">
            <v>5000</v>
          </cell>
          <cell r="CJ13">
            <v>4418</v>
          </cell>
          <cell r="CK13">
            <v>4715</v>
          </cell>
          <cell r="CL13">
            <v>5815</v>
          </cell>
          <cell r="CM13">
            <v>5934</v>
          </cell>
          <cell r="CN13">
            <v>3718</v>
          </cell>
          <cell r="CO13">
            <v>4092</v>
          </cell>
          <cell r="CP13">
            <v>4052</v>
          </cell>
          <cell r="CQ13">
            <v>5258</v>
          </cell>
          <cell r="CR13">
            <v>12765</v>
          </cell>
          <cell r="CS13">
            <v>15599</v>
          </cell>
          <cell r="CT13">
            <v>14086</v>
          </cell>
          <cell r="CU13">
            <v>8256</v>
          </cell>
          <cell r="CV13">
            <v>5900</v>
          </cell>
          <cell r="CW13">
            <v>7499</v>
          </cell>
          <cell r="CX13">
            <v>8612</v>
          </cell>
          <cell r="CY13">
            <v>8817</v>
          </cell>
          <cell r="CZ13">
            <v>9755</v>
          </cell>
          <cell r="DA13">
            <v>10484</v>
          </cell>
          <cell r="DB13">
            <v>10302</v>
          </cell>
          <cell r="DC13">
            <v>10610</v>
          </cell>
          <cell r="DD13">
            <v>12252</v>
          </cell>
          <cell r="DE13">
            <v>14042</v>
          </cell>
          <cell r="DF13">
            <v>13297</v>
          </cell>
          <cell r="DG13">
            <v>11444</v>
          </cell>
          <cell r="DH13">
            <v>11879</v>
          </cell>
          <cell r="DI13">
            <v>11248</v>
          </cell>
          <cell r="DJ13">
            <v>11273</v>
          </cell>
          <cell r="DK13">
            <v>11097</v>
          </cell>
          <cell r="DL13">
            <v>10669</v>
          </cell>
          <cell r="DM13">
            <v>11103</v>
          </cell>
          <cell r="DN13">
            <v>11152</v>
          </cell>
          <cell r="DO13">
            <v>11138</v>
          </cell>
          <cell r="DP13">
            <v>11941.000969252538</v>
          </cell>
          <cell r="DQ13">
            <v>11539.502018498013</v>
          </cell>
          <cell r="DR13">
            <v>11212.978682602794</v>
          </cell>
          <cell r="DS13">
            <v>10703.064422729396</v>
          </cell>
          <cell r="DU13">
            <v>9373.3934692811745</v>
          </cell>
          <cell r="DX13" t="str">
            <v>mstag:revenueNet</v>
          </cell>
          <cell r="DY13">
            <v>6</v>
          </cell>
          <cell r="DZ13" t="str">
            <v>ISO4217:USD</v>
          </cell>
          <cell r="EA13" t="b">
            <v>0</v>
          </cell>
        </row>
        <row r="14">
          <cell r="B14" t="str">
            <v>Revenue Growth (%)</v>
          </cell>
          <cell r="E14">
            <v>-0.16146469049694856</v>
          </cell>
          <cell r="F14">
            <v>-0.19941775836972342</v>
          </cell>
          <cell r="G14">
            <v>1.8181818181817189E-3</v>
          </cell>
          <cell r="H14">
            <v>0.27975110189266261</v>
          </cell>
          <cell r="I14">
            <v>-0.46434359805510539</v>
          </cell>
          <cell r="J14">
            <v>8.8502269288956104E-2</v>
          </cell>
          <cell r="K14">
            <v>-0.49722029186935368</v>
          </cell>
          <cell r="L14">
            <v>1.5521769177608844</v>
          </cell>
          <cell r="M14">
            <v>9.2878418629840143E-2</v>
          </cell>
          <cell r="N14">
            <v>-0.20887016848364715</v>
          </cell>
          <cell r="O14">
            <v>2.1609771374882625E-2</v>
          </cell>
          <cell r="P14">
            <v>0.16523605150214582</v>
          </cell>
          <cell r="Q14">
            <v>0.56432517758484613</v>
          </cell>
          <cell r="R14">
            <v>2.1291624621594347</v>
          </cell>
          <cell r="S14">
            <v>0.12232613135547665</v>
          </cell>
          <cell r="T14">
            <v>-0.18015515755195866</v>
          </cell>
          <cell r="U14">
            <v>1.9617990654205606</v>
          </cell>
          <cell r="V14">
            <v>-0.39202461247189679</v>
          </cell>
          <cell r="W14">
            <v>0.334857921370183</v>
          </cell>
          <cell r="X14">
            <v>0.24018857378921532</v>
          </cell>
          <cell r="Y14">
            <v>-0.10851376506319188</v>
          </cell>
          <cell r="Z14">
            <v>-3.1540541134580269E-2</v>
          </cell>
          <cell r="AA14">
            <v>3.0287914599490318E-2</v>
          </cell>
          <cell r="AB14">
            <v>0.11565000933401381</v>
          </cell>
          <cell r="AC14">
            <v>2.1740717769811457E-3</v>
          </cell>
          <cell r="AD14">
            <v>-1.5359177538758373E-2</v>
          </cell>
          <cell r="AE14">
            <v>-1.1836856321547073E-2</v>
          </cell>
          <cell r="AF14">
            <v>-8.0565884616177197E-3</v>
          </cell>
          <cell r="AG14">
            <v>-6.2819130020805858E-3</v>
          </cell>
          <cell r="AN14">
            <v>-0.22629107981220653</v>
          </cell>
          <cell r="AO14">
            <v>-0.16666666666666663</v>
          </cell>
          <cell r="AP14">
            <v>0.17175141242937864</v>
          </cell>
          <cell r="AQ14">
            <v>0.33658536585365861</v>
          </cell>
          <cell r="AR14">
            <v>0.42475728155339798</v>
          </cell>
          <cell r="AS14">
            <v>0.52222222222222214</v>
          </cell>
          <cell r="AT14">
            <v>0.20443587270973973</v>
          </cell>
          <cell r="AU14">
            <v>4.2883211678832023E-2</v>
          </cell>
          <cell r="AV14">
            <v>-0.50681431005110733</v>
          </cell>
          <cell r="AW14">
            <v>-0.55255474452554743</v>
          </cell>
          <cell r="AX14">
            <v>-0.45396317053642909</v>
          </cell>
          <cell r="AY14">
            <v>-0.32633420822397197</v>
          </cell>
          <cell r="AZ14">
            <v>0.30397236614853185</v>
          </cell>
          <cell r="BA14">
            <v>0.28711256117455131</v>
          </cell>
          <cell r="BB14">
            <v>0.17155425219941356</v>
          </cell>
          <cell r="BC14">
            <v>-0.30519480519480524</v>
          </cell>
          <cell r="BD14">
            <v>-1</v>
          </cell>
          <cell r="BE14">
            <v>-1</v>
          </cell>
          <cell r="BF14">
            <v>-0.29161451814768458</v>
          </cell>
          <cell r="BG14">
            <v>0.64672897196261681</v>
          </cell>
          <cell r="BH14" t="str">
            <v>NM</v>
          </cell>
          <cell r="BI14" t="str">
            <v>NM</v>
          </cell>
          <cell r="BJ14">
            <v>0.72438162544169615</v>
          </cell>
          <cell r="BK14">
            <v>0.14415437003405218</v>
          </cell>
          <cell r="BL14">
            <v>0.32865497076023398</v>
          </cell>
          <cell r="BM14">
            <v>0.14285714285714279</v>
          </cell>
          <cell r="BN14">
            <v>-1.0245901639344135E-3</v>
          </cell>
          <cell r="BO14">
            <v>-5.8531746031746046E-2</v>
          </cell>
          <cell r="BP14">
            <v>-0.2526408450704225</v>
          </cell>
          <cell r="BQ14">
            <v>-8.504098360655743E-2</v>
          </cell>
          <cell r="BR14">
            <v>-0.23897435897435892</v>
          </cell>
          <cell r="BS14">
            <v>-0.25289778714436251</v>
          </cell>
          <cell r="BT14">
            <v>-0.20612485276796233</v>
          </cell>
          <cell r="BU14">
            <v>-5.5991041433370636E-2</v>
          </cell>
          <cell r="BV14">
            <v>0.15229110512129385</v>
          </cell>
          <cell r="BW14">
            <v>0.25528913963328637</v>
          </cell>
          <cell r="BX14">
            <v>0.46735905044510395</v>
          </cell>
          <cell r="BY14">
            <v>8.3036773428232458E-2</v>
          </cell>
          <cell r="BZ14">
            <v>0.11578947368421044</v>
          </cell>
          <cell r="CA14">
            <v>6.1797752808988804E-2</v>
          </cell>
          <cell r="CB14">
            <v>0.11729019211324565</v>
          </cell>
          <cell r="CC14">
            <v>0.27163198247535592</v>
          </cell>
          <cell r="CD14">
            <v>0.37002096436058696</v>
          </cell>
          <cell r="CE14">
            <v>1.5111111111111111</v>
          </cell>
          <cell r="CF14">
            <v>3.0180995475113122</v>
          </cell>
          <cell r="CG14">
            <v>2.7691645133505598</v>
          </cell>
          <cell r="CH14">
            <v>2.6648814078041316</v>
          </cell>
          <cell r="CI14">
            <v>1.1070375052675936</v>
          </cell>
          <cell r="CJ14">
            <v>-4.9549549549549043E-3</v>
          </cell>
          <cell r="CK14">
            <v>7.7468007312614162E-2</v>
          </cell>
          <cell r="CL14">
            <v>0.21398747390396666</v>
          </cell>
          <cell r="CM14">
            <v>0.18680000000000008</v>
          </cell>
          <cell r="CN14">
            <v>-0.15844273426889999</v>
          </cell>
          <cell r="CO14">
            <v>-0.13213149522799572</v>
          </cell>
          <cell r="CP14">
            <v>-0.30318142734307829</v>
          </cell>
          <cell r="CQ14">
            <v>-0.1139197842938996</v>
          </cell>
          <cell r="CR14">
            <v>2.4332974717590101</v>
          </cell>
          <cell r="CS14">
            <v>2.8120723362658846</v>
          </cell>
          <cell r="CT14">
            <v>2.4763079960513328</v>
          </cell>
          <cell r="CU14">
            <v>0.57017877519969562</v>
          </cell>
          <cell r="CV14">
            <v>-0.53779866823345079</v>
          </cell>
          <cell r="CW14">
            <v>-0.51926405538816589</v>
          </cell>
          <cell r="CX14">
            <v>-0.38861280704245349</v>
          </cell>
          <cell r="CY14">
            <v>6.795058139534893E-2</v>
          </cell>
          <cell r="CZ14">
            <v>0.65338983050847466</v>
          </cell>
          <cell r="DA14">
            <v>0.39805307374316579</v>
          </cell>
          <cell r="DB14">
            <v>0.19623780771017185</v>
          </cell>
          <cell r="DC14">
            <v>0.20335715095837581</v>
          </cell>
          <cell r="DD14">
            <v>0.2559712967708867</v>
          </cell>
          <cell r="DE14">
            <v>0.33937428462418917</v>
          </cell>
          <cell r="DF14">
            <v>0.29072024849543787</v>
          </cell>
          <cell r="DG14">
            <v>7.860508953817158E-2</v>
          </cell>
          <cell r="DH14">
            <v>-3.0444009141364692E-2</v>
          </cell>
          <cell r="DI14">
            <v>-0.1989745050562598</v>
          </cell>
          <cell r="DJ14">
            <v>-0.15221478528991506</v>
          </cell>
          <cell r="DK14">
            <v>-3.0321565886053836E-2</v>
          </cell>
          <cell r="DL14">
            <v>-0.10186042596178124</v>
          </cell>
          <cell r="DM14">
            <v>-1.2891180654338585E-2</v>
          </cell>
          <cell r="DN14">
            <v>-1.0733611283597955E-2</v>
          </cell>
          <cell r="DO14">
            <v>3.6946922591691855E-3</v>
          </cell>
          <cell r="DP14">
            <v>0.11922401061510346</v>
          </cell>
          <cell r="DQ14">
            <v>3.9313880797803513E-2</v>
          </cell>
          <cell r="DR14">
            <v>5.4679593438660135E-3</v>
          </cell>
          <cell r="DS14">
            <v>-3.9049701676297732E-2</v>
          </cell>
          <cell r="DU14">
            <v>6.310462394024885E-2</v>
          </cell>
        </row>
        <row r="15">
          <cell r="DP15" t="str">
            <v xml:space="preserve"> </v>
          </cell>
        </row>
        <row r="16">
          <cell r="B16" t="str">
            <v>Cost of goods sold (inc. D&amp;A)</v>
          </cell>
          <cell r="D16">
            <v>-5210</v>
          </cell>
          <cell r="E16">
            <v>-4578</v>
          </cell>
          <cell r="F16">
            <v>-3627</v>
          </cell>
          <cell r="G16">
            <v>-3296</v>
          </cell>
          <cell r="H16">
            <v>-4026</v>
          </cell>
          <cell r="I16">
            <v>-2228</v>
          </cell>
          <cell r="J16">
            <v>-2250</v>
          </cell>
          <cell r="K16">
            <v>-1089</v>
          </cell>
          <cell r="L16">
            <v>-2876</v>
          </cell>
          <cell r="M16">
            <v>-3371</v>
          </cell>
          <cell r="N16">
            <v>-2862</v>
          </cell>
          <cell r="O16">
            <v>-2898</v>
          </cell>
          <cell r="P16">
            <v>-3599</v>
          </cell>
          <cell r="Q16">
            <v>-5456</v>
          </cell>
          <cell r="R16">
            <v>-16363</v>
          </cell>
          <cell r="S16">
            <v>-18485</v>
          </cell>
          <cell r="T16">
            <v>-15196</v>
          </cell>
          <cell r="U16">
            <v>-48780</v>
          </cell>
          <cell r="V16">
            <v>-29372</v>
          </cell>
          <cell r="W16">
            <v>-37265</v>
          </cell>
          <cell r="X16">
            <v>-45629</v>
          </cell>
          <cell r="Y16">
            <v>-39810</v>
          </cell>
          <cell r="Z16">
            <v>-37955</v>
          </cell>
          <cell r="AA16">
            <v>-38701.811276696026</v>
          </cell>
          <cell r="AB16">
            <v>-43742.196477076206</v>
          </cell>
          <cell r="AC16">
            <v>-43725.220861516333</v>
          </cell>
          <cell r="AD16">
            <v>-43144.303681954225</v>
          </cell>
          <cell r="AE16">
            <v>-42864.936022016329</v>
          </cell>
          <cell r="AF16">
            <v>-44184.827909018371</v>
          </cell>
          <cell r="AG16">
            <v>-44178.809412041141</v>
          </cell>
          <cell r="AJ16">
            <v>-1029</v>
          </cell>
          <cell r="AK16">
            <v>-1040</v>
          </cell>
          <cell r="AL16">
            <v>-817</v>
          </cell>
          <cell r="AM16">
            <v>-741</v>
          </cell>
          <cell r="AN16">
            <v>-736</v>
          </cell>
          <cell r="AO16">
            <v>-794</v>
          </cell>
          <cell r="AP16">
            <v>-880</v>
          </cell>
          <cell r="AQ16">
            <v>-886</v>
          </cell>
          <cell r="AR16">
            <v>-907</v>
          </cell>
          <cell r="AS16">
            <v>-1085</v>
          </cell>
          <cell r="AT16">
            <v>-1011</v>
          </cell>
          <cell r="AU16">
            <v>-1023</v>
          </cell>
          <cell r="AV16">
            <v>-504</v>
          </cell>
          <cell r="AW16">
            <v>-535</v>
          </cell>
          <cell r="AX16">
            <v>-560</v>
          </cell>
          <cell r="AY16">
            <v>-629</v>
          </cell>
          <cell r="AZ16">
            <v>-629</v>
          </cell>
          <cell r="BA16">
            <v>-593</v>
          </cell>
          <cell r="BB16">
            <v>-595</v>
          </cell>
          <cell r="BC16">
            <v>-433</v>
          </cell>
          <cell r="BD16">
            <v>0</v>
          </cell>
          <cell r="BE16">
            <v>0</v>
          </cell>
          <cell r="BF16">
            <v>-408</v>
          </cell>
          <cell r="BG16">
            <v>-681</v>
          </cell>
          <cell r="BH16">
            <v>-630</v>
          </cell>
          <cell r="BI16">
            <v>-651</v>
          </cell>
          <cell r="BJ16">
            <v>-771</v>
          </cell>
          <cell r="BK16">
            <v>-824</v>
          </cell>
          <cell r="BL16">
            <v>-952</v>
          </cell>
          <cell r="BM16">
            <v>-769</v>
          </cell>
          <cell r="BN16">
            <v>-793</v>
          </cell>
          <cell r="BO16">
            <v>-857</v>
          </cell>
          <cell r="BP16">
            <v>-761</v>
          </cell>
          <cell r="BQ16">
            <v>-770</v>
          </cell>
          <cell r="BR16">
            <v>-640</v>
          </cell>
          <cell r="BS16">
            <v>-691</v>
          </cell>
          <cell r="BT16">
            <v>-589</v>
          </cell>
          <cell r="BU16">
            <v>-724</v>
          </cell>
          <cell r="BV16">
            <v>-749</v>
          </cell>
          <cell r="BW16">
            <v>-836</v>
          </cell>
          <cell r="BX16">
            <v>-956</v>
          </cell>
          <cell r="BY16">
            <v>-866</v>
          </cell>
          <cell r="BZ16">
            <v>-891</v>
          </cell>
          <cell r="CA16">
            <v>-886</v>
          </cell>
          <cell r="CB16">
            <v>-1029</v>
          </cell>
          <cell r="CC16">
            <v>-1084</v>
          </cell>
          <cell r="CD16">
            <v>-1195</v>
          </cell>
          <cell r="CE16">
            <v>-2148</v>
          </cell>
          <cell r="CF16">
            <v>-3784</v>
          </cell>
          <cell r="CG16">
            <v>-3865</v>
          </cell>
          <cell r="CH16">
            <v>-4320</v>
          </cell>
          <cell r="CI16">
            <v>-4394</v>
          </cell>
          <cell r="CJ16">
            <v>-3876</v>
          </cell>
          <cell r="CK16">
            <v>-4268</v>
          </cell>
          <cell r="CL16">
            <v>-5162</v>
          </cell>
          <cell r="CM16">
            <v>-5179</v>
          </cell>
          <cell r="CN16">
            <v>-3249</v>
          </cell>
          <cell r="CO16">
            <v>-3570</v>
          </cell>
          <cell r="CP16">
            <v>-3490</v>
          </cell>
          <cell r="CQ16">
            <v>-4887</v>
          </cell>
          <cell r="CR16">
            <v>-12074</v>
          </cell>
          <cell r="CS16">
            <v>-14805</v>
          </cell>
          <cell r="CT16">
            <v>-13468</v>
          </cell>
          <cell r="CU16">
            <v>-8433</v>
          </cell>
          <cell r="CV16">
            <v>-5792</v>
          </cell>
          <cell r="CW16">
            <v>-7158</v>
          </cell>
          <cell r="CX16">
            <v>-7956</v>
          </cell>
          <cell r="CY16">
            <v>-8466</v>
          </cell>
          <cell r="CZ16">
            <v>-9130</v>
          </cell>
          <cell r="DA16">
            <v>-9482</v>
          </cell>
          <cell r="DB16">
            <v>-9075</v>
          </cell>
          <cell r="DC16">
            <v>-9494</v>
          </cell>
          <cell r="DD16">
            <v>-10943</v>
          </cell>
          <cell r="DE16">
            <v>-12474</v>
          </cell>
          <cell r="DF16">
            <v>-11538</v>
          </cell>
          <cell r="DG16">
            <v>-10958</v>
          </cell>
          <cell r="DH16">
            <v>-10670</v>
          </cell>
          <cell r="DI16">
            <v>-9561</v>
          </cell>
          <cell r="DJ16">
            <v>-9741</v>
          </cell>
          <cell r="DK16">
            <v>-9832</v>
          </cell>
          <cell r="DL16">
            <v>-9153</v>
          </cell>
          <cell r="DM16">
            <v>-9496</v>
          </cell>
          <cell r="DN16">
            <v>-9690</v>
          </cell>
          <cell r="DO16">
            <v>-9601</v>
          </cell>
          <cell r="DP16">
            <v>-10277.309314626011</v>
          </cell>
          <cell r="DQ16">
            <v>-9972.2558673758831</v>
          </cell>
          <cell r="DR16">
            <v>-9465.4674863479013</v>
          </cell>
          <cell r="DS16">
            <v>-8986.7786083462343</v>
          </cell>
          <cell r="DU16">
            <v>-8318.6587519511268</v>
          </cell>
        </row>
        <row r="18">
          <cell r="B18" t="str">
            <v>D&amp;A</v>
          </cell>
          <cell r="D18">
            <v>-39</v>
          </cell>
          <cell r="E18">
            <v>-39</v>
          </cell>
          <cell r="F18">
            <v>-58</v>
          </cell>
          <cell r="G18">
            <v>-65</v>
          </cell>
          <cell r="H18">
            <v>-86</v>
          </cell>
          <cell r="I18">
            <v>-110</v>
          </cell>
          <cell r="J18">
            <v>-84</v>
          </cell>
          <cell r="K18">
            <v>-138</v>
          </cell>
          <cell r="L18">
            <v>-330</v>
          </cell>
          <cell r="M18">
            <v>-279</v>
          </cell>
          <cell r="N18">
            <v>-254</v>
          </cell>
          <cell r="O18">
            <v>-244</v>
          </cell>
          <cell r="P18">
            <v>-250</v>
          </cell>
          <cell r="Q18">
            <v>-289</v>
          </cell>
          <cell r="R18">
            <v>-729</v>
          </cell>
          <cell r="S18">
            <v>-711</v>
          </cell>
          <cell r="T18">
            <v>-472</v>
          </cell>
          <cell r="U18">
            <v>-1911</v>
          </cell>
          <cell r="V18">
            <v>-1774</v>
          </cell>
          <cell r="W18">
            <v>-1123</v>
          </cell>
          <cell r="X18">
            <v>-931</v>
          </cell>
          <cell r="Y18">
            <v>-983</v>
          </cell>
          <cell r="Z18">
            <v>-1022</v>
          </cell>
          <cell r="AA18">
            <v>-1006.4605098038063</v>
          </cell>
          <cell r="AB18">
            <v>-1015.4871786611533</v>
          </cell>
          <cell r="AC18">
            <v>-1011.1941539246532</v>
          </cell>
          <cell r="AD18">
            <v>-1006.5295915636952</v>
          </cell>
          <cell r="AE18">
            <v>-1001.6764986110137</v>
          </cell>
          <cell r="AF18">
            <v>-996.79812147224277</v>
          </cell>
          <cell r="AG18">
            <v>-988.35892852175675</v>
          </cell>
          <cell r="AJ18">
            <v>-14</v>
          </cell>
          <cell r="AK18">
            <v>-14</v>
          </cell>
          <cell r="AL18">
            <v>-15</v>
          </cell>
          <cell r="AM18">
            <v>-15</v>
          </cell>
          <cell r="AN18">
            <v>-15</v>
          </cell>
          <cell r="AO18">
            <v>-14</v>
          </cell>
          <cell r="AP18">
            <v>-17</v>
          </cell>
          <cell r="AQ18">
            <v>-19</v>
          </cell>
          <cell r="AR18">
            <v>-18</v>
          </cell>
          <cell r="AS18">
            <v>-20</v>
          </cell>
          <cell r="AT18">
            <v>-23</v>
          </cell>
          <cell r="AU18">
            <v>-25</v>
          </cell>
          <cell r="AV18">
            <v>-17</v>
          </cell>
          <cell r="AW18">
            <v>-16</v>
          </cell>
          <cell r="AX18">
            <v>-21</v>
          </cell>
          <cell r="AY18">
            <v>-56</v>
          </cell>
          <cell r="AZ18">
            <v>-22</v>
          </cell>
          <cell r="BA18">
            <v>-22</v>
          </cell>
          <cell r="BB18">
            <v>-22</v>
          </cell>
          <cell r="BC18">
            <v>-18</v>
          </cell>
          <cell r="BD18">
            <v>0</v>
          </cell>
          <cell r="BE18">
            <v>0</v>
          </cell>
          <cell r="BF18">
            <v>-65</v>
          </cell>
          <cell r="BG18">
            <v>-73</v>
          </cell>
          <cell r="BH18">
            <v>-85</v>
          </cell>
          <cell r="BI18">
            <v>-79</v>
          </cell>
          <cell r="BJ18">
            <v>-80</v>
          </cell>
          <cell r="BK18">
            <v>-86</v>
          </cell>
          <cell r="BL18">
            <v>-84</v>
          </cell>
          <cell r="BM18">
            <v>-66</v>
          </cell>
          <cell r="BN18">
            <v>-69</v>
          </cell>
          <cell r="BO18">
            <v>-60</v>
          </cell>
          <cell r="BP18">
            <v>-65</v>
          </cell>
          <cell r="BQ18">
            <v>-67</v>
          </cell>
          <cell r="BR18">
            <v>-67</v>
          </cell>
          <cell r="BS18">
            <v>-55</v>
          </cell>
          <cell r="BT18">
            <v>-48</v>
          </cell>
          <cell r="BU18">
            <v>-67</v>
          </cell>
          <cell r="BV18">
            <v>-62</v>
          </cell>
          <cell r="BW18">
            <v>-67</v>
          </cell>
          <cell r="BX18">
            <v>-57</v>
          </cell>
          <cell r="BY18">
            <v>-61</v>
          </cell>
          <cell r="BZ18">
            <v>-66</v>
          </cell>
          <cell r="CA18">
            <v>-66</v>
          </cell>
          <cell r="CB18">
            <v>-63</v>
          </cell>
          <cell r="CC18">
            <v>-64</v>
          </cell>
          <cell r="CD18">
            <v>-59</v>
          </cell>
          <cell r="CE18">
            <v>-103</v>
          </cell>
          <cell r="CF18">
            <v>-178</v>
          </cell>
          <cell r="CG18">
            <v>-185</v>
          </cell>
          <cell r="CH18">
            <v>-182</v>
          </cell>
          <cell r="CI18">
            <v>-184</v>
          </cell>
          <cell r="CJ18">
            <v>-156</v>
          </cell>
          <cell r="CK18">
            <v>-157</v>
          </cell>
          <cell r="CL18">
            <v>-182</v>
          </cell>
          <cell r="CM18">
            <v>-216</v>
          </cell>
          <cell r="CN18">
            <v>-103</v>
          </cell>
          <cell r="CO18">
            <v>-123</v>
          </cell>
          <cell r="CP18">
            <v>-100</v>
          </cell>
          <cell r="CQ18">
            <v>-146</v>
          </cell>
          <cell r="CR18">
            <v>-461</v>
          </cell>
          <cell r="CS18">
            <v>-477</v>
          </cell>
          <cell r="CT18">
            <v>-472</v>
          </cell>
          <cell r="CU18">
            <v>-501</v>
          </cell>
          <cell r="CV18">
            <v>-416</v>
          </cell>
          <cell r="CW18">
            <v>-479</v>
          </cell>
          <cell r="CX18">
            <v>-443</v>
          </cell>
          <cell r="CY18">
            <v>-436</v>
          </cell>
          <cell r="CZ18">
            <v>-424</v>
          </cell>
          <cell r="DA18">
            <v>-270</v>
          </cell>
          <cell r="DB18">
            <v>-222</v>
          </cell>
          <cell r="DC18">
            <v>-207</v>
          </cell>
          <cell r="DD18">
            <v>-215</v>
          </cell>
          <cell r="DE18">
            <v>-224</v>
          </cell>
          <cell r="DF18">
            <v>-237</v>
          </cell>
          <cell r="DG18">
            <v>-255</v>
          </cell>
          <cell r="DH18">
            <v>-237</v>
          </cell>
          <cell r="DI18">
            <v>-244</v>
          </cell>
          <cell r="DJ18">
            <v>-236</v>
          </cell>
          <cell r="DK18">
            <v>-266</v>
          </cell>
          <cell r="DL18">
            <v>-254</v>
          </cell>
          <cell r="DM18">
            <v>-254</v>
          </cell>
          <cell r="DN18">
            <v>-262</v>
          </cell>
          <cell r="DO18">
            <v>-252</v>
          </cell>
          <cell r="DP18">
            <v>-249.61512745095158</v>
          </cell>
          <cell r="DQ18">
            <v>-253.61512745095158</v>
          </cell>
          <cell r="DR18">
            <v>-251.61512745095158</v>
          </cell>
          <cell r="DS18">
            <v>-251.61512745095158</v>
          </cell>
          <cell r="DU18">
            <v>-201</v>
          </cell>
        </row>
        <row r="19">
          <cell r="DP19" t="str">
            <v xml:space="preserve"> </v>
          </cell>
        </row>
        <row r="20">
          <cell r="B20" t="str">
            <v>Cost of goods sold (economic)</v>
          </cell>
          <cell r="D20">
            <v>-5171</v>
          </cell>
          <cell r="E20">
            <v>-4539</v>
          </cell>
          <cell r="F20">
            <v>-3569</v>
          </cell>
          <cell r="G20">
            <v>-3231</v>
          </cell>
          <cell r="H20">
            <v>-3940</v>
          </cell>
          <cell r="I20">
            <v>-2118</v>
          </cell>
          <cell r="J20">
            <v>-2166</v>
          </cell>
          <cell r="K20">
            <v>-951</v>
          </cell>
          <cell r="L20">
            <v>-2546</v>
          </cell>
          <cell r="M20">
            <v>-3092</v>
          </cell>
          <cell r="N20">
            <v>-2608</v>
          </cell>
          <cell r="O20">
            <v>-2654</v>
          </cell>
          <cell r="P20">
            <v>-3349</v>
          </cell>
          <cell r="Q20">
            <v>-5167</v>
          </cell>
          <cell r="R20">
            <v>-15634</v>
          </cell>
          <cell r="S20">
            <v>-17774</v>
          </cell>
          <cell r="T20">
            <v>-14724</v>
          </cell>
          <cell r="U20">
            <v>-46869</v>
          </cell>
          <cell r="V20">
            <v>-27598</v>
          </cell>
          <cell r="W20">
            <v>-36142</v>
          </cell>
          <cell r="X20">
            <v>-44698</v>
          </cell>
          <cell r="Y20">
            <v>-38827</v>
          </cell>
          <cell r="Z20">
            <v>-36933</v>
          </cell>
          <cell r="AA20">
            <v>-37695.350766892218</v>
          </cell>
          <cell r="AB20">
            <v>-42726.709298415051</v>
          </cell>
          <cell r="AC20">
            <v>-42714.026707591678</v>
          </cell>
          <cell r="AD20">
            <v>-42137.774090390529</v>
          </cell>
          <cell r="AE20">
            <v>-41863.259523405315</v>
          </cell>
          <cell r="AF20">
            <v>-43188.029787546126</v>
          </cell>
          <cell r="AG20">
            <v>-43190.450483519387</v>
          </cell>
          <cell r="AJ20">
            <v>-1015</v>
          </cell>
          <cell r="AK20">
            <v>-1026</v>
          </cell>
          <cell r="AL20">
            <v>-802</v>
          </cell>
          <cell r="AM20">
            <v>-726</v>
          </cell>
          <cell r="AN20">
            <v>-721</v>
          </cell>
          <cell r="AO20">
            <v>-780</v>
          </cell>
          <cell r="AP20">
            <v>-863</v>
          </cell>
          <cell r="AQ20">
            <v>-867</v>
          </cell>
          <cell r="AR20">
            <v>-889</v>
          </cell>
          <cell r="AS20">
            <v>-1065</v>
          </cell>
          <cell r="AT20">
            <v>-988</v>
          </cell>
          <cell r="AU20">
            <v>-998</v>
          </cell>
          <cell r="AV20">
            <v>-487</v>
          </cell>
          <cell r="AW20">
            <v>-519</v>
          </cell>
          <cell r="AX20">
            <v>-539</v>
          </cell>
          <cell r="AY20">
            <v>-573</v>
          </cell>
          <cell r="AZ20">
            <v>-607</v>
          </cell>
          <cell r="BA20">
            <v>-571</v>
          </cell>
          <cell r="BB20">
            <v>-573</v>
          </cell>
          <cell r="BC20">
            <v>-415</v>
          </cell>
          <cell r="BD20">
            <v>0</v>
          </cell>
          <cell r="BE20">
            <v>0</v>
          </cell>
          <cell r="BF20">
            <v>-343</v>
          </cell>
          <cell r="BG20">
            <v>-608</v>
          </cell>
          <cell r="BH20">
            <v>-545</v>
          </cell>
          <cell r="BI20">
            <v>-572</v>
          </cell>
          <cell r="BJ20">
            <v>-691</v>
          </cell>
          <cell r="BK20">
            <v>-738</v>
          </cell>
          <cell r="BL20">
            <v>-868</v>
          </cell>
          <cell r="BM20">
            <v>-703</v>
          </cell>
          <cell r="BN20">
            <v>-724</v>
          </cell>
          <cell r="BO20">
            <v>-797</v>
          </cell>
          <cell r="BP20">
            <v>-696</v>
          </cell>
          <cell r="BQ20">
            <v>-703</v>
          </cell>
          <cell r="BR20">
            <v>-573</v>
          </cell>
          <cell r="BS20">
            <v>-636</v>
          </cell>
          <cell r="BT20">
            <v>-541</v>
          </cell>
          <cell r="BU20">
            <v>-657</v>
          </cell>
          <cell r="BV20">
            <v>-687</v>
          </cell>
          <cell r="BW20">
            <v>-769</v>
          </cell>
          <cell r="BX20">
            <v>-899</v>
          </cell>
          <cell r="BY20">
            <v>-805</v>
          </cell>
          <cell r="BZ20">
            <v>-825</v>
          </cell>
          <cell r="CA20">
            <v>-820</v>
          </cell>
          <cell r="CB20">
            <v>-966</v>
          </cell>
          <cell r="CC20">
            <v>-1020</v>
          </cell>
          <cell r="CD20">
            <v>-1136</v>
          </cell>
          <cell r="CE20">
            <v>-2045</v>
          </cell>
          <cell r="CF20">
            <v>-3606</v>
          </cell>
          <cell r="CG20">
            <v>-3680</v>
          </cell>
          <cell r="CH20">
            <v>-4138</v>
          </cell>
          <cell r="CI20">
            <v>-4210</v>
          </cell>
          <cell r="CJ20">
            <v>-3720</v>
          </cell>
          <cell r="CK20">
            <v>-4111</v>
          </cell>
          <cell r="CL20">
            <v>-4980</v>
          </cell>
          <cell r="CM20">
            <v>-4963</v>
          </cell>
          <cell r="CN20">
            <v>-3146</v>
          </cell>
          <cell r="CO20">
            <v>-3447</v>
          </cell>
          <cell r="CP20">
            <v>-3390</v>
          </cell>
          <cell r="CQ20">
            <v>-4741</v>
          </cell>
          <cell r="CR20">
            <v>-11613</v>
          </cell>
          <cell r="CS20">
            <v>-14328</v>
          </cell>
          <cell r="CT20">
            <v>-12996</v>
          </cell>
          <cell r="CU20">
            <v>-7932</v>
          </cell>
          <cell r="CV20">
            <v>-5376</v>
          </cell>
          <cell r="CW20">
            <v>-6679</v>
          </cell>
          <cell r="CX20">
            <v>-7513</v>
          </cell>
          <cell r="CY20">
            <v>-8030</v>
          </cell>
          <cell r="CZ20">
            <v>-8706</v>
          </cell>
          <cell r="DA20">
            <v>-9212</v>
          </cell>
          <cell r="DB20">
            <v>-8853</v>
          </cell>
          <cell r="DC20">
            <v>-9287</v>
          </cell>
          <cell r="DD20">
            <v>-10728</v>
          </cell>
          <cell r="DE20">
            <v>-12250</v>
          </cell>
          <cell r="DF20">
            <v>-11301</v>
          </cell>
          <cell r="DG20">
            <v>-10703</v>
          </cell>
          <cell r="DH20">
            <v>-10433</v>
          </cell>
          <cell r="DI20">
            <v>-9317</v>
          </cell>
          <cell r="DJ20">
            <v>-9505</v>
          </cell>
          <cell r="DK20">
            <v>-9566</v>
          </cell>
          <cell r="DL20">
            <v>-8899</v>
          </cell>
          <cell r="DM20">
            <v>-9242</v>
          </cell>
          <cell r="DN20">
            <v>-9428</v>
          </cell>
          <cell r="DO20">
            <v>-9349</v>
          </cell>
          <cell r="DP20">
            <v>-10027.694187175059</v>
          </cell>
          <cell r="DQ20">
            <v>-9718.640739924931</v>
          </cell>
          <cell r="DR20">
            <v>-9213.8523588969492</v>
          </cell>
          <cell r="DS20">
            <v>-8735.1634808952822</v>
          </cell>
          <cell r="DU20">
            <v>-8117.6587519511259</v>
          </cell>
          <cell r="DX20" t="str">
            <v>mstag:costOfSalesWithoutDepreciation</v>
          </cell>
          <cell r="DY20">
            <v>6</v>
          </cell>
          <cell r="DZ20" t="str">
            <v>ISO4217:USD</v>
          </cell>
          <cell r="EA20" t="b">
            <v>1</v>
          </cell>
        </row>
        <row r="21">
          <cell r="B21" t="str">
            <v>COGS as % Revenues</v>
          </cell>
          <cell r="D21">
            <v>0.90165649520488234</v>
          </cell>
          <cell r="E21">
            <v>0.94385527136618841</v>
          </cell>
          <cell r="F21">
            <v>0.92701298701298707</v>
          </cell>
          <cell r="G21">
            <v>0.83769769250712989</v>
          </cell>
          <cell r="H21">
            <v>0.79821717990275531</v>
          </cell>
          <cell r="I21">
            <v>0.80105900151285936</v>
          </cell>
          <cell r="J21">
            <v>0.75260597637248094</v>
          </cell>
          <cell r="K21">
            <v>0.65722183828610914</v>
          </cell>
          <cell r="L21">
            <v>0.68941240184132146</v>
          </cell>
          <cell r="M21">
            <v>0.76610505450941524</v>
          </cell>
          <cell r="N21">
            <v>0.81678672095208271</v>
          </cell>
          <cell r="O21">
            <v>0.81361128142244021</v>
          </cell>
          <cell r="P21">
            <v>0.88108392528282031</v>
          </cell>
          <cell r="Q21">
            <v>0.86898755465859401</v>
          </cell>
          <cell r="R21">
            <v>0.84026658067290116</v>
          </cell>
          <cell r="S21">
            <v>0.8511636816396897</v>
          </cell>
          <cell r="T21">
            <v>0.86004672897196266</v>
          </cell>
          <cell r="U21">
            <v>0.9243284818364691</v>
          </cell>
          <cell r="V21">
            <v>0.89522512002076038</v>
          </cell>
          <cell r="W21">
            <v>0.87827756312118777</v>
          </cell>
          <cell r="X21">
            <v>0.87583031253061627</v>
          </cell>
          <cell r="Y21">
            <v>0.85339692726992988</v>
          </cell>
          <cell r="Z21">
            <v>0.83820525622985798</v>
          </cell>
          <cell r="AA21">
            <v>0.83035724104649489</v>
          </cell>
          <cell r="AB21">
            <v>0.8436234841180027</v>
          </cell>
          <cell r="AC21">
            <v>0.8415434949691929</v>
          </cell>
          <cell r="AD21">
            <v>0.84314021762236502</v>
          </cell>
          <cell r="AE21">
            <v>0.84768130162156596</v>
          </cell>
          <cell r="AF21">
            <v>0.88160908819476591</v>
          </cell>
          <cell r="AG21">
            <v>0.88723201686770914</v>
          </cell>
          <cell r="AJ21">
            <v>0.95305164319248825</v>
          </cell>
          <cell r="AK21">
            <v>0.95</v>
          </cell>
          <cell r="AL21">
            <v>0.90621468926553672</v>
          </cell>
          <cell r="AM21">
            <v>0.88536585365853659</v>
          </cell>
          <cell r="AN21">
            <v>0.875</v>
          </cell>
          <cell r="AO21">
            <v>0.8666666666666667</v>
          </cell>
          <cell r="AP21">
            <v>0.83220829315332689</v>
          </cell>
          <cell r="AQ21">
            <v>0.79105839416058399</v>
          </cell>
          <cell r="AR21">
            <v>0.75724020442930151</v>
          </cell>
          <cell r="AS21">
            <v>0.77737226277372262</v>
          </cell>
          <cell r="AT21">
            <v>0.79103282626100879</v>
          </cell>
          <cell r="AU21">
            <v>0.87314085739282588</v>
          </cell>
          <cell r="AV21">
            <v>0.84110535405872189</v>
          </cell>
          <cell r="AW21">
            <v>0.84665579119086465</v>
          </cell>
          <cell r="AX21">
            <v>0.79032258064516125</v>
          </cell>
          <cell r="AY21">
            <v>0.74415584415584413</v>
          </cell>
          <cell r="AZ21">
            <v>0.80397350993377481</v>
          </cell>
          <cell r="BA21">
            <v>0.72370088719898606</v>
          </cell>
          <cell r="BB21">
            <v>0.71714643304130166</v>
          </cell>
          <cell r="BC21">
            <v>0.77570093457943923</v>
          </cell>
          <cell r="BD21" t="str">
            <v>NM</v>
          </cell>
          <cell r="BE21" t="str">
            <v>NM</v>
          </cell>
          <cell r="BF21">
            <v>0.60600706713780916</v>
          </cell>
          <cell r="BG21">
            <v>0.69012485811577751</v>
          </cell>
          <cell r="BH21">
            <v>0.63742690058479534</v>
          </cell>
          <cell r="BI21">
            <v>0.66978922716627631</v>
          </cell>
          <cell r="BJ21">
            <v>0.70799180327868849</v>
          </cell>
          <cell r="BK21">
            <v>0.7321428571428571</v>
          </cell>
          <cell r="BL21">
            <v>0.7640845070422535</v>
          </cell>
          <cell r="BM21">
            <v>0.72028688524590168</v>
          </cell>
          <cell r="BN21">
            <v>0.74256410256410255</v>
          </cell>
          <cell r="BO21">
            <v>0.83983140147523705</v>
          </cell>
          <cell r="BP21">
            <v>0.81978798586572443</v>
          </cell>
          <cell r="BQ21">
            <v>0.78723404255319152</v>
          </cell>
          <cell r="BR21">
            <v>0.77223719676549862</v>
          </cell>
          <cell r="BS21">
            <v>0.89703808180535971</v>
          </cell>
          <cell r="BT21">
            <v>0.80267062314540061</v>
          </cell>
          <cell r="BU21">
            <v>0.77935943060498225</v>
          </cell>
          <cell r="BV21">
            <v>0.80350877192982462</v>
          </cell>
          <cell r="BW21">
            <v>0.86404494382022468</v>
          </cell>
          <cell r="BX21">
            <v>0.90899898887765418</v>
          </cell>
          <cell r="BY21">
            <v>0.88170865279299016</v>
          </cell>
          <cell r="BZ21">
            <v>0.86477987421383651</v>
          </cell>
          <cell r="CA21">
            <v>0.86772486772486768</v>
          </cell>
          <cell r="CB21">
            <v>0.87420814479638009</v>
          </cell>
          <cell r="CC21">
            <v>0.87855297157622736</v>
          </cell>
          <cell r="CD21">
            <v>0.86916602907421581</v>
          </cell>
          <cell r="CE21">
            <v>0.86177833965444584</v>
          </cell>
          <cell r="CF21">
            <v>0.81216216216216219</v>
          </cell>
          <cell r="CG21">
            <v>0.84095063985374774</v>
          </cell>
          <cell r="CH21">
            <v>0.86388308977035488</v>
          </cell>
          <cell r="CI21">
            <v>0.84199999999999997</v>
          </cell>
          <cell r="CJ21">
            <v>0.8420099592575826</v>
          </cell>
          <cell r="CK21">
            <v>0.87189819724284201</v>
          </cell>
          <cell r="CL21">
            <v>0.8564058469475494</v>
          </cell>
          <cell r="CM21">
            <v>0.8363667003707449</v>
          </cell>
          <cell r="CN21">
            <v>0.84615384615384615</v>
          </cell>
          <cell r="CO21">
            <v>0.84237536656891498</v>
          </cell>
          <cell r="CP21">
            <v>0.83662388943731492</v>
          </cell>
          <cell r="CQ21">
            <v>0.90167364016736407</v>
          </cell>
          <cell r="CR21">
            <v>0.90975323149236198</v>
          </cell>
          <cell r="CS21">
            <v>0.91852041797551121</v>
          </cell>
          <cell r="CT21">
            <v>0.92261820247053816</v>
          </cell>
          <cell r="CU21">
            <v>0.96075581395348841</v>
          </cell>
          <cell r="CV21">
            <v>0.91118644067796606</v>
          </cell>
          <cell r="CW21">
            <v>0.89065208694492604</v>
          </cell>
          <cell r="CX21">
            <v>0.87238736646539716</v>
          </cell>
          <cell r="CY21">
            <v>0.91074061472156065</v>
          </cell>
          <cell r="CZ21">
            <v>0.89246540235776528</v>
          </cell>
          <cell r="DA21">
            <v>0.87867226249523078</v>
          </cell>
          <cell r="DB21">
            <v>0.8593476994758299</v>
          </cell>
          <cell r="DC21">
            <v>0.87530631479736098</v>
          </cell>
          <cell r="DD21">
            <v>0.87561214495592554</v>
          </cell>
          <cell r="DE21">
            <v>0.87238285144566297</v>
          </cell>
          <cell r="DF21">
            <v>0.84989095284650673</v>
          </cell>
          <cell r="DG21">
            <v>0.93524991261796575</v>
          </cell>
          <cell r="DH21">
            <v>0.87827258186716051</v>
          </cell>
          <cell r="DI21">
            <v>0.82832503556187764</v>
          </cell>
          <cell r="DJ21">
            <v>0.8431650847156924</v>
          </cell>
          <cell r="DK21">
            <v>0.8620347841759034</v>
          </cell>
          <cell r="DL21">
            <v>0.8340987908894929</v>
          </cell>
          <cell r="DM21">
            <v>0.83238764297937495</v>
          </cell>
          <cell r="DN21">
            <v>0.84540889526542329</v>
          </cell>
          <cell r="DO21">
            <v>0.83937870353743937</v>
          </cell>
          <cell r="DP21">
            <v>0.83976998352113486</v>
          </cell>
          <cell r="DQ21">
            <v>0.84220625156491058</v>
          </cell>
          <cell r="DR21">
            <v>0.82171317896041862</v>
          </cell>
          <cell r="DS21">
            <v>0.81613668159793451</v>
          </cell>
          <cell r="DU21">
            <v>0.86603200629042321</v>
          </cell>
        </row>
        <row r="22">
          <cell r="DP22" t="str">
            <v xml:space="preserve"> </v>
          </cell>
        </row>
        <row r="23">
          <cell r="B23" t="str">
            <v>Gross profit</v>
          </cell>
          <cell r="D23">
            <v>564</v>
          </cell>
          <cell r="E23">
            <v>270</v>
          </cell>
          <cell r="F23">
            <v>281</v>
          </cell>
          <cell r="G23">
            <v>626</v>
          </cell>
          <cell r="H23">
            <v>996</v>
          </cell>
          <cell r="I23">
            <v>526</v>
          </cell>
          <cell r="J23">
            <v>712</v>
          </cell>
          <cell r="K23">
            <v>496</v>
          </cell>
          <cell r="L23">
            <v>1147</v>
          </cell>
          <cell r="M23">
            <v>944</v>
          </cell>
          <cell r="N23">
            <v>585</v>
          </cell>
          <cell r="O23">
            <v>608</v>
          </cell>
          <cell r="P23">
            <v>452</v>
          </cell>
          <cell r="Q23">
            <v>779</v>
          </cell>
          <cell r="R23">
            <v>2972</v>
          </cell>
          <cell r="S23">
            <v>3108</v>
          </cell>
          <cell r="T23">
            <v>2396</v>
          </cell>
          <cell r="U23">
            <v>3837</v>
          </cell>
          <cell r="V23">
            <v>3230</v>
          </cell>
          <cell r="W23">
            <v>5009</v>
          </cell>
          <cell r="X23">
            <v>6337</v>
          </cell>
          <cell r="Y23">
            <v>6670</v>
          </cell>
          <cell r="Z23">
            <v>7129</v>
          </cell>
          <cell r="AA23">
            <v>7701.1953261905219</v>
          </cell>
          <cell r="AB23">
            <v>7919.947774064698</v>
          </cell>
          <cell r="AC23">
            <v>8042.7398326277907</v>
          </cell>
          <cell r="AD23">
            <v>7839.4102612443967</v>
          </cell>
          <cell r="AE23">
            <v>7522.3520777038357</v>
          </cell>
          <cell r="AF23">
            <v>5799.7022649675928</v>
          </cell>
          <cell r="AG23">
            <v>5489.5448980712026</v>
          </cell>
          <cell r="AJ23">
            <v>50</v>
          </cell>
          <cell r="AK23">
            <v>54</v>
          </cell>
          <cell r="AL23">
            <v>83</v>
          </cell>
          <cell r="AM23">
            <v>94</v>
          </cell>
          <cell r="AN23">
            <v>103</v>
          </cell>
          <cell r="AO23">
            <v>120</v>
          </cell>
          <cell r="AP23">
            <v>174</v>
          </cell>
          <cell r="AQ23">
            <v>229</v>
          </cell>
          <cell r="AR23">
            <v>285</v>
          </cell>
          <cell r="AS23">
            <v>305</v>
          </cell>
          <cell r="AT23">
            <v>261</v>
          </cell>
          <cell r="AU23">
            <v>145</v>
          </cell>
          <cell r="AV23">
            <v>92</v>
          </cell>
          <cell r="AW23">
            <v>94</v>
          </cell>
          <cell r="AX23">
            <v>143</v>
          </cell>
          <cell r="AY23">
            <v>197</v>
          </cell>
          <cell r="AZ23">
            <v>148</v>
          </cell>
          <cell r="BA23">
            <v>218</v>
          </cell>
          <cell r="BB23">
            <v>226</v>
          </cell>
          <cell r="BC23">
            <v>120</v>
          </cell>
          <cell r="BD23">
            <v>0</v>
          </cell>
          <cell r="BE23">
            <v>0</v>
          </cell>
          <cell r="BF23">
            <v>223</v>
          </cell>
          <cell r="BG23">
            <v>273</v>
          </cell>
          <cell r="BH23">
            <v>310</v>
          </cell>
          <cell r="BI23">
            <v>282</v>
          </cell>
          <cell r="BJ23">
            <v>285</v>
          </cell>
          <cell r="BK23">
            <v>270</v>
          </cell>
          <cell r="BL23">
            <v>268</v>
          </cell>
          <cell r="BM23">
            <v>273</v>
          </cell>
          <cell r="BN23">
            <v>251</v>
          </cell>
          <cell r="BO23">
            <v>152</v>
          </cell>
          <cell r="BP23">
            <v>153</v>
          </cell>
          <cell r="BQ23">
            <v>190</v>
          </cell>
          <cell r="BR23">
            <v>169</v>
          </cell>
          <cell r="BS23">
            <v>73</v>
          </cell>
          <cell r="BT23">
            <v>133</v>
          </cell>
          <cell r="BU23">
            <v>186</v>
          </cell>
          <cell r="BV23">
            <v>168</v>
          </cell>
          <cell r="BW23">
            <v>121</v>
          </cell>
          <cell r="BX23">
            <v>90</v>
          </cell>
          <cell r="BY23">
            <v>108</v>
          </cell>
          <cell r="BZ23">
            <v>129</v>
          </cell>
          <cell r="CA23">
            <v>125</v>
          </cell>
          <cell r="CB23">
            <v>139</v>
          </cell>
          <cell r="CC23">
            <v>141</v>
          </cell>
          <cell r="CD23">
            <v>171</v>
          </cell>
          <cell r="CE23">
            <v>328</v>
          </cell>
          <cell r="CF23">
            <v>834</v>
          </cell>
          <cell r="CG23">
            <v>696</v>
          </cell>
          <cell r="CH23">
            <v>652</v>
          </cell>
          <cell r="CI23">
            <v>790</v>
          </cell>
          <cell r="CJ23">
            <v>698</v>
          </cell>
          <cell r="CK23">
            <v>604</v>
          </cell>
          <cell r="CL23">
            <v>835</v>
          </cell>
          <cell r="CM23">
            <v>971</v>
          </cell>
          <cell r="CN23">
            <v>572</v>
          </cell>
          <cell r="CO23">
            <v>645</v>
          </cell>
          <cell r="CP23">
            <v>662</v>
          </cell>
          <cell r="CQ23">
            <v>517</v>
          </cell>
          <cell r="CR23">
            <v>1152</v>
          </cell>
          <cell r="CS23">
            <v>1271</v>
          </cell>
          <cell r="CT23">
            <v>1090</v>
          </cell>
          <cell r="CU23">
            <v>324</v>
          </cell>
          <cell r="CV23">
            <v>524</v>
          </cell>
          <cell r="CW23">
            <v>820</v>
          </cell>
          <cell r="CX23">
            <v>1099</v>
          </cell>
          <cell r="CY23">
            <v>787</v>
          </cell>
          <cell r="CZ23">
            <v>1049</v>
          </cell>
          <cell r="DA23">
            <v>1272</v>
          </cell>
          <cell r="DB23">
            <v>1449</v>
          </cell>
          <cell r="DC23">
            <v>1323</v>
          </cell>
          <cell r="DD23">
            <v>1524</v>
          </cell>
          <cell r="DE23">
            <v>1792</v>
          </cell>
          <cell r="DF23">
            <v>1996</v>
          </cell>
          <cell r="DG23">
            <v>741</v>
          </cell>
          <cell r="DH23">
            <v>1446</v>
          </cell>
          <cell r="DI23">
            <v>1931</v>
          </cell>
          <cell r="DJ23">
            <v>1768</v>
          </cell>
          <cell r="DK23">
            <v>1531</v>
          </cell>
          <cell r="DL23">
            <v>1770</v>
          </cell>
          <cell r="DM23">
            <v>1861</v>
          </cell>
          <cell r="DN23">
            <v>1724</v>
          </cell>
          <cell r="DO23">
            <v>1789</v>
          </cell>
          <cell r="DP23">
            <v>1913.3067820774795</v>
          </cell>
          <cell r="DQ23">
            <v>1820.861278573082</v>
          </cell>
          <cell r="DR23">
            <v>1999.1263237058447</v>
          </cell>
          <cell r="DS23">
            <v>1967.9009418341138</v>
          </cell>
          <cell r="DU23">
            <v>1255.7347173300486</v>
          </cell>
        </row>
        <row r="24">
          <cell r="B24" t="str">
            <v>Gross Margin (%)</v>
          </cell>
          <cell r="D24">
            <v>9.8343504795117692E-2</v>
          </cell>
          <cell r="E24">
            <v>5.6144728633811605E-2</v>
          </cell>
          <cell r="F24">
            <v>7.2987012987012989E-2</v>
          </cell>
          <cell r="G24">
            <v>0.16230230749287011</v>
          </cell>
          <cell r="H24">
            <v>0.20178282009724474</v>
          </cell>
          <cell r="I24">
            <v>0.1989409984871407</v>
          </cell>
          <cell r="J24">
            <v>0.24739402362751911</v>
          </cell>
          <cell r="K24">
            <v>0.34277816171389081</v>
          </cell>
          <cell r="L24">
            <v>0.31058759815867859</v>
          </cell>
          <cell r="M24">
            <v>0.23389494549058473</v>
          </cell>
          <cell r="N24">
            <v>0.18321327904791732</v>
          </cell>
          <cell r="O24">
            <v>0.18638871857755979</v>
          </cell>
          <cell r="P24">
            <v>0.11891607471717969</v>
          </cell>
          <cell r="Q24">
            <v>0.13101244534140599</v>
          </cell>
          <cell r="R24">
            <v>0.15973341932709878</v>
          </cell>
          <cell r="S24">
            <v>0.1488363183603103</v>
          </cell>
          <cell r="T24">
            <v>0.1399532710280374</v>
          </cell>
          <cell r="U24">
            <v>7.5671518163530946E-2</v>
          </cell>
          <cell r="V24">
            <v>0.10477487997923965</v>
          </cell>
          <cell r="W24">
            <v>0.12172243687881218</v>
          </cell>
          <cell r="X24">
            <v>0.12416968746938375</v>
          </cell>
          <cell r="Y24">
            <v>0.14660307273007012</v>
          </cell>
          <cell r="Z24">
            <v>0.16179474377014208</v>
          </cell>
          <cell r="AA24">
            <v>0.16964275895350517</v>
          </cell>
          <cell r="AB24">
            <v>0.15637651588199725</v>
          </cell>
          <cell r="AC24">
            <v>0.15845650503080716</v>
          </cell>
          <cell r="AD24">
            <v>0.15685978237763493</v>
          </cell>
          <cell r="AE24">
            <v>0.15231869837843401</v>
          </cell>
          <cell r="AF24">
            <v>0.11839091180523413</v>
          </cell>
          <cell r="AG24">
            <v>0.11276798313229082</v>
          </cell>
          <cell r="AJ24">
            <v>4.6948356807511735E-2</v>
          </cell>
          <cell r="AK24">
            <v>0.05</v>
          </cell>
          <cell r="AL24">
            <v>9.3785310734463279E-2</v>
          </cell>
          <cell r="AM24">
            <v>0.11463414634146342</v>
          </cell>
          <cell r="AN24">
            <v>0.125</v>
          </cell>
          <cell r="AO24">
            <v>0.13333333333333333</v>
          </cell>
          <cell r="AP24">
            <v>0.16779170684667311</v>
          </cell>
          <cell r="AQ24">
            <v>0.20894160583941607</v>
          </cell>
          <cell r="AR24">
            <v>0.24275979557069846</v>
          </cell>
          <cell r="AS24">
            <v>0.22262773722627738</v>
          </cell>
          <cell r="AT24">
            <v>0.20896717373899118</v>
          </cell>
          <cell r="AU24">
            <v>0.1268591426071741</v>
          </cell>
          <cell r="AV24">
            <v>0.15889464594127806</v>
          </cell>
          <cell r="AW24">
            <v>0.15334420880913541</v>
          </cell>
          <cell r="AX24">
            <v>0.20967741935483872</v>
          </cell>
          <cell r="AY24">
            <v>0.25584415584415582</v>
          </cell>
          <cell r="AZ24">
            <v>0.19602649006622516</v>
          </cell>
          <cell r="BA24">
            <v>0.27629911280101394</v>
          </cell>
          <cell r="BB24">
            <v>0.2828535669586984</v>
          </cell>
          <cell r="BC24">
            <v>0.22429906542056074</v>
          </cell>
          <cell r="BD24" t="str">
            <v>NM</v>
          </cell>
          <cell r="BE24" t="str">
            <v>NM</v>
          </cell>
          <cell r="BF24">
            <v>0.39399293286219084</v>
          </cell>
          <cell r="BG24">
            <v>0.30987514188422249</v>
          </cell>
          <cell r="BH24">
            <v>0.36257309941520466</v>
          </cell>
          <cell r="BI24">
            <v>0.33021077283372363</v>
          </cell>
          <cell r="BJ24">
            <v>0.29200819672131145</v>
          </cell>
          <cell r="BK24">
            <v>0.26785714285714285</v>
          </cell>
          <cell r="BL24">
            <v>0.23591549295774647</v>
          </cell>
          <cell r="BM24">
            <v>0.27971311475409838</v>
          </cell>
          <cell r="BN24">
            <v>0.25743589743589745</v>
          </cell>
          <cell r="BO24">
            <v>0.1601685985247629</v>
          </cell>
          <cell r="BP24">
            <v>0.18021201413427562</v>
          </cell>
          <cell r="BQ24">
            <v>0.21276595744680851</v>
          </cell>
          <cell r="BR24">
            <v>0.22776280323450135</v>
          </cell>
          <cell r="BS24">
            <v>0.10296191819464035</v>
          </cell>
          <cell r="BT24">
            <v>0.19732937685459942</v>
          </cell>
          <cell r="BU24">
            <v>0.2206405693950178</v>
          </cell>
          <cell r="BV24">
            <v>0.19649122807017544</v>
          </cell>
          <cell r="BW24">
            <v>0.13595505617977527</v>
          </cell>
          <cell r="BX24">
            <v>9.1001011122345807E-2</v>
          </cell>
          <cell r="BY24">
            <v>0.11829134720700986</v>
          </cell>
          <cell r="BZ24">
            <v>0.13522012578616352</v>
          </cell>
          <cell r="CA24">
            <v>0.13227513227513227</v>
          </cell>
          <cell r="CB24">
            <v>0.12579185520361991</v>
          </cell>
          <cell r="CC24">
            <v>0.12144702842377261</v>
          </cell>
          <cell r="CD24">
            <v>0.13083397092578425</v>
          </cell>
          <cell r="CE24">
            <v>0.13822166034555414</v>
          </cell>
          <cell r="CF24">
            <v>0.18783783783783783</v>
          </cell>
          <cell r="CG24">
            <v>0.15904936014625229</v>
          </cell>
          <cell r="CH24">
            <v>0.13611691022964509</v>
          </cell>
          <cell r="CI24">
            <v>0.158</v>
          </cell>
          <cell r="CJ24">
            <v>0.15799004074241738</v>
          </cell>
          <cell r="CK24">
            <v>0.12810180275715802</v>
          </cell>
          <cell r="CL24">
            <v>0.14359415305245055</v>
          </cell>
          <cell r="CM24">
            <v>0.16363329962925513</v>
          </cell>
          <cell r="CN24">
            <v>0.15384615384615385</v>
          </cell>
          <cell r="CO24">
            <v>0.15762463343108504</v>
          </cell>
          <cell r="CP24">
            <v>0.16337611056268508</v>
          </cell>
          <cell r="CQ24">
            <v>9.832635983263599E-2</v>
          </cell>
          <cell r="CR24">
            <v>9.0246768507638075E-2</v>
          </cell>
          <cell r="CS24">
            <v>8.1479582024488753E-2</v>
          </cell>
          <cell r="CT24">
            <v>7.7381797529461879E-2</v>
          </cell>
          <cell r="CU24">
            <v>3.9244186046511628E-2</v>
          </cell>
          <cell r="CV24">
            <v>8.88135593220339E-2</v>
          </cell>
          <cell r="CW24">
            <v>0.10934791305507401</v>
          </cell>
          <cell r="CX24">
            <v>0.12761263353460289</v>
          </cell>
          <cell r="CY24">
            <v>8.9259385278439379E-2</v>
          </cell>
          <cell r="CZ24">
            <v>0.10753459764223475</v>
          </cell>
          <cell r="DA24">
            <v>0.12132773750476918</v>
          </cell>
          <cell r="DB24">
            <v>0.14065230052417008</v>
          </cell>
          <cell r="DC24">
            <v>0.12469368520263902</v>
          </cell>
          <cell r="DD24">
            <v>0.12438785504407443</v>
          </cell>
          <cell r="DE24">
            <v>0.12761714855433698</v>
          </cell>
          <cell r="DF24">
            <v>0.15010904715349327</v>
          </cell>
          <cell r="DG24">
            <v>6.4750087382034249E-2</v>
          </cell>
          <cell r="DH24">
            <v>0.12172741813283947</v>
          </cell>
          <cell r="DI24">
            <v>0.17167496443812233</v>
          </cell>
          <cell r="DJ24">
            <v>0.15683491528430762</v>
          </cell>
          <cell r="DK24">
            <v>0.1379652158240966</v>
          </cell>
          <cell r="DL24">
            <v>0.16590120911050707</v>
          </cell>
          <cell r="DM24">
            <v>0.16761235702062505</v>
          </cell>
          <cell r="DN24">
            <v>0.15459110473457677</v>
          </cell>
          <cell r="DO24">
            <v>0.1606212964625606</v>
          </cell>
          <cell r="DP24">
            <v>0.1602300164788652</v>
          </cell>
          <cell r="DQ24">
            <v>0.15779374843508942</v>
          </cell>
          <cell r="DR24">
            <v>0.17828682103958132</v>
          </cell>
          <cell r="DS24">
            <v>0.18386331840206546</v>
          </cell>
          <cell r="DU24">
            <v>0.13396799370957679</v>
          </cell>
        </row>
        <row r="26">
          <cell r="B26" t="str">
            <v>SG&amp;A</v>
          </cell>
          <cell r="D26">
            <v>-126</v>
          </cell>
          <cell r="E26">
            <v>-127</v>
          </cell>
          <cell r="F26">
            <v>-130</v>
          </cell>
          <cell r="G26">
            <v>-137</v>
          </cell>
          <cell r="H26">
            <v>-204</v>
          </cell>
          <cell r="I26">
            <v>-172</v>
          </cell>
          <cell r="J26">
            <v>-186</v>
          </cell>
          <cell r="K26">
            <v>-126</v>
          </cell>
          <cell r="L26">
            <v>-240</v>
          </cell>
          <cell r="M26">
            <v>-190</v>
          </cell>
          <cell r="N26">
            <v>-157</v>
          </cell>
          <cell r="O26">
            <v>-160</v>
          </cell>
          <cell r="P26">
            <v>-166</v>
          </cell>
          <cell r="Q26">
            <v>-287</v>
          </cell>
          <cell r="R26">
            <v>-543</v>
          </cell>
          <cell r="S26">
            <v>-509</v>
          </cell>
          <cell r="T26">
            <v>-740</v>
          </cell>
          <cell r="U26">
            <v>-1197</v>
          </cell>
          <cell r="V26">
            <v>-850</v>
          </cell>
          <cell r="W26">
            <v>-872</v>
          </cell>
          <cell r="X26">
            <v>-928</v>
          </cell>
          <cell r="Y26">
            <v>-910</v>
          </cell>
          <cell r="Z26">
            <v>-870</v>
          </cell>
          <cell r="AA26">
            <v>-1134.9136523270686</v>
          </cell>
          <cell r="AB26">
            <v>-1266.1664268119939</v>
          </cell>
          <cell r="AC26">
            <v>-1268.9191635054867</v>
          </cell>
          <cell r="AD26">
            <v>-1249.4296087908733</v>
          </cell>
          <cell r="AE26">
            <v>-1234.640290027729</v>
          </cell>
          <cell r="AF26">
            <v>-1224.693301312843</v>
          </cell>
          <cell r="AG26">
            <v>-1216.9998845397647</v>
          </cell>
          <cell r="AJ26">
            <v>-29</v>
          </cell>
          <cell r="AK26">
            <v>-35</v>
          </cell>
          <cell r="AL26">
            <v>-30</v>
          </cell>
          <cell r="AM26">
            <v>-36</v>
          </cell>
          <cell r="AN26">
            <v>-34</v>
          </cell>
          <cell r="AO26">
            <v>-35</v>
          </cell>
          <cell r="AP26">
            <v>-33</v>
          </cell>
          <cell r="AQ26">
            <v>-35</v>
          </cell>
          <cell r="AR26">
            <v>-45</v>
          </cell>
          <cell r="AS26">
            <v>-48</v>
          </cell>
          <cell r="AT26">
            <v>-55</v>
          </cell>
          <cell r="AU26">
            <v>-56</v>
          </cell>
          <cell r="AV26">
            <v>-45</v>
          </cell>
          <cell r="AW26">
            <v>-40</v>
          </cell>
          <cell r="AX26">
            <v>-42</v>
          </cell>
          <cell r="AY26">
            <v>-45</v>
          </cell>
          <cell r="AZ26">
            <v>-47</v>
          </cell>
          <cell r="BA26">
            <v>-50</v>
          </cell>
          <cell r="BB26">
            <v>-51</v>
          </cell>
          <cell r="BC26">
            <v>-38</v>
          </cell>
          <cell r="BD26">
            <v>-6</v>
          </cell>
          <cell r="BE26">
            <v>-5</v>
          </cell>
          <cell r="BF26">
            <v>-45</v>
          </cell>
          <cell r="BG26">
            <v>-70</v>
          </cell>
          <cell r="BH26">
            <v>-57</v>
          </cell>
          <cell r="BI26">
            <v>-66</v>
          </cell>
          <cell r="BJ26">
            <v>-63</v>
          </cell>
          <cell r="BK26">
            <v>-54</v>
          </cell>
          <cell r="BL26">
            <v>-55</v>
          </cell>
          <cell r="BM26">
            <v>-33</v>
          </cell>
          <cell r="BN26">
            <v>-51</v>
          </cell>
          <cell r="BO26">
            <v>-51</v>
          </cell>
          <cell r="BP26">
            <v>-14</v>
          </cell>
          <cell r="BQ26">
            <v>-42</v>
          </cell>
          <cell r="BR26">
            <v>-34</v>
          </cell>
          <cell r="BS26">
            <v>-67</v>
          </cell>
          <cell r="BT26">
            <v>-33</v>
          </cell>
          <cell r="BU26">
            <v>-46</v>
          </cell>
          <cell r="BV26">
            <v>-40</v>
          </cell>
          <cell r="BW26">
            <v>-41</v>
          </cell>
          <cell r="BX26">
            <v>-42</v>
          </cell>
          <cell r="BY26">
            <v>-45</v>
          </cell>
          <cell r="BZ26">
            <v>-34</v>
          </cell>
          <cell r="CA26">
            <v>-45</v>
          </cell>
          <cell r="CB26">
            <v>-45</v>
          </cell>
          <cell r="CC26">
            <v>-49</v>
          </cell>
          <cell r="CD26">
            <v>-55</v>
          </cell>
          <cell r="CE26">
            <v>-138</v>
          </cell>
          <cell r="CF26">
            <v>-132</v>
          </cell>
          <cell r="CG26">
            <v>-136</v>
          </cell>
          <cell r="CH26">
            <v>-154</v>
          </cell>
          <cell r="CI26">
            <v>-121</v>
          </cell>
          <cell r="CJ26">
            <v>-107</v>
          </cell>
          <cell r="CK26">
            <v>-137</v>
          </cell>
          <cell r="CL26">
            <v>-132</v>
          </cell>
          <cell r="CM26">
            <v>-133</v>
          </cell>
          <cell r="CN26">
            <v>-122</v>
          </cell>
          <cell r="CO26">
            <v>-154</v>
          </cell>
          <cell r="CP26">
            <v>-138</v>
          </cell>
          <cell r="CQ26">
            <v>-326</v>
          </cell>
          <cell r="CR26">
            <v>-264</v>
          </cell>
          <cell r="CS26">
            <v>-312</v>
          </cell>
          <cell r="CT26">
            <v>-302</v>
          </cell>
          <cell r="CU26">
            <v>-319</v>
          </cell>
          <cell r="CV26">
            <v>-207</v>
          </cell>
          <cell r="CW26">
            <v>-227</v>
          </cell>
          <cell r="CX26">
            <v>-199</v>
          </cell>
          <cell r="CY26">
            <v>-217</v>
          </cell>
          <cell r="CZ26">
            <v>-217</v>
          </cell>
          <cell r="DA26">
            <v>-220</v>
          </cell>
          <cell r="DB26">
            <v>-204</v>
          </cell>
          <cell r="DC26">
            <v>-231</v>
          </cell>
          <cell r="DD26">
            <v>-211</v>
          </cell>
          <cell r="DE26">
            <v>-247</v>
          </cell>
          <cell r="DF26">
            <v>-239</v>
          </cell>
          <cell r="DG26">
            <v>-231</v>
          </cell>
          <cell r="DH26">
            <v>-224</v>
          </cell>
          <cell r="DI26">
            <v>-201</v>
          </cell>
          <cell r="DJ26">
            <v>-236</v>
          </cell>
          <cell r="DK26">
            <v>-249</v>
          </cell>
          <cell r="DL26">
            <v>-213</v>
          </cell>
          <cell r="DM26">
            <v>-208</v>
          </cell>
          <cell r="DN26">
            <v>-220</v>
          </cell>
          <cell r="DO26">
            <v>-229</v>
          </cell>
          <cell r="DP26">
            <v>-298.52502423131347</v>
          </cell>
          <cell r="DQ26">
            <v>-288.48755046245032</v>
          </cell>
          <cell r="DR26">
            <v>-280.32446706506988</v>
          </cell>
          <cell r="DS26">
            <v>-267.57661056823491</v>
          </cell>
          <cell r="DU26">
            <v>-234.33483673202937</v>
          </cell>
          <cell r="DX26" t="str">
            <v>mstag:sellingGeneralAndAdministrativeExpenses</v>
          </cell>
          <cell r="DY26">
            <v>6</v>
          </cell>
          <cell r="DZ26" t="str">
            <v>ISO4217:USD</v>
          </cell>
          <cell r="EA26" t="b">
            <v>1</v>
          </cell>
        </row>
        <row r="27">
          <cell r="B27" t="str">
            <v>SG&amp;A as % Revenues</v>
          </cell>
          <cell r="D27">
            <v>2.1970357454228422E-2</v>
          </cell>
          <cell r="E27">
            <v>2.6408816801829903E-2</v>
          </cell>
          <cell r="F27">
            <v>3.3766233766233764E-2</v>
          </cell>
          <cell r="G27">
            <v>3.5519834067928441E-2</v>
          </cell>
          <cell r="H27">
            <v>4.1329011345218804E-2</v>
          </cell>
          <cell r="I27">
            <v>6.5052950075642962E-2</v>
          </cell>
          <cell r="J27">
            <v>6.4628214037526055E-2</v>
          </cell>
          <cell r="K27">
            <v>8.707671043538355E-2</v>
          </cell>
          <cell r="L27">
            <v>6.4987814784727857E-2</v>
          </cell>
          <cell r="M27">
            <v>4.7076313181367693E-2</v>
          </cell>
          <cell r="N27">
            <v>4.9170059505167556E-2</v>
          </cell>
          <cell r="O27">
            <v>4.9049662783568364E-2</v>
          </cell>
          <cell r="P27">
            <v>4.3672717705866879E-2</v>
          </cell>
          <cell r="Q27">
            <v>4.8267743020517992E-2</v>
          </cell>
          <cell r="R27">
            <v>2.9184134150274106E-2</v>
          </cell>
          <cell r="S27">
            <v>2.4375059860166651E-2</v>
          </cell>
          <cell r="T27">
            <v>4.3224299065420559E-2</v>
          </cell>
          <cell r="U27">
            <v>2.3606673766418177E-2</v>
          </cell>
          <cell r="V27">
            <v>2.7572336836642015E-2</v>
          </cell>
          <cell r="W27">
            <v>2.11902505406916E-2</v>
          </cell>
          <cell r="X27">
            <v>1.8183599490545703E-2</v>
          </cell>
          <cell r="Y27">
            <v>2.0001318768270434E-2</v>
          </cell>
          <cell r="Z27">
            <v>1.9744904906722347E-2</v>
          </cell>
          <cell r="AA27">
            <v>2.5000000000000001E-2</v>
          </cell>
          <cell r="AB27">
            <v>2.5000000000000001E-2</v>
          </cell>
          <cell r="AC27">
            <v>2.5000000000000001E-2</v>
          </cell>
          <cell r="AD27">
            <v>2.5000000000000001E-2</v>
          </cell>
          <cell r="AE27">
            <v>2.5000000000000001E-2</v>
          </cell>
          <cell r="AF27">
            <v>2.5000000000000001E-2</v>
          </cell>
          <cell r="AG27">
            <v>2.5000000000000001E-2</v>
          </cell>
          <cell r="AJ27">
            <v>2.7230046948356807E-2</v>
          </cell>
          <cell r="AK27">
            <v>3.2407407407407406E-2</v>
          </cell>
          <cell r="AL27">
            <v>3.3898305084745763E-2</v>
          </cell>
          <cell r="AM27">
            <v>4.3902439024390241E-2</v>
          </cell>
          <cell r="AN27">
            <v>4.12621359223301E-2</v>
          </cell>
          <cell r="AO27">
            <v>3.888888888888889E-2</v>
          </cell>
          <cell r="AP27">
            <v>3.1822565091610418E-2</v>
          </cell>
          <cell r="AQ27">
            <v>3.1934306569343068E-2</v>
          </cell>
          <cell r="AR27">
            <v>3.8330494037478707E-2</v>
          </cell>
          <cell r="AS27">
            <v>3.5036496350364967E-2</v>
          </cell>
          <cell r="AT27">
            <v>4.4035228182546036E-2</v>
          </cell>
          <cell r="AU27">
            <v>4.8993875765529306E-2</v>
          </cell>
          <cell r="AV27">
            <v>7.7720207253886009E-2</v>
          </cell>
          <cell r="AW27">
            <v>6.5252854812398037E-2</v>
          </cell>
          <cell r="AX27">
            <v>6.1583577712609971E-2</v>
          </cell>
          <cell r="AY27">
            <v>5.844155844155844E-2</v>
          </cell>
          <cell r="AZ27">
            <v>6.225165562913907E-2</v>
          </cell>
          <cell r="BA27">
            <v>6.3371356147021551E-2</v>
          </cell>
          <cell r="BB27">
            <v>6.3829787234042548E-2</v>
          </cell>
          <cell r="BC27">
            <v>7.1028037383177575E-2</v>
          </cell>
          <cell r="BD27" t="str">
            <v>NM</v>
          </cell>
          <cell r="BE27" t="str">
            <v>NM</v>
          </cell>
          <cell r="BF27">
            <v>7.9505300353356886E-2</v>
          </cell>
          <cell r="BG27">
            <v>7.9455164585698068E-2</v>
          </cell>
          <cell r="BH27">
            <v>6.6666666666666666E-2</v>
          </cell>
          <cell r="BI27">
            <v>7.7283372365339581E-2</v>
          </cell>
          <cell r="BJ27">
            <v>6.4549180327868855E-2</v>
          </cell>
          <cell r="BK27">
            <v>5.3571428571428568E-2</v>
          </cell>
          <cell r="BL27">
            <v>4.8415492957746477E-2</v>
          </cell>
          <cell r="BM27">
            <v>3.3811475409836068E-2</v>
          </cell>
          <cell r="BN27">
            <v>5.2307692307692305E-2</v>
          </cell>
          <cell r="BO27">
            <v>5.3740779768177031E-2</v>
          </cell>
          <cell r="BP27">
            <v>1.6489988221436984E-2</v>
          </cell>
          <cell r="BQ27">
            <v>4.7032474804031353E-2</v>
          </cell>
          <cell r="BR27">
            <v>4.5822102425876012E-2</v>
          </cell>
          <cell r="BS27">
            <v>9.4499294781382234E-2</v>
          </cell>
          <cell r="BT27">
            <v>4.8961424332344211E-2</v>
          </cell>
          <cell r="BU27">
            <v>5.4567022538552785E-2</v>
          </cell>
          <cell r="BV27">
            <v>4.6783625730994149E-2</v>
          </cell>
          <cell r="BW27">
            <v>4.6067415730337076E-2</v>
          </cell>
          <cell r="BX27">
            <v>4.2467138523761376E-2</v>
          </cell>
          <cell r="BY27">
            <v>4.9288061336254109E-2</v>
          </cell>
          <cell r="BZ27">
            <v>3.5639412997903561E-2</v>
          </cell>
          <cell r="CA27">
            <v>4.7619047619047616E-2</v>
          </cell>
          <cell r="CB27">
            <v>4.072398190045249E-2</v>
          </cell>
          <cell r="CC27">
            <v>4.2204995693367789E-2</v>
          </cell>
          <cell r="CD27">
            <v>4.2081101759755164E-2</v>
          </cell>
          <cell r="CE27">
            <v>5.8154235145385591E-2</v>
          </cell>
          <cell r="CF27">
            <v>2.9729729729729731E-2</v>
          </cell>
          <cell r="CG27">
            <v>3.1078610603290677E-2</v>
          </cell>
          <cell r="CH27">
            <v>3.2150313152400835E-2</v>
          </cell>
          <cell r="CI27">
            <v>2.4199999999999999E-2</v>
          </cell>
          <cell r="CJ27">
            <v>2.4219103666817565E-2</v>
          </cell>
          <cell r="CK27">
            <v>2.9056203605514315E-2</v>
          </cell>
          <cell r="CL27">
            <v>2.2699914015477215E-2</v>
          </cell>
          <cell r="CM27">
            <v>2.2413211998651837E-2</v>
          </cell>
          <cell r="CN27">
            <v>3.28133405056482E-2</v>
          </cell>
          <cell r="CO27">
            <v>3.7634408602150539E-2</v>
          </cell>
          <cell r="CP27">
            <v>3.4057255676209278E-2</v>
          </cell>
          <cell r="CQ27">
            <v>6.2000760745530618E-2</v>
          </cell>
          <cell r="CR27">
            <v>2.0681551116333723E-2</v>
          </cell>
          <cell r="CS27">
            <v>2.0001282133470095E-2</v>
          </cell>
          <cell r="CT27">
            <v>2.1439727388896778E-2</v>
          </cell>
          <cell r="CU27">
            <v>3.8638565891472867E-2</v>
          </cell>
          <cell r="CV27">
            <v>3.5084745762711866E-2</v>
          </cell>
          <cell r="CW27">
            <v>3.027070276036805E-2</v>
          </cell>
          <cell r="CX27">
            <v>2.3107292150487693E-2</v>
          </cell>
          <cell r="CY27">
            <v>2.4611545877282523E-2</v>
          </cell>
          <cell r="CZ27">
            <v>2.2245002562788312E-2</v>
          </cell>
          <cell r="DA27">
            <v>2.0984357115604733E-2</v>
          </cell>
          <cell r="DB27">
            <v>1.9801980198019802E-2</v>
          </cell>
          <cell r="DC27">
            <v>2.177191328934967E-2</v>
          </cell>
          <cell r="DD27">
            <v>1.7221678093372512E-2</v>
          </cell>
          <cell r="DE27">
            <v>1.7590086882210511E-2</v>
          </cell>
          <cell r="DF27">
            <v>1.7973979093028503E-2</v>
          </cell>
          <cell r="DG27">
            <v>2.0185249912617966E-2</v>
          </cell>
          <cell r="DH27">
            <v>1.8856806128461991E-2</v>
          </cell>
          <cell r="DI27">
            <v>1.7869843527738266E-2</v>
          </cell>
          <cell r="DJ27">
            <v>2.0934977379579528E-2</v>
          </cell>
          <cell r="DK27">
            <v>2.2438496891051634E-2</v>
          </cell>
          <cell r="DL27">
            <v>1.9964382791264411E-2</v>
          </cell>
          <cell r="DM27">
            <v>1.8733675583175718E-2</v>
          </cell>
          <cell r="DN27">
            <v>1.9727403156384504E-2</v>
          </cell>
          <cell r="DO27">
            <v>2.0560244209014186E-2</v>
          </cell>
          <cell r="DP27">
            <v>2.5000000000000001E-2</v>
          </cell>
          <cell r="DQ27">
            <v>2.5000000000000001E-2</v>
          </cell>
          <cell r="DR27">
            <v>2.5000000000000001E-2</v>
          </cell>
          <cell r="DS27">
            <v>2.5000000000000001E-2</v>
          </cell>
          <cell r="DU27">
            <v>2.5000000000000001E-2</v>
          </cell>
        </row>
        <row r="28">
          <cell r="B28" t="str">
            <v>SG&amp;A Growth (%)</v>
          </cell>
          <cell r="E28">
            <v>7.9365079365079083E-3</v>
          </cell>
          <cell r="F28">
            <v>2.3622047244094446E-2</v>
          </cell>
          <cell r="G28">
            <v>5.3846153846153877E-2</v>
          </cell>
          <cell r="H28">
            <v>0.48905109489051091</v>
          </cell>
          <cell r="I28">
            <v>-0.15686274509803921</v>
          </cell>
          <cell r="J28">
            <v>8.1395348837209225E-2</v>
          </cell>
          <cell r="K28">
            <v>-0.32258064516129037</v>
          </cell>
          <cell r="L28">
            <v>0.90476190476190466</v>
          </cell>
          <cell r="M28">
            <v>-0.20833333333333337</v>
          </cell>
          <cell r="N28">
            <v>-0.17368421052631577</v>
          </cell>
          <cell r="O28">
            <v>1.9108280254777066E-2</v>
          </cell>
          <cell r="P28">
            <v>3.7500000000000089E-2</v>
          </cell>
          <cell r="Q28">
            <v>0.72891566265060237</v>
          </cell>
          <cell r="R28">
            <v>0.89198606271777003</v>
          </cell>
          <cell r="S28">
            <v>-6.2615101289134389E-2</v>
          </cell>
          <cell r="T28">
            <v>0.4538310412573674</v>
          </cell>
          <cell r="U28">
            <v>0.61756756756756759</v>
          </cell>
          <cell r="V28">
            <v>-0.28989139515455309</v>
          </cell>
          <cell r="W28">
            <v>2.5882352941176467E-2</v>
          </cell>
          <cell r="X28">
            <v>6.4220183486238591E-2</v>
          </cell>
          <cell r="Y28">
            <v>-1.93965517241379E-2</v>
          </cell>
          <cell r="Z28">
            <v>-4.3956043956043911E-2</v>
          </cell>
          <cell r="AA28">
            <v>0.30449845095065364</v>
          </cell>
          <cell r="AB28">
            <v>0.11565000933401404</v>
          </cell>
          <cell r="AC28">
            <v>2.1740717769809237E-3</v>
          </cell>
          <cell r="AD28">
            <v>-1.5359177538758262E-2</v>
          </cell>
          <cell r="AE28">
            <v>-1.1836856321547073E-2</v>
          </cell>
          <cell r="AF28">
            <v>-8.0565884616178307E-3</v>
          </cell>
          <cell r="AG28">
            <v>-6.2819130020806968E-3</v>
          </cell>
          <cell r="AN28">
            <v>0.17241379310344818</v>
          </cell>
          <cell r="AO28">
            <v>0</v>
          </cell>
          <cell r="AP28">
            <v>0.10000000000000009</v>
          </cell>
          <cell r="AQ28">
            <v>-2.777777777777779E-2</v>
          </cell>
          <cell r="AR28">
            <v>0.32352941176470584</v>
          </cell>
          <cell r="AS28">
            <v>0.37142857142857144</v>
          </cell>
          <cell r="AT28">
            <v>0.66666666666666674</v>
          </cell>
          <cell r="AU28">
            <v>0.60000000000000009</v>
          </cell>
          <cell r="AV28">
            <v>0</v>
          </cell>
          <cell r="AW28">
            <v>-0.16666666666666663</v>
          </cell>
          <cell r="AX28">
            <v>-0.23636363636363633</v>
          </cell>
          <cell r="AY28">
            <v>-0.1964285714285714</v>
          </cell>
          <cell r="AZ28">
            <v>4.4444444444444509E-2</v>
          </cell>
          <cell r="BA28">
            <v>0.25</v>
          </cell>
          <cell r="BB28">
            <v>0.21428571428571419</v>
          </cell>
          <cell r="BC28">
            <v>-0.15555555555555556</v>
          </cell>
          <cell r="BD28">
            <v>-0.87234042553191493</v>
          </cell>
          <cell r="BE28">
            <v>-0.9</v>
          </cell>
          <cell r="BF28">
            <v>-0.11764705882352944</v>
          </cell>
          <cell r="BG28">
            <v>0.84210526315789469</v>
          </cell>
          <cell r="BH28">
            <v>8.5</v>
          </cell>
          <cell r="BI28">
            <v>12.2</v>
          </cell>
          <cell r="BJ28">
            <v>0.39999999999999991</v>
          </cell>
          <cell r="BK28">
            <v>-0.22857142857142854</v>
          </cell>
          <cell r="BL28">
            <v>-3.5087719298245612E-2</v>
          </cell>
          <cell r="BM28">
            <v>-0.5</v>
          </cell>
          <cell r="BN28">
            <v>-0.19047619047619047</v>
          </cell>
          <cell r="BO28">
            <v>-5.555555555555558E-2</v>
          </cell>
          <cell r="BP28">
            <v>-0.74545454545454548</v>
          </cell>
          <cell r="BQ28">
            <v>0.27272727272727271</v>
          </cell>
          <cell r="BR28">
            <v>-0.33333333333333337</v>
          </cell>
          <cell r="BS28">
            <v>0.31372549019607843</v>
          </cell>
          <cell r="BT28">
            <v>1.3571428571428572</v>
          </cell>
          <cell r="BU28">
            <v>9.5238095238095344E-2</v>
          </cell>
          <cell r="BV28">
            <v>0.17647058823529416</v>
          </cell>
          <cell r="BW28">
            <v>-0.38805970149253732</v>
          </cell>
          <cell r="BX28">
            <v>0.27272727272727271</v>
          </cell>
          <cell r="BY28">
            <v>-2.1739130434782594E-2</v>
          </cell>
          <cell r="BZ28">
            <v>-0.15000000000000002</v>
          </cell>
          <cell r="CA28">
            <v>9.7560975609756184E-2</v>
          </cell>
          <cell r="CB28">
            <v>7.1428571428571397E-2</v>
          </cell>
          <cell r="CC28">
            <v>8.8888888888888795E-2</v>
          </cell>
          <cell r="CD28">
            <v>0.61764705882352944</v>
          </cell>
          <cell r="CE28">
            <v>2.0666666666666669</v>
          </cell>
          <cell r="CF28">
            <v>1.9333333333333331</v>
          </cell>
          <cell r="CG28">
            <v>1.7755102040816326</v>
          </cell>
          <cell r="CH28">
            <v>1.7999999999999998</v>
          </cell>
          <cell r="CI28">
            <v>-0.12318840579710144</v>
          </cell>
          <cell r="CJ28">
            <v>-0.18939393939393945</v>
          </cell>
          <cell r="CK28">
            <v>7.3529411764705621E-3</v>
          </cell>
          <cell r="CL28">
            <v>-0.1428571428571429</v>
          </cell>
          <cell r="CM28">
            <v>9.9173553719008156E-2</v>
          </cell>
          <cell r="CN28">
            <v>0.14018691588785037</v>
          </cell>
          <cell r="CO28">
            <v>0.12408759124087587</v>
          </cell>
          <cell r="CP28">
            <v>4.5454545454545414E-2</v>
          </cell>
          <cell r="CQ28">
            <v>1.4511278195488724</v>
          </cell>
          <cell r="CR28">
            <v>1.1639344262295084</v>
          </cell>
          <cell r="CS28">
            <v>1.0259740259740258</v>
          </cell>
          <cell r="CT28">
            <v>1.1884057971014492</v>
          </cell>
          <cell r="CU28">
            <v>-2.1472392638036797E-2</v>
          </cell>
          <cell r="CV28">
            <v>-0.21590909090909094</v>
          </cell>
          <cell r="CW28">
            <v>-0.27243589743589747</v>
          </cell>
          <cell r="CX28">
            <v>-0.34105960264900659</v>
          </cell>
          <cell r="CY28">
            <v>-0.31974921630094044</v>
          </cell>
          <cell r="CZ28">
            <v>4.8309178743961345E-2</v>
          </cell>
          <cell r="DA28">
            <v>-3.0837004405286361E-2</v>
          </cell>
          <cell r="DB28">
            <v>-7.2727272727272751E-2</v>
          </cell>
          <cell r="DC28">
            <v>0.13235294117647056</v>
          </cell>
          <cell r="DD28">
            <v>-8.6580086580086535E-2</v>
          </cell>
          <cell r="DE28">
            <v>0.17061611374407581</v>
          </cell>
          <cell r="DF28">
            <v>-3.2388663967611309E-2</v>
          </cell>
          <cell r="DG28">
            <v>-3.3472803347280311E-2</v>
          </cell>
          <cell r="DH28">
            <v>-3.0303030303030276E-2</v>
          </cell>
          <cell r="DI28">
            <v>-0.1026785714285714</v>
          </cell>
          <cell r="DJ28">
            <v>0.17412935323383083</v>
          </cell>
          <cell r="DK28">
            <v>5.508474576271194E-2</v>
          </cell>
          <cell r="DL28">
            <v>-0.14457831325301207</v>
          </cell>
          <cell r="DM28">
            <v>-2.3474178403755874E-2</v>
          </cell>
          <cell r="DN28">
            <v>5.7692307692307709E-2</v>
          </cell>
          <cell r="DO28">
            <v>4.0909090909091006E-2</v>
          </cell>
          <cell r="DP28">
            <v>0.30360272590093218</v>
          </cell>
          <cell r="DQ28">
            <v>-3.3623559012210591E-2</v>
          </cell>
          <cell r="DR28">
            <v>-2.8296137508516006E-2</v>
          </cell>
          <cell r="DS28">
            <v>-4.5475361570475714E-2</v>
          </cell>
          <cell r="DU28">
            <v>0.14870018005896757</v>
          </cell>
        </row>
        <row r="30">
          <cell r="B30" t="str">
            <v>R&amp;D</v>
          </cell>
          <cell r="D30">
            <v>0</v>
          </cell>
          <cell r="E30">
            <v>0</v>
          </cell>
          <cell r="F30">
            <v>0</v>
          </cell>
          <cell r="G30">
            <v>0</v>
          </cell>
          <cell r="H30">
            <v>0</v>
          </cell>
          <cell r="I30">
            <v>0</v>
          </cell>
          <cell r="J30">
            <v>0</v>
          </cell>
          <cell r="K30">
            <v>-26</v>
          </cell>
          <cell r="L30">
            <v>-58</v>
          </cell>
          <cell r="M30">
            <v>-35</v>
          </cell>
          <cell r="N30">
            <v>-32</v>
          </cell>
          <cell r="O30">
            <v>-30</v>
          </cell>
          <cell r="P30">
            <v>-37</v>
          </cell>
          <cell r="Q30">
            <v>-41</v>
          </cell>
          <cell r="R30">
            <v>-91</v>
          </cell>
          <cell r="S30">
            <v>-72</v>
          </cell>
          <cell r="T30">
            <v>-230</v>
          </cell>
          <cell r="U30">
            <v>-194</v>
          </cell>
          <cell r="V30">
            <v>-145</v>
          </cell>
          <cell r="W30">
            <v>-154</v>
          </cell>
          <cell r="X30">
            <v>-196</v>
          </cell>
          <cell r="Y30">
            <v>-172</v>
          </cell>
          <cell r="Z30">
            <v>-150</v>
          </cell>
          <cell r="AA30">
            <v>-181.58618437233096</v>
          </cell>
          <cell r="AB30">
            <v>-202.58662828991899</v>
          </cell>
          <cell r="AC30">
            <v>-203.02706616087789</v>
          </cell>
          <cell r="AD30">
            <v>-199.9087374065397</v>
          </cell>
          <cell r="AE30">
            <v>-197.54244640443662</v>
          </cell>
          <cell r="AF30">
            <v>-195.95092821005488</v>
          </cell>
          <cell r="AG30">
            <v>-194.71998152636237</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-10</v>
          </cell>
          <cell r="BG30">
            <v>-16</v>
          </cell>
          <cell r="BH30">
            <v>-15</v>
          </cell>
          <cell r="BI30">
            <v>-14</v>
          </cell>
          <cell r="BJ30">
            <v>-14</v>
          </cell>
          <cell r="BK30">
            <v>-15</v>
          </cell>
          <cell r="BL30">
            <v>-14</v>
          </cell>
          <cell r="BM30">
            <v>-7</v>
          </cell>
          <cell r="BN30">
            <v>-6</v>
          </cell>
          <cell r="BO30">
            <v>-8</v>
          </cell>
          <cell r="BP30">
            <v>-8</v>
          </cell>
          <cell r="BQ30">
            <v>-8</v>
          </cell>
          <cell r="BR30">
            <v>-8</v>
          </cell>
          <cell r="BS30">
            <v>-8</v>
          </cell>
          <cell r="BT30">
            <v>-7</v>
          </cell>
          <cell r="BU30">
            <v>-8</v>
          </cell>
          <cell r="BV30">
            <v>-7</v>
          </cell>
          <cell r="BW30">
            <v>-8</v>
          </cell>
          <cell r="BX30">
            <v>-9</v>
          </cell>
          <cell r="BY30">
            <v>-8</v>
          </cell>
          <cell r="BZ30">
            <v>-9</v>
          </cell>
          <cell r="CA30">
            <v>-11</v>
          </cell>
          <cell r="CB30">
            <v>-8</v>
          </cell>
          <cell r="CC30">
            <v>-8</v>
          </cell>
          <cell r="CD30">
            <v>-8</v>
          </cell>
          <cell r="CE30">
            <v>-17</v>
          </cell>
          <cell r="CF30">
            <v>-23</v>
          </cell>
          <cell r="CG30">
            <v>-22</v>
          </cell>
          <cell r="CH30">
            <v>-23</v>
          </cell>
          <cell r="CI30">
            <v>-23</v>
          </cell>
          <cell r="CJ30">
            <v>-18</v>
          </cell>
          <cell r="CK30">
            <v>-19</v>
          </cell>
          <cell r="CL30">
            <v>-17</v>
          </cell>
          <cell r="CM30">
            <v>-18</v>
          </cell>
          <cell r="CN30">
            <v>-29</v>
          </cell>
          <cell r="CO30">
            <v>-31</v>
          </cell>
          <cell r="CP30">
            <v>-36</v>
          </cell>
          <cell r="CQ30">
            <v>-134</v>
          </cell>
          <cell r="CR30">
            <v>-51</v>
          </cell>
          <cell r="CS30">
            <v>-54</v>
          </cell>
          <cell r="CT30">
            <v>-42</v>
          </cell>
          <cell r="CU30">
            <v>-47</v>
          </cell>
          <cell r="CV30">
            <v>-42</v>
          </cell>
          <cell r="CW30">
            <v>-25</v>
          </cell>
          <cell r="CX30">
            <v>-38</v>
          </cell>
          <cell r="CY30">
            <v>-40</v>
          </cell>
          <cell r="CZ30">
            <v>-41</v>
          </cell>
          <cell r="DA30">
            <v>-37</v>
          </cell>
          <cell r="DB30">
            <v>-35</v>
          </cell>
          <cell r="DC30">
            <v>-41</v>
          </cell>
          <cell r="DD30">
            <v>-33</v>
          </cell>
          <cell r="DE30">
            <v>-56</v>
          </cell>
          <cell r="DF30">
            <v>-53</v>
          </cell>
          <cell r="DG30">
            <v>-54</v>
          </cell>
          <cell r="DH30">
            <v>-39</v>
          </cell>
          <cell r="DI30">
            <v>-37</v>
          </cell>
          <cell r="DJ30">
            <v>-39</v>
          </cell>
          <cell r="DK30">
            <v>-57</v>
          </cell>
          <cell r="DL30">
            <v>-36</v>
          </cell>
          <cell r="DM30">
            <v>-35</v>
          </cell>
          <cell r="DN30">
            <v>-35</v>
          </cell>
          <cell r="DO30">
            <v>-44</v>
          </cell>
          <cell r="DP30">
            <v>-47.764003877010154</v>
          </cell>
          <cell r="DQ30">
            <v>-46.15800807399205</v>
          </cell>
          <cell r="DR30">
            <v>-44.851914730411174</v>
          </cell>
          <cell r="DS30">
            <v>-42.812257690917583</v>
          </cell>
          <cell r="DU30">
            <v>-37.493573877124696</v>
          </cell>
          <cell r="DX30" t="str">
            <v>mstag:researchAndDevelopment</v>
          </cell>
          <cell r="DY30">
            <v>6</v>
          </cell>
          <cell r="DZ30" t="str">
            <v>ISO4217:USD</v>
          </cell>
          <cell r="EA30" t="b">
            <v>1</v>
          </cell>
        </row>
        <row r="31">
          <cell r="B31" t="str">
            <v>R&amp;D % of Revenue</v>
          </cell>
          <cell r="D31">
            <v>0</v>
          </cell>
          <cell r="E31">
            <v>0</v>
          </cell>
          <cell r="F31">
            <v>0</v>
          </cell>
          <cell r="G31">
            <v>0</v>
          </cell>
          <cell r="H31">
            <v>0</v>
          </cell>
          <cell r="I31">
            <v>0</v>
          </cell>
          <cell r="J31">
            <v>0</v>
          </cell>
          <cell r="K31">
            <v>1.796821008984105E-2</v>
          </cell>
          <cell r="L31">
            <v>1.57053885729759E-2</v>
          </cell>
          <cell r="M31">
            <v>8.6719524281466797E-3</v>
          </cell>
          <cell r="N31">
            <v>1.0021922956467273E-2</v>
          </cell>
          <cell r="O31">
            <v>9.1968117719190678E-3</v>
          </cell>
          <cell r="P31">
            <v>9.7342804525124959E-3</v>
          </cell>
          <cell r="Q31">
            <v>6.8953918600739997E-3</v>
          </cell>
          <cell r="R31">
            <v>4.8908954100827691E-3</v>
          </cell>
          <cell r="S31">
            <v>3.4479455990805478E-3</v>
          </cell>
          <cell r="T31">
            <v>1.3434579439252336E-2</v>
          </cell>
          <cell r="U31">
            <v>3.8259772019090441E-3</v>
          </cell>
          <cell r="V31">
            <v>4.7035162838977556E-3</v>
          </cell>
          <cell r="W31">
            <v>3.7423148890670943E-3</v>
          </cell>
          <cell r="X31">
            <v>3.8405016165376704E-3</v>
          </cell>
          <cell r="Y31">
            <v>3.7804690419148516E-3</v>
          </cell>
          <cell r="Z31">
            <v>3.4042939494348871E-3</v>
          </cell>
          <cell r="AA31">
            <v>4.0000000000000001E-3</v>
          </cell>
          <cell r="AB31">
            <v>4.0000000000000001E-3</v>
          </cell>
          <cell r="AC31">
            <v>4.0000000000000001E-3</v>
          </cell>
          <cell r="AD31">
            <v>4.0000000000000001E-3</v>
          </cell>
          <cell r="AE31">
            <v>4.0000000000000001E-3</v>
          </cell>
          <cell r="AF31">
            <v>4.0000000000000001E-3</v>
          </cell>
          <cell r="AG31">
            <v>4.0000000000000001E-3</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t="str">
            <v>NM</v>
          </cell>
          <cell r="BE31" t="str">
            <v>NM</v>
          </cell>
          <cell r="BF31">
            <v>1.7667844522968199E-2</v>
          </cell>
          <cell r="BG31">
            <v>1.8161180476730987E-2</v>
          </cell>
          <cell r="BH31">
            <v>1.7543859649122806E-2</v>
          </cell>
          <cell r="BI31">
            <v>1.6393442622950821E-2</v>
          </cell>
          <cell r="BJ31">
            <v>1.4344262295081968E-2</v>
          </cell>
          <cell r="BK31">
            <v>1.488095238095238E-2</v>
          </cell>
          <cell r="BL31">
            <v>1.232394366197183E-2</v>
          </cell>
          <cell r="BM31">
            <v>7.1721311475409838E-3</v>
          </cell>
          <cell r="BN31">
            <v>6.1538461538461538E-3</v>
          </cell>
          <cell r="BO31">
            <v>8.4299262381454156E-3</v>
          </cell>
          <cell r="BP31">
            <v>9.4228504122497048E-3</v>
          </cell>
          <cell r="BQ31">
            <v>8.9585666293393058E-3</v>
          </cell>
          <cell r="BR31">
            <v>1.078167115902965E-2</v>
          </cell>
          <cell r="BS31">
            <v>1.1283497884344146E-2</v>
          </cell>
          <cell r="BT31">
            <v>1.0385756676557863E-2</v>
          </cell>
          <cell r="BU31">
            <v>9.4899169632265724E-3</v>
          </cell>
          <cell r="BV31">
            <v>8.1871345029239772E-3</v>
          </cell>
          <cell r="BW31">
            <v>8.988764044943821E-3</v>
          </cell>
          <cell r="BX31">
            <v>9.1001011122345803E-3</v>
          </cell>
          <cell r="BY31">
            <v>8.7623220153340634E-3</v>
          </cell>
          <cell r="BZ31">
            <v>9.433962264150943E-3</v>
          </cell>
          <cell r="CA31">
            <v>1.164021164021164E-2</v>
          </cell>
          <cell r="CB31">
            <v>7.2398190045248872E-3</v>
          </cell>
          <cell r="CC31">
            <v>6.8906115417743325E-3</v>
          </cell>
          <cell r="CD31">
            <v>6.1208875286916601E-3</v>
          </cell>
          <cell r="CE31">
            <v>7.1639275179098188E-3</v>
          </cell>
          <cell r="CF31">
            <v>5.1801801801801802E-3</v>
          </cell>
          <cell r="CG31">
            <v>5.0274223034734921E-3</v>
          </cell>
          <cell r="CH31">
            <v>4.8016701461377868E-3</v>
          </cell>
          <cell r="CI31">
            <v>4.5999999999999999E-3</v>
          </cell>
          <cell r="CJ31">
            <v>4.074241738343142E-3</v>
          </cell>
          <cell r="CK31">
            <v>4.0296924708377521E-3</v>
          </cell>
          <cell r="CL31">
            <v>2.9234737747205505E-3</v>
          </cell>
          <cell r="CM31">
            <v>3.0333670374115269E-3</v>
          </cell>
          <cell r="CN31">
            <v>7.7998924152770308E-3</v>
          </cell>
          <cell r="CO31">
            <v>7.575757575757576E-3</v>
          </cell>
          <cell r="CP31">
            <v>8.8845014807502464E-3</v>
          </cell>
          <cell r="CQ31">
            <v>2.5484975275770254E-2</v>
          </cell>
          <cell r="CR31">
            <v>3.9952996474735608E-3</v>
          </cell>
          <cell r="CS31">
            <v>3.4617603692544394E-3</v>
          </cell>
          <cell r="CT31">
            <v>2.9816839415022006E-3</v>
          </cell>
          <cell r="CU31">
            <v>5.6928294573643408E-3</v>
          </cell>
          <cell r="CV31">
            <v>7.1186440677966098E-3</v>
          </cell>
          <cell r="CW31">
            <v>3.3337778370449394E-3</v>
          </cell>
          <cell r="CX31">
            <v>4.4124477473293077E-3</v>
          </cell>
          <cell r="CY31">
            <v>4.5366904842917095E-3</v>
          </cell>
          <cell r="CZ31">
            <v>4.2029728344438752E-3</v>
          </cell>
          <cell r="DA31">
            <v>3.5291873330789776E-3</v>
          </cell>
          <cell r="DB31">
            <v>3.3973985633857502E-3</v>
          </cell>
          <cell r="DC31">
            <v>3.8642789820923658E-3</v>
          </cell>
          <cell r="DD31">
            <v>2.6934378060724778E-3</v>
          </cell>
          <cell r="DE31">
            <v>3.9880358923230306E-3</v>
          </cell>
          <cell r="DF31">
            <v>3.985861472512597E-3</v>
          </cell>
          <cell r="DG31">
            <v>4.7186298497029011E-3</v>
          </cell>
          <cell r="DH31">
            <v>3.2831046384375791E-3</v>
          </cell>
          <cell r="DI31">
            <v>3.2894736842105261E-3</v>
          </cell>
          <cell r="DJ31">
            <v>3.4595937195067861E-3</v>
          </cell>
          <cell r="DK31">
            <v>5.1365233846985669E-3</v>
          </cell>
          <cell r="DL31">
            <v>3.3742618802137031E-3</v>
          </cell>
          <cell r="DM31">
            <v>3.1523011798612987E-3</v>
          </cell>
          <cell r="DN31">
            <v>3.1384505021520804E-3</v>
          </cell>
          <cell r="DO31">
            <v>3.9504399353564373E-3</v>
          </cell>
          <cell r="DP31">
            <v>4.0000000000000001E-3</v>
          </cell>
          <cell r="DQ31">
            <v>4.0000000000000001E-3</v>
          </cell>
          <cell r="DR31">
            <v>4.0000000000000001E-3</v>
          </cell>
          <cell r="DS31">
            <v>4.0000000000000001E-3</v>
          </cell>
          <cell r="DU31">
            <v>4.0000000000000001E-3</v>
          </cell>
        </row>
        <row r="33">
          <cell r="B33" t="str">
            <v>Others</v>
          </cell>
          <cell r="D33">
            <v>0</v>
          </cell>
          <cell r="E33">
            <v>0</v>
          </cell>
          <cell r="F33">
            <v>0</v>
          </cell>
          <cell r="G33">
            <v>0</v>
          </cell>
          <cell r="H33">
            <v>0</v>
          </cell>
          <cell r="I33">
            <v>0</v>
          </cell>
          <cell r="J33">
            <v>0</v>
          </cell>
          <cell r="K33">
            <v>-41</v>
          </cell>
          <cell r="L33">
            <v>-100</v>
          </cell>
          <cell r="M33">
            <v>-101</v>
          </cell>
          <cell r="N33">
            <v>0</v>
          </cell>
          <cell r="O33">
            <v>0</v>
          </cell>
          <cell r="P33">
            <v>0</v>
          </cell>
          <cell r="Q33">
            <v>0</v>
          </cell>
          <cell r="R33">
            <v>-15</v>
          </cell>
          <cell r="S33">
            <v>0</v>
          </cell>
          <cell r="T33">
            <v>-20</v>
          </cell>
          <cell r="U33">
            <v>0</v>
          </cell>
          <cell r="V33">
            <v>0</v>
          </cell>
          <cell r="W33">
            <v>0</v>
          </cell>
          <cell r="X33">
            <v>0</v>
          </cell>
          <cell r="Y33">
            <v>0</v>
          </cell>
          <cell r="Z33">
            <v>0</v>
          </cell>
          <cell r="AA33">
            <v>0</v>
          </cell>
          <cell r="AB33">
            <v>0</v>
          </cell>
          <cell r="AC33">
            <v>0</v>
          </cell>
          <cell r="AD33">
            <v>0</v>
          </cell>
          <cell r="AE33">
            <v>0</v>
          </cell>
          <cell r="AF33">
            <v>0</v>
          </cell>
          <cell r="AG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-16</v>
          </cell>
          <cell r="BG33">
            <v>-25</v>
          </cell>
          <cell r="BH33">
            <v>-24</v>
          </cell>
          <cell r="BI33">
            <v>-23</v>
          </cell>
          <cell r="BJ33">
            <v>-28</v>
          </cell>
          <cell r="BK33">
            <v>-25</v>
          </cell>
          <cell r="BL33">
            <v>-28</v>
          </cell>
          <cell r="BM33">
            <v>-25</v>
          </cell>
          <cell r="BN33">
            <v>-28</v>
          </cell>
          <cell r="BO33">
            <v>-20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-3</v>
          </cell>
          <cell r="CI33">
            <v>-12</v>
          </cell>
          <cell r="CJ33">
            <v>0</v>
          </cell>
          <cell r="CK33">
            <v>0</v>
          </cell>
          <cell r="CL33">
            <v>0</v>
          </cell>
          <cell r="CM33">
            <v>0</v>
          </cell>
          <cell r="CN33">
            <v>0</v>
          </cell>
          <cell r="CO33">
            <v>-7</v>
          </cell>
          <cell r="CP33">
            <v>0</v>
          </cell>
          <cell r="CQ33">
            <v>-13</v>
          </cell>
          <cell r="CR33">
            <v>0</v>
          </cell>
          <cell r="CS33">
            <v>0</v>
          </cell>
          <cell r="CT33">
            <v>0</v>
          </cell>
          <cell r="CU33">
            <v>0</v>
          </cell>
          <cell r="CV33">
            <v>0</v>
          </cell>
          <cell r="CW33">
            <v>0</v>
          </cell>
          <cell r="CX33">
            <v>0</v>
          </cell>
          <cell r="CY33">
            <v>0</v>
          </cell>
          <cell r="CZ33">
            <v>-164</v>
          </cell>
          <cell r="DA33">
            <v>355</v>
          </cell>
          <cell r="DB33">
            <v>20</v>
          </cell>
          <cell r="DC33">
            <v>-295</v>
          </cell>
          <cell r="DD33">
            <v>26</v>
          </cell>
          <cell r="DE33">
            <v>76</v>
          </cell>
          <cell r="DF33">
            <v>10</v>
          </cell>
          <cell r="DG33">
            <v>172</v>
          </cell>
          <cell r="DH33">
            <v>39</v>
          </cell>
          <cell r="DI33">
            <v>-21</v>
          </cell>
          <cell r="DJ33">
            <v>-33</v>
          </cell>
          <cell r="DK33">
            <v>9</v>
          </cell>
          <cell r="DL33">
            <v>6</v>
          </cell>
          <cell r="DM33">
            <v>-9</v>
          </cell>
          <cell r="DN33">
            <v>1</v>
          </cell>
          <cell r="DO33">
            <v>-13</v>
          </cell>
          <cell r="DP33">
            <v>0</v>
          </cell>
          <cell r="DQ33">
            <v>0</v>
          </cell>
          <cell r="DR33">
            <v>0</v>
          </cell>
          <cell r="DS33">
            <v>0</v>
          </cell>
          <cell r="DU33">
            <v>0</v>
          </cell>
          <cell r="DX33" t="str">
            <v>mstag:otherOperatingExpense</v>
          </cell>
          <cell r="DY33">
            <v>6</v>
          </cell>
          <cell r="DZ33" t="str">
            <v>ISO4217:USD</v>
          </cell>
          <cell r="EA33" t="b">
            <v>1</v>
          </cell>
        </row>
        <row r="35">
          <cell r="B35" t="str">
            <v>- Income (loss) from equity investments</v>
          </cell>
          <cell r="D35">
            <v>0</v>
          </cell>
          <cell r="E35">
            <v>0</v>
          </cell>
          <cell r="F35">
            <v>0</v>
          </cell>
          <cell r="G35">
            <v>0</v>
          </cell>
          <cell r="H35">
            <v>0</v>
          </cell>
          <cell r="I35">
            <v>2</v>
          </cell>
          <cell r="J35">
            <v>132</v>
          </cell>
          <cell r="K35">
            <v>235</v>
          </cell>
          <cell r="L35">
            <v>76</v>
          </cell>
          <cell r="M35">
            <v>199</v>
          </cell>
          <cell r="N35">
            <v>40</v>
          </cell>
          <cell r="O35">
            <v>14</v>
          </cell>
          <cell r="P35">
            <v>-103</v>
          </cell>
          <cell r="Q35">
            <v>451</v>
          </cell>
          <cell r="R35">
            <v>124</v>
          </cell>
          <cell r="S35">
            <v>78</v>
          </cell>
          <cell r="T35">
            <v>162</v>
          </cell>
          <cell r="U35">
            <v>38</v>
          </cell>
          <cell r="V35">
            <v>-181</v>
          </cell>
          <cell r="W35">
            <v>170</v>
          </cell>
          <cell r="X35">
            <v>216</v>
          </cell>
          <cell r="Y35">
            <v>143</v>
          </cell>
          <cell r="Z35">
            <v>203</v>
          </cell>
          <cell r="AA35">
            <v>-10.557269493411033</v>
          </cell>
          <cell r="AB35">
            <v>74.784484614118654</v>
          </cell>
          <cell r="AC35">
            <v>63.241399844058883</v>
          </cell>
          <cell r="AD35">
            <v>53.53709795964869</v>
          </cell>
          <cell r="AE35">
            <v>45.342785210017396</v>
          </cell>
          <cell r="AF35">
            <v>31.601867252842197</v>
          </cell>
          <cell r="AG35">
            <v>11.885686940319928</v>
          </cell>
          <cell r="AJ35">
            <v>0</v>
          </cell>
          <cell r="AK35">
            <v>0</v>
          </cell>
          <cell r="AL35">
            <v>0</v>
          </cell>
          <cell r="AM35">
            <v>0</v>
          </cell>
          <cell r="AN35">
            <v>0</v>
          </cell>
          <cell r="AO35">
            <v>0</v>
          </cell>
          <cell r="AP35">
            <v>0</v>
          </cell>
          <cell r="AQ35">
            <v>0</v>
          </cell>
          <cell r="AR35">
            <v>0</v>
          </cell>
          <cell r="AS35">
            <v>0</v>
          </cell>
          <cell r="AT35">
            <v>0</v>
          </cell>
          <cell r="AU35">
            <v>0</v>
          </cell>
          <cell r="AV35">
            <v>26</v>
          </cell>
          <cell r="AW35">
            <v>7</v>
          </cell>
          <cell r="AX35">
            <v>-8</v>
          </cell>
          <cell r="AY35">
            <v>-23</v>
          </cell>
          <cell r="AZ35">
            <v>6</v>
          </cell>
          <cell r="BA35">
            <v>21</v>
          </cell>
          <cell r="BB35">
            <v>29</v>
          </cell>
          <cell r="BC35">
            <v>76</v>
          </cell>
          <cell r="BD35">
            <v>117</v>
          </cell>
          <cell r="BE35">
            <v>53</v>
          </cell>
          <cell r="BF35">
            <v>57</v>
          </cell>
          <cell r="BG35">
            <v>8</v>
          </cell>
          <cell r="BH35">
            <v>21</v>
          </cell>
          <cell r="BI35">
            <v>-33</v>
          </cell>
          <cell r="BJ35">
            <v>40</v>
          </cell>
          <cell r="BK35">
            <v>48</v>
          </cell>
          <cell r="BL35">
            <v>50</v>
          </cell>
          <cell r="BM35">
            <v>66</v>
          </cell>
          <cell r="BN35">
            <v>83</v>
          </cell>
          <cell r="BO35">
            <v>0</v>
          </cell>
          <cell r="BP35">
            <v>11</v>
          </cell>
          <cell r="BQ35">
            <v>42</v>
          </cell>
          <cell r="BR35">
            <v>17</v>
          </cell>
          <cell r="BS35">
            <v>-30</v>
          </cell>
          <cell r="BT35">
            <v>-21</v>
          </cell>
          <cell r="BU35">
            <v>65</v>
          </cell>
          <cell r="BV35">
            <v>44</v>
          </cell>
          <cell r="BW35">
            <v>-74</v>
          </cell>
          <cell r="BX35">
            <v>-56</v>
          </cell>
          <cell r="BY35">
            <v>23</v>
          </cell>
          <cell r="BZ35">
            <v>13</v>
          </cell>
          <cell r="CA35">
            <v>-83</v>
          </cell>
          <cell r="CB35">
            <v>63</v>
          </cell>
          <cell r="CC35">
            <v>97</v>
          </cell>
          <cell r="CD35">
            <v>144</v>
          </cell>
          <cell r="CE35">
            <v>147</v>
          </cell>
          <cell r="CF35">
            <v>68</v>
          </cell>
          <cell r="CG35">
            <v>18</v>
          </cell>
          <cell r="CH35">
            <v>55</v>
          </cell>
          <cell r="CI35">
            <v>-17</v>
          </cell>
          <cell r="CJ35">
            <v>20</v>
          </cell>
          <cell r="CK35">
            <v>89</v>
          </cell>
          <cell r="CL35">
            <v>74</v>
          </cell>
          <cell r="CM35">
            <v>-105</v>
          </cell>
          <cell r="CN35">
            <v>42</v>
          </cell>
          <cell r="CO35">
            <v>36</v>
          </cell>
          <cell r="CP35">
            <v>35</v>
          </cell>
          <cell r="CQ35">
            <v>49</v>
          </cell>
          <cell r="CR35">
            <v>33</v>
          </cell>
          <cell r="CS35">
            <v>39</v>
          </cell>
          <cell r="CT35">
            <v>22</v>
          </cell>
          <cell r="CU35">
            <v>-56</v>
          </cell>
          <cell r="CV35">
            <v>-20</v>
          </cell>
          <cell r="CW35">
            <v>22</v>
          </cell>
          <cell r="CX35">
            <v>-168</v>
          </cell>
          <cell r="CY35">
            <v>-15</v>
          </cell>
          <cell r="CZ35">
            <v>55</v>
          </cell>
          <cell r="DA35">
            <v>56</v>
          </cell>
          <cell r="DB35">
            <v>29</v>
          </cell>
          <cell r="DC35">
            <v>30</v>
          </cell>
          <cell r="DD35">
            <v>58</v>
          </cell>
          <cell r="DE35">
            <v>73</v>
          </cell>
          <cell r="DF35">
            <v>52</v>
          </cell>
          <cell r="DG35">
            <v>33</v>
          </cell>
          <cell r="DH35">
            <v>46</v>
          </cell>
          <cell r="DI35">
            <v>27</v>
          </cell>
          <cell r="DJ35">
            <v>32</v>
          </cell>
          <cell r="DK35">
            <v>38</v>
          </cell>
          <cell r="DL35">
            <v>59</v>
          </cell>
          <cell r="DM35">
            <v>43</v>
          </cell>
          <cell r="DN35">
            <v>61</v>
          </cell>
          <cell r="DO35">
            <v>40</v>
          </cell>
          <cell r="DP35">
            <v>-1.5280395327858702</v>
          </cell>
          <cell r="DQ35">
            <v>-2.1344395327858496</v>
          </cell>
          <cell r="DR35">
            <v>-2.4376395327858678</v>
          </cell>
          <cell r="DS35">
            <v>-4.4571508950534451</v>
          </cell>
          <cell r="DU35">
            <v>-1.644438113234493</v>
          </cell>
          <cell r="DX35" t="str">
            <v>mstag:incomeLossFromInvestmentsAccountedForUnderTheEquityMethodOperatingIncomeStatement</v>
          </cell>
          <cell r="DY35">
            <v>6</v>
          </cell>
          <cell r="DZ35" t="str">
            <v>ISO4217:USD</v>
          </cell>
          <cell r="EA35" t="b">
            <v>0</v>
          </cell>
        </row>
        <row r="37">
          <cell r="B37" t="str">
            <v>EBITDA (inc. JV income)</v>
          </cell>
          <cell r="D37">
            <v>438</v>
          </cell>
          <cell r="E37">
            <v>143</v>
          </cell>
          <cell r="F37">
            <v>151</v>
          </cell>
          <cell r="G37">
            <v>489</v>
          </cell>
          <cell r="H37">
            <v>792</v>
          </cell>
          <cell r="I37">
            <v>356</v>
          </cell>
          <cell r="J37">
            <v>658</v>
          </cell>
          <cell r="K37">
            <v>538</v>
          </cell>
          <cell r="L37">
            <v>825</v>
          </cell>
          <cell r="M37">
            <v>817</v>
          </cell>
          <cell r="N37">
            <v>436</v>
          </cell>
          <cell r="O37">
            <v>432</v>
          </cell>
          <cell r="P37">
            <v>146</v>
          </cell>
          <cell r="Q37">
            <v>902</v>
          </cell>
          <cell r="R37">
            <v>2447</v>
          </cell>
          <cell r="S37">
            <v>2605</v>
          </cell>
          <cell r="T37">
            <v>1568</v>
          </cell>
          <cell r="U37">
            <v>2484</v>
          </cell>
          <cell r="V37">
            <v>2054</v>
          </cell>
          <cell r="W37">
            <v>4153</v>
          </cell>
          <cell r="X37">
            <v>5429</v>
          </cell>
          <cell r="Y37">
            <v>5731</v>
          </cell>
          <cell r="Z37">
            <v>6312</v>
          </cell>
          <cell r="AA37">
            <v>6374.1382199977124</v>
          </cell>
          <cell r="AB37">
            <v>6525.9792035768969</v>
          </cell>
          <cell r="AC37">
            <v>6634.03500280548</v>
          </cell>
          <cell r="AD37">
            <v>6443.6090130066314</v>
          </cell>
          <cell r="AE37">
            <v>6135.5121264816871</v>
          </cell>
          <cell r="AF37">
            <v>4410.6599026975364</v>
          </cell>
          <cell r="AG37">
            <v>4089.7107189453986</v>
          </cell>
          <cell r="AJ37">
            <v>21</v>
          </cell>
          <cell r="AK37">
            <v>19</v>
          </cell>
          <cell r="AL37">
            <v>53</v>
          </cell>
          <cell r="AM37">
            <v>58</v>
          </cell>
          <cell r="AN37">
            <v>69</v>
          </cell>
          <cell r="AO37">
            <v>85</v>
          </cell>
          <cell r="AP37">
            <v>141</v>
          </cell>
          <cell r="AQ37">
            <v>194</v>
          </cell>
          <cell r="AR37">
            <v>240</v>
          </cell>
          <cell r="AS37">
            <v>257</v>
          </cell>
          <cell r="AT37">
            <v>206</v>
          </cell>
          <cell r="AU37">
            <v>89</v>
          </cell>
          <cell r="AV37">
            <v>73</v>
          </cell>
          <cell r="AW37">
            <v>61</v>
          </cell>
          <cell r="AX37">
            <v>93</v>
          </cell>
          <cell r="AY37">
            <v>129</v>
          </cell>
          <cell r="AZ37">
            <v>107</v>
          </cell>
          <cell r="BA37">
            <v>189</v>
          </cell>
          <cell r="BB37">
            <v>204</v>
          </cell>
          <cell r="BC37">
            <v>158</v>
          </cell>
          <cell r="BD37">
            <v>111</v>
          </cell>
          <cell r="BE37">
            <v>48</v>
          </cell>
          <cell r="BF37">
            <v>225</v>
          </cell>
          <cell r="BG37">
            <v>195</v>
          </cell>
          <cell r="BH37">
            <v>259</v>
          </cell>
          <cell r="BI37">
            <v>169</v>
          </cell>
          <cell r="BJ37">
            <v>248</v>
          </cell>
          <cell r="BK37">
            <v>249</v>
          </cell>
          <cell r="BL37">
            <v>249</v>
          </cell>
          <cell r="BM37">
            <v>299</v>
          </cell>
          <cell r="BN37">
            <v>277</v>
          </cell>
          <cell r="BO37">
            <v>93</v>
          </cell>
          <cell r="BP37">
            <v>142</v>
          </cell>
          <cell r="BQ37">
            <v>182</v>
          </cell>
          <cell r="BR37">
            <v>144</v>
          </cell>
          <cell r="BS37">
            <v>-32</v>
          </cell>
          <cell r="BT37">
            <v>72</v>
          </cell>
          <cell r="BU37">
            <v>197</v>
          </cell>
          <cell r="BV37">
            <v>165</v>
          </cell>
          <cell r="BW37">
            <v>-2</v>
          </cell>
          <cell r="BX37">
            <v>-17</v>
          </cell>
          <cell r="BY37">
            <v>78</v>
          </cell>
          <cell r="BZ37">
            <v>99</v>
          </cell>
          <cell r="CA37">
            <v>-14</v>
          </cell>
          <cell r="CB37">
            <v>149</v>
          </cell>
          <cell r="CC37">
            <v>181</v>
          </cell>
          <cell r="CD37">
            <v>252</v>
          </cell>
          <cell r="CE37">
            <v>320</v>
          </cell>
          <cell r="CF37">
            <v>747</v>
          </cell>
          <cell r="CG37">
            <v>556</v>
          </cell>
          <cell r="CH37">
            <v>530</v>
          </cell>
          <cell r="CI37">
            <v>629</v>
          </cell>
          <cell r="CJ37">
            <v>593</v>
          </cell>
          <cell r="CK37">
            <v>537</v>
          </cell>
          <cell r="CL37">
            <v>760</v>
          </cell>
          <cell r="CM37">
            <v>715</v>
          </cell>
          <cell r="CN37">
            <v>463</v>
          </cell>
          <cell r="CO37">
            <v>496</v>
          </cell>
          <cell r="CP37">
            <v>523</v>
          </cell>
          <cell r="CQ37">
            <v>106</v>
          </cell>
          <cell r="CR37">
            <v>870</v>
          </cell>
          <cell r="CS37">
            <v>944</v>
          </cell>
          <cell r="CT37">
            <v>768</v>
          </cell>
          <cell r="CU37">
            <v>-98</v>
          </cell>
          <cell r="CV37">
            <v>255</v>
          </cell>
          <cell r="CW37">
            <v>590</v>
          </cell>
          <cell r="CX37">
            <v>694</v>
          </cell>
          <cell r="CY37">
            <v>515</v>
          </cell>
          <cell r="CZ37">
            <v>682</v>
          </cell>
          <cell r="DA37">
            <v>1426</v>
          </cell>
          <cell r="DB37">
            <v>1259</v>
          </cell>
          <cell r="DC37">
            <v>786</v>
          </cell>
          <cell r="DD37">
            <v>1364</v>
          </cell>
          <cell r="DE37">
            <v>1638</v>
          </cell>
          <cell r="DF37">
            <v>1766</v>
          </cell>
          <cell r="DG37">
            <v>661</v>
          </cell>
          <cell r="DH37">
            <v>1268</v>
          </cell>
          <cell r="DI37">
            <v>1699</v>
          </cell>
          <cell r="DJ37">
            <v>1492</v>
          </cell>
          <cell r="DK37">
            <v>1272</v>
          </cell>
          <cell r="DL37">
            <v>1586</v>
          </cell>
          <cell r="DM37">
            <v>1652</v>
          </cell>
          <cell r="DN37">
            <v>1531</v>
          </cell>
          <cell r="DO37">
            <v>1543</v>
          </cell>
          <cell r="DP37">
            <v>1565.4897144363699</v>
          </cell>
          <cell r="DQ37">
            <v>1484.081280503854</v>
          </cell>
          <cell r="DR37">
            <v>1671.5123023775795</v>
          </cell>
          <cell r="DS37">
            <v>1653.0549226799085</v>
          </cell>
          <cell r="DU37">
            <v>982.26186860766029</v>
          </cell>
          <cell r="DX37" t="str">
            <v>mstag:indicatorTagSendCorptdAdjustedEBITDAToConsensus10</v>
          </cell>
          <cell r="DY37">
            <v>0</v>
          </cell>
          <cell r="DZ37" t="str">
            <v>ms_eqr_gcim_Decimal:ms_eqr_gcim_decimal</v>
          </cell>
          <cell r="EA37" t="b">
            <v>0</v>
          </cell>
        </row>
        <row r="38">
          <cell r="B38" t="str">
            <v>EBITDA Margin (%)</v>
          </cell>
          <cell r="D38">
            <v>7.6373147340889277E-2</v>
          </cell>
          <cell r="E38">
            <v>2.9735911831981703E-2</v>
          </cell>
          <cell r="F38">
            <v>3.9220779220779219E-2</v>
          </cell>
          <cell r="G38">
            <v>0.12678247342494167</v>
          </cell>
          <cell r="H38">
            <v>0.16045380875202594</v>
          </cell>
          <cell r="I38">
            <v>0.1346444780635401</v>
          </cell>
          <cell r="J38">
            <v>0.22863099374565671</v>
          </cell>
          <cell r="K38">
            <v>0.37180373185901866</v>
          </cell>
          <cell r="L38">
            <v>0.22339561332250202</v>
          </cell>
          <cell r="M38">
            <v>0.20242814667988107</v>
          </cell>
          <cell r="N38">
            <v>0.13654870028186658</v>
          </cell>
          <cell r="O38">
            <v>0.13243408951563457</v>
          </cell>
          <cell r="P38">
            <v>3.8410944488292555E-2</v>
          </cell>
          <cell r="Q38">
            <v>0.15169862092162797</v>
          </cell>
          <cell r="R38">
            <v>0.13151671503815973</v>
          </cell>
          <cell r="S38">
            <v>0.12474858730006705</v>
          </cell>
          <cell r="T38">
            <v>9.1588785046728974E-2</v>
          </cell>
          <cell r="U38">
            <v>4.898828541001065E-2</v>
          </cell>
          <cell r="W38">
            <v>0.10092099827464703</v>
          </cell>
          <cell r="X38">
            <v>0.10637797589889292</v>
          </cell>
          <cell r="Y38">
            <v>0.12596434929775591</v>
          </cell>
          <cell r="Z38">
            <v>0.14325268939222005</v>
          </cell>
          <cell r="AA38">
            <v>0.14041020228560883</v>
          </cell>
          <cell r="AB38">
            <v>0.12885310859189888</v>
          </cell>
          <cell r="AC38">
            <v>0.13070247486211903</v>
          </cell>
          <cell r="AD38">
            <v>0.12893101315332181</v>
          </cell>
          <cell r="AE38">
            <v>0.12423683594401187</v>
          </cell>
          <cell r="AF38">
            <v>9.0036009382296181E-2</v>
          </cell>
          <cell r="AG38">
            <v>8.4012142706406515E-2</v>
          </cell>
          <cell r="AJ38">
            <v>1.9718309859154931E-2</v>
          </cell>
          <cell r="AK38">
            <v>1.7592592592592594E-2</v>
          </cell>
          <cell r="AL38">
            <v>5.9887005649717516E-2</v>
          </cell>
          <cell r="AM38">
            <v>7.0731707317073164E-2</v>
          </cell>
          <cell r="AN38">
            <v>8.3737864077669907E-2</v>
          </cell>
          <cell r="AO38">
            <v>9.4444444444444442E-2</v>
          </cell>
          <cell r="AP38">
            <v>0.13596914175506269</v>
          </cell>
          <cell r="AQ38">
            <v>0.177007299270073</v>
          </cell>
          <cell r="AR38">
            <v>0.20442930153321975</v>
          </cell>
          <cell r="AS38">
            <v>0.18759124087591242</v>
          </cell>
          <cell r="AT38">
            <v>0.16493194555644516</v>
          </cell>
          <cell r="AU38">
            <v>7.7865266841644798E-2</v>
          </cell>
          <cell r="AV38">
            <v>0.12607944732297063</v>
          </cell>
          <cell r="AW38">
            <v>9.951060358890701E-2</v>
          </cell>
          <cell r="AX38">
            <v>0.13636363636363635</v>
          </cell>
          <cell r="AY38">
            <v>0.16753246753246753</v>
          </cell>
          <cell r="AZ38">
            <v>0.14172185430463577</v>
          </cell>
          <cell r="BA38">
            <v>0.23954372623574144</v>
          </cell>
          <cell r="BB38">
            <v>0.25531914893617019</v>
          </cell>
          <cell r="BC38">
            <v>0.29532710280373831</v>
          </cell>
          <cell r="BD38" t="str">
            <v>NM</v>
          </cell>
          <cell r="BE38" t="str">
            <v>NM</v>
          </cell>
          <cell r="BF38">
            <v>0.39752650176678445</v>
          </cell>
          <cell r="BG38">
            <v>0.2213393870601589</v>
          </cell>
          <cell r="BH38">
            <v>0.30292397660818715</v>
          </cell>
          <cell r="BI38">
            <v>0.19789227166276346</v>
          </cell>
          <cell r="BJ38">
            <v>0.25409836065573771</v>
          </cell>
          <cell r="BK38">
            <v>0.24702380952380953</v>
          </cell>
          <cell r="BL38">
            <v>0.21919014084507044</v>
          </cell>
          <cell r="BM38">
            <v>0.30635245901639346</v>
          </cell>
          <cell r="BN38">
            <v>0.28410256410256413</v>
          </cell>
          <cell r="BO38">
            <v>9.799789251844046E-2</v>
          </cell>
          <cell r="BP38">
            <v>0.16725559481743227</v>
          </cell>
          <cell r="BQ38">
            <v>0.20380739081746921</v>
          </cell>
          <cell r="BR38">
            <v>0.19407008086253369</v>
          </cell>
          <cell r="BS38">
            <v>-4.5133991537376586E-2</v>
          </cell>
          <cell r="BT38">
            <v>0.10682492581602374</v>
          </cell>
          <cell r="BU38">
            <v>0.23368920521945433</v>
          </cell>
          <cell r="BV38">
            <v>0.19298245614035087</v>
          </cell>
          <cell r="BW38">
            <v>-2.2471910112359553E-3</v>
          </cell>
          <cell r="BX38">
            <v>-1.7189079878665317E-2</v>
          </cell>
          <cell r="BY38">
            <v>8.5432639649507119E-2</v>
          </cell>
          <cell r="BZ38">
            <v>0.10377358490566038</v>
          </cell>
          <cell r="CA38">
            <v>-1.4814814814814815E-2</v>
          </cell>
          <cell r="CB38">
            <v>0.13484162895927601</v>
          </cell>
          <cell r="CC38">
            <v>0.15590008613264428</v>
          </cell>
          <cell r="CD38">
            <v>0.19280795715378729</v>
          </cell>
          <cell r="CE38">
            <v>0.134850400337126</v>
          </cell>
          <cell r="CF38">
            <v>0.16824324324324325</v>
          </cell>
          <cell r="CG38">
            <v>0.12705667276051189</v>
          </cell>
          <cell r="CH38">
            <v>0.11064718162839249</v>
          </cell>
          <cell r="CI38">
            <v>0.1258</v>
          </cell>
          <cell r="CJ38">
            <v>0.13422363060208239</v>
          </cell>
          <cell r="CK38">
            <v>0.11389183457051962</v>
          </cell>
          <cell r="CL38">
            <v>0.13069647463456577</v>
          </cell>
          <cell r="CM38">
            <v>0.12049207954162454</v>
          </cell>
          <cell r="CN38">
            <v>0.12452931683700914</v>
          </cell>
          <cell r="CO38">
            <v>0.12121212121212122</v>
          </cell>
          <cell r="CP38">
            <v>0.1290720631786772</v>
          </cell>
          <cell r="CQ38">
            <v>2.0159756561430202E-2</v>
          </cell>
          <cell r="CR38">
            <v>6.8155111633372498E-2</v>
          </cell>
          <cell r="CS38">
            <v>6.0516699788447981E-2</v>
          </cell>
          <cell r="CT38">
            <v>5.4522220644611673E-2</v>
          </cell>
          <cell r="CU38">
            <v>-1.187015503875969E-2</v>
          </cell>
          <cell r="CV38">
            <v>4.3220338983050846E-2</v>
          </cell>
          <cell r="CW38">
            <v>7.8677156954260571E-2</v>
          </cell>
          <cell r="CX38">
            <v>8.0585229911751044E-2</v>
          </cell>
          <cell r="CY38">
            <v>5.8409889985255758E-2</v>
          </cell>
          <cell r="CZ38">
            <v>6.9912865197334695E-2</v>
          </cell>
          <cell r="DA38">
            <v>0.13601678748569249</v>
          </cell>
          <cell r="DB38">
            <v>0.12220927975150456</v>
          </cell>
          <cell r="DC38">
            <v>7.4081055607917057E-2</v>
          </cell>
          <cell r="DD38">
            <v>0.11132876265099576</v>
          </cell>
          <cell r="DE38">
            <v>0.11665004985044865</v>
          </cell>
          <cell r="DF38">
            <v>0.13281191246145746</v>
          </cell>
          <cell r="DG38">
            <v>5.7759524641733659E-2</v>
          </cell>
          <cell r="DH38">
            <v>0.10674299183432949</v>
          </cell>
          <cell r="DI38">
            <v>0.15104907539118065</v>
          </cell>
          <cell r="DJ38">
            <v>0.13235163665395192</v>
          </cell>
          <cell r="DK38">
            <v>0.11462557447958908</v>
          </cell>
          <cell r="DL38">
            <v>0.14865498172274816</v>
          </cell>
          <cell r="DM38">
            <v>0.14878861568945331</v>
          </cell>
          <cell r="DN38">
            <v>0.13728479196556673</v>
          </cell>
          <cell r="DO38">
            <v>0.13853474591488599</v>
          </cell>
          <cell r="DP38">
            <v>0.13110205069637171</v>
          </cell>
          <cell r="DQ38">
            <v>0.1286087803550662</v>
          </cell>
          <cell r="DR38">
            <v>0.1490694265718146</v>
          </cell>
          <cell r="DS38">
            <v>0.15444688150894656</v>
          </cell>
          <cell r="DU38">
            <v>0.10479255691407435</v>
          </cell>
        </row>
        <row r="39">
          <cell r="DP39" t="str">
            <v xml:space="preserve"> </v>
          </cell>
        </row>
        <row r="40">
          <cell r="B40" t="str">
            <v>D&amp;A</v>
          </cell>
          <cell r="D40">
            <v>-39</v>
          </cell>
          <cell r="E40">
            <v>-39</v>
          </cell>
          <cell r="F40">
            <v>-58</v>
          </cell>
          <cell r="G40">
            <v>-65</v>
          </cell>
          <cell r="H40">
            <v>-86</v>
          </cell>
          <cell r="I40">
            <v>-110</v>
          </cell>
          <cell r="J40">
            <v>-84</v>
          </cell>
          <cell r="K40">
            <v>-138</v>
          </cell>
          <cell r="L40">
            <v>-330</v>
          </cell>
          <cell r="M40">
            <v>-279</v>
          </cell>
          <cell r="N40">
            <v>-254</v>
          </cell>
          <cell r="O40">
            <v>-244</v>
          </cell>
          <cell r="P40">
            <v>-250</v>
          </cell>
          <cell r="Q40">
            <v>-289</v>
          </cell>
          <cell r="R40">
            <v>-729</v>
          </cell>
          <cell r="S40">
            <v>-711</v>
          </cell>
          <cell r="T40">
            <v>-472</v>
          </cell>
          <cell r="U40">
            <v>-1911</v>
          </cell>
          <cell r="V40">
            <v>-1774</v>
          </cell>
          <cell r="W40">
            <v>-1123</v>
          </cell>
          <cell r="X40">
            <v>-931</v>
          </cell>
          <cell r="Y40">
            <v>-983</v>
          </cell>
          <cell r="Z40">
            <v>-1022</v>
          </cell>
          <cell r="AA40">
            <v>-1006.4605098038063</v>
          </cell>
          <cell r="AB40">
            <v>-1015.4871786611533</v>
          </cell>
          <cell r="AC40">
            <v>-1011.1941539246532</v>
          </cell>
          <cell r="AD40">
            <v>-1006.5295915636952</v>
          </cell>
          <cell r="AE40">
            <v>-1001.6764986110137</v>
          </cell>
          <cell r="AF40">
            <v>-996.79812147224277</v>
          </cell>
          <cell r="AG40">
            <v>-988.35892852175675</v>
          </cell>
          <cell r="AJ40">
            <v>-14</v>
          </cell>
          <cell r="AK40">
            <v>-14</v>
          </cell>
          <cell r="AL40">
            <v>-15</v>
          </cell>
          <cell r="AM40">
            <v>-15</v>
          </cell>
          <cell r="AN40">
            <v>-15</v>
          </cell>
          <cell r="AO40">
            <v>-14</v>
          </cell>
          <cell r="AP40">
            <v>-17</v>
          </cell>
          <cell r="AQ40">
            <v>-19</v>
          </cell>
          <cell r="AR40">
            <v>-18</v>
          </cell>
          <cell r="AS40">
            <v>-20</v>
          </cell>
          <cell r="AT40">
            <v>-23</v>
          </cell>
          <cell r="AU40">
            <v>-25</v>
          </cell>
          <cell r="AV40">
            <v>-17</v>
          </cell>
          <cell r="AW40">
            <v>-16</v>
          </cell>
          <cell r="AX40">
            <v>-21</v>
          </cell>
          <cell r="AY40">
            <v>-56</v>
          </cell>
          <cell r="AZ40">
            <v>-22</v>
          </cell>
          <cell r="BA40">
            <v>-22</v>
          </cell>
          <cell r="BB40">
            <v>-22</v>
          </cell>
          <cell r="BC40">
            <v>-18</v>
          </cell>
          <cell r="BD40">
            <v>0</v>
          </cell>
          <cell r="BE40">
            <v>0</v>
          </cell>
          <cell r="BF40">
            <v>-65</v>
          </cell>
          <cell r="BG40">
            <v>-73</v>
          </cell>
          <cell r="BH40">
            <v>-85</v>
          </cell>
          <cell r="BI40">
            <v>-79</v>
          </cell>
          <cell r="BJ40">
            <v>-80</v>
          </cell>
          <cell r="BK40">
            <v>-86</v>
          </cell>
          <cell r="BL40">
            <v>-84</v>
          </cell>
          <cell r="BM40">
            <v>-66</v>
          </cell>
          <cell r="BN40">
            <v>-69</v>
          </cell>
          <cell r="BO40">
            <v>-60</v>
          </cell>
          <cell r="BP40">
            <v>-65</v>
          </cell>
          <cell r="BQ40">
            <v>-67</v>
          </cell>
          <cell r="BR40">
            <v>-67</v>
          </cell>
          <cell r="BS40">
            <v>-55</v>
          </cell>
          <cell r="BT40">
            <v>-48</v>
          </cell>
          <cell r="BU40">
            <v>-67</v>
          </cell>
          <cell r="BV40">
            <v>-62</v>
          </cell>
          <cell r="BW40">
            <v>-67</v>
          </cell>
          <cell r="BX40">
            <v>-57</v>
          </cell>
          <cell r="BY40">
            <v>-61</v>
          </cell>
          <cell r="BZ40">
            <v>-66</v>
          </cell>
          <cell r="CA40">
            <v>-66</v>
          </cell>
          <cell r="CB40">
            <v>-63</v>
          </cell>
          <cell r="CC40">
            <v>-64</v>
          </cell>
          <cell r="CD40">
            <v>-59</v>
          </cell>
          <cell r="CE40">
            <v>-103</v>
          </cell>
          <cell r="CF40">
            <v>-178</v>
          </cell>
          <cell r="CG40">
            <v>-185</v>
          </cell>
          <cell r="CH40">
            <v>-182</v>
          </cell>
          <cell r="CI40">
            <v>-184</v>
          </cell>
          <cell r="CJ40">
            <v>-156</v>
          </cell>
          <cell r="CK40">
            <v>-157</v>
          </cell>
          <cell r="CL40">
            <v>-182</v>
          </cell>
          <cell r="CM40">
            <v>-216</v>
          </cell>
          <cell r="CN40">
            <v>-103</v>
          </cell>
          <cell r="CO40">
            <v>-123</v>
          </cell>
          <cell r="CP40">
            <v>-100</v>
          </cell>
          <cell r="CQ40">
            <v>-146</v>
          </cell>
          <cell r="CR40">
            <v>-461</v>
          </cell>
          <cell r="CS40">
            <v>-477</v>
          </cell>
          <cell r="CT40">
            <v>-472</v>
          </cell>
          <cell r="CU40">
            <v>-501</v>
          </cell>
          <cell r="CV40">
            <v>-416</v>
          </cell>
          <cell r="CW40">
            <v>-479</v>
          </cell>
          <cell r="CX40">
            <v>-443</v>
          </cell>
          <cell r="CY40">
            <v>-436</v>
          </cell>
          <cell r="CZ40">
            <v>-424</v>
          </cell>
          <cell r="DA40">
            <v>-270</v>
          </cell>
          <cell r="DB40">
            <v>-222</v>
          </cell>
          <cell r="DC40">
            <v>-207</v>
          </cell>
          <cell r="DD40">
            <v>-215</v>
          </cell>
          <cell r="DE40">
            <v>-224</v>
          </cell>
          <cell r="DF40">
            <v>-237</v>
          </cell>
          <cell r="DG40">
            <v>-255</v>
          </cell>
          <cell r="DH40">
            <v>-237</v>
          </cell>
          <cell r="DI40">
            <v>-244</v>
          </cell>
          <cell r="DJ40">
            <v>-236</v>
          </cell>
          <cell r="DK40">
            <v>-266</v>
          </cell>
          <cell r="DL40">
            <v>-254</v>
          </cell>
          <cell r="DM40">
            <v>-254</v>
          </cell>
          <cell r="DN40">
            <v>-262</v>
          </cell>
          <cell r="DO40">
            <v>-252</v>
          </cell>
          <cell r="DP40">
            <v>-249.61512745095158</v>
          </cell>
          <cell r="DQ40">
            <v>-253.61512745095158</v>
          </cell>
          <cell r="DR40">
            <v>-251.61512745095158</v>
          </cell>
          <cell r="DS40">
            <v>-251.61512745095158</v>
          </cell>
          <cell r="DU40">
            <v>-201</v>
          </cell>
          <cell r="DX40" t="str">
            <v>mstag:depreciationInIncomeStatement</v>
          </cell>
          <cell r="DY40">
            <v>6</v>
          </cell>
          <cell r="DZ40" t="str">
            <v>ISO4217:USD</v>
          </cell>
          <cell r="EA40" t="b">
            <v>1</v>
          </cell>
        </row>
        <row r="41">
          <cell r="B41" t="str">
            <v>D&amp;A % of Revenue</v>
          </cell>
          <cell r="D41">
            <v>6.800348735832607E-3</v>
          </cell>
          <cell r="E41">
            <v>8.1097941359950087E-3</v>
          </cell>
          <cell r="F41">
            <v>1.5064935064935066E-2</v>
          </cell>
          <cell r="G41">
            <v>1.6852476017630284E-2</v>
          </cell>
          <cell r="H41">
            <v>1.7423014586709886E-2</v>
          </cell>
          <cell r="I41">
            <v>4.16036308623298E-2</v>
          </cell>
          <cell r="J41">
            <v>2.9186935371785964E-2</v>
          </cell>
          <cell r="K41">
            <v>9.5369730476848658E-2</v>
          </cell>
          <cell r="L41">
            <v>8.9358245329000816E-2</v>
          </cell>
          <cell r="M41">
            <v>6.9127849355797813E-2</v>
          </cell>
          <cell r="N41">
            <v>7.9549013466958973E-2</v>
          </cell>
          <cell r="O41">
            <v>7.4800735744941754E-2</v>
          </cell>
          <cell r="P41">
            <v>6.5772165219679032E-2</v>
          </cell>
          <cell r="Q41">
            <v>4.8604103599058188E-2</v>
          </cell>
          <cell r="R41">
            <v>3.9180909384069658E-2</v>
          </cell>
          <cell r="S41">
            <v>3.4048462790920407E-2</v>
          </cell>
          <cell r="T41">
            <v>2.7570093457943926E-2</v>
          </cell>
          <cell r="U41">
            <v>3.7687847592000945E-2</v>
          </cell>
          <cell r="V41">
            <v>5.7545088880238744E-2</v>
          </cell>
          <cell r="W41">
            <v>2.7289737794950305E-2</v>
          </cell>
          <cell r="X41">
            <v>1.8242382678553933E-2</v>
          </cell>
          <cell r="Y41">
            <v>2.1605820163966855E-2</v>
          </cell>
          <cell r="Z41">
            <v>2.3194589442149697E-2</v>
          </cell>
          <cell r="AA41">
            <v>2.2170420360617806E-2</v>
          </cell>
          <cell r="AB41">
            <v>2.0050428544729087E-2</v>
          </cell>
          <cell r="AC41">
            <v>1.992235169518505E-2</v>
          </cell>
          <cell r="AD41">
            <v>2.0139781874902046E-2</v>
          </cell>
          <cell r="AE41">
            <v>2.028275981882377E-2</v>
          </cell>
          <cell r="AF41">
            <v>2.0347913236801782E-2</v>
          </cell>
          <cell r="AG41">
            <v>2.0303184517053721E-2</v>
          </cell>
          <cell r="AJ41">
            <v>1.3145539906103286E-2</v>
          </cell>
          <cell r="AK41">
            <v>1.2962962962962963E-2</v>
          </cell>
          <cell r="AL41">
            <v>1.6949152542372881E-2</v>
          </cell>
          <cell r="AM41">
            <v>1.8292682926829267E-2</v>
          </cell>
          <cell r="AN41">
            <v>1.820388349514563E-2</v>
          </cell>
          <cell r="AO41">
            <v>1.5555555555555555E-2</v>
          </cell>
          <cell r="AP41">
            <v>1.6393442622950821E-2</v>
          </cell>
          <cell r="AQ41">
            <v>1.7335766423357664E-2</v>
          </cell>
          <cell r="AR41">
            <v>1.5332197614991482E-2</v>
          </cell>
          <cell r="AS41">
            <v>1.4598540145985401E-2</v>
          </cell>
          <cell r="AT41">
            <v>1.8414731785428344E-2</v>
          </cell>
          <cell r="AU41">
            <v>2.1872265966754154E-2</v>
          </cell>
          <cell r="AV41">
            <v>2.9360967184801381E-2</v>
          </cell>
          <cell r="AW41">
            <v>2.6101141924959218E-2</v>
          </cell>
          <cell r="AX41">
            <v>3.0791788856304986E-2</v>
          </cell>
          <cell r="AY41">
            <v>7.2727272727272724E-2</v>
          </cell>
          <cell r="AZ41">
            <v>2.9139072847682121E-2</v>
          </cell>
          <cell r="BA41">
            <v>2.7883396704689482E-2</v>
          </cell>
          <cell r="BB41">
            <v>2.7534418022528161E-2</v>
          </cell>
          <cell r="BC41">
            <v>3.3644859813084113E-2</v>
          </cell>
          <cell r="BD41" t="str">
            <v>NM</v>
          </cell>
          <cell r="BE41" t="str">
            <v>NM</v>
          </cell>
          <cell r="BF41">
            <v>0.11484098939929328</v>
          </cell>
          <cell r="BG41">
            <v>8.2860385925085128E-2</v>
          </cell>
          <cell r="BH41">
            <v>9.9415204678362568E-2</v>
          </cell>
          <cell r="BI41">
            <v>9.2505854800936774E-2</v>
          </cell>
          <cell r="BJ41">
            <v>8.1967213114754092E-2</v>
          </cell>
          <cell r="BK41">
            <v>8.531746031746032E-2</v>
          </cell>
          <cell r="BL41">
            <v>7.3943661971830985E-2</v>
          </cell>
          <cell r="BM41">
            <v>6.7622950819672137E-2</v>
          </cell>
          <cell r="BN41">
            <v>7.0769230769230765E-2</v>
          </cell>
          <cell r="BO41">
            <v>6.3224446786090627E-2</v>
          </cell>
          <cell r="BP41">
            <v>7.656065959952886E-2</v>
          </cell>
          <cell r="BQ41">
            <v>7.5027995520716692E-2</v>
          </cell>
          <cell r="BR41">
            <v>9.0296495956873321E-2</v>
          </cell>
          <cell r="BS41">
            <v>7.7574047954866013E-2</v>
          </cell>
          <cell r="BT41">
            <v>7.1216617210682495E-2</v>
          </cell>
          <cell r="BU41">
            <v>7.9478054567022532E-2</v>
          </cell>
          <cell r="BV41">
            <v>7.2514619883040934E-2</v>
          </cell>
          <cell r="BW41">
            <v>7.528089887640449E-2</v>
          </cell>
          <cell r="BX41">
            <v>5.7633973710819006E-2</v>
          </cell>
          <cell r="BY41">
            <v>6.6812705366922229E-2</v>
          </cell>
          <cell r="BZ41">
            <v>6.9182389937106917E-2</v>
          </cell>
          <cell r="CA41">
            <v>6.9841269841269843E-2</v>
          </cell>
          <cell r="CB41">
            <v>5.7013574660633483E-2</v>
          </cell>
          <cell r="CC41">
            <v>5.512489233419466E-2</v>
          </cell>
          <cell r="CD41">
            <v>4.5141545524100997E-2</v>
          </cell>
          <cell r="CE41">
            <v>4.3404972608512435E-2</v>
          </cell>
          <cell r="CF41">
            <v>4.009009009009009E-2</v>
          </cell>
          <cell r="CG41">
            <v>4.2276051188299815E-2</v>
          </cell>
          <cell r="CH41">
            <v>3.7995824634655534E-2</v>
          </cell>
          <cell r="CI41">
            <v>3.6799999999999999E-2</v>
          </cell>
          <cell r="CJ41">
            <v>3.5310095065640562E-2</v>
          </cell>
          <cell r="CK41">
            <v>3.329798515376458E-2</v>
          </cell>
          <cell r="CL41">
            <v>3.129836629406707E-2</v>
          </cell>
          <cell r="CM41">
            <v>3.6400404448938321E-2</v>
          </cell>
          <cell r="CN41">
            <v>2.7703066164604627E-2</v>
          </cell>
          <cell r="CO41">
            <v>3.0058651026392963E-2</v>
          </cell>
          <cell r="CP41">
            <v>2.4679170779861797E-2</v>
          </cell>
          <cell r="CQ41">
            <v>2.7767211867630277E-2</v>
          </cell>
          <cell r="CR41">
            <v>3.6114375244810031E-2</v>
          </cell>
          <cell r="CS41">
            <v>3.0578883261747548E-2</v>
          </cell>
          <cell r="CT41">
            <v>3.3508448104500925E-2</v>
          </cell>
          <cell r="CU41">
            <v>6.0683139534883718E-2</v>
          </cell>
          <cell r="CV41">
            <v>7.0508474576271185E-2</v>
          </cell>
          <cell r="CW41">
            <v>6.3875183357781043E-2</v>
          </cell>
          <cell r="CX41">
            <v>5.1439851370181144E-2</v>
          </cell>
          <cell r="CY41">
            <v>4.944992627877963E-2</v>
          </cell>
          <cell r="CZ41">
            <v>4.3464889800102512E-2</v>
          </cell>
          <cell r="DA41">
            <v>2.575352918733308E-2</v>
          </cell>
          <cell r="DB41">
            <v>2.1549213744903904E-2</v>
          </cell>
          <cell r="DC41">
            <v>1.9509896324222432E-2</v>
          </cell>
          <cell r="DD41">
            <v>1.7548155403199477E-2</v>
          </cell>
          <cell r="DE41">
            <v>1.5952143569292122E-2</v>
          </cell>
          <cell r="DF41">
            <v>1.7823569226141235E-2</v>
          </cell>
          <cell r="DG41">
            <v>2.2282418734708143E-2</v>
          </cell>
          <cell r="DH41">
            <v>1.9951174341274518E-2</v>
          </cell>
          <cell r="DI41">
            <v>2.1692745376955903E-2</v>
          </cell>
          <cell r="DJ41">
            <v>2.0934977379579528E-2</v>
          </cell>
          <cell r="DK41">
            <v>2.3970442461926648E-2</v>
          </cell>
          <cell r="DL41">
            <v>2.380729215484113E-2</v>
          </cell>
          <cell r="DM41">
            <v>2.2876699990993427E-2</v>
          </cell>
          <cell r="DN41">
            <v>2.3493543758967003E-2</v>
          </cell>
          <cell r="DO41">
            <v>2.2625246902495958E-2</v>
          </cell>
          <cell r="DP41">
            <v>2.0904037114953568E-2</v>
          </cell>
          <cell r="DQ41">
            <v>2.197799584803593E-2</v>
          </cell>
          <cell r="DR41">
            <v>2.243963308708849E-2</v>
          </cell>
          <cell r="DS41">
            <v>2.3508699706283467E-2</v>
          </cell>
        </row>
        <row r="43">
          <cell r="B43" t="str">
            <v>Recurring operating profit</v>
          </cell>
          <cell r="D43">
            <v>399</v>
          </cell>
          <cell r="E43">
            <v>104</v>
          </cell>
          <cell r="F43">
            <v>93</v>
          </cell>
          <cell r="G43">
            <v>424</v>
          </cell>
          <cell r="H43">
            <v>706</v>
          </cell>
          <cell r="I43">
            <v>246</v>
          </cell>
          <cell r="J43">
            <v>574</v>
          </cell>
          <cell r="K43">
            <v>400</v>
          </cell>
          <cell r="L43">
            <v>495</v>
          </cell>
          <cell r="M43">
            <v>538</v>
          </cell>
          <cell r="N43">
            <v>182</v>
          </cell>
          <cell r="O43">
            <v>188</v>
          </cell>
          <cell r="P43">
            <v>-104</v>
          </cell>
          <cell r="Q43">
            <v>613</v>
          </cell>
          <cell r="R43">
            <v>1718</v>
          </cell>
          <cell r="S43">
            <v>1894</v>
          </cell>
          <cell r="T43">
            <v>1096</v>
          </cell>
          <cell r="U43">
            <v>573</v>
          </cell>
          <cell r="V43">
            <v>280</v>
          </cell>
          <cell r="W43">
            <v>3030</v>
          </cell>
          <cell r="X43">
            <v>4498</v>
          </cell>
          <cell r="Y43">
            <v>4748</v>
          </cell>
          <cell r="Z43">
            <v>5290</v>
          </cell>
          <cell r="AA43">
            <v>5367.677710193906</v>
          </cell>
          <cell r="AB43">
            <v>5510.492024915744</v>
          </cell>
          <cell r="AC43">
            <v>5622.8408488808273</v>
          </cell>
          <cell r="AD43">
            <v>5437.0794214429361</v>
          </cell>
          <cell r="AE43">
            <v>5133.8356278706733</v>
          </cell>
          <cell r="AF43">
            <v>3413.8617812252937</v>
          </cell>
          <cell r="AG43">
            <v>3101.3517904236419</v>
          </cell>
          <cell r="AJ43">
            <v>7</v>
          </cell>
          <cell r="AK43">
            <v>5</v>
          </cell>
          <cell r="AL43">
            <v>38</v>
          </cell>
          <cell r="AM43">
            <v>43</v>
          </cell>
          <cell r="AN43">
            <v>54</v>
          </cell>
          <cell r="AO43">
            <v>71</v>
          </cell>
          <cell r="AP43">
            <v>124</v>
          </cell>
          <cell r="AQ43">
            <v>175</v>
          </cell>
          <cell r="AR43">
            <v>222</v>
          </cell>
          <cell r="AS43">
            <v>237</v>
          </cell>
          <cell r="AT43">
            <v>183</v>
          </cell>
          <cell r="AU43">
            <v>64</v>
          </cell>
          <cell r="AV43">
            <v>56</v>
          </cell>
          <cell r="AW43">
            <v>45</v>
          </cell>
          <cell r="AX43">
            <v>72</v>
          </cell>
          <cell r="AY43">
            <v>73</v>
          </cell>
          <cell r="AZ43">
            <v>85</v>
          </cell>
          <cell r="BA43">
            <v>167</v>
          </cell>
          <cell r="BB43">
            <v>182</v>
          </cell>
          <cell r="BC43">
            <v>140</v>
          </cell>
          <cell r="BD43">
            <v>111</v>
          </cell>
          <cell r="BE43">
            <v>48</v>
          </cell>
          <cell r="BF43">
            <v>160</v>
          </cell>
          <cell r="BG43">
            <v>122</v>
          </cell>
          <cell r="BH43">
            <v>174</v>
          </cell>
          <cell r="BI43">
            <v>90</v>
          </cell>
          <cell r="BJ43">
            <v>168</v>
          </cell>
          <cell r="BK43">
            <v>163</v>
          </cell>
          <cell r="BL43">
            <v>165</v>
          </cell>
          <cell r="BM43">
            <v>233</v>
          </cell>
          <cell r="BN43">
            <v>208</v>
          </cell>
          <cell r="BO43">
            <v>33</v>
          </cell>
          <cell r="BP43">
            <v>77</v>
          </cell>
          <cell r="BQ43">
            <v>115</v>
          </cell>
          <cell r="BR43">
            <v>77</v>
          </cell>
          <cell r="BS43">
            <v>-87</v>
          </cell>
          <cell r="BT43">
            <v>24</v>
          </cell>
          <cell r="BU43">
            <v>130</v>
          </cell>
          <cell r="BV43">
            <v>103</v>
          </cell>
          <cell r="BW43">
            <v>-69</v>
          </cell>
          <cell r="BX43">
            <v>-74</v>
          </cell>
          <cell r="BY43">
            <v>17</v>
          </cell>
          <cell r="BZ43">
            <v>33</v>
          </cell>
          <cell r="CA43">
            <v>-80</v>
          </cell>
          <cell r="CB43">
            <v>86</v>
          </cell>
          <cell r="CC43">
            <v>117</v>
          </cell>
          <cell r="CD43">
            <v>193</v>
          </cell>
          <cell r="CE43">
            <v>217</v>
          </cell>
          <cell r="CF43">
            <v>569</v>
          </cell>
          <cell r="CG43">
            <v>371</v>
          </cell>
          <cell r="CH43">
            <v>348</v>
          </cell>
          <cell r="CI43">
            <v>445</v>
          </cell>
          <cell r="CJ43">
            <v>437</v>
          </cell>
          <cell r="CK43">
            <v>380</v>
          </cell>
          <cell r="CL43">
            <v>578</v>
          </cell>
          <cell r="CM43">
            <v>499</v>
          </cell>
          <cell r="CN43">
            <v>360</v>
          </cell>
          <cell r="CO43">
            <v>373</v>
          </cell>
          <cell r="CP43">
            <v>423</v>
          </cell>
          <cell r="CQ43">
            <v>-40</v>
          </cell>
          <cell r="CR43">
            <v>409</v>
          </cell>
          <cell r="CS43">
            <v>467</v>
          </cell>
          <cell r="CT43">
            <v>296</v>
          </cell>
          <cell r="CU43">
            <v>-599</v>
          </cell>
          <cell r="CV43">
            <v>-161</v>
          </cell>
          <cell r="CW43">
            <v>111</v>
          </cell>
          <cell r="CX43">
            <v>251</v>
          </cell>
          <cell r="CY43">
            <v>79</v>
          </cell>
          <cell r="CZ43">
            <v>258</v>
          </cell>
          <cell r="DA43">
            <v>1156</v>
          </cell>
          <cell r="DB43">
            <v>1037</v>
          </cell>
          <cell r="DC43">
            <v>579</v>
          </cell>
          <cell r="DD43">
            <v>1149</v>
          </cell>
          <cell r="DE43">
            <v>1414</v>
          </cell>
          <cell r="DF43">
            <v>1529</v>
          </cell>
          <cell r="DG43">
            <v>406</v>
          </cell>
          <cell r="DH43">
            <v>1031</v>
          </cell>
          <cell r="DI43">
            <v>1455</v>
          </cell>
          <cell r="DJ43">
            <v>1256</v>
          </cell>
          <cell r="DK43">
            <v>1006</v>
          </cell>
          <cell r="DL43">
            <v>1332</v>
          </cell>
          <cell r="DM43">
            <v>1398</v>
          </cell>
          <cell r="DN43">
            <v>1269</v>
          </cell>
          <cell r="DO43">
            <v>1291</v>
          </cell>
          <cell r="DP43">
            <v>1315.8745869854183</v>
          </cell>
          <cell r="DQ43">
            <v>1230.4661530529024</v>
          </cell>
          <cell r="DR43">
            <v>1419.8971749266279</v>
          </cell>
          <cell r="DS43">
            <v>1401.4397952289569</v>
          </cell>
          <cell r="DU43">
            <v>781.26186860766029</v>
          </cell>
        </row>
        <row r="44">
          <cell r="B44" t="str">
            <v>Recurring Operating Margin (%)</v>
          </cell>
          <cell r="D44">
            <v>6.9572798605056663E-2</v>
          </cell>
          <cell r="E44">
            <v>2.1626117695986692E-2</v>
          </cell>
          <cell r="F44">
            <v>2.4155844155844156E-2</v>
          </cell>
          <cell r="G44">
            <v>0.10992999740731138</v>
          </cell>
          <cell r="H44">
            <v>0.14303079416531606</v>
          </cell>
          <cell r="I44">
            <v>9.3040847201210281E-2</v>
          </cell>
          <cell r="J44">
            <v>0.19944405837387075</v>
          </cell>
          <cell r="K44">
            <v>0.27643400138217</v>
          </cell>
          <cell r="L44">
            <v>0.13403736799350122</v>
          </cell>
          <cell r="M44">
            <v>0.13330029732408324</v>
          </cell>
          <cell r="N44">
            <v>5.6999686814907607E-2</v>
          </cell>
          <cell r="O44">
            <v>5.7633353770692827E-2</v>
          </cell>
          <cell r="P44">
            <v>-2.7361220731386478E-2</v>
          </cell>
          <cell r="Q44">
            <v>0.1030945173225698</v>
          </cell>
          <cell r="R44">
            <v>9.2335805654090081E-2</v>
          </cell>
          <cell r="S44">
            <v>9.0700124509146635E-2</v>
          </cell>
          <cell r="T44">
            <v>6.4018691588785051E-2</v>
          </cell>
          <cell r="U44">
            <v>1.1300437818009703E-2</v>
          </cell>
          <cell r="V44">
            <v>9.0826521344232521E-3</v>
          </cell>
          <cell r="W44">
            <v>7.3631260479696731E-2</v>
          </cell>
          <cell r="X44">
            <v>8.8135593220338981E-2</v>
          </cell>
          <cell r="Y44">
            <v>0.10435852913378904</v>
          </cell>
          <cell r="Z44">
            <v>0.12005809995007036</v>
          </cell>
          <cell r="AA44">
            <v>0.11823978192499102</v>
          </cell>
          <cell r="AB44">
            <v>0.10880268004716981</v>
          </cell>
          <cell r="AC44">
            <v>0.110780123166934</v>
          </cell>
          <cell r="AD44">
            <v>0.10879123127841976</v>
          </cell>
          <cell r="AE44">
            <v>0.1039540761251881</v>
          </cell>
          <cell r="AF44">
            <v>6.9688096145494399E-2</v>
          </cell>
          <cell r="AG44">
            <v>6.3708958189352793E-2</v>
          </cell>
          <cell r="AJ44">
            <v>6.5727699530516428E-3</v>
          </cell>
          <cell r="AK44">
            <v>4.6296296296296294E-3</v>
          </cell>
          <cell r="AL44">
            <v>4.2937853107344631E-2</v>
          </cell>
          <cell r="AM44">
            <v>5.24390243902439E-2</v>
          </cell>
          <cell r="AN44">
            <v>6.553398058252427E-2</v>
          </cell>
          <cell r="AO44">
            <v>7.8888888888888883E-2</v>
          </cell>
          <cell r="AP44">
            <v>0.11957569913211186</v>
          </cell>
          <cell r="AQ44">
            <v>0.15967153284671534</v>
          </cell>
          <cell r="AR44">
            <v>0.18909710391822829</v>
          </cell>
          <cell r="AS44">
            <v>0.17299270072992701</v>
          </cell>
          <cell r="AT44">
            <v>0.14651721377101681</v>
          </cell>
          <cell r="AU44">
            <v>5.599300087489064E-2</v>
          </cell>
          <cell r="AV44">
            <v>9.6718480138169263E-2</v>
          </cell>
          <cell r="AW44">
            <v>7.3409461663947795E-2</v>
          </cell>
          <cell r="AX44">
            <v>0.10557184750733138</v>
          </cell>
          <cell r="AY44">
            <v>9.4805194805194809E-2</v>
          </cell>
          <cell r="AZ44">
            <v>0.11258278145695365</v>
          </cell>
          <cell r="BA44">
            <v>0.21166032953105196</v>
          </cell>
          <cell r="BB44">
            <v>0.22778473091364204</v>
          </cell>
          <cell r="BC44">
            <v>0.26168224299065418</v>
          </cell>
          <cell r="BD44" t="str">
            <v>NM</v>
          </cell>
          <cell r="BE44" t="str">
            <v>NM</v>
          </cell>
          <cell r="BF44">
            <v>0.28268551236749118</v>
          </cell>
          <cell r="BG44">
            <v>0.13847900113507378</v>
          </cell>
          <cell r="BH44">
            <v>0.20350877192982456</v>
          </cell>
          <cell r="BI44">
            <v>0.1053864168618267</v>
          </cell>
          <cell r="BJ44">
            <v>0.1721311475409836</v>
          </cell>
          <cell r="BK44">
            <v>0.16170634920634921</v>
          </cell>
          <cell r="BL44">
            <v>0.14524647887323944</v>
          </cell>
          <cell r="BM44">
            <v>0.23872950819672131</v>
          </cell>
          <cell r="BN44">
            <v>0.21333333333333335</v>
          </cell>
          <cell r="BO44">
            <v>3.4773445732349841E-2</v>
          </cell>
          <cell r="BP44">
            <v>9.0694935217903422E-2</v>
          </cell>
          <cell r="BQ44">
            <v>0.12877939529675253</v>
          </cell>
          <cell r="BR44">
            <v>0.10377358490566038</v>
          </cell>
          <cell r="BS44">
            <v>-0.1227080394922426</v>
          </cell>
          <cell r="BT44">
            <v>3.5608308605341248E-2</v>
          </cell>
          <cell r="BU44">
            <v>0.15421115065243179</v>
          </cell>
          <cell r="BV44">
            <v>0.12046783625730995</v>
          </cell>
          <cell r="BW44">
            <v>-7.7528089887640456E-2</v>
          </cell>
          <cell r="BX44">
            <v>-7.4823053589484323E-2</v>
          </cell>
          <cell r="BY44">
            <v>1.8619934282584884E-2</v>
          </cell>
          <cell r="BZ44">
            <v>3.4591194968553458E-2</v>
          </cell>
          <cell r="CA44">
            <v>-8.4656084656084651E-2</v>
          </cell>
          <cell r="CB44">
            <v>7.7828054298642535E-2</v>
          </cell>
          <cell r="CC44">
            <v>0.10077519379844961</v>
          </cell>
          <cell r="CD44">
            <v>0.1476664116296863</v>
          </cell>
          <cell r="CE44">
            <v>9.1445427728613568E-2</v>
          </cell>
          <cell r="CF44">
            <v>0.12815315315315315</v>
          </cell>
          <cell r="CG44">
            <v>8.478062157221207E-2</v>
          </cell>
          <cell r="CH44">
            <v>7.2651356993736954E-2</v>
          </cell>
          <cell r="CI44">
            <v>8.8999999999999996E-2</v>
          </cell>
          <cell r="CJ44">
            <v>9.8913535536441832E-2</v>
          </cell>
          <cell r="CK44">
            <v>8.0593849416755042E-2</v>
          </cell>
          <cell r="CL44">
            <v>9.9398108340498711E-2</v>
          </cell>
          <cell r="CM44">
            <v>8.4091675092686211E-2</v>
          </cell>
          <cell r="CN44">
            <v>9.6826250672404524E-2</v>
          </cell>
          <cell r="CO44">
            <v>9.1153470185728253E-2</v>
          </cell>
          <cell r="CP44">
            <v>0.1043928923988154</v>
          </cell>
          <cell r="CQ44">
            <v>-7.6074553062000757E-3</v>
          </cell>
          <cell r="CR44">
            <v>3.2040736388562474E-2</v>
          </cell>
          <cell r="CS44">
            <v>2.9937816526700429E-2</v>
          </cell>
          <cell r="CT44">
            <v>2.1013772540110748E-2</v>
          </cell>
          <cell r="CU44">
            <v>-7.2553294573643415E-2</v>
          </cell>
          <cell r="CV44">
            <v>-2.7288135593220339E-2</v>
          </cell>
          <cell r="CW44">
            <v>1.480197359647953E-2</v>
          </cell>
          <cell r="CX44">
            <v>2.9145378541569903E-2</v>
          </cell>
          <cell r="CY44">
            <v>8.9599637064761255E-3</v>
          </cell>
          <cell r="CZ44">
            <v>2.644797539723219E-2</v>
          </cell>
          <cell r="DA44">
            <v>0.11026325829835941</v>
          </cell>
          <cell r="DB44">
            <v>0.10066006600660066</v>
          </cell>
          <cell r="DC44">
            <v>5.4571159283694624E-2</v>
          </cell>
          <cell r="DD44">
            <v>9.3780607247796272E-2</v>
          </cell>
          <cell r="DE44">
            <v>0.10069790628115653</v>
          </cell>
          <cell r="DF44">
            <v>0.11498834323531623</v>
          </cell>
          <cell r="DG44">
            <v>3.5477105907025512E-2</v>
          </cell>
          <cell r="DH44">
            <v>8.6791817493054965E-2</v>
          </cell>
          <cell r="DI44">
            <v>0.12935633001422475</v>
          </cell>
          <cell r="DJ44">
            <v>0.1114166592743724</v>
          </cell>
          <cell r="DK44">
            <v>9.0655132017662426E-2</v>
          </cell>
          <cell r="DL44">
            <v>0.12484768956790702</v>
          </cell>
          <cell r="DM44">
            <v>0.12591191569845989</v>
          </cell>
          <cell r="DN44">
            <v>0.11379124820659971</v>
          </cell>
          <cell r="DO44">
            <v>0.11590949901239002</v>
          </cell>
          <cell r="DP44">
            <v>0.11019801358141813</v>
          </cell>
          <cell r="DQ44">
            <v>0.10663078450703027</v>
          </cell>
          <cell r="DR44">
            <v>0.12662979348472611</v>
          </cell>
          <cell r="DS44">
            <v>0.13093818180266309</v>
          </cell>
        </row>
        <row r="46">
          <cell r="B46" t="str">
            <v>+ "One time" items included within EBIT</v>
          </cell>
          <cell r="D46">
            <v>0</v>
          </cell>
          <cell r="E46">
            <v>0</v>
          </cell>
          <cell r="F46">
            <v>0</v>
          </cell>
          <cell r="G46">
            <v>0</v>
          </cell>
          <cell r="H46">
            <v>0</v>
          </cell>
          <cell r="I46">
            <v>30</v>
          </cell>
          <cell r="J46">
            <v>-40</v>
          </cell>
          <cell r="K46">
            <v>-61</v>
          </cell>
          <cell r="L46">
            <v>-15</v>
          </cell>
          <cell r="M46">
            <v>0</v>
          </cell>
          <cell r="N46">
            <v>-30</v>
          </cell>
          <cell r="O46">
            <v>0</v>
          </cell>
          <cell r="P46">
            <v>0</v>
          </cell>
          <cell r="Q46">
            <v>-76</v>
          </cell>
          <cell r="R46">
            <v>-326</v>
          </cell>
          <cell r="S46">
            <v>-176</v>
          </cell>
          <cell r="T46">
            <v>0</v>
          </cell>
          <cell r="U46">
            <v>-6463</v>
          </cell>
          <cell r="V46">
            <v>-144</v>
          </cell>
          <cell r="W46">
            <v>-70</v>
          </cell>
          <cell r="X46">
            <v>-296</v>
          </cell>
          <cell r="Y46">
            <v>-82</v>
          </cell>
          <cell r="Z46">
            <v>0</v>
          </cell>
          <cell r="AA46">
            <v>0</v>
          </cell>
          <cell r="AB46">
            <v>0</v>
          </cell>
          <cell r="AC46">
            <v>0</v>
          </cell>
          <cell r="AD46">
            <v>0</v>
          </cell>
          <cell r="AE46">
            <v>0</v>
          </cell>
          <cell r="AF46">
            <v>0</v>
          </cell>
          <cell r="AG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30</v>
          </cell>
          <cell r="AZ46">
            <v>0</v>
          </cell>
          <cell r="BA46">
            <v>0</v>
          </cell>
          <cell r="BB46">
            <v>0</v>
          </cell>
          <cell r="BC46">
            <v>-40</v>
          </cell>
          <cell r="BD46">
            <v>-4</v>
          </cell>
          <cell r="BE46">
            <v>0</v>
          </cell>
          <cell r="BF46">
            <v>-57</v>
          </cell>
          <cell r="BG46">
            <v>0</v>
          </cell>
          <cell r="BH46">
            <v>0</v>
          </cell>
          <cell r="BI46">
            <v>0</v>
          </cell>
          <cell r="BJ46">
            <v>0</v>
          </cell>
          <cell r="BK46">
            <v>-15</v>
          </cell>
          <cell r="BL46">
            <v>0</v>
          </cell>
          <cell r="BM46">
            <v>0</v>
          </cell>
          <cell r="BN46">
            <v>0</v>
          </cell>
          <cell r="BO46">
            <v>0</v>
          </cell>
          <cell r="BP46">
            <v>-35</v>
          </cell>
          <cell r="BQ46">
            <v>-7</v>
          </cell>
          <cell r="BR46">
            <v>-86</v>
          </cell>
          <cell r="BS46">
            <v>98</v>
          </cell>
          <cell r="BT46">
            <v>-7</v>
          </cell>
          <cell r="BU46">
            <v>0</v>
          </cell>
          <cell r="BV46">
            <v>0</v>
          </cell>
          <cell r="BW46">
            <v>7</v>
          </cell>
          <cell r="BX46">
            <v>0</v>
          </cell>
          <cell r="BY46">
            <v>0</v>
          </cell>
          <cell r="BZ46">
            <v>0</v>
          </cell>
          <cell r="CA46">
            <v>0</v>
          </cell>
          <cell r="CB46">
            <v>0</v>
          </cell>
          <cell r="CC46">
            <v>0</v>
          </cell>
          <cell r="CD46">
            <v>0</v>
          </cell>
          <cell r="CE46">
            <v>-76</v>
          </cell>
          <cell r="CF46">
            <v>0</v>
          </cell>
          <cell r="CG46">
            <v>-14</v>
          </cell>
          <cell r="CH46">
            <v>-225</v>
          </cell>
          <cell r="CI46">
            <v>-87</v>
          </cell>
          <cell r="CJ46">
            <v>-5</v>
          </cell>
          <cell r="CK46">
            <v>0</v>
          </cell>
          <cell r="CL46">
            <v>-116</v>
          </cell>
          <cell r="CM46">
            <v>-55</v>
          </cell>
          <cell r="CN46">
            <v>0</v>
          </cell>
          <cell r="CO46">
            <v>0</v>
          </cell>
          <cell r="CP46">
            <v>0</v>
          </cell>
          <cell r="CQ46">
            <v>0</v>
          </cell>
          <cell r="CR46">
            <v>0</v>
          </cell>
          <cell r="CS46">
            <v>0</v>
          </cell>
          <cell r="CT46">
            <v>0</v>
          </cell>
          <cell r="CU46">
            <v>-6463</v>
          </cell>
          <cell r="CV46">
            <v>0</v>
          </cell>
          <cell r="CW46">
            <v>0</v>
          </cell>
          <cell r="CX46">
            <v>1</v>
          </cell>
          <cell r="CY46">
            <v>-145</v>
          </cell>
          <cell r="CZ46">
            <v>0</v>
          </cell>
          <cell r="DA46">
            <v>-333</v>
          </cell>
          <cell r="DB46">
            <v>-32</v>
          </cell>
          <cell r="DC46">
            <v>295</v>
          </cell>
          <cell r="DD46">
            <v>-32</v>
          </cell>
          <cell r="DE46">
            <v>-59</v>
          </cell>
          <cell r="DF46">
            <v>0</v>
          </cell>
          <cell r="DG46">
            <v>-205</v>
          </cell>
          <cell r="DH46">
            <v>-85</v>
          </cell>
          <cell r="DI46">
            <v>-1</v>
          </cell>
          <cell r="DJ46">
            <v>4</v>
          </cell>
          <cell r="DK46">
            <v>0</v>
          </cell>
          <cell r="DL46">
            <v>0</v>
          </cell>
          <cell r="DM46">
            <v>0</v>
          </cell>
          <cell r="DN46">
            <v>0</v>
          </cell>
          <cell r="DO46">
            <v>0</v>
          </cell>
          <cell r="DP46">
            <v>0</v>
          </cell>
          <cell r="DQ46">
            <v>0</v>
          </cell>
          <cell r="DR46">
            <v>0</v>
          </cell>
          <cell r="DS46">
            <v>0</v>
          </cell>
          <cell r="DU46">
            <v>0</v>
          </cell>
        </row>
        <row r="48">
          <cell r="B48" t="str">
            <v>Reported operating profit</v>
          </cell>
          <cell r="D48">
            <v>399</v>
          </cell>
          <cell r="E48">
            <v>104</v>
          </cell>
          <cell r="F48">
            <v>93</v>
          </cell>
          <cell r="G48">
            <v>424</v>
          </cell>
          <cell r="H48">
            <v>706</v>
          </cell>
          <cell r="I48">
            <v>276</v>
          </cell>
          <cell r="J48">
            <v>534</v>
          </cell>
          <cell r="K48">
            <v>339</v>
          </cell>
          <cell r="L48">
            <v>480</v>
          </cell>
          <cell r="M48">
            <v>538</v>
          </cell>
          <cell r="N48">
            <v>152</v>
          </cell>
          <cell r="O48">
            <v>188</v>
          </cell>
          <cell r="P48">
            <v>-104</v>
          </cell>
          <cell r="Q48">
            <v>537</v>
          </cell>
          <cell r="R48">
            <v>1392</v>
          </cell>
          <cell r="S48">
            <v>1718</v>
          </cell>
          <cell r="T48">
            <v>1096</v>
          </cell>
          <cell r="U48">
            <v>-5890</v>
          </cell>
          <cell r="V48">
            <v>136</v>
          </cell>
          <cell r="W48">
            <v>2960</v>
          </cell>
          <cell r="X48">
            <v>4202</v>
          </cell>
          <cell r="Y48">
            <v>4666</v>
          </cell>
          <cell r="Z48">
            <v>5290</v>
          </cell>
          <cell r="AA48">
            <v>5367.677710193906</v>
          </cell>
          <cell r="AB48">
            <v>5510.492024915744</v>
          </cell>
          <cell r="AC48">
            <v>5622.8408488808273</v>
          </cell>
          <cell r="AD48">
            <v>5437.0794214429361</v>
          </cell>
          <cell r="AE48">
            <v>5133.8356278706733</v>
          </cell>
          <cell r="AF48">
            <v>3413.8617812252937</v>
          </cell>
          <cell r="AG48">
            <v>3101.3517904236419</v>
          </cell>
          <cell r="AH48">
            <v>0</v>
          </cell>
          <cell r="AI48">
            <v>0</v>
          </cell>
          <cell r="AJ48">
            <v>7</v>
          </cell>
          <cell r="AK48">
            <v>5</v>
          </cell>
          <cell r="AL48">
            <v>38</v>
          </cell>
          <cell r="AM48">
            <v>43</v>
          </cell>
          <cell r="AN48">
            <v>54</v>
          </cell>
          <cell r="AO48">
            <v>71</v>
          </cell>
          <cell r="AP48">
            <v>124</v>
          </cell>
          <cell r="AQ48">
            <v>175</v>
          </cell>
          <cell r="AR48">
            <v>222</v>
          </cell>
          <cell r="AS48">
            <v>237</v>
          </cell>
          <cell r="AT48">
            <v>183</v>
          </cell>
          <cell r="AU48">
            <v>64</v>
          </cell>
          <cell r="AV48">
            <v>56</v>
          </cell>
          <cell r="AW48">
            <v>45</v>
          </cell>
          <cell r="AX48">
            <v>72</v>
          </cell>
          <cell r="AY48">
            <v>103</v>
          </cell>
          <cell r="AZ48">
            <v>85</v>
          </cell>
          <cell r="BA48">
            <v>167</v>
          </cell>
          <cell r="BB48">
            <v>182</v>
          </cell>
          <cell r="BC48">
            <v>100</v>
          </cell>
          <cell r="BD48">
            <v>107</v>
          </cell>
          <cell r="BE48">
            <v>48</v>
          </cell>
          <cell r="BF48">
            <v>103</v>
          </cell>
          <cell r="BG48">
            <v>122</v>
          </cell>
          <cell r="BH48">
            <v>174</v>
          </cell>
          <cell r="BI48">
            <v>90</v>
          </cell>
          <cell r="BJ48">
            <v>168</v>
          </cell>
          <cell r="BK48">
            <v>148</v>
          </cell>
          <cell r="BL48">
            <v>165</v>
          </cell>
          <cell r="BM48">
            <v>233</v>
          </cell>
          <cell r="BN48">
            <v>208</v>
          </cell>
          <cell r="BO48">
            <v>33</v>
          </cell>
          <cell r="BP48">
            <v>42</v>
          </cell>
          <cell r="BQ48">
            <v>108</v>
          </cell>
          <cell r="BR48">
            <v>-9</v>
          </cell>
          <cell r="BS48">
            <v>11</v>
          </cell>
          <cell r="BT48">
            <v>17</v>
          </cell>
          <cell r="BU48">
            <v>130</v>
          </cell>
          <cell r="BV48">
            <v>103</v>
          </cell>
          <cell r="BW48">
            <v>-62</v>
          </cell>
          <cell r="BX48">
            <v>-74</v>
          </cell>
          <cell r="BY48">
            <v>17</v>
          </cell>
          <cell r="BZ48">
            <v>33</v>
          </cell>
          <cell r="CA48">
            <v>-80</v>
          </cell>
          <cell r="CB48">
            <v>86</v>
          </cell>
          <cell r="CC48">
            <v>117</v>
          </cell>
          <cell r="CD48">
            <v>193</v>
          </cell>
          <cell r="CE48">
            <v>141</v>
          </cell>
          <cell r="CF48">
            <v>569</v>
          </cell>
          <cell r="CG48">
            <v>357</v>
          </cell>
          <cell r="CH48">
            <v>123</v>
          </cell>
          <cell r="CI48">
            <v>358</v>
          </cell>
          <cell r="CJ48">
            <v>432</v>
          </cell>
          <cell r="CK48">
            <v>380</v>
          </cell>
          <cell r="CL48">
            <v>462</v>
          </cell>
          <cell r="CM48">
            <v>444</v>
          </cell>
          <cell r="CN48">
            <v>360</v>
          </cell>
          <cell r="CO48">
            <v>373</v>
          </cell>
          <cell r="CP48">
            <v>423</v>
          </cell>
          <cell r="CQ48">
            <v>-40</v>
          </cell>
          <cell r="CR48">
            <v>409</v>
          </cell>
          <cell r="CS48">
            <v>467</v>
          </cell>
          <cell r="CT48">
            <v>296</v>
          </cell>
          <cell r="CU48">
            <v>-7062</v>
          </cell>
          <cell r="CV48">
            <v>-161</v>
          </cell>
          <cell r="CW48">
            <v>111</v>
          </cell>
          <cell r="CX48">
            <v>252</v>
          </cell>
          <cell r="CY48">
            <v>-66</v>
          </cell>
          <cell r="CZ48">
            <v>258</v>
          </cell>
          <cell r="DA48">
            <v>823</v>
          </cell>
          <cell r="DB48">
            <v>1005</v>
          </cell>
          <cell r="DC48">
            <v>844</v>
          </cell>
          <cell r="DD48">
            <v>1117</v>
          </cell>
          <cell r="DE48">
            <v>1355</v>
          </cell>
          <cell r="DF48">
            <v>1529</v>
          </cell>
          <cell r="DG48">
            <v>201</v>
          </cell>
          <cell r="DH48">
            <v>946</v>
          </cell>
          <cell r="DI48">
            <v>1454</v>
          </cell>
          <cell r="DJ48">
            <v>1260</v>
          </cell>
          <cell r="DK48">
            <v>1006</v>
          </cell>
          <cell r="DL48">
            <v>1332</v>
          </cell>
          <cell r="DM48">
            <v>1398</v>
          </cell>
          <cell r="DN48">
            <v>1269</v>
          </cell>
          <cell r="DO48">
            <v>1291</v>
          </cell>
          <cell r="DP48">
            <v>1315.8745869854183</v>
          </cell>
          <cell r="DQ48">
            <v>1230.4661530529024</v>
          </cell>
          <cell r="DR48">
            <v>1419.8971749266279</v>
          </cell>
          <cell r="DS48">
            <v>1401.4397952289569</v>
          </cell>
          <cell r="DU48">
            <v>781.26186860766029</v>
          </cell>
        </row>
        <row r="49">
          <cell r="B49" t="str">
            <v>Reported Operating Margin (%)</v>
          </cell>
          <cell r="CJ49">
            <v>9.7781801720235401E-2</v>
          </cell>
          <cell r="CK49">
            <v>8.0593849416755042E-2</v>
          </cell>
          <cell r="CL49">
            <v>7.944969905417025E-2</v>
          </cell>
          <cell r="CM49">
            <v>7.4823053589484323E-2</v>
          </cell>
          <cell r="CN49">
            <v>9.6826250672404524E-2</v>
          </cell>
          <cell r="CO49">
            <v>9.1153470185728253E-2</v>
          </cell>
          <cell r="CP49">
            <v>0.1043928923988154</v>
          </cell>
          <cell r="CQ49">
            <v>-7.6074553062000757E-3</v>
          </cell>
          <cell r="CR49">
            <v>3.2040736388562474E-2</v>
          </cell>
          <cell r="CS49">
            <v>2.9937816526700429E-2</v>
          </cell>
          <cell r="CT49">
            <v>2.1013772540110748E-2</v>
          </cell>
          <cell r="CU49">
            <v>-0.85537790697674421</v>
          </cell>
          <cell r="CV49">
            <v>-2.7288135593220339E-2</v>
          </cell>
          <cell r="CW49">
            <v>1.480197359647953E-2</v>
          </cell>
          <cell r="CX49">
            <v>2.9261495587552252E-2</v>
          </cell>
          <cell r="CY49">
            <v>-7.4855392990813199E-3</v>
          </cell>
          <cell r="CZ49">
            <v>2.644797539723219E-2</v>
          </cell>
          <cell r="DA49">
            <v>7.8500572300648608E-2</v>
          </cell>
        </row>
        <row r="51">
          <cell r="B51" t="str">
            <v>Interest expense</v>
          </cell>
          <cell r="D51">
            <v>-74</v>
          </cell>
          <cell r="E51">
            <v>-79</v>
          </cell>
          <cell r="F51">
            <v>-74</v>
          </cell>
          <cell r="G51">
            <v>-74</v>
          </cell>
          <cell r="H51">
            <v>-80</v>
          </cell>
          <cell r="I51">
            <v>-79</v>
          </cell>
          <cell r="J51">
            <v>-75</v>
          </cell>
          <cell r="K51">
            <v>-287</v>
          </cell>
          <cell r="L51">
            <v>-616</v>
          </cell>
          <cell r="M51">
            <v>-514</v>
          </cell>
          <cell r="N51">
            <v>-386</v>
          </cell>
          <cell r="O51">
            <v>-384</v>
          </cell>
          <cell r="P51">
            <v>-415</v>
          </cell>
          <cell r="Q51">
            <v>-463</v>
          </cell>
          <cell r="R51">
            <v>-649</v>
          </cell>
          <cell r="S51">
            <v>-648</v>
          </cell>
          <cell r="T51">
            <v>-353</v>
          </cell>
          <cell r="U51">
            <v>-2476</v>
          </cell>
          <cell r="V51">
            <v>-1795</v>
          </cell>
          <cell r="W51">
            <v>-1263</v>
          </cell>
          <cell r="X51">
            <v>-595</v>
          </cell>
          <cell r="Y51">
            <v>-311</v>
          </cell>
          <cell r="Z51">
            <v>-294</v>
          </cell>
          <cell r="AA51">
            <v>-320</v>
          </cell>
          <cell r="AB51">
            <v>-469.89664583189341</v>
          </cell>
          <cell r="AC51">
            <v>-489.74903205147939</v>
          </cell>
          <cell r="AD51">
            <v>-542.48717727319445</v>
          </cell>
          <cell r="AE51">
            <v>-564.93563359512075</v>
          </cell>
          <cell r="AF51">
            <v>-516.52123185076675</v>
          </cell>
          <cell r="AG51">
            <v>-438.51512819697376</v>
          </cell>
          <cell r="AJ51">
            <v>-18</v>
          </cell>
          <cell r="AK51">
            <v>-19</v>
          </cell>
          <cell r="AL51">
            <v>-18</v>
          </cell>
          <cell r="AM51">
            <v>-19</v>
          </cell>
          <cell r="AN51">
            <v>-18</v>
          </cell>
          <cell r="AO51">
            <v>-19</v>
          </cell>
          <cell r="AP51">
            <v>-19</v>
          </cell>
          <cell r="AQ51">
            <v>-18</v>
          </cell>
          <cell r="AR51">
            <v>-18</v>
          </cell>
          <cell r="AS51">
            <v>-21</v>
          </cell>
          <cell r="AT51">
            <v>-20</v>
          </cell>
          <cell r="AU51">
            <v>-21</v>
          </cell>
          <cell r="AV51">
            <v>-20</v>
          </cell>
          <cell r="AW51">
            <v>-22</v>
          </cell>
          <cell r="AX51">
            <v>-18</v>
          </cell>
          <cell r="AY51">
            <v>-19</v>
          </cell>
          <cell r="AZ51">
            <v>-21</v>
          </cell>
          <cell r="BA51">
            <v>-20</v>
          </cell>
          <cell r="BB51">
            <v>-19</v>
          </cell>
          <cell r="BC51">
            <v>-15</v>
          </cell>
          <cell r="BD51">
            <v>-7</v>
          </cell>
          <cell r="BE51">
            <v>-6</v>
          </cell>
          <cell r="BF51">
            <v>-119</v>
          </cell>
          <cell r="BG51">
            <v>-155</v>
          </cell>
          <cell r="BH51">
            <v>-146</v>
          </cell>
          <cell r="BI51">
            <v>-149</v>
          </cell>
          <cell r="BJ51">
            <v>-156</v>
          </cell>
          <cell r="BK51">
            <v>-165</v>
          </cell>
          <cell r="BL51">
            <v>-165</v>
          </cell>
          <cell r="BM51">
            <v>-123</v>
          </cell>
          <cell r="BN51">
            <v>-114</v>
          </cell>
          <cell r="BO51">
            <v>-112</v>
          </cell>
          <cell r="BP51">
            <v>-99</v>
          </cell>
          <cell r="BQ51">
            <v>-98</v>
          </cell>
          <cell r="BR51">
            <v>-95</v>
          </cell>
          <cell r="BS51">
            <v>-94</v>
          </cell>
          <cell r="BT51">
            <v>-93</v>
          </cell>
          <cell r="BU51">
            <v>-94</v>
          </cell>
          <cell r="BV51">
            <v>-98</v>
          </cell>
          <cell r="BW51">
            <v>-99</v>
          </cell>
          <cell r="BX51">
            <v>-100</v>
          </cell>
          <cell r="BY51">
            <v>-102</v>
          </cell>
          <cell r="BZ51">
            <v>-107</v>
          </cell>
          <cell r="CA51">
            <v>-106</v>
          </cell>
          <cell r="CB51">
            <v>-111</v>
          </cell>
          <cell r="CC51">
            <v>-111</v>
          </cell>
          <cell r="CD51">
            <v>-111</v>
          </cell>
          <cell r="CE51">
            <v>-130</v>
          </cell>
          <cell r="CF51">
            <v>-169</v>
          </cell>
          <cell r="CG51">
            <v>-165</v>
          </cell>
          <cell r="CH51">
            <v>-163</v>
          </cell>
          <cell r="CI51">
            <v>-152</v>
          </cell>
          <cell r="CJ51">
            <v>-137</v>
          </cell>
          <cell r="CK51">
            <v>-158</v>
          </cell>
          <cell r="CL51">
            <v>-164</v>
          </cell>
          <cell r="CM51">
            <v>-189</v>
          </cell>
          <cell r="CN51">
            <v>-71</v>
          </cell>
          <cell r="CO51">
            <v>-110</v>
          </cell>
          <cell r="CP51">
            <v>-62</v>
          </cell>
          <cell r="CQ51">
            <v>-110</v>
          </cell>
          <cell r="CR51">
            <v>-519</v>
          </cell>
          <cell r="CS51">
            <v>-502</v>
          </cell>
          <cell r="CT51">
            <v>-587</v>
          </cell>
          <cell r="CU51">
            <v>-868</v>
          </cell>
          <cell r="CV51">
            <v>-445</v>
          </cell>
          <cell r="CW51">
            <v>-528</v>
          </cell>
          <cell r="CX51">
            <v>-406</v>
          </cell>
          <cell r="CY51">
            <v>-416</v>
          </cell>
          <cell r="CZ51">
            <v>-411</v>
          </cell>
          <cell r="DA51">
            <v>-434</v>
          </cell>
          <cell r="DB51">
            <v>-191</v>
          </cell>
          <cell r="DC51">
            <v>-227</v>
          </cell>
          <cell r="DD51">
            <v>-160</v>
          </cell>
          <cell r="DE51">
            <v>-169</v>
          </cell>
          <cell r="DF51">
            <v>-150</v>
          </cell>
          <cell r="DG51">
            <v>-116</v>
          </cell>
          <cell r="DH51">
            <v>-95</v>
          </cell>
          <cell r="DI51">
            <v>-80</v>
          </cell>
          <cell r="DJ51">
            <v>-67</v>
          </cell>
          <cell r="DK51">
            <v>-69</v>
          </cell>
          <cell r="DL51">
            <v>-69</v>
          </cell>
          <cell r="DM51">
            <v>-65</v>
          </cell>
          <cell r="DN51">
            <v>-76</v>
          </cell>
          <cell r="DO51">
            <v>-84</v>
          </cell>
          <cell r="DP51">
            <v>-80</v>
          </cell>
          <cell r="DQ51">
            <v>-80</v>
          </cell>
          <cell r="DR51">
            <v>-80</v>
          </cell>
          <cell r="DS51">
            <v>-80</v>
          </cell>
          <cell r="DU51">
            <v>-191</v>
          </cell>
          <cell r="DX51" t="str">
            <v>mstag:interestExpense</v>
          </cell>
          <cell r="DY51">
            <v>6</v>
          </cell>
          <cell r="DZ51" t="str">
            <v>ISO4217:USD</v>
          </cell>
          <cell r="EA51" t="b">
            <v>1</v>
          </cell>
        </row>
        <row r="52">
          <cell r="B52" t="str">
            <v>Interest income</v>
          </cell>
          <cell r="D52">
            <v>14</v>
          </cell>
          <cell r="E52">
            <v>10</v>
          </cell>
          <cell r="F52">
            <v>2</v>
          </cell>
          <cell r="G52">
            <v>5</v>
          </cell>
          <cell r="H52">
            <v>6</v>
          </cell>
          <cell r="I52">
            <v>1</v>
          </cell>
          <cell r="J52">
            <v>14</v>
          </cell>
          <cell r="K52">
            <v>25</v>
          </cell>
          <cell r="L52">
            <v>27</v>
          </cell>
          <cell r="M52">
            <v>52</v>
          </cell>
          <cell r="N52">
            <v>17</v>
          </cell>
          <cell r="O52">
            <v>11</v>
          </cell>
          <cell r="P52">
            <v>23</v>
          </cell>
          <cell r="Q52">
            <v>14</v>
          </cell>
          <cell r="R52">
            <v>46</v>
          </cell>
          <cell r="S52">
            <v>39</v>
          </cell>
          <cell r="T52">
            <v>70</v>
          </cell>
          <cell r="U52">
            <v>69</v>
          </cell>
          <cell r="V52">
            <v>18</v>
          </cell>
          <cell r="W52">
            <v>27</v>
          </cell>
          <cell r="X52">
            <v>20</v>
          </cell>
          <cell r="Y52">
            <v>0</v>
          </cell>
          <cell r="Z52">
            <v>0</v>
          </cell>
          <cell r="AA52">
            <v>0</v>
          </cell>
          <cell r="AB52">
            <v>0</v>
          </cell>
          <cell r="AC52">
            <v>0</v>
          </cell>
          <cell r="AD52">
            <v>0</v>
          </cell>
          <cell r="AE52">
            <v>0</v>
          </cell>
          <cell r="AF52">
            <v>0</v>
          </cell>
          <cell r="AG52">
            <v>0</v>
          </cell>
          <cell r="AJ52">
            <v>1</v>
          </cell>
          <cell r="AK52">
            <v>0</v>
          </cell>
          <cell r="AL52">
            <v>1</v>
          </cell>
          <cell r="AM52">
            <v>0</v>
          </cell>
          <cell r="AN52">
            <v>1</v>
          </cell>
          <cell r="AO52">
            <v>1</v>
          </cell>
          <cell r="AP52">
            <v>1</v>
          </cell>
          <cell r="AQ52">
            <v>2</v>
          </cell>
          <cell r="AR52">
            <v>3</v>
          </cell>
          <cell r="AS52">
            <v>2</v>
          </cell>
          <cell r="AT52">
            <v>0</v>
          </cell>
          <cell r="AU52">
            <v>1</v>
          </cell>
          <cell r="AV52">
            <v>2</v>
          </cell>
          <cell r="AW52">
            <v>0</v>
          </cell>
          <cell r="AX52">
            <v>1</v>
          </cell>
          <cell r="AY52">
            <v>-2</v>
          </cell>
          <cell r="AZ52">
            <v>3</v>
          </cell>
          <cell r="BA52">
            <v>3</v>
          </cell>
          <cell r="BB52">
            <v>4</v>
          </cell>
          <cell r="BC52">
            <v>4</v>
          </cell>
          <cell r="BD52">
            <v>4</v>
          </cell>
          <cell r="BE52">
            <v>3</v>
          </cell>
          <cell r="BF52">
            <v>7</v>
          </cell>
          <cell r="BG52">
            <v>11</v>
          </cell>
          <cell r="BH52">
            <v>6</v>
          </cell>
          <cell r="BI52">
            <v>9</v>
          </cell>
          <cell r="BJ52">
            <v>12</v>
          </cell>
          <cell r="BK52">
            <v>0</v>
          </cell>
          <cell r="BL52">
            <v>8</v>
          </cell>
          <cell r="BM52">
            <v>20</v>
          </cell>
          <cell r="BN52">
            <v>10</v>
          </cell>
          <cell r="BO52">
            <v>14</v>
          </cell>
          <cell r="BP52">
            <v>7</v>
          </cell>
          <cell r="BQ52">
            <v>4</v>
          </cell>
          <cell r="BR52">
            <v>4</v>
          </cell>
          <cell r="BS52">
            <v>2</v>
          </cell>
          <cell r="BT52">
            <v>2</v>
          </cell>
          <cell r="BU52">
            <v>3</v>
          </cell>
          <cell r="BV52">
            <v>3</v>
          </cell>
          <cell r="BW52">
            <v>3</v>
          </cell>
          <cell r="BX52">
            <v>2</v>
          </cell>
          <cell r="BY52">
            <v>3</v>
          </cell>
          <cell r="BZ52">
            <v>1</v>
          </cell>
          <cell r="CA52">
            <v>17</v>
          </cell>
          <cell r="CB52">
            <v>2</v>
          </cell>
          <cell r="CC52">
            <v>3</v>
          </cell>
          <cell r="CD52">
            <v>3</v>
          </cell>
          <cell r="CE52">
            <v>6</v>
          </cell>
          <cell r="CF52">
            <v>11</v>
          </cell>
          <cell r="CG52">
            <v>10</v>
          </cell>
          <cell r="CH52">
            <v>14</v>
          </cell>
          <cell r="CI52">
            <v>11</v>
          </cell>
          <cell r="CJ52">
            <v>12</v>
          </cell>
          <cell r="CK52">
            <v>7</v>
          </cell>
          <cell r="CL52">
            <v>8</v>
          </cell>
          <cell r="CM52">
            <v>12</v>
          </cell>
          <cell r="CN52">
            <v>15</v>
          </cell>
          <cell r="CO52">
            <v>11</v>
          </cell>
          <cell r="CP52">
            <v>23</v>
          </cell>
          <cell r="CQ52">
            <v>21</v>
          </cell>
          <cell r="CR52">
            <v>66</v>
          </cell>
          <cell r="CS52">
            <v>24</v>
          </cell>
          <cell r="CT52">
            <v>2</v>
          </cell>
          <cell r="CU52">
            <v>-23</v>
          </cell>
          <cell r="CV52">
            <v>20</v>
          </cell>
          <cell r="CW52">
            <v>30</v>
          </cell>
          <cell r="CX52">
            <v>-35</v>
          </cell>
          <cell r="CY52">
            <v>3</v>
          </cell>
          <cell r="CZ52">
            <v>2</v>
          </cell>
          <cell r="DA52">
            <v>15</v>
          </cell>
          <cell r="DB52">
            <v>5</v>
          </cell>
          <cell r="DC52">
            <v>5</v>
          </cell>
          <cell r="DD52">
            <v>5</v>
          </cell>
          <cell r="DE52">
            <v>5</v>
          </cell>
          <cell r="DF52">
            <v>5</v>
          </cell>
          <cell r="DG52">
            <v>5</v>
          </cell>
          <cell r="DL52">
            <v>0</v>
          </cell>
          <cell r="DM52">
            <v>0</v>
          </cell>
          <cell r="DN52">
            <v>0</v>
          </cell>
          <cell r="DO52">
            <v>0</v>
          </cell>
          <cell r="DP52">
            <v>0</v>
          </cell>
          <cell r="DQ52">
            <v>0</v>
          </cell>
          <cell r="DR52">
            <v>0</v>
          </cell>
          <cell r="DS52">
            <v>0</v>
          </cell>
          <cell r="DU52">
            <v>5</v>
          </cell>
          <cell r="DX52" t="str">
            <v>mstag:interestIncome</v>
          </cell>
          <cell r="DY52">
            <v>6</v>
          </cell>
          <cell r="DZ52" t="str">
            <v>ISO4217:USD</v>
          </cell>
          <cell r="EA52" t="b">
            <v>0</v>
          </cell>
        </row>
        <row r="53">
          <cell r="B53" t="str">
            <v>Minority interest loss (income)</v>
          </cell>
          <cell r="D53">
            <v>0</v>
          </cell>
          <cell r="E53">
            <v>0</v>
          </cell>
          <cell r="F53">
            <v>-5</v>
          </cell>
          <cell r="G53">
            <v>-6</v>
          </cell>
          <cell r="H53">
            <v>-14</v>
          </cell>
          <cell r="I53">
            <v>-2</v>
          </cell>
          <cell r="J53">
            <v>0</v>
          </cell>
          <cell r="K53">
            <v>0</v>
          </cell>
          <cell r="L53">
            <v>0</v>
          </cell>
          <cell r="M53">
            <v>0</v>
          </cell>
          <cell r="N53">
            <v>0</v>
          </cell>
          <cell r="O53">
            <v>0</v>
          </cell>
          <cell r="P53">
            <v>0</v>
          </cell>
          <cell r="Q53">
            <v>0</v>
          </cell>
          <cell r="R53">
            <v>0</v>
          </cell>
          <cell r="S53">
            <v>0</v>
          </cell>
          <cell r="T53">
            <v>0</v>
          </cell>
          <cell r="U53">
            <v>0</v>
          </cell>
          <cell r="V53">
            <v>0</v>
          </cell>
          <cell r="W53">
            <v>-67</v>
          </cell>
          <cell r="X53">
            <v>-7</v>
          </cell>
          <cell r="Y53">
            <v>-14</v>
          </cell>
          <cell r="Z53">
            <v>-6</v>
          </cell>
          <cell r="AA53">
            <v>-11.999372156942691</v>
          </cell>
          <cell r="AB53">
            <v>-12.31863165876255</v>
          </cell>
          <cell r="AC53">
            <v>-12.569785961039608</v>
          </cell>
          <cell r="AD53">
            <v>-12.154518759732241</v>
          </cell>
          <cell r="AE53">
            <v>-11.476621290879693</v>
          </cell>
          <cell r="AF53">
            <v>-7.6316426240512376</v>
          </cell>
          <cell r="AG53">
            <v>-6.933030694488072</v>
          </cell>
          <cell r="AJ53">
            <v>0</v>
          </cell>
          <cell r="AK53">
            <v>0</v>
          </cell>
          <cell r="AL53">
            <v>-3</v>
          </cell>
          <cell r="AM53">
            <v>-2</v>
          </cell>
          <cell r="AN53">
            <v>-3</v>
          </cell>
          <cell r="AO53">
            <v>-2</v>
          </cell>
          <cell r="AP53">
            <v>-1</v>
          </cell>
          <cell r="AQ53">
            <v>0</v>
          </cell>
          <cell r="AR53">
            <v>-5</v>
          </cell>
          <cell r="AS53">
            <v>-3</v>
          </cell>
          <cell r="AT53">
            <v>-4</v>
          </cell>
          <cell r="AU53">
            <v>-2</v>
          </cell>
          <cell r="AV53">
            <v>0</v>
          </cell>
          <cell r="AW53">
            <v>0</v>
          </cell>
          <cell r="AX53">
            <v>0</v>
          </cell>
          <cell r="AY53">
            <v>-2</v>
          </cell>
          <cell r="AZ53">
            <v>-4</v>
          </cell>
          <cell r="BA53">
            <v>-4</v>
          </cell>
          <cell r="BB53">
            <v>0</v>
          </cell>
          <cell r="BC53">
            <v>8</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-2</v>
          </cell>
          <cell r="DA53">
            <v>-53</v>
          </cell>
          <cell r="DB53">
            <v>-7</v>
          </cell>
          <cell r="DC53">
            <v>-5</v>
          </cell>
          <cell r="DD53">
            <v>-3</v>
          </cell>
          <cell r="DE53">
            <v>-1</v>
          </cell>
          <cell r="DF53">
            <v>0</v>
          </cell>
          <cell r="DG53">
            <v>-3</v>
          </cell>
          <cell r="DH53">
            <v>-1</v>
          </cell>
          <cell r="DI53">
            <v>-2</v>
          </cell>
          <cell r="DJ53">
            <v>-2</v>
          </cell>
          <cell r="DK53">
            <v>-9</v>
          </cell>
          <cell r="DL53">
            <v>-1</v>
          </cell>
          <cell r="DM53">
            <v>-2</v>
          </cell>
          <cell r="DN53">
            <v>-2</v>
          </cell>
          <cell r="DO53">
            <v>-1</v>
          </cell>
          <cell r="DP53">
            <v>-2.9998430392356727</v>
          </cell>
          <cell r="DQ53">
            <v>-2.9998430392356727</v>
          </cell>
          <cell r="DR53">
            <v>-2.9998430392356727</v>
          </cell>
          <cell r="DS53">
            <v>-2.9998430392356727</v>
          </cell>
          <cell r="DU53">
            <v>0</v>
          </cell>
          <cell r="DX53" t="str">
            <v>mstag:minorityInterestsInNetIncome</v>
          </cell>
          <cell r="DY53">
            <v>6</v>
          </cell>
          <cell r="DZ53" t="str">
            <v>ISO4217:USD</v>
          </cell>
          <cell r="EA53" t="b">
            <v>1</v>
          </cell>
        </row>
        <row r="54">
          <cell r="B54" t="str">
            <v>Other income (expense)</v>
          </cell>
          <cell r="D54">
            <v>0</v>
          </cell>
          <cell r="E54">
            <v>0</v>
          </cell>
          <cell r="F54">
            <v>0</v>
          </cell>
          <cell r="G54">
            <v>0</v>
          </cell>
          <cell r="H54">
            <v>0</v>
          </cell>
          <cell r="I54">
            <v>0</v>
          </cell>
          <cell r="J54">
            <v>-17</v>
          </cell>
          <cell r="K54">
            <v>12</v>
          </cell>
          <cell r="L54">
            <v>58.846153846153847</v>
          </cell>
          <cell r="M54">
            <v>27</v>
          </cell>
          <cell r="N54">
            <v>-4</v>
          </cell>
          <cell r="O54">
            <v>-29</v>
          </cell>
          <cell r="P54">
            <v>15</v>
          </cell>
          <cell r="Q54">
            <v>-23</v>
          </cell>
          <cell r="R54">
            <v>-22</v>
          </cell>
          <cell r="S54">
            <v>77</v>
          </cell>
          <cell r="T54">
            <v>127</v>
          </cell>
          <cell r="U54">
            <v>113</v>
          </cell>
          <cell r="V54">
            <v>373</v>
          </cell>
          <cell r="W54">
            <v>-92</v>
          </cell>
          <cell r="X54">
            <v>-7</v>
          </cell>
          <cell r="Y54">
            <v>-20</v>
          </cell>
          <cell r="Z54">
            <v>2</v>
          </cell>
          <cell r="AA54">
            <v>0</v>
          </cell>
          <cell r="AB54">
            <v>0</v>
          </cell>
          <cell r="AC54">
            <v>0</v>
          </cell>
          <cell r="AD54">
            <v>0</v>
          </cell>
          <cell r="AE54">
            <v>0</v>
          </cell>
          <cell r="AF54">
            <v>0</v>
          </cell>
          <cell r="AG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-5</v>
          </cell>
          <cell r="BC54">
            <v>-12</v>
          </cell>
          <cell r="BD54">
            <v>0</v>
          </cell>
          <cell r="BE54">
            <v>5</v>
          </cell>
          <cell r="BF54">
            <v>1</v>
          </cell>
          <cell r="BG54">
            <v>6</v>
          </cell>
          <cell r="BH54">
            <v>-7</v>
          </cell>
          <cell r="BI54">
            <v>14</v>
          </cell>
          <cell r="BJ54">
            <v>2</v>
          </cell>
          <cell r="BK54">
            <v>49.846153846153847</v>
          </cell>
          <cell r="BL54">
            <v>-5</v>
          </cell>
          <cell r="BM54">
            <v>-1</v>
          </cell>
          <cell r="BN54">
            <v>14</v>
          </cell>
          <cell r="BO54">
            <v>19</v>
          </cell>
          <cell r="BP54">
            <v>3</v>
          </cell>
          <cell r="BQ54">
            <v>-1</v>
          </cell>
          <cell r="BR54">
            <v>-4</v>
          </cell>
          <cell r="BS54">
            <v>-2</v>
          </cell>
          <cell r="BT54">
            <v>1</v>
          </cell>
          <cell r="BU54">
            <v>-4</v>
          </cell>
          <cell r="BV54">
            <v>-5</v>
          </cell>
          <cell r="BW54">
            <v>-21</v>
          </cell>
          <cell r="BX54">
            <v>-2</v>
          </cell>
          <cell r="BY54">
            <v>-16</v>
          </cell>
          <cell r="BZ54">
            <v>2</v>
          </cell>
          <cell r="CA54">
            <v>31</v>
          </cell>
          <cell r="CB54">
            <v>-1</v>
          </cell>
          <cell r="CC54">
            <v>-3</v>
          </cell>
          <cell r="CD54">
            <v>-3</v>
          </cell>
          <cell r="CE54">
            <v>-16</v>
          </cell>
          <cell r="CF54">
            <v>-26</v>
          </cell>
          <cell r="CG54">
            <v>16</v>
          </cell>
          <cell r="CH54">
            <v>-8</v>
          </cell>
          <cell r="CI54">
            <v>-4</v>
          </cell>
          <cell r="CJ54">
            <v>77</v>
          </cell>
          <cell r="CK54">
            <v>1</v>
          </cell>
          <cell r="CL54">
            <v>16</v>
          </cell>
          <cell r="CM54">
            <v>-17</v>
          </cell>
          <cell r="CN54">
            <v>0</v>
          </cell>
          <cell r="CO54">
            <v>7</v>
          </cell>
          <cell r="CP54">
            <v>139</v>
          </cell>
          <cell r="CQ54">
            <v>-19</v>
          </cell>
          <cell r="CR54">
            <v>-12</v>
          </cell>
          <cell r="CS54">
            <v>-1</v>
          </cell>
          <cell r="CT54">
            <v>13</v>
          </cell>
          <cell r="CU54">
            <v>113</v>
          </cell>
          <cell r="CV54">
            <v>74</v>
          </cell>
          <cell r="CW54">
            <v>127</v>
          </cell>
          <cell r="CX54">
            <v>202</v>
          </cell>
          <cell r="CY54">
            <v>-30</v>
          </cell>
          <cell r="CZ54">
            <v>-34</v>
          </cell>
          <cell r="DA54">
            <v>20</v>
          </cell>
          <cell r="DB54">
            <v>-78</v>
          </cell>
          <cell r="DC54">
            <v>0</v>
          </cell>
          <cell r="DD54">
            <v>-8</v>
          </cell>
          <cell r="DE54">
            <v>1</v>
          </cell>
          <cell r="DF54">
            <v>0</v>
          </cell>
          <cell r="DG54">
            <v>0</v>
          </cell>
          <cell r="DH54">
            <v>-17</v>
          </cell>
          <cell r="DI54">
            <v>2</v>
          </cell>
          <cell r="DJ54">
            <v>-7</v>
          </cell>
          <cell r="DK54">
            <v>2</v>
          </cell>
          <cell r="DL54">
            <v>0</v>
          </cell>
          <cell r="DM54">
            <v>0</v>
          </cell>
          <cell r="DN54">
            <v>2</v>
          </cell>
          <cell r="DO54">
            <v>0</v>
          </cell>
          <cell r="DP54">
            <v>0</v>
          </cell>
          <cell r="DQ54">
            <v>0</v>
          </cell>
          <cell r="DR54">
            <v>0</v>
          </cell>
          <cell r="DS54">
            <v>0</v>
          </cell>
          <cell r="DU54">
            <v>0</v>
          </cell>
          <cell r="DX54" t="str">
            <v>mstag:otherNonOperatingIncomeExpense</v>
          </cell>
          <cell r="DY54">
            <v>6</v>
          </cell>
          <cell r="DZ54" t="str">
            <v>ISO4217:USD</v>
          </cell>
          <cell r="EA54" t="b">
            <v>0</v>
          </cell>
        </row>
        <row r="56">
          <cell r="B56" t="str">
            <v>Recurring profit before taxes</v>
          </cell>
          <cell r="D56">
            <v>339</v>
          </cell>
          <cell r="E56">
            <v>35</v>
          </cell>
          <cell r="F56">
            <v>16</v>
          </cell>
          <cell r="G56">
            <v>349</v>
          </cell>
          <cell r="H56">
            <v>618</v>
          </cell>
          <cell r="I56">
            <v>166</v>
          </cell>
          <cell r="J56">
            <v>496</v>
          </cell>
          <cell r="K56">
            <v>150</v>
          </cell>
          <cell r="L56">
            <v>-35.153846153846153</v>
          </cell>
          <cell r="M56">
            <v>103</v>
          </cell>
          <cell r="N56">
            <v>-191</v>
          </cell>
          <cell r="O56">
            <v>-214</v>
          </cell>
          <cell r="P56">
            <v>-481</v>
          </cell>
          <cell r="Q56">
            <v>141</v>
          </cell>
          <cell r="R56">
            <v>1093</v>
          </cell>
          <cell r="S56">
            <v>1362</v>
          </cell>
          <cell r="T56">
            <v>940</v>
          </cell>
          <cell r="U56">
            <v>-1721</v>
          </cell>
          <cell r="V56">
            <v>-1124</v>
          </cell>
          <cell r="W56">
            <v>1635</v>
          </cell>
          <cell r="X56">
            <v>3909</v>
          </cell>
          <cell r="Y56">
            <v>4403</v>
          </cell>
          <cell r="Z56">
            <v>4992</v>
          </cell>
          <cell r="AA56">
            <v>5035.6783380369634</v>
          </cell>
          <cell r="AB56">
            <v>5028.2767474250877</v>
          </cell>
          <cell r="AC56">
            <v>5120.5220308683083</v>
          </cell>
          <cell r="AD56">
            <v>4882.43772541001</v>
          </cell>
          <cell r="AE56">
            <v>4557.4233729846728</v>
          </cell>
          <cell r="AF56">
            <v>2889.7089067504753</v>
          </cell>
          <cell r="AG56">
            <v>2655.90363153218</v>
          </cell>
          <cell r="AH56">
            <v>0</v>
          </cell>
          <cell r="AI56">
            <v>0</v>
          </cell>
          <cell r="AJ56">
            <v>-10</v>
          </cell>
          <cell r="AK56">
            <v>-14</v>
          </cell>
          <cell r="AL56">
            <v>18</v>
          </cell>
          <cell r="AM56">
            <v>22</v>
          </cell>
          <cell r="AN56">
            <v>34</v>
          </cell>
          <cell r="AO56">
            <v>51</v>
          </cell>
          <cell r="AP56">
            <v>105</v>
          </cell>
          <cell r="AQ56">
            <v>159</v>
          </cell>
          <cell r="AR56">
            <v>202</v>
          </cell>
          <cell r="AS56">
            <v>215</v>
          </cell>
          <cell r="AT56">
            <v>159</v>
          </cell>
          <cell r="AU56">
            <v>42</v>
          </cell>
          <cell r="AV56">
            <v>38</v>
          </cell>
          <cell r="AW56">
            <v>23</v>
          </cell>
          <cell r="AX56">
            <v>55</v>
          </cell>
          <cell r="AY56">
            <v>50</v>
          </cell>
          <cell r="AZ56">
            <v>63</v>
          </cell>
          <cell r="BA56">
            <v>146</v>
          </cell>
          <cell r="BB56">
            <v>162</v>
          </cell>
          <cell r="BC56">
            <v>125</v>
          </cell>
          <cell r="BD56">
            <v>108</v>
          </cell>
          <cell r="BE56">
            <v>50</v>
          </cell>
          <cell r="BF56">
            <v>49</v>
          </cell>
          <cell r="BG56">
            <v>-16</v>
          </cell>
          <cell r="BH56">
            <v>27</v>
          </cell>
          <cell r="BI56">
            <v>-36</v>
          </cell>
          <cell r="BJ56">
            <v>26</v>
          </cell>
          <cell r="BK56">
            <v>47.846153846153847</v>
          </cell>
          <cell r="BL56">
            <v>3</v>
          </cell>
          <cell r="BM56">
            <v>129</v>
          </cell>
          <cell r="BN56">
            <v>118</v>
          </cell>
          <cell r="BO56">
            <v>-46</v>
          </cell>
          <cell r="BP56">
            <v>-12</v>
          </cell>
          <cell r="BQ56">
            <v>20</v>
          </cell>
          <cell r="BR56">
            <v>-18</v>
          </cell>
          <cell r="BS56">
            <v>-181</v>
          </cell>
          <cell r="BT56">
            <v>-66</v>
          </cell>
          <cell r="BU56">
            <v>35</v>
          </cell>
          <cell r="BV56">
            <v>3</v>
          </cell>
          <cell r="BW56">
            <v>-186</v>
          </cell>
          <cell r="BX56">
            <v>-174</v>
          </cell>
          <cell r="BY56">
            <v>-98</v>
          </cell>
          <cell r="BZ56">
            <v>-71</v>
          </cell>
          <cell r="CA56">
            <v>-138</v>
          </cell>
          <cell r="CB56">
            <v>-24</v>
          </cell>
          <cell r="CC56">
            <v>6</v>
          </cell>
          <cell r="CD56">
            <v>82</v>
          </cell>
          <cell r="CE56">
            <v>77</v>
          </cell>
          <cell r="CF56">
            <v>385</v>
          </cell>
          <cell r="CG56">
            <v>232</v>
          </cell>
          <cell r="CH56">
            <v>191</v>
          </cell>
          <cell r="CI56">
            <v>300</v>
          </cell>
          <cell r="CJ56">
            <v>389</v>
          </cell>
          <cell r="CK56">
            <v>230</v>
          </cell>
          <cell r="CL56">
            <v>438</v>
          </cell>
          <cell r="CM56">
            <v>305</v>
          </cell>
          <cell r="CN56">
            <v>304</v>
          </cell>
          <cell r="CO56">
            <v>281</v>
          </cell>
          <cell r="CP56">
            <v>523</v>
          </cell>
          <cell r="CQ56">
            <v>-148</v>
          </cell>
          <cell r="CR56">
            <v>-56</v>
          </cell>
          <cell r="CS56">
            <v>-12</v>
          </cell>
          <cell r="CT56">
            <v>-276</v>
          </cell>
          <cell r="CU56">
            <v>-1377</v>
          </cell>
          <cell r="CV56">
            <v>-512</v>
          </cell>
          <cell r="CW56">
            <v>-260</v>
          </cell>
          <cell r="CX56">
            <v>12</v>
          </cell>
          <cell r="CY56">
            <v>-364</v>
          </cell>
          <cell r="CZ56">
            <v>-187</v>
          </cell>
          <cell r="DA56">
            <v>704</v>
          </cell>
          <cell r="DB56">
            <v>766</v>
          </cell>
          <cell r="DC56">
            <v>352</v>
          </cell>
          <cell r="DD56">
            <v>983</v>
          </cell>
          <cell r="DE56">
            <v>1250</v>
          </cell>
          <cell r="DF56">
            <v>1384</v>
          </cell>
          <cell r="DG56">
            <v>292</v>
          </cell>
          <cell r="DH56">
            <v>918</v>
          </cell>
          <cell r="DI56">
            <v>1375</v>
          </cell>
          <cell r="DJ56">
            <v>1180</v>
          </cell>
          <cell r="DK56">
            <v>930</v>
          </cell>
          <cell r="DL56">
            <v>1262</v>
          </cell>
          <cell r="DM56">
            <v>1331</v>
          </cell>
          <cell r="DN56">
            <v>1193</v>
          </cell>
          <cell r="DO56">
            <v>1206</v>
          </cell>
          <cell r="DP56">
            <v>1232.8747439461827</v>
          </cell>
          <cell r="DQ56">
            <v>1147.4663100136668</v>
          </cell>
          <cell r="DR56">
            <v>1336.8973318873923</v>
          </cell>
          <cell r="DS56">
            <v>1318.4399521897212</v>
          </cell>
          <cell r="DU56">
            <v>595.26186860766029</v>
          </cell>
        </row>
        <row r="58">
          <cell r="B58" t="str">
            <v>"One time" items included within PBT</v>
          </cell>
          <cell r="D58">
            <v>0</v>
          </cell>
          <cell r="E58">
            <v>0</v>
          </cell>
          <cell r="F58">
            <v>0</v>
          </cell>
          <cell r="G58">
            <v>0</v>
          </cell>
          <cell r="H58">
            <v>0</v>
          </cell>
          <cell r="I58">
            <v>0</v>
          </cell>
          <cell r="J58">
            <v>0</v>
          </cell>
          <cell r="K58">
            <v>0</v>
          </cell>
          <cell r="L58">
            <v>-53.84615384615384</v>
          </cell>
          <cell r="M58">
            <v>590</v>
          </cell>
          <cell r="N58">
            <v>0</v>
          </cell>
          <cell r="O58">
            <v>0</v>
          </cell>
          <cell r="P58">
            <v>0</v>
          </cell>
          <cell r="Q58">
            <v>12</v>
          </cell>
          <cell r="R58">
            <v>-17</v>
          </cell>
          <cell r="S58">
            <v>-40</v>
          </cell>
          <cell r="T58">
            <v>0</v>
          </cell>
          <cell r="U58">
            <v>0</v>
          </cell>
          <cell r="V58">
            <v>-3009</v>
          </cell>
          <cell r="W58">
            <v>7932</v>
          </cell>
          <cell r="X58">
            <v>-436</v>
          </cell>
          <cell r="Y58">
            <v>-137</v>
          </cell>
          <cell r="Z58">
            <v>0</v>
          </cell>
          <cell r="AA58">
            <v>0</v>
          </cell>
          <cell r="AB58">
            <v>0</v>
          </cell>
          <cell r="AC58">
            <v>0</v>
          </cell>
          <cell r="AD58">
            <v>0</v>
          </cell>
          <cell r="AE58">
            <v>0</v>
          </cell>
          <cell r="AF58">
            <v>0</v>
          </cell>
          <cell r="AG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-3</v>
          </cell>
          <cell r="BF58">
            <v>0</v>
          </cell>
          <cell r="BG58">
            <v>3</v>
          </cell>
          <cell r="BH58">
            <v>0</v>
          </cell>
          <cell r="BI58">
            <v>41</v>
          </cell>
          <cell r="BJ58">
            <v>0</v>
          </cell>
          <cell r="BK58">
            <v>-94.84615384615384</v>
          </cell>
          <cell r="BL58">
            <v>544</v>
          </cell>
          <cell r="BM58">
            <v>0</v>
          </cell>
          <cell r="BN58">
            <v>46</v>
          </cell>
          <cell r="BO58">
            <v>0</v>
          </cell>
          <cell r="BP58">
            <v>-9</v>
          </cell>
          <cell r="BQ58">
            <v>0</v>
          </cell>
          <cell r="BR58">
            <v>0</v>
          </cell>
          <cell r="BS58">
            <v>9</v>
          </cell>
          <cell r="BT58">
            <v>0</v>
          </cell>
          <cell r="BU58">
            <v>-33</v>
          </cell>
          <cell r="BV58">
            <v>-11</v>
          </cell>
          <cell r="BW58">
            <v>44</v>
          </cell>
          <cell r="BX58">
            <v>6</v>
          </cell>
          <cell r="BY58">
            <v>-9</v>
          </cell>
          <cell r="BZ58">
            <v>0</v>
          </cell>
          <cell r="CA58">
            <v>3</v>
          </cell>
          <cell r="CB58">
            <v>0</v>
          </cell>
          <cell r="CC58">
            <v>0</v>
          </cell>
          <cell r="CD58">
            <v>-6</v>
          </cell>
          <cell r="CE58">
            <v>18</v>
          </cell>
          <cell r="CF58">
            <v>12</v>
          </cell>
          <cell r="CG58">
            <v>-21</v>
          </cell>
          <cell r="CH58">
            <v>-7</v>
          </cell>
          <cell r="CI58">
            <v>-1</v>
          </cell>
          <cell r="CJ58">
            <v>70</v>
          </cell>
          <cell r="CK58">
            <v>0</v>
          </cell>
          <cell r="CL58">
            <v>-210</v>
          </cell>
          <cell r="CM58">
            <v>100</v>
          </cell>
          <cell r="CN58">
            <v>0</v>
          </cell>
          <cell r="CO58">
            <v>0</v>
          </cell>
          <cell r="CP58">
            <v>0</v>
          </cell>
          <cell r="CQ58">
            <v>0</v>
          </cell>
          <cell r="CR58">
            <v>52</v>
          </cell>
          <cell r="CS58">
            <v>9</v>
          </cell>
          <cell r="CT58">
            <v>18</v>
          </cell>
          <cell r="CU58">
            <v>-79</v>
          </cell>
          <cell r="CV58">
            <v>-932</v>
          </cell>
          <cell r="CW58">
            <v>-180</v>
          </cell>
          <cell r="CX58">
            <v>-993</v>
          </cell>
          <cell r="CY58">
            <v>-904</v>
          </cell>
          <cell r="CZ58">
            <v>207</v>
          </cell>
          <cell r="DA58">
            <v>7795</v>
          </cell>
          <cell r="DB58">
            <v>-13</v>
          </cell>
          <cell r="DC58">
            <v>-57</v>
          </cell>
          <cell r="DD58">
            <v>-39</v>
          </cell>
          <cell r="DE58">
            <v>0</v>
          </cell>
          <cell r="DF58">
            <v>0</v>
          </cell>
          <cell r="DG58">
            <v>-397</v>
          </cell>
          <cell r="DH58">
            <v>68</v>
          </cell>
          <cell r="DI58">
            <v>-300</v>
          </cell>
          <cell r="DJ58">
            <v>95</v>
          </cell>
          <cell r="DK58">
            <v>0</v>
          </cell>
          <cell r="DL58">
            <v>0</v>
          </cell>
          <cell r="DM58">
            <v>0</v>
          </cell>
          <cell r="DN58">
            <v>0</v>
          </cell>
          <cell r="DO58">
            <v>0</v>
          </cell>
          <cell r="DP58">
            <v>0</v>
          </cell>
          <cell r="DQ58">
            <v>0</v>
          </cell>
          <cell r="DR58">
            <v>0</v>
          </cell>
          <cell r="DS58">
            <v>0</v>
          </cell>
          <cell r="DU58">
            <v>0</v>
          </cell>
        </row>
        <row r="60">
          <cell r="B60" t="str">
            <v>Reported profit before taxes</v>
          </cell>
          <cell r="D60">
            <v>339</v>
          </cell>
          <cell r="E60">
            <v>35</v>
          </cell>
          <cell r="F60">
            <v>16</v>
          </cell>
          <cell r="G60">
            <v>349</v>
          </cell>
          <cell r="H60">
            <v>618</v>
          </cell>
          <cell r="I60">
            <v>196</v>
          </cell>
          <cell r="J60">
            <v>456</v>
          </cell>
          <cell r="K60">
            <v>89</v>
          </cell>
          <cell r="L60">
            <v>-104</v>
          </cell>
          <cell r="M60">
            <v>693</v>
          </cell>
          <cell r="N60">
            <v>-221</v>
          </cell>
          <cell r="O60">
            <v>-214</v>
          </cell>
          <cell r="P60">
            <v>-481</v>
          </cell>
          <cell r="Q60">
            <v>77</v>
          </cell>
          <cell r="R60">
            <v>750</v>
          </cell>
          <cell r="S60">
            <v>1146</v>
          </cell>
          <cell r="T60">
            <v>940</v>
          </cell>
          <cell r="U60">
            <v>-8184</v>
          </cell>
          <cell r="V60">
            <v>-4277</v>
          </cell>
          <cell r="W60">
            <v>9497</v>
          </cell>
          <cell r="X60">
            <v>3177</v>
          </cell>
          <cell r="Y60">
            <v>4184</v>
          </cell>
          <cell r="Z60">
            <v>4992</v>
          </cell>
          <cell r="AA60">
            <v>5035.6783380369634</v>
          </cell>
          <cell r="AB60">
            <v>5028.2767474250877</v>
          </cell>
          <cell r="AC60">
            <v>5120.5220308683083</v>
          </cell>
          <cell r="AD60">
            <v>4882.43772541001</v>
          </cell>
          <cell r="AE60">
            <v>4557.4233729846728</v>
          </cell>
          <cell r="AF60">
            <v>2889.7089067504753</v>
          </cell>
          <cell r="AG60">
            <v>2655.90363153218</v>
          </cell>
          <cell r="AJ60">
            <v>-10</v>
          </cell>
          <cell r="AK60">
            <v>-14</v>
          </cell>
          <cell r="AL60">
            <v>18</v>
          </cell>
          <cell r="AM60">
            <v>22</v>
          </cell>
          <cell r="AN60">
            <v>34</v>
          </cell>
          <cell r="AO60">
            <v>51</v>
          </cell>
          <cell r="AP60">
            <v>105</v>
          </cell>
          <cell r="AQ60">
            <v>159</v>
          </cell>
          <cell r="AR60">
            <v>202</v>
          </cell>
          <cell r="AS60">
            <v>215</v>
          </cell>
          <cell r="AT60">
            <v>159</v>
          </cell>
          <cell r="AU60">
            <v>42</v>
          </cell>
          <cell r="AV60">
            <v>38</v>
          </cell>
          <cell r="AW60">
            <v>23</v>
          </cell>
          <cell r="AX60">
            <v>55</v>
          </cell>
          <cell r="AY60">
            <v>80</v>
          </cell>
          <cell r="AZ60">
            <v>63</v>
          </cell>
          <cell r="BA60">
            <v>146</v>
          </cell>
          <cell r="BB60">
            <v>162</v>
          </cell>
          <cell r="BC60">
            <v>85</v>
          </cell>
          <cell r="BD60">
            <v>104</v>
          </cell>
          <cell r="BE60">
            <v>47</v>
          </cell>
          <cell r="BF60">
            <v>-8</v>
          </cell>
          <cell r="BG60">
            <v>-13</v>
          </cell>
          <cell r="BH60">
            <v>27</v>
          </cell>
          <cell r="BI60">
            <v>5</v>
          </cell>
          <cell r="BJ60">
            <v>26</v>
          </cell>
          <cell r="BK60">
            <v>-61.999999999999993</v>
          </cell>
          <cell r="BL60">
            <v>547</v>
          </cell>
          <cell r="BM60">
            <v>129</v>
          </cell>
          <cell r="BN60">
            <v>164</v>
          </cell>
          <cell r="BO60">
            <v>-46</v>
          </cell>
          <cell r="BP60">
            <v>-56</v>
          </cell>
          <cell r="BQ60">
            <v>13</v>
          </cell>
          <cell r="BR60">
            <v>-104</v>
          </cell>
          <cell r="BS60">
            <v>-74</v>
          </cell>
          <cell r="BT60">
            <v>-73</v>
          </cell>
          <cell r="BU60">
            <v>2</v>
          </cell>
          <cell r="BV60">
            <v>-8</v>
          </cell>
          <cell r="BW60">
            <v>-135</v>
          </cell>
          <cell r="BX60">
            <v>-168</v>
          </cell>
          <cell r="BY60">
            <v>-107</v>
          </cell>
          <cell r="BZ60">
            <v>-71</v>
          </cell>
          <cell r="CA60">
            <v>-135</v>
          </cell>
          <cell r="CB60">
            <v>-24</v>
          </cell>
          <cell r="CC60">
            <v>6</v>
          </cell>
          <cell r="CD60">
            <v>76</v>
          </cell>
          <cell r="CE60">
            <v>19</v>
          </cell>
          <cell r="CF60">
            <v>397</v>
          </cell>
          <cell r="CG60">
            <v>197</v>
          </cell>
          <cell r="CH60">
            <v>-41</v>
          </cell>
          <cell r="CI60">
            <v>212</v>
          </cell>
          <cell r="CJ60">
            <v>454</v>
          </cell>
          <cell r="CK60">
            <v>230</v>
          </cell>
          <cell r="CL60">
            <v>112</v>
          </cell>
          <cell r="CM60">
            <v>350</v>
          </cell>
          <cell r="CN60">
            <v>304</v>
          </cell>
          <cell r="CO60">
            <v>281</v>
          </cell>
          <cell r="CP60">
            <v>523</v>
          </cell>
          <cell r="CQ60">
            <v>-148</v>
          </cell>
          <cell r="CR60">
            <v>-4</v>
          </cell>
          <cell r="CS60">
            <v>-3</v>
          </cell>
          <cell r="CT60">
            <v>-258</v>
          </cell>
          <cell r="CU60">
            <v>-7919</v>
          </cell>
          <cell r="CV60">
            <v>-1444</v>
          </cell>
          <cell r="CW60">
            <v>-440</v>
          </cell>
          <cell r="CX60">
            <v>-980</v>
          </cell>
          <cell r="CY60">
            <v>-1413</v>
          </cell>
          <cell r="CZ60">
            <v>20</v>
          </cell>
          <cell r="DA60">
            <v>8166</v>
          </cell>
          <cell r="DB60">
            <v>721</v>
          </cell>
          <cell r="DC60">
            <v>590</v>
          </cell>
          <cell r="DD60">
            <v>912</v>
          </cell>
          <cell r="DE60">
            <v>1191</v>
          </cell>
          <cell r="DF60">
            <v>1384</v>
          </cell>
          <cell r="DG60">
            <v>-310</v>
          </cell>
          <cell r="DH60">
            <v>901</v>
          </cell>
          <cell r="DI60">
            <v>1074</v>
          </cell>
          <cell r="DJ60">
            <v>1279</v>
          </cell>
          <cell r="DK60">
            <v>930</v>
          </cell>
          <cell r="DL60">
            <v>1262</v>
          </cell>
          <cell r="DM60">
            <v>1331</v>
          </cell>
          <cell r="DN60">
            <v>1193</v>
          </cell>
          <cell r="DO60">
            <v>1206</v>
          </cell>
          <cell r="DP60">
            <v>1232.8747439461827</v>
          </cell>
          <cell r="DQ60">
            <v>1147.4663100136668</v>
          </cell>
          <cell r="DR60">
            <v>1336.8973318873923</v>
          </cell>
          <cell r="DS60">
            <v>1318.4399521897212</v>
          </cell>
          <cell r="DU60">
            <v>595.26186860766029</v>
          </cell>
        </row>
        <row r="62">
          <cell r="B62" t="str">
            <v>Reported Income tax benefit (expense)</v>
          </cell>
          <cell r="D62">
            <v>-117</v>
          </cell>
          <cell r="E62">
            <v>-9</v>
          </cell>
          <cell r="F62">
            <v>-12</v>
          </cell>
          <cell r="G62">
            <v>-126</v>
          </cell>
          <cell r="H62">
            <v>-229</v>
          </cell>
          <cell r="I62">
            <v>-70</v>
          </cell>
          <cell r="J62">
            <v>-170</v>
          </cell>
          <cell r="K62">
            <v>-37</v>
          </cell>
          <cell r="L62">
            <v>24</v>
          </cell>
          <cell r="M62">
            <v>-223</v>
          </cell>
          <cell r="N62">
            <v>76</v>
          </cell>
          <cell r="O62">
            <v>66</v>
          </cell>
          <cell r="P62">
            <v>179</v>
          </cell>
          <cell r="Q62">
            <v>-23</v>
          </cell>
          <cell r="R62">
            <v>-219</v>
          </cell>
          <cell r="S62">
            <v>-410</v>
          </cell>
          <cell r="T62">
            <v>-279</v>
          </cell>
          <cell r="U62">
            <v>848</v>
          </cell>
          <cell r="V62">
            <v>1411</v>
          </cell>
          <cell r="W62">
            <v>631</v>
          </cell>
          <cell r="X62">
            <v>-1037</v>
          </cell>
          <cell r="Y62">
            <v>-1328</v>
          </cell>
          <cell r="Z62">
            <v>-1136</v>
          </cell>
          <cell r="AA62">
            <v>-1611.4170681718281</v>
          </cell>
          <cell r="AB62">
            <v>-1609.048559176028</v>
          </cell>
          <cell r="AC62">
            <v>-1633.4465278469904</v>
          </cell>
          <cell r="AD62">
            <v>-1552.6151966803832</v>
          </cell>
          <cell r="AE62">
            <v>-1444.7032092361412</v>
          </cell>
          <cell r="AF62">
            <v>-916.03772343990067</v>
          </cell>
          <cell r="AG62">
            <v>-836.60964393263669</v>
          </cell>
          <cell r="AJ62">
            <v>2</v>
          </cell>
          <cell r="AK62">
            <v>3</v>
          </cell>
          <cell r="AL62">
            <v>-9</v>
          </cell>
          <cell r="AM62">
            <v>-8</v>
          </cell>
          <cell r="AN62">
            <v>-12</v>
          </cell>
          <cell r="AO62">
            <v>-19</v>
          </cell>
          <cell r="AP62">
            <v>-39</v>
          </cell>
          <cell r="AQ62">
            <v>-56</v>
          </cell>
          <cell r="AR62">
            <v>-75</v>
          </cell>
          <cell r="AS62">
            <v>-80</v>
          </cell>
          <cell r="AT62">
            <v>-59</v>
          </cell>
          <cell r="AU62">
            <v>-15</v>
          </cell>
          <cell r="AV62">
            <v>-14</v>
          </cell>
          <cell r="AW62">
            <v>-8</v>
          </cell>
          <cell r="AX62">
            <v>-20</v>
          </cell>
          <cell r="AY62">
            <v>-28</v>
          </cell>
          <cell r="AZ62">
            <v>-23</v>
          </cell>
          <cell r="BA62">
            <v>-53</v>
          </cell>
          <cell r="BB62">
            <v>-60</v>
          </cell>
          <cell r="BC62">
            <v>-34</v>
          </cell>
          <cell r="BD62">
            <v>-39</v>
          </cell>
          <cell r="BE62">
            <v>-18</v>
          </cell>
          <cell r="BF62">
            <v>9</v>
          </cell>
          <cell r="BG62">
            <v>11</v>
          </cell>
          <cell r="BH62">
            <v>-1</v>
          </cell>
          <cell r="BI62">
            <v>7</v>
          </cell>
          <cell r="BJ62">
            <v>-11</v>
          </cell>
          <cell r="BK62">
            <v>29</v>
          </cell>
          <cell r="BL62">
            <v>-202</v>
          </cell>
          <cell r="BM62">
            <v>-39</v>
          </cell>
          <cell r="BN62">
            <v>-3</v>
          </cell>
          <cell r="BO62">
            <v>21</v>
          </cell>
          <cell r="BP62">
            <v>22</v>
          </cell>
          <cell r="BQ62">
            <v>-9</v>
          </cell>
          <cell r="BR62">
            <v>37</v>
          </cell>
          <cell r="BS62">
            <v>26</v>
          </cell>
          <cell r="BT62">
            <v>18</v>
          </cell>
          <cell r="BU62">
            <v>0</v>
          </cell>
          <cell r="BV62">
            <v>6</v>
          </cell>
          <cell r="BW62">
            <v>42</v>
          </cell>
          <cell r="BX62">
            <v>55</v>
          </cell>
          <cell r="BY62">
            <v>39</v>
          </cell>
          <cell r="BZ62">
            <v>27</v>
          </cell>
          <cell r="CA62">
            <v>58</v>
          </cell>
          <cell r="CB62">
            <v>9</v>
          </cell>
          <cell r="CC62">
            <v>-3</v>
          </cell>
          <cell r="CD62">
            <v>-26</v>
          </cell>
          <cell r="CE62">
            <v>-3</v>
          </cell>
          <cell r="CF62">
            <v>-143</v>
          </cell>
          <cell r="CG62">
            <v>-71</v>
          </cell>
          <cell r="CH62">
            <v>54</v>
          </cell>
          <cell r="CI62">
            <v>-59</v>
          </cell>
          <cell r="CJ62">
            <v>-168</v>
          </cell>
          <cell r="CK62">
            <v>-101</v>
          </cell>
          <cell r="CL62">
            <v>-51</v>
          </cell>
          <cell r="CM62">
            <v>-90</v>
          </cell>
          <cell r="CN62">
            <v>-87</v>
          </cell>
          <cell r="CO62">
            <v>-115</v>
          </cell>
          <cell r="CP62">
            <v>-126</v>
          </cell>
          <cell r="CQ62">
            <v>49</v>
          </cell>
          <cell r="CR62">
            <v>15</v>
          </cell>
          <cell r="CS62">
            <v>-13</v>
          </cell>
          <cell r="CT62">
            <v>121</v>
          </cell>
          <cell r="CU62">
            <v>725</v>
          </cell>
          <cell r="CV62">
            <v>432</v>
          </cell>
          <cell r="CW62">
            <v>87</v>
          </cell>
          <cell r="CX62">
            <v>332</v>
          </cell>
          <cell r="CY62">
            <v>560</v>
          </cell>
          <cell r="CZ62">
            <v>-12</v>
          </cell>
          <cell r="DA62">
            <v>677</v>
          </cell>
          <cell r="DB62">
            <v>-254</v>
          </cell>
          <cell r="DC62">
            <v>220</v>
          </cell>
          <cell r="DD62">
            <v>-252</v>
          </cell>
          <cell r="DE62">
            <v>-388</v>
          </cell>
          <cell r="DF62">
            <v>-489</v>
          </cell>
          <cell r="DG62">
            <v>92</v>
          </cell>
          <cell r="DH62">
            <v>-302</v>
          </cell>
          <cell r="DI62">
            <v>-306</v>
          </cell>
          <cell r="DJ62">
            <v>-435</v>
          </cell>
          <cell r="DK62">
            <v>-285</v>
          </cell>
          <cell r="DL62">
            <v>-357</v>
          </cell>
          <cell r="DM62">
            <v>-410</v>
          </cell>
          <cell r="DN62">
            <v>-339</v>
          </cell>
          <cell r="DO62">
            <v>-30</v>
          </cell>
          <cell r="DP62">
            <v>-394.51991806277846</v>
          </cell>
          <cell r="DQ62">
            <v>-367.18921920437339</v>
          </cell>
          <cell r="DR62">
            <v>-427.80714620396554</v>
          </cell>
          <cell r="DS62">
            <v>-421.9007847007108</v>
          </cell>
          <cell r="DU62">
            <v>-193.4601072974896</v>
          </cell>
        </row>
        <row r="63">
          <cell r="B63" t="str">
            <v>Extraordinary Income tax benefit (expense)</v>
          </cell>
          <cell r="D63">
            <v>0</v>
          </cell>
          <cell r="E63">
            <v>0</v>
          </cell>
          <cell r="F63">
            <v>0</v>
          </cell>
          <cell r="G63">
            <v>0</v>
          </cell>
          <cell r="H63">
            <v>0</v>
          </cell>
          <cell r="I63">
            <v>-10</v>
          </cell>
          <cell r="J63">
            <v>15</v>
          </cell>
          <cell r="K63">
            <v>28.547999999999998</v>
          </cell>
          <cell r="L63">
            <v>32.153846153846153</v>
          </cell>
          <cell r="M63">
            <v>-171.97691197691199</v>
          </cell>
          <cell r="N63">
            <v>12.180995475113125</v>
          </cell>
          <cell r="O63">
            <v>0.86448598130841248</v>
          </cell>
          <cell r="P63">
            <v>0.93762993762993885</v>
          </cell>
          <cell r="Q63">
            <v>22.4</v>
          </cell>
          <cell r="R63">
            <v>120.96000000000001</v>
          </cell>
          <cell r="S63">
            <v>-92</v>
          </cell>
          <cell r="T63">
            <v>0</v>
          </cell>
          <cell r="U63">
            <v>2308.3271016617791</v>
          </cell>
          <cell r="V63">
            <v>1104.3240589198037</v>
          </cell>
          <cell r="W63">
            <v>1005.6491816693944</v>
          </cell>
          <cell r="X63">
            <v>140</v>
          </cell>
          <cell r="Y63">
            <v>69</v>
          </cell>
          <cell r="Z63">
            <v>0</v>
          </cell>
          <cell r="AA63">
            <v>0</v>
          </cell>
          <cell r="AB63">
            <v>0</v>
          </cell>
          <cell r="AC63">
            <v>0</v>
          </cell>
          <cell r="AD63">
            <v>0</v>
          </cell>
          <cell r="AE63">
            <v>0</v>
          </cell>
          <cell r="AF63">
            <v>0</v>
          </cell>
          <cell r="AG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-10</v>
          </cell>
          <cell r="AZ63">
            <v>0</v>
          </cell>
          <cell r="BA63">
            <v>0</v>
          </cell>
          <cell r="BB63">
            <v>0</v>
          </cell>
          <cell r="BC63">
            <v>15</v>
          </cell>
          <cell r="BD63">
            <v>1.8719999999999999</v>
          </cell>
          <cell r="BE63">
            <v>1.4039999999999999</v>
          </cell>
          <cell r="BF63">
            <v>26.675999999999998</v>
          </cell>
          <cell r="BG63">
            <v>-1.4039999999999999</v>
          </cell>
          <cell r="BH63">
            <v>0</v>
          </cell>
          <cell r="BI63">
            <v>-12.299999999999999</v>
          </cell>
          <cell r="BJ63">
            <v>11</v>
          </cell>
          <cell r="BK63">
            <v>33.45384615384615</v>
          </cell>
          <cell r="BL63">
            <v>-158.5685425685426</v>
          </cell>
          <cell r="BM63">
            <v>0</v>
          </cell>
          <cell r="BN63">
            <v>-13.40836940836941</v>
          </cell>
          <cell r="BO63">
            <v>0</v>
          </cell>
          <cell r="BP63">
            <v>11.746606334841628</v>
          </cell>
          <cell r="BQ63">
            <v>2</v>
          </cell>
          <cell r="BR63">
            <v>27</v>
          </cell>
          <cell r="BS63">
            <v>-28.565610859728505</v>
          </cell>
          <cell r="BT63">
            <v>1.995327102803738</v>
          </cell>
          <cell r="BU63">
            <v>9.4065420560747661</v>
          </cell>
          <cell r="BV63">
            <v>4</v>
          </cell>
          <cell r="BW63">
            <v>-14.537383177570092</v>
          </cell>
          <cell r="BX63">
            <v>-1.232848232848232</v>
          </cell>
          <cell r="BY63">
            <v>3.255717255717256</v>
          </cell>
          <cell r="BZ63">
            <v>0</v>
          </cell>
          <cell r="CA63">
            <v>-1.0852390852390852</v>
          </cell>
          <cell r="CB63">
            <v>0</v>
          </cell>
          <cell r="CC63">
            <v>0</v>
          </cell>
          <cell r="CD63">
            <v>2.0999999999999996</v>
          </cell>
          <cell r="CE63">
            <v>20.299999999999997</v>
          </cell>
          <cell r="CF63">
            <v>-4.32</v>
          </cell>
          <cell r="CG63">
            <v>12.600000000000001</v>
          </cell>
          <cell r="CH63">
            <v>81</v>
          </cell>
          <cell r="CI63">
            <v>31.680000000000003</v>
          </cell>
          <cell r="CJ63">
            <v>-23</v>
          </cell>
          <cell r="CK63">
            <v>0</v>
          </cell>
          <cell r="CL63">
            <v>-114</v>
          </cell>
          <cell r="CM63">
            <v>45</v>
          </cell>
          <cell r="CN63">
            <v>0</v>
          </cell>
          <cell r="CO63">
            <v>0</v>
          </cell>
          <cell r="CP63">
            <v>0</v>
          </cell>
          <cell r="CQ63">
            <v>0</v>
          </cell>
          <cell r="CR63">
            <v>-18.572336265884655</v>
          </cell>
          <cell r="CS63">
            <v>-3.2144428152492672</v>
          </cell>
          <cell r="CT63">
            <v>-6.4288856304985345</v>
          </cell>
          <cell r="CU63">
            <v>2336.5427663734117</v>
          </cell>
          <cell r="CV63">
            <v>326.42880523731588</v>
          </cell>
          <cell r="CW63">
            <v>63.044189852700498</v>
          </cell>
          <cell r="CX63">
            <v>347.44353518821606</v>
          </cell>
          <cell r="CY63">
            <v>367.40752864157122</v>
          </cell>
          <cell r="CZ63">
            <v>-72.500818330605568</v>
          </cell>
          <cell r="DA63">
            <v>785</v>
          </cell>
          <cell r="DB63">
            <v>3.1500000000000004</v>
          </cell>
          <cell r="DC63">
            <v>290</v>
          </cell>
          <cell r="DD63">
            <v>-11</v>
          </cell>
          <cell r="DE63">
            <v>0</v>
          </cell>
          <cell r="DF63">
            <v>0</v>
          </cell>
          <cell r="DG63">
            <v>151</v>
          </cell>
          <cell r="DH63">
            <v>-5</v>
          </cell>
          <cell r="DI63">
            <v>109</v>
          </cell>
          <cell r="DJ63">
            <v>-35</v>
          </cell>
          <cell r="DK63">
            <v>0</v>
          </cell>
          <cell r="DL63">
            <v>0</v>
          </cell>
          <cell r="DM63">
            <v>0</v>
          </cell>
          <cell r="DN63">
            <v>0</v>
          </cell>
          <cell r="DO63">
            <v>0</v>
          </cell>
          <cell r="DP63">
            <v>0</v>
          </cell>
          <cell r="DQ63">
            <v>0</v>
          </cell>
          <cell r="DR63">
            <v>0</v>
          </cell>
          <cell r="DS63">
            <v>0</v>
          </cell>
          <cell r="DU63">
            <v>0</v>
          </cell>
        </row>
        <row r="64">
          <cell r="B64" t="str">
            <v>Recurring Income tax benefit (expense)</v>
          </cell>
          <cell r="D64">
            <v>-117</v>
          </cell>
          <cell r="E64">
            <v>-9</v>
          </cell>
          <cell r="F64">
            <v>-12</v>
          </cell>
          <cell r="G64">
            <v>-126</v>
          </cell>
          <cell r="H64">
            <v>-229</v>
          </cell>
          <cell r="I64">
            <v>-60</v>
          </cell>
          <cell r="J64">
            <v>-185</v>
          </cell>
          <cell r="K64">
            <v>-65.548000000000002</v>
          </cell>
          <cell r="L64">
            <v>-8.1538461538461533</v>
          </cell>
          <cell r="M64">
            <v>-51.023088023088008</v>
          </cell>
          <cell r="N64">
            <v>63.819004524886878</v>
          </cell>
          <cell r="O64">
            <v>65.135514018691595</v>
          </cell>
          <cell r="P64">
            <v>178.06237006237006</v>
          </cell>
          <cell r="Q64">
            <v>-45.4</v>
          </cell>
          <cell r="R64">
            <v>-339.96000000000004</v>
          </cell>
          <cell r="S64">
            <v>-318</v>
          </cell>
          <cell r="T64">
            <v>-279</v>
          </cell>
          <cell r="U64">
            <v>-1460.3271016617791</v>
          </cell>
          <cell r="V64">
            <v>306.67594108019625</v>
          </cell>
          <cell r="W64">
            <v>-374.64918166939435</v>
          </cell>
          <cell r="X64">
            <v>-1177</v>
          </cell>
          <cell r="Y64">
            <v>-1397</v>
          </cell>
          <cell r="Z64">
            <v>-1136</v>
          </cell>
          <cell r="AA64">
            <v>-1611.4170681718281</v>
          </cell>
          <cell r="AB64">
            <v>-1609.048559176028</v>
          </cell>
          <cell r="AC64">
            <v>-1633.4465278469904</v>
          </cell>
          <cell r="AD64">
            <v>-1552.6151966803832</v>
          </cell>
          <cell r="AE64">
            <v>-1444.7032092361412</v>
          </cell>
          <cell r="AF64">
            <v>-916.03772343990067</v>
          </cell>
          <cell r="AG64">
            <v>-836.60964393263669</v>
          </cell>
          <cell r="AJ64">
            <v>2</v>
          </cell>
          <cell r="AK64">
            <v>3</v>
          </cell>
          <cell r="AL64">
            <v>-9</v>
          </cell>
          <cell r="AM64">
            <v>-8</v>
          </cell>
          <cell r="AN64">
            <v>-12</v>
          </cell>
          <cell r="AO64">
            <v>-19</v>
          </cell>
          <cell r="AP64">
            <v>-39</v>
          </cell>
          <cell r="AQ64">
            <v>-56</v>
          </cell>
          <cell r="AR64">
            <v>-75</v>
          </cell>
          <cell r="AS64">
            <v>-80</v>
          </cell>
          <cell r="AT64">
            <v>-59</v>
          </cell>
          <cell r="AU64">
            <v>-15</v>
          </cell>
          <cell r="AV64">
            <v>-14</v>
          </cell>
          <cell r="AW64">
            <v>-8</v>
          </cell>
          <cell r="AX64">
            <v>-20</v>
          </cell>
          <cell r="AY64">
            <v>-18</v>
          </cell>
          <cell r="AZ64">
            <v>-23</v>
          </cell>
          <cell r="BA64">
            <v>-53</v>
          </cell>
          <cell r="BB64">
            <v>-60</v>
          </cell>
          <cell r="BC64">
            <v>-49</v>
          </cell>
          <cell r="BD64">
            <v>-40.872</v>
          </cell>
          <cell r="BE64">
            <v>-19.404</v>
          </cell>
          <cell r="BF64">
            <v>-17.675999999999998</v>
          </cell>
          <cell r="BG64">
            <v>12.404</v>
          </cell>
          <cell r="BH64">
            <v>-1</v>
          </cell>
          <cell r="BI64">
            <v>19.299999999999997</v>
          </cell>
          <cell r="BJ64">
            <v>-22</v>
          </cell>
          <cell r="BK64">
            <v>-4.4538461538461505</v>
          </cell>
          <cell r="BL64">
            <v>-43.431457431457403</v>
          </cell>
          <cell r="BM64">
            <v>-39</v>
          </cell>
          <cell r="BN64">
            <v>10.40836940836941</v>
          </cell>
          <cell r="BO64">
            <v>21</v>
          </cell>
          <cell r="BP64">
            <v>10.253393665158372</v>
          </cell>
          <cell r="BQ64">
            <v>-11</v>
          </cell>
          <cell r="BR64">
            <v>10</v>
          </cell>
          <cell r="BS64">
            <v>54.565610859728508</v>
          </cell>
          <cell r="BT64">
            <v>16.004672897196262</v>
          </cell>
          <cell r="BU64">
            <v>-9.4065420560747661</v>
          </cell>
          <cell r="BV64">
            <v>2</v>
          </cell>
          <cell r="BW64">
            <v>56.537383177570092</v>
          </cell>
          <cell r="BX64">
            <v>56.232848232848234</v>
          </cell>
          <cell r="BY64">
            <v>35.744282744282742</v>
          </cell>
          <cell r="BZ64">
            <v>27</v>
          </cell>
          <cell r="CA64">
            <v>59.085239085239088</v>
          </cell>
          <cell r="CB64">
            <v>9</v>
          </cell>
          <cell r="CC64">
            <v>-3</v>
          </cell>
          <cell r="CD64">
            <v>-28.1</v>
          </cell>
          <cell r="CE64">
            <v>-23.299999999999997</v>
          </cell>
          <cell r="CF64">
            <v>-138.68</v>
          </cell>
          <cell r="CG64">
            <v>-83.6</v>
          </cell>
          <cell r="CH64">
            <v>-27</v>
          </cell>
          <cell r="CI64">
            <v>-90.68</v>
          </cell>
          <cell r="CJ64">
            <v>-145</v>
          </cell>
          <cell r="CK64">
            <v>-101</v>
          </cell>
          <cell r="CL64">
            <v>63</v>
          </cell>
          <cell r="CM64">
            <v>-135</v>
          </cell>
          <cell r="CN64">
            <v>-87</v>
          </cell>
          <cell r="CO64">
            <v>-115</v>
          </cell>
          <cell r="CP64">
            <v>-126</v>
          </cell>
          <cell r="CQ64">
            <v>49</v>
          </cell>
          <cell r="CR64">
            <v>33.572336265884658</v>
          </cell>
          <cell r="CS64">
            <v>-9.7855571847507328</v>
          </cell>
          <cell r="CT64">
            <v>127.42888563049854</v>
          </cell>
          <cell r="CU64">
            <v>-1611.5427663734117</v>
          </cell>
          <cell r="CV64">
            <v>105.57119476268412</v>
          </cell>
          <cell r="CW64">
            <v>23.955810147299502</v>
          </cell>
          <cell r="CX64">
            <v>-15.44353518821606</v>
          </cell>
          <cell r="CY64">
            <v>192.59247135842878</v>
          </cell>
          <cell r="CZ64">
            <v>60.500818330605568</v>
          </cell>
          <cell r="DA64">
            <v>-108</v>
          </cell>
          <cell r="DB64">
            <v>-257.14999999999998</v>
          </cell>
          <cell r="DC64">
            <v>-70</v>
          </cell>
          <cell r="DD64">
            <v>-241</v>
          </cell>
          <cell r="DE64">
            <v>-388</v>
          </cell>
          <cell r="DF64">
            <v>-489</v>
          </cell>
          <cell r="DG64">
            <v>-59</v>
          </cell>
          <cell r="DH64">
            <v>-297</v>
          </cell>
          <cell r="DI64">
            <v>-415</v>
          </cell>
          <cell r="DJ64">
            <v>-400</v>
          </cell>
          <cell r="DK64">
            <v>-285</v>
          </cell>
          <cell r="DL64">
            <v>-357</v>
          </cell>
          <cell r="DM64">
            <v>-410</v>
          </cell>
          <cell r="DN64">
            <v>-339</v>
          </cell>
          <cell r="DO64">
            <v>-30</v>
          </cell>
          <cell r="DP64">
            <v>-394.51991806277846</v>
          </cell>
          <cell r="DQ64">
            <v>-367.18921920437339</v>
          </cell>
          <cell r="DR64">
            <v>-427.80714620396554</v>
          </cell>
          <cell r="DS64">
            <v>-421.9007847007108</v>
          </cell>
          <cell r="DU64">
            <v>-193.4601072974896</v>
          </cell>
          <cell r="DX64" t="str">
            <v>mstag:taxExpenseIncome</v>
          </cell>
          <cell r="DY64">
            <v>6</v>
          </cell>
          <cell r="DZ64" t="str">
            <v>ISO4217:USD</v>
          </cell>
          <cell r="EA64" t="b">
            <v>1</v>
          </cell>
        </row>
        <row r="65">
          <cell r="B65" t="str">
            <v>Reported tax rate</v>
          </cell>
          <cell r="D65">
            <v>0.34513274336283184</v>
          </cell>
          <cell r="E65">
            <v>0.25714285714285712</v>
          </cell>
          <cell r="F65">
            <v>0.75</v>
          </cell>
          <cell r="G65">
            <v>0.36103151862464183</v>
          </cell>
          <cell r="H65">
            <v>0.37055016181229772</v>
          </cell>
          <cell r="I65">
            <v>0.35714285714285715</v>
          </cell>
          <cell r="J65">
            <v>0.37280701754385964</v>
          </cell>
          <cell r="K65">
            <v>0.4157303370786517</v>
          </cell>
          <cell r="L65">
            <v>0.23076923076923078</v>
          </cell>
          <cell r="M65">
            <v>0.32178932178932179</v>
          </cell>
          <cell r="N65">
            <v>0.34389140271493213</v>
          </cell>
          <cell r="O65">
            <v>0.30841121495327101</v>
          </cell>
          <cell r="P65">
            <v>0.37214137214137216</v>
          </cell>
          <cell r="Q65">
            <v>0.29870129870129869</v>
          </cell>
          <cell r="R65">
            <v>0.29199999999999998</v>
          </cell>
          <cell r="S65">
            <v>0.35776614310645727</v>
          </cell>
          <cell r="T65">
            <v>0.29680851063829788</v>
          </cell>
          <cell r="U65">
            <v>0.10361681329423265</v>
          </cell>
          <cell r="V65">
            <v>0.32990413841477673</v>
          </cell>
          <cell r="W65">
            <v>-6.6442034326629457E-2</v>
          </cell>
          <cell r="X65">
            <v>0.32640856153604031</v>
          </cell>
          <cell r="Y65">
            <v>0.31739961759082219</v>
          </cell>
          <cell r="Z65">
            <v>0.22756410256410256</v>
          </cell>
          <cell r="AA65">
            <v>0.31999999999999995</v>
          </cell>
          <cell r="AB65">
            <v>0.32</v>
          </cell>
          <cell r="AC65">
            <v>0.31900000000000001</v>
          </cell>
          <cell r="AD65">
            <v>0.318</v>
          </cell>
          <cell r="AE65">
            <v>0.317</v>
          </cell>
          <cell r="AF65">
            <v>0.317</v>
          </cell>
          <cell r="AG65">
            <v>0.315</v>
          </cell>
          <cell r="AJ65">
            <v>0.2</v>
          </cell>
          <cell r="AK65">
            <v>0.21428571428571427</v>
          </cell>
          <cell r="AL65">
            <v>0.5</v>
          </cell>
          <cell r="AM65">
            <v>0.36363636363636365</v>
          </cell>
          <cell r="AN65">
            <v>0.35294117647058826</v>
          </cell>
          <cell r="AO65">
            <v>0.37254901960784315</v>
          </cell>
          <cell r="AP65">
            <v>0.37142857142857144</v>
          </cell>
          <cell r="AQ65">
            <v>0.3522012578616352</v>
          </cell>
          <cell r="AR65">
            <v>0.37128712871287128</v>
          </cell>
          <cell r="AS65">
            <v>0.37209302325581395</v>
          </cell>
          <cell r="AT65">
            <v>0.37106918238993708</v>
          </cell>
          <cell r="AU65">
            <v>0.35714285714285715</v>
          </cell>
          <cell r="AV65">
            <v>0.36842105263157893</v>
          </cell>
          <cell r="AW65">
            <v>0.34782608695652173</v>
          </cell>
          <cell r="AX65">
            <v>0.36363636363636365</v>
          </cell>
          <cell r="AY65">
            <v>0.35</v>
          </cell>
          <cell r="AZ65">
            <v>0.36507936507936506</v>
          </cell>
          <cell r="BA65">
            <v>0.36301369863013699</v>
          </cell>
          <cell r="BB65">
            <v>0.37037037037037035</v>
          </cell>
          <cell r="BC65">
            <v>0.4</v>
          </cell>
          <cell r="BD65">
            <v>0.375</v>
          </cell>
          <cell r="BE65">
            <v>0.38297872340425532</v>
          </cell>
          <cell r="BF65">
            <v>1.125</v>
          </cell>
          <cell r="BG65">
            <v>0.84615384615384615</v>
          </cell>
          <cell r="BH65">
            <v>3.7037037037037035E-2</v>
          </cell>
          <cell r="BI65">
            <v>-1.4</v>
          </cell>
          <cell r="BJ65">
            <v>0.42307692307692307</v>
          </cell>
          <cell r="BK65">
            <v>0.467741935483871</v>
          </cell>
          <cell r="BL65">
            <v>0.36928702010968922</v>
          </cell>
          <cell r="BM65">
            <v>0.30232558139534882</v>
          </cell>
          <cell r="BN65">
            <v>1.8292682926829267E-2</v>
          </cell>
          <cell r="BO65">
            <v>0.45652173913043476</v>
          </cell>
          <cell r="BP65">
            <v>0.39285714285714285</v>
          </cell>
          <cell r="BQ65">
            <v>0.69230769230769229</v>
          </cell>
          <cell r="BR65">
            <v>0.35576923076923078</v>
          </cell>
          <cell r="BS65">
            <v>0.35135135135135137</v>
          </cell>
          <cell r="BT65">
            <v>0.24657534246575341</v>
          </cell>
          <cell r="BU65">
            <v>0</v>
          </cell>
          <cell r="BV65">
            <v>0.75</v>
          </cell>
          <cell r="BW65">
            <v>0.31111111111111112</v>
          </cell>
          <cell r="BX65">
            <v>0.32738095238095238</v>
          </cell>
          <cell r="BY65">
            <v>0.3644859813084112</v>
          </cell>
          <cell r="BZ65">
            <v>0.38028169014084506</v>
          </cell>
          <cell r="CA65">
            <v>0.42962962962962964</v>
          </cell>
          <cell r="CB65">
            <v>0.375</v>
          </cell>
          <cell r="CC65">
            <v>0.5</v>
          </cell>
          <cell r="CD65">
            <v>0.34210526315789475</v>
          </cell>
          <cell r="CE65">
            <v>0.15789473684210525</v>
          </cell>
          <cell r="CF65">
            <v>0.3602015113350126</v>
          </cell>
          <cell r="CG65">
            <v>0.3604060913705584</v>
          </cell>
          <cell r="CH65">
            <v>1.3170731707317074</v>
          </cell>
          <cell r="CI65">
            <v>0.27830188679245282</v>
          </cell>
          <cell r="CJ65">
            <v>0.37004405286343611</v>
          </cell>
          <cell r="CK65">
            <v>0.43913043478260871</v>
          </cell>
          <cell r="CL65">
            <v>0.45535714285714285</v>
          </cell>
          <cell r="CM65">
            <v>0.25714285714285712</v>
          </cell>
          <cell r="CN65">
            <v>0.28618421052631576</v>
          </cell>
          <cell r="CO65">
            <v>0.40925266903914592</v>
          </cell>
          <cell r="CP65">
            <v>0.24091778202676864</v>
          </cell>
          <cell r="CQ65">
            <v>0.33108108108108109</v>
          </cell>
          <cell r="CR65">
            <v>3.75</v>
          </cell>
          <cell r="CS65">
            <v>-4.333333333333333</v>
          </cell>
          <cell r="CT65">
            <v>0.4689922480620155</v>
          </cell>
          <cell r="CU65">
            <v>9.1551963631771691E-2</v>
          </cell>
          <cell r="CV65">
            <v>0.29916897506925205</v>
          </cell>
          <cell r="CW65">
            <v>0.19772727272727272</v>
          </cell>
          <cell r="CX65">
            <v>0.33877551020408164</v>
          </cell>
          <cell r="CY65">
            <v>0.39631988676574664</v>
          </cell>
          <cell r="CZ65">
            <v>0.6</v>
          </cell>
          <cell r="DA65">
            <v>-8.2904726916482985E-2</v>
          </cell>
          <cell r="DB65">
            <v>0.35228848821081832</v>
          </cell>
          <cell r="DC65">
            <v>-0.3728813559322034</v>
          </cell>
          <cell r="DD65">
            <v>0.27631578947368424</v>
          </cell>
          <cell r="DE65">
            <v>0.32577665827036106</v>
          </cell>
          <cell r="DF65">
            <v>0.35332369942196534</v>
          </cell>
          <cell r="DG65">
            <v>0.29677419354838708</v>
          </cell>
          <cell r="DH65">
            <v>0.33518312985571586</v>
          </cell>
          <cell r="DI65">
            <v>0.28491620111731841</v>
          </cell>
          <cell r="DJ65">
            <v>0.34010946051602814</v>
          </cell>
          <cell r="DK65">
            <v>0.30645161290322581</v>
          </cell>
          <cell r="DL65">
            <v>0.28288431061806657</v>
          </cell>
          <cell r="DM65">
            <v>0.3080390683696469</v>
          </cell>
          <cell r="DN65">
            <v>0.28415758591785417</v>
          </cell>
          <cell r="DO65">
            <v>2.4875621890547265E-2</v>
          </cell>
          <cell r="DP65">
            <v>0.32</v>
          </cell>
          <cell r="DQ65">
            <v>0.32</v>
          </cell>
          <cell r="DR65">
            <v>0.32</v>
          </cell>
          <cell r="DS65">
            <v>0.32</v>
          </cell>
          <cell r="DU65">
            <v>0.32500000000000001</v>
          </cell>
        </row>
        <row r="66">
          <cell r="B66" t="str">
            <v>Recurring tax rate</v>
          </cell>
          <cell r="D66">
            <v>0.34513274336283184</v>
          </cell>
          <cell r="E66">
            <v>0.25714285714285712</v>
          </cell>
          <cell r="F66">
            <v>0.75</v>
          </cell>
          <cell r="G66">
            <v>0.36103151862464183</v>
          </cell>
          <cell r="H66">
            <v>0.37055016181229772</v>
          </cell>
          <cell r="I66">
            <v>0.36144578313253012</v>
          </cell>
          <cell r="J66">
            <v>0.37298387096774194</v>
          </cell>
          <cell r="K66">
            <v>0.43698666666666669</v>
          </cell>
          <cell r="L66">
            <v>-0.23194748358862144</v>
          </cell>
          <cell r="M66">
            <v>0.49536978663192238</v>
          </cell>
          <cell r="N66">
            <v>0.33413091374286324</v>
          </cell>
          <cell r="O66">
            <v>0.30437156083500744</v>
          </cell>
          <cell r="P66">
            <v>0.37019203755170493</v>
          </cell>
          <cell r="Q66">
            <v>0.32198581560283684</v>
          </cell>
          <cell r="R66">
            <v>0.31103385178408055</v>
          </cell>
          <cell r="S66">
            <v>0.23348017621145375</v>
          </cell>
          <cell r="T66">
            <v>0.29680851063829788</v>
          </cell>
          <cell r="U66">
            <v>-0.84853405093653644</v>
          </cell>
          <cell r="V66">
            <v>0.27284336395035252</v>
          </cell>
          <cell r="W66">
            <v>0.22914323037883447</v>
          </cell>
          <cell r="X66">
            <v>0.30110002558199028</v>
          </cell>
          <cell r="Y66">
            <v>0.31728367022484671</v>
          </cell>
          <cell r="Z66">
            <v>0.22756410256410256</v>
          </cell>
          <cell r="AA66">
            <v>0.31999999999999995</v>
          </cell>
          <cell r="AB66">
            <v>0.32</v>
          </cell>
          <cell r="AC66">
            <v>0.31900000000000001</v>
          </cell>
          <cell r="AD66">
            <v>0.318</v>
          </cell>
          <cell r="AE66">
            <v>0.317</v>
          </cell>
          <cell r="AF66">
            <v>0.317</v>
          </cell>
          <cell r="AG66">
            <v>0.315</v>
          </cell>
          <cell r="AJ66">
            <v>0.2</v>
          </cell>
          <cell r="AK66">
            <v>0.21428571428571427</v>
          </cell>
          <cell r="AL66">
            <v>0.5</v>
          </cell>
          <cell r="AM66">
            <v>0.36363636363636365</v>
          </cell>
          <cell r="AN66">
            <v>0.35294117647058826</v>
          </cell>
          <cell r="AO66">
            <v>0.37254901960784315</v>
          </cell>
          <cell r="AP66">
            <v>0.37142857142857144</v>
          </cell>
          <cell r="AQ66">
            <v>0.3522012578616352</v>
          </cell>
          <cell r="AR66">
            <v>0.37128712871287128</v>
          </cell>
          <cell r="AS66">
            <v>0.37209302325581395</v>
          </cell>
          <cell r="AT66">
            <v>0.37106918238993708</v>
          </cell>
          <cell r="AU66">
            <v>0.35714285714285715</v>
          </cell>
          <cell r="AV66">
            <v>0.36842105263157893</v>
          </cell>
          <cell r="AW66">
            <v>0.34782608695652173</v>
          </cell>
          <cell r="AX66">
            <v>0.36363636363636365</v>
          </cell>
          <cell r="AY66">
            <v>0.36</v>
          </cell>
          <cell r="AZ66">
            <v>0.36507936507936506</v>
          </cell>
          <cell r="BA66">
            <v>0.36301369863013699</v>
          </cell>
          <cell r="BB66">
            <v>0.37037037037037035</v>
          </cell>
          <cell r="BC66">
            <v>0.39200000000000002</v>
          </cell>
          <cell r="BD66">
            <v>0.37844444444444442</v>
          </cell>
          <cell r="BE66">
            <v>0.38807999999999998</v>
          </cell>
          <cell r="BF66">
            <v>0.36073469387755097</v>
          </cell>
          <cell r="BG66">
            <v>0.77524999999999999</v>
          </cell>
          <cell r="BH66">
            <v>3.7037037037037035E-2</v>
          </cell>
          <cell r="BI66">
            <v>0.53611111111111098</v>
          </cell>
          <cell r="BJ66">
            <v>0.84615384615384615</v>
          </cell>
          <cell r="BK66">
            <v>9.3086816720257162E-2</v>
          </cell>
          <cell r="BL66">
            <v>14.477152477152467</v>
          </cell>
          <cell r="BM66">
            <v>0.30232558139534882</v>
          </cell>
          <cell r="BN66">
            <v>-8.8206520409910255E-2</v>
          </cell>
          <cell r="BO66">
            <v>0.45652173913043476</v>
          </cell>
          <cell r="BP66">
            <v>0.85444947209653099</v>
          </cell>
          <cell r="BQ66">
            <v>0.55000000000000004</v>
          </cell>
          <cell r="BR66">
            <v>0.55555555555555558</v>
          </cell>
          <cell r="BS66">
            <v>0.30146746331341717</v>
          </cell>
          <cell r="BT66">
            <v>0.24249504389691307</v>
          </cell>
          <cell r="BU66">
            <v>0.26875834445927904</v>
          </cell>
          <cell r="BV66">
            <v>-0.66666666666666663</v>
          </cell>
          <cell r="BW66">
            <v>0.30396442568586068</v>
          </cell>
          <cell r="BX66">
            <v>0.32317728869453005</v>
          </cell>
          <cell r="BY66">
            <v>0.36473757902329329</v>
          </cell>
          <cell r="BZ66">
            <v>0.38028169014084506</v>
          </cell>
          <cell r="CA66">
            <v>0.42815390641477602</v>
          </cell>
          <cell r="CB66">
            <v>0.375</v>
          </cell>
          <cell r="CC66">
            <v>0.5</v>
          </cell>
          <cell r="CD66">
            <v>0.34268292682926832</v>
          </cell>
          <cell r="CE66">
            <v>0.30259740259740259</v>
          </cell>
          <cell r="CF66">
            <v>0.3602077922077922</v>
          </cell>
          <cell r="CG66">
            <v>0.3603448275862069</v>
          </cell>
          <cell r="CH66">
            <v>0.14136125654450263</v>
          </cell>
          <cell r="CI66">
            <v>0.30226666666666668</v>
          </cell>
          <cell r="CJ66">
            <v>0.37275064267352187</v>
          </cell>
          <cell r="CK66">
            <v>0.43913043478260871</v>
          </cell>
          <cell r="CL66">
            <v>-0.14383561643835616</v>
          </cell>
          <cell r="CM66">
            <v>0.44262295081967212</v>
          </cell>
          <cell r="CN66">
            <v>0.28618421052631576</v>
          </cell>
          <cell r="CO66">
            <v>0.40925266903914592</v>
          </cell>
          <cell r="CP66">
            <v>0.24091778202676864</v>
          </cell>
          <cell r="CQ66">
            <v>0.33108108108108109</v>
          </cell>
          <cell r="CR66">
            <v>0.59950600474794036</v>
          </cell>
          <cell r="CS66">
            <v>-0.81546309872922773</v>
          </cell>
          <cell r="CT66">
            <v>0.46169886098006718</v>
          </cell>
          <cell r="CU66">
            <v>-1.1703288063713957</v>
          </cell>
          <cell r="CV66">
            <v>0.20619373977086741</v>
          </cell>
          <cell r="CW66">
            <v>9.2137731335767317E-2</v>
          </cell>
          <cell r="CX66">
            <v>1.2869612656846716</v>
          </cell>
          <cell r="CY66">
            <v>0.52910019603963954</v>
          </cell>
          <cell r="CZ66">
            <v>0.32353378786420089</v>
          </cell>
          <cell r="DA66">
            <v>0.15340909090909091</v>
          </cell>
          <cell r="DB66">
            <v>0.3357049608355091</v>
          </cell>
          <cell r="DC66">
            <v>0.19886363636363635</v>
          </cell>
          <cell r="DD66">
            <v>0.2451678535096643</v>
          </cell>
          <cell r="DE66">
            <v>0.31040000000000001</v>
          </cell>
          <cell r="DF66">
            <v>0.35332369942196534</v>
          </cell>
          <cell r="DG66">
            <v>0.20205479452054795</v>
          </cell>
          <cell r="DH66">
            <v>0.3235294117647059</v>
          </cell>
          <cell r="DI66">
            <v>0.30181818181818182</v>
          </cell>
          <cell r="DJ66">
            <v>0.33898305084745761</v>
          </cell>
          <cell r="DK66">
            <v>0.30645161290322581</v>
          </cell>
          <cell r="DL66">
            <v>0.28288431061806657</v>
          </cell>
          <cell r="DM66">
            <v>0.3080390683696469</v>
          </cell>
          <cell r="DN66">
            <v>0.28415758591785417</v>
          </cell>
          <cell r="DO66">
            <v>2.4875621890547265E-2</v>
          </cell>
          <cell r="DP66">
            <v>0.32</v>
          </cell>
          <cell r="DQ66">
            <v>0.32</v>
          </cell>
          <cell r="DR66">
            <v>0.32</v>
          </cell>
          <cell r="DS66">
            <v>0.32</v>
          </cell>
          <cell r="DU66">
            <v>0.32500000000000001</v>
          </cell>
        </row>
        <row r="67">
          <cell r="DN67">
            <v>5.4373897707230986E-2</v>
          </cell>
        </row>
        <row r="68">
          <cell r="B68" t="str">
            <v>After-tax extraordinary items</v>
          </cell>
          <cell r="D68">
            <v>0</v>
          </cell>
          <cell r="E68">
            <v>0</v>
          </cell>
          <cell r="F68">
            <v>0</v>
          </cell>
          <cell r="G68">
            <v>0</v>
          </cell>
          <cell r="H68">
            <v>0</v>
          </cell>
          <cell r="I68">
            <v>20</v>
          </cell>
          <cell r="J68">
            <v>-25</v>
          </cell>
          <cell r="K68">
            <v>-32.451999999999998</v>
          </cell>
          <cell r="L68">
            <v>-36.692307692307686</v>
          </cell>
          <cell r="M68">
            <v>418.02308802308801</v>
          </cell>
          <cell r="N68">
            <v>-17.819004524886875</v>
          </cell>
          <cell r="O68">
            <v>0.86448598130841248</v>
          </cell>
          <cell r="P68">
            <v>0.93762993762993885</v>
          </cell>
          <cell r="Q68">
            <v>-41.6</v>
          </cell>
          <cell r="R68">
            <v>-222.04</v>
          </cell>
          <cell r="S68">
            <v>-308</v>
          </cell>
          <cell r="T68">
            <v>0</v>
          </cell>
          <cell r="U68">
            <v>-4154.6728983382209</v>
          </cell>
          <cell r="V68">
            <v>-2048.675941080196</v>
          </cell>
          <cell r="W68">
            <v>8867.6491816693942</v>
          </cell>
          <cell r="X68">
            <v>-592</v>
          </cell>
          <cell r="Y68">
            <v>-150</v>
          </cell>
          <cell r="Z68">
            <v>0</v>
          </cell>
          <cell r="AA68">
            <v>0</v>
          </cell>
          <cell r="AB68">
            <v>0</v>
          </cell>
          <cell r="AC68">
            <v>0</v>
          </cell>
          <cell r="AD68">
            <v>0</v>
          </cell>
          <cell r="AE68">
            <v>0</v>
          </cell>
          <cell r="AF68">
            <v>0</v>
          </cell>
          <cell r="AG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20</v>
          </cell>
          <cell r="AZ68">
            <v>0</v>
          </cell>
          <cell r="BA68">
            <v>0</v>
          </cell>
          <cell r="BB68">
            <v>0</v>
          </cell>
          <cell r="BC68">
            <v>-25</v>
          </cell>
          <cell r="BD68">
            <v>-2.1280000000000001</v>
          </cell>
          <cell r="BE68">
            <v>-1.5960000000000001</v>
          </cell>
          <cell r="BF68">
            <v>-30.324000000000002</v>
          </cell>
          <cell r="BG68">
            <v>1.5960000000000001</v>
          </cell>
          <cell r="BH68">
            <v>0</v>
          </cell>
          <cell r="BI68">
            <v>28.700000000000003</v>
          </cell>
          <cell r="BJ68">
            <v>11</v>
          </cell>
          <cell r="BK68">
            <v>-76.392307692307696</v>
          </cell>
          <cell r="BL68">
            <v>385.43145743145737</v>
          </cell>
          <cell r="BM68">
            <v>0</v>
          </cell>
          <cell r="BN68">
            <v>32.59163059163059</v>
          </cell>
          <cell r="BO68">
            <v>0</v>
          </cell>
          <cell r="BP68">
            <v>-32.25339366515837</v>
          </cell>
          <cell r="BQ68">
            <v>-5</v>
          </cell>
          <cell r="BR68">
            <v>-59</v>
          </cell>
          <cell r="BS68">
            <v>78.434389140271492</v>
          </cell>
          <cell r="BT68">
            <v>-5.0046728971962615</v>
          </cell>
          <cell r="BU68">
            <v>-23.593457943925234</v>
          </cell>
          <cell r="BV68">
            <v>-7</v>
          </cell>
          <cell r="BW68">
            <v>36.462616822429908</v>
          </cell>
          <cell r="BX68">
            <v>4.767151767151768</v>
          </cell>
          <cell r="BY68">
            <v>-5.744282744282744</v>
          </cell>
          <cell r="BZ68">
            <v>0</v>
          </cell>
          <cell r="CA68">
            <v>1.9147609147609148</v>
          </cell>
          <cell r="CB68">
            <v>0</v>
          </cell>
          <cell r="CC68">
            <v>0</v>
          </cell>
          <cell r="CD68">
            <v>-3.9000000000000004</v>
          </cell>
          <cell r="CE68">
            <v>-37.700000000000003</v>
          </cell>
          <cell r="CF68">
            <v>7.68</v>
          </cell>
          <cell r="CG68">
            <v>-22.4</v>
          </cell>
          <cell r="CH68">
            <v>-151</v>
          </cell>
          <cell r="CI68">
            <v>-56.319999999999993</v>
          </cell>
          <cell r="CJ68">
            <v>42</v>
          </cell>
          <cell r="CK68">
            <v>0</v>
          </cell>
          <cell r="CL68">
            <v>-440</v>
          </cell>
          <cell r="CM68">
            <v>90</v>
          </cell>
          <cell r="CN68">
            <v>0</v>
          </cell>
          <cell r="CO68">
            <v>0</v>
          </cell>
          <cell r="CP68">
            <v>0</v>
          </cell>
          <cell r="CQ68">
            <v>0</v>
          </cell>
          <cell r="CR68">
            <v>33.427663734115342</v>
          </cell>
          <cell r="CS68">
            <v>5.7855571847507328</v>
          </cell>
          <cell r="CT68">
            <v>11.571114369501466</v>
          </cell>
          <cell r="CU68">
            <v>-4205.4572336265883</v>
          </cell>
          <cell r="CV68">
            <v>-605.57119476268417</v>
          </cell>
          <cell r="CW68">
            <v>-116.9558101472995</v>
          </cell>
          <cell r="CX68">
            <v>-644.55646481178394</v>
          </cell>
          <cell r="CY68">
            <v>-681.59247135842884</v>
          </cell>
          <cell r="CZ68">
            <v>134.49918166939443</v>
          </cell>
          <cell r="DA68">
            <v>8247</v>
          </cell>
          <cell r="DB68">
            <v>-41.85</v>
          </cell>
          <cell r="DC68">
            <v>528</v>
          </cell>
          <cell r="DD68">
            <v>-82</v>
          </cell>
          <cell r="DE68">
            <v>-59</v>
          </cell>
          <cell r="DF68">
            <v>0</v>
          </cell>
          <cell r="DG68">
            <v>-451</v>
          </cell>
          <cell r="DH68">
            <v>-22</v>
          </cell>
          <cell r="DI68">
            <v>-192</v>
          </cell>
          <cell r="DJ68">
            <v>64</v>
          </cell>
          <cell r="DK68">
            <v>0</v>
          </cell>
          <cell r="DL68">
            <v>0</v>
          </cell>
          <cell r="DM68">
            <v>0</v>
          </cell>
          <cell r="DN68">
            <v>0</v>
          </cell>
          <cell r="DO68">
            <v>0</v>
          </cell>
          <cell r="DP68">
            <v>0</v>
          </cell>
          <cell r="DQ68">
            <v>0</v>
          </cell>
          <cell r="DR68">
            <v>0</v>
          </cell>
          <cell r="DS68">
            <v>0</v>
          </cell>
          <cell r="DU68">
            <v>0</v>
          </cell>
          <cell r="DX68" t="str">
            <v>mstag:incomeLossFromExtraordinaryItemsNetOfTax</v>
          </cell>
          <cell r="DY68">
            <v>6</v>
          </cell>
          <cell r="DZ68" t="str">
            <v>ISO4217:USD</v>
          </cell>
          <cell r="EA68" t="b">
            <v>0</v>
          </cell>
        </row>
        <row r="70">
          <cell r="B70" t="str">
            <v>Recurring net income (loss)</v>
          </cell>
          <cell r="D70">
            <v>222</v>
          </cell>
          <cell r="E70">
            <v>26</v>
          </cell>
          <cell r="F70">
            <v>4</v>
          </cell>
          <cell r="G70">
            <v>223</v>
          </cell>
          <cell r="H70">
            <v>389</v>
          </cell>
          <cell r="I70">
            <v>106</v>
          </cell>
          <cell r="J70">
            <v>311</v>
          </cell>
          <cell r="K70">
            <v>84.451999999999998</v>
          </cell>
          <cell r="L70">
            <v>-43.307692307692307</v>
          </cell>
          <cell r="M70">
            <v>51.976911976911992</v>
          </cell>
          <cell r="N70">
            <v>-127.18099547511312</v>
          </cell>
          <cell r="O70">
            <v>-148.86448598130841</v>
          </cell>
          <cell r="P70">
            <v>-302.93762993762994</v>
          </cell>
          <cell r="Q70">
            <v>95.6</v>
          </cell>
          <cell r="R70">
            <v>753.04</v>
          </cell>
          <cell r="S70">
            <v>1044</v>
          </cell>
          <cell r="T70">
            <v>661</v>
          </cell>
          <cell r="U70">
            <v>-3181.3271016617791</v>
          </cell>
          <cell r="V70">
            <v>-817.32405891980375</v>
          </cell>
          <cell r="W70">
            <v>1260.3508183306058</v>
          </cell>
          <cell r="X70">
            <v>2732</v>
          </cell>
          <cell r="Y70">
            <v>3006</v>
          </cell>
          <cell r="Z70">
            <v>3856</v>
          </cell>
          <cell r="AA70">
            <v>3424.2612698651355</v>
          </cell>
          <cell r="AB70">
            <v>3419.2281882490597</v>
          </cell>
          <cell r="AC70">
            <v>3487.0755030213177</v>
          </cell>
          <cell r="AD70">
            <v>3329.8225287296268</v>
          </cell>
          <cell r="AE70">
            <v>3112.7201637485314</v>
          </cell>
          <cell r="AF70">
            <v>1973.6711833105746</v>
          </cell>
          <cell r="AG70">
            <v>1819.2939875995435</v>
          </cell>
          <cell r="AJ70">
            <v>-8</v>
          </cell>
          <cell r="AK70">
            <v>-11</v>
          </cell>
          <cell r="AL70">
            <v>9</v>
          </cell>
          <cell r="AM70">
            <v>14</v>
          </cell>
          <cell r="AN70">
            <v>22</v>
          </cell>
          <cell r="AO70">
            <v>32</v>
          </cell>
          <cell r="AP70">
            <v>66</v>
          </cell>
          <cell r="AQ70">
            <v>103</v>
          </cell>
          <cell r="AR70">
            <v>127</v>
          </cell>
          <cell r="AS70">
            <v>135</v>
          </cell>
          <cell r="AT70">
            <v>100</v>
          </cell>
          <cell r="AU70">
            <v>27</v>
          </cell>
          <cell r="AV70">
            <v>24</v>
          </cell>
          <cell r="AW70">
            <v>15</v>
          </cell>
          <cell r="AX70">
            <v>35</v>
          </cell>
          <cell r="AY70">
            <v>32</v>
          </cell>
          <cell r="AZ70">
            <v>40</v>
          </cell>
          <cell r="BA70">
            <v>93</v>
          </cell>
          <cell r="BB70">
            <v>102</v>
          </cell>
          <cell r="BC70">
            <v>76</v>
          </cell>
          <cell r="BD70">
            <v>67.128</v>
          </cell>
          <cell r="BE70">
            <v>30.596</v>
          </cell>
          <cell r="BF70">
            <v>31.324000000000002</v>
          </cell>
          <cell r="BG70">
            <v>-3.5960000000000001</v>
          </cell>
          <cell r="BH70">
            <v>26</v>
          </cell>
          <cell r="BI70">
            <v>-16.700000000000003</v>
          </cell>
          <cell r="BJ70">
            <v>4</v>
          </cell>
          <cell r="BK70">
            <v>43.392307692307696</v>
          </cell>
          <cell r="BL70">
            <v>-40.431457431457403</v>
          </cell>
          <cell r="BM70">
            <v>90</v>
          </cell>
          <cell r="BN70">
            <v>128.40836940836942</v>
          </cell>
          <cell r="BO70">
            <v>-25</v>
          </cell>
          <cell r="BP70">
            <v>-1.7466063348416281</v>
          </cell>
          <cell r="BQ70">
            <v>9</v>
          </cell>
          <cell r="BR70">
            <v>-8</v>
          </cell>
          <cell r="BS70">
            <v>-126.43438914027149</v>
          </cell>
          <cell r="BT70">
            <v>-49.995327102803742</v>
          </cell>
          <cell r="BU70">
            <v>25.593457943925234</v>
          </cell>
          <cell r="BV70">
            <v>5</v>
          </cell>
          <cell r="BW70">
            <v>-129.46261682242991</v>
          </cell>
          <cell r="BX70">
            <v>-117.76715176715177</v>
          </cell>
          <cell r="BY70">
            <v>-62.255717255717258</v>
          </cell>
          <cell r="BZ70">
            <v>-44</v>
          </cell>
          <cell r="CA70">
            <v>-78.914760914760905</v>
          </cell>
          <cell r="CB70">
            <v>-15</v>
          </cell>
          <cell r="CC70">
            <v>3</v>
          </cell>
          <cell r="CD70">
            <v>53.9</v>
          </cell>
          <cell r="CE70">
            <v>53.7</v>
          </cell>
          <cell r="CF70">
            <v>246.32</v>
          </cell>
          <cell r="CG70">
            <v>148.4</v>
          </cell>
          <cell r="CH70">
            <v>164</v>
          </cell>
          <cell r="CI70">
            <v>209.32</v>
          </cell>
          <cell r="CJ70">
            <v>244</v>
          </cell>
          <cell r="CK70">
            <v>129</v>
          </cell>
          <cell r="CL70">
            <v>501</v>
          </cell>
          <cell r="CM70">
            <v>170</v>
          </cell>
          <cell r="CN70">
            <v>217</v>
          </cell>
          <cell r="CO70">
            <v>166</v>
          </cell>
          <cell r="CP70">
            <v>397</v>
          </cell>
          <cell r="CQ70">
            <v>-99</v>
          </cell>
          <cell r="CR70">
            <v>-22.427663734115342</v>
          </cell>
          <cell r="CS70">
            <v>-21.785557184750733</v>
          </cell>
          <cell r="CT70">
            <v>-148.57111436950146</v>
          </cell>
          <cell r="CU70">
            <v>-2988.5427663734117</v>
          </cell>
          <cell r="CV70">
            <v>-406.42880523731588</v>
          </cell>
          <cell r="CW70">
            <v>-236.0441898527005</v>
          </cell>
          <cell r="CX70">
            <v>-3.4435351882160603</v>
          </cell>
          <cell r="CY70">
            <v>-171.40752864157122</v>
          </cell>
          <cell r="CZ70">
            <v>-126.49918166939443</v>
          </cell>
          <cell r="DA70">
            <v>596</v>
          </cell>
          <cell r="DB70">
            <v>508.85</v>
          </cell>
          <cell r="DC70">
            <v>282</v>
          </cell>
          <cell r="DD70">
            <v>742</v>
          </cell>
          <cell r="DE70">
            <v>862</v>
          </cell>
          <cell r="DF70">
            <v>895</v>
          </cell>
          <cell r="DG70">
            <v>233</v>
          </cell>
          <cell r="DH70">
            <v>621</v>
          </cell>
          <cell r="DI70">
            <v>960</v>
          </cell>
          <cell r="DJ70">
            <v>780</v>
          </cell>
          <cell r="DK70">
            <v>645</v>
          </cell>
          <cell r="DL70">
            <v>905</v>
          </cell>
          <cell r="DM70">
            <v>921</v>
          </cell>
          <cell r="DN70">
            <v>854</v>
          </cell>
          <cell r="DO70">
            <v>1176</v>
          </cell>
          <cell r="DP70">
            <v>838.35482588340415</v>
          </cell>
          <cell r="DQ70">
            <v>780.27709080929344</v>
          </cell>
          <cell r="DR70">
            <v>909.09018568342674</v>
          </cell>
          <cell r="DS70">
            <v>896.53916748901042</v>
          </cell>
          <cell r="DU70">
            <v>401.80176131017072</v>
          </cell>
        </row>
        <row r="71">
          <cell r="B71" t="str">
            <v>Margin</v>
          </cell>
          <cell r="D71">
            <v>3.870967741935484E-2</v>
          </cell>
          <cell r="E71">
            <v>5.406529423996673E-3</v>
          </cell>
          <cell r="F71">
            <v>1.038961038961039E-3</v>
          </cell>
          <cell r="G71">
            <v>5.7816956183562355E-2</v>
          </cell>
          <cell r="H71">
            <v>7.8808752025931933E-2</v>
          </cell>
          <cell r="I71">
            <v>4.0090771558245086E-2</v>
          </cell>
          <cell r="J71">
            <v>0.10806115357887422</v>
          </cell>
          <cell r="K71">
            <v>5.836351071181755E-2</v>
          </cell>
          <cell r="L71">
            <v>-1.172696786019288E-2</v>
          </cell>
          <cell r="M71">
            <v>1.2878323086449948E-2</v>
          </cell>
          <cell r="N71">
            <v>-3.9831191818074888E-2</v>
          </cell>
          <cell r="O71">
            <v>-4.5635955236452606E-2</v>
          </cell>
          <cell r="P71">
            <v>-7.9699455390063123E-2</v>
          </cell>
          <cell r="Q71">
            <v>1.6078035654221324E-2</v>
          </cell>
          <cell r="R71">
            <v>4.0472965709986021E-2</v>
          </cell>
          <cell r="S71">
            <v>4.9995211186667943E-2</v>
          </cell>
          <cell r="T71">
            <v>3.8609813084112148E-2</v>
          </cell>
          <cell r="U71">
            <v>-6.2740644138006924E-2</v>
          </cell>
          <cell r="V71">
            <v>-2.6512393243797967E-2</v>
          </cell>
          <cell r="W71">
            <v>3.0627465148613784E-2</v>
          </cell>
          <cell r="X71">
            <v>5.3531889879494463E-2</v>
          </cell>
          <cell r="Y71">
            <v>6.6070290348814203E-2</v>
          </cell>
          <cell r="Z71">
            <v>8.7513049793472839E-2</v>
          </cell>
          <cell r="AA71">
            <v>7.5429995551729967E-2</v>
          </cell>
          <cell r="AB71">
            <v>6.7511428905482312E-2</v>
          </cell>
          <cell r="AC71">
            <v>6.8701687296375991E-2</v>
          </cell>
          <cell r="AD71">
            <v>6.6626853271710917E-2</v>
          </cell>
          <cell r="AE71">
            <v>6.3028887621969287E-2</v>
          </cell>
          <cell r="AF71">
            <v>4.0289090770620789E-2</v>
          </cell>
          <cell r="AG71">
            <v>3.7372517670524463E-2</v>
          </cell>
          <cell r="AJ71">
            <v>-7.5117370892018778E-3</v>
          </cell>
          <cell r="AK71">
            <v>-1.0185185185185186E-2</v>
          </cell>
          <cell r="AL71">
            <v>1.0169491525423728E-2</v>
          </cell>
          <cell r="AM71">
            <v>1.7073170731707318E-2</v>
          </cell>
          <cell r="AN71">
            <v>2.6699029126213591E-2</v>
          </cell>
          <cell r="AO71">
            <v>3.5555555555555556E-2</v>
          </cell>
          <cell r="AP71">
            <v>6.3645130183220835E-2</v>
          </cell>
          <cell r="AQ71">
            <v>9.3978102189781018E-2</v>
          </cell>
          <cell r="AR71">
            <v>0.10817717206132879</v>
          </cell>
          <cell r="AS71">
            <v>9.8540145985401464E-2</v>
          </cell>
          <cell r="AT71">
            <v>8.0064051240992792E-2</v>
          </cell>
          <cell r="AU71">
            <v>2.3622047244094488E-2</v>
          </cell>
          <cell r="AV71">
            <v>4.145077720207254E-2</v>
          </cell>
          <cell r="AW71">
            <v>2.4469820554649267E-2</v>
          </cell>
          <cell r="AX71">
            <v>5.1319648093841645E-2</v>
          </cell>
          <cell r="AY71">
            <v>4.1558441558441558E-2</v>
          </cell>
          <cell r="AZ71">
            <v>5.2980132450331126E-2</v>
          </cell>
          <cell r="BA71">
            <v>0.11787072243346007</v>
          </cell>
          <cell r="BB71">
            <v>0.1276595744680851</v>
          </cell>
          <cell r="BC71">
            <v>0.14205607476635515</v>
          </cell>
          <cell r="BD71" t="str">
            <v>NM</v>
          </cell>
          <cell r="BE71" t="str">
            <v>NM</v>
          </cell>
          <cell r="BF71">
            <v>5.5342756183745588E-2</v>
          </cell>
          <cell r="BG71">
            <v>-4.0817253121452892E-3</v>
          </cell>
          <cell r="BH71">
            <v>3.0409356725146199E-2</v>
          </cell>
          <cell r="BI71">
            <v>-1.9555035128805624E-2</v>
          </cell>
          <cell r="BJ71">
            <v>4.0983606557377051E-3</v>
          </cell>
          <cell r="BK71">
            <v>4.3047924297924305E-2</v>
          </cell>
          <cell r="BL71">
            <v>-3.5591071682620955E-2</v>
          </cell>
          <cell r="BM71">
            <v>9.2213114754098366E-2</v>
          </cell>
          <cell r="BN71">
            <v>0.13170089170089172</v>
          </cell>
          <cell r="BO71">
            <v>-2.6343519494204427E-2</v>
          </cell>
          <cell r="BP71">
            <v>-2.0572512777875477E-3</v>
          </cell>
          <cell r="BQ71">
            <v>1.0078387458006719E-2</v>
          </cell>
          <cell r="BR71">
            <v>-1.078167115902965E-2</v>
          </cell>
          <cell r="BS71">
            <v>-0.17832777029657473</v>
          </cell>
          <cell r="BT71">
            <v>-7.4177043179234042E-2</v>
          </cell>
          <cell r="BU71">
            <v>3.0359973836210242E-2</v>
          </cell>
          <cell r="BV71">
            <v>5.8479532163742687E-3</v>
          </cell>
          <cell r="BW71">
            <v>-0.14546361440722461</v>
          </cell>
          <cell r="BX71">
            <v>-0.11907699875343961</v>
          </cell>
          <cell r="BY71">
            <v>-6.8188080236273013E-2</v>
          </cell>
          <cell r="BZ71">
            <v>-4.6121593291404611E-2</v>
          </cell>
          <cell r="CA71">
            <v>-8.3507683507683492E-2</v>
          </cell>
          <cell r="CB71">
            <v>-1.3574660633484163E-2</v>
          </cell>
          <cell r="CC71">
            <v>2.5839793281653748E-3</v>
          </cell>
          <cell r="CD71">
            <v>4.123947972456006E-2</v>
          </cell>
          <cell r="CE71">
            <v>2.2629582806573959E-2</v>
          </cell>
          <cell r="CF71">
            <v>5.5477477477477478E-2</v>
          </cell>
          <cell r="CG71">
            <v>3.3912248628884825E-2</v>
          </cell>
          <cell r="CH71">
            <v>3.4237995824634652E-2</v>
          </cell>
          <cell r="CI71">
            <v>4.1863999999999998E-2</v>
          </cell>
          <cell r="CJ71">
            <v>5.52286102308737E-2</v>
          </cell>
          <cell r="CK71">
            <v>2.7359490986214211E-2</v>
          </cell>
          <cell r="CL71">
            <v>8.6156491831470339E-2</v>
          </cell>
          <cell r="CM71">
            <v>2.8648466464442197E-2</v>
          </cell>
          <cell r="CN71">
            <v>5.836471221086606E-2</v>
          </cell>
          <cell r="CO71">
            <v>4.056695992179863E-2</v>
          </cell>
          <cell r="CP71">
            <v>9.7976307996051337E-2</v>
          </cell>
          <cell r="CQ71">
            <v>-1.8828451882845189E-2</v>
          </cell>
          <cell r="CR71">
            <v>-1.7569654315797369E-3</v>
          </cell>
          <cell r="CS71">
            <v>-1.3965996015610446E-3</v>
          </cell>
          <cell r="CT71">
            <v>-1.0547431092538794E-2</v>
          </cell>
          <cell r="CU71">
            <v>-0.36198434670220586</v>
          </cell>
          <cell r="CV71">
            <v>-6.8886238175816253E-2</v>
          </cell>
          <cell r="CW71">
            <v>-3.1476755547766438E-2</v>
          </cell>
          <cell r="CX71">
            <v>-3.9985313379192527E-4</v>
          </cell>
          <cell r="CY71">
            <v>-1.9440572603104368E-2</v>
          </cell>
          <cell r="CZ71">
            <v>-1.2967624978923058E-2</v>
          </cell>
          <cell r="DA71">
            <v>5.684853109500191E-2</v>
          </cell>
        </row>
        <row r="72">
          <cell r="B72" t="str">
            <v>Growth (%)</v>
          </cell>
          <cell r="E72">
            <v>-0.88288288288288286</v>
          </cell>
          <cell r="F72">
            <v>-0.84615384615384615</v>
          </cell>
          <cell r="G72">
            <v>54.75</v>
          </cell>
          <cell r="H72">
            <v>0.74439461883408065</v>
          </cell>
          <cell r="I72">
            <v>-0.72750642673521848</v>
          </cell>
          <cell r="J72">
            <v>1.9339622641509435</v>
          </cell>
          <cell r="K72">
            <v>-0.72845016077170421</v>
          </cell>
          <cell r="L72">
            <v>-1.5128083681581526</v>
          </cell>
          <cell r="M72">
            <v>-2.2001773635876658</v>
          </cell>
          <cell r="N72">
            <v>-3.4468747880136972</v>
          </cell>
          <cell r="O72">
            <v>0.1704931654701376</v>
          </cell>
          <cell r="P72">
            <v>1.0349892584566285</v>
          </cell>
          <cell r="Q72">
            <v>-1.3155765099888135</v>
          </cell>
          <cell r="R72">
            <v>6.8769874476987445</v>
          </cell>
          <cell r="S72">
            <v>0.38638053755444601</v>
          </cell>
          <cell r="T72">
            <v>-0.36685823754789271</v>
          </cell>
          <cell r="U72">
            <v>-5.8129003050858987</v>
          </cell>
          <cell r="V72">
            <v>-0.74308707253244366</v>
          </cell>
          <cell r="W72">
            <v>-2.5420454158615096</v>
          </cell>
          <cell r="X72">
            <v>1.1676504353118626</v>
          </cell>
          <cell r="Y72">
            <v>0.10029282576866771</v>
          </cell>
          <cell r="Z72">
            <v>0.28276779773785754</v>
          </cell>
          <cell r="AA72">
            <v>-0.11196543831298356</v>
          </cell>
          <cell r="AB72">
            <v>-1.4698299047356533E-3</v>
          </cell>
          <cell r="AC72">
            <v>1.9842874191734472E-2</v>
          </cell>
          <cell r="AD72">
            <v>-4.5095947637337264E-2</v>
          </cell>
          <cell r="AE72">
            <v>-6.5199380179556621E-2</v>
          </cell>
          <cell r="AF72">
            <v>-0.36593362734742052</v>
          </cell>
          <cell r="AG72">
            <v>-7.8218295436671248E-2</v>
          </cell>
          <cell r="AN72">
            <v>-3.75</v>
          </cell>
          <cell r="AO72">
            <v>-3.9090909090909092</v>
          </cell>
          <cell r="AP72">
            <v>6.333333333333333</v>
          </cell>
          <cell r="AQ72">
            <v>6.3571428571428568</v>
          </cell>
          <cell r="AR72">
            <v>4.7727272727272725</v>
          </cell>
          <cell r="AS72">
            <v>3.21875</v>
          </cell>
          <cell r="AT72">
            <v>0.51515151515151514</v>
          </cell>
          <cell r="AU72">
            <v>-0.73786407766990292</v>
          </cell>
          <cell r="AV72">
            <v>-0.8110236220472441</v>
          </cell>
          <cell r="AW72">
            <v>-0.88888888888888884</v>
          </cell>
          <cell r="AX72">
            <v>-0.65</v>
          </cell>
          <cell r="AY72">
            <v>0.18518518518518512</v>
          </cell>
          <cell r="AZ72">
            <v>0.66666666666666674</v>
          </cell>
          <cell r="BA72">
            <v>5.2</v>
          </cell>
          <cell r="BB72">
            <v>1.9142857142857141</v>
          </cell>
          <cell r="BC72">
            <v>1.375</v>
          </cell>
          <cell r="BD72">
            <v>0.67819999999999991</v>
          </cell>
          <cell r="BE72">
            <v>-0.67101075268817212</v>
          </cell>
          <cell r="BF72">
            <v>-0.69290196078431365</v>
          </cell>
          <cell r="BG72">
            <v>-1.0473157894736842</v>
          </cell>
          <cell r="BH72">
            <v>-0.6126802526516506</v>
          </cell>
          <cell r="BI72">
            <v>-1.5458229833965225</v>
          </cell>
          <cell r="BJ72">
            <v>-0.87230238794534543</v>
          </cell>
          <cell r="BK72">
            <v>-13.066826388294688</v>
          </cell>
          <cell r="BL72">
            <v>-2.5550560550560539</v>
          </cell>
          <cell r="BM72">
            <v>-6.3892215568862269</v>
          </cell>
          <cell r="BN72">
            <v>31.102092352092356</v>
          </cell>
          <cell r="BO72">
            <v>-1.5761389824499201</v>
          </cell>
          <cell r="BP72">
            <v>-0.95680080695081016</v>
          </cell>
          <cell r="BQ72">
            <v>-0.9</v>
          </cell>
          <cell r="BR72">
            <v>-1.0623012350118557</v>
          </cell>
          <cell r="BS72">
            <v>4.0573755656108599</v>
          </cell>
          <cell r="BT72">
            <v>27.624267589947234</v>
          </cell>
          <cell r="BU72">
            <v>1.8437175493250262</v>
          </cell>
          <cell r="BV72">
            <v>-1.625</v>
          </cell>
          <cell r="BW72">
            <v>2.3950981238172186E-2</v>
          </cell>
          <cell r="BX72">
            <v>1.355563181434758</v>
          </cell>
          <cell r="BY72">
            <v>-3.4324855747167233</v>
          </cell>
          <cell r="BZ72">
            <v>-9.8000000000000007</v>
          </cell>
          <cell r="CA72">
            <v>-0.39044364426064493</v>
          </cell>
          <cell r="CB72">
            <v>-0.87263001800656714</v>
          </cell>
          <cell r="CC72">
            <v>-1.0481883452997161</v>
          </cell>
          <cell r="CD72">
            <v>-2.2249999999999996</v>
          </cell>
          <cell r="CE72">
            <v>-1.6804810580114866</v>
          </cell>
          <cell r="CF72">
            <v>-17.421333333333333</v>
          </cell>
          <cell r="CG72">
            <v>48.466666666666669</v>
          </cell>
          <cell r="CH72">
            <v>2.0426716141001857</v>
          </cell>
          <cell r="CI72">
            <v>2.8979515828677838</v>
          </cell>
          <cell r="CJ72">
            <v>-9.4186424163689164E-3</v>
          </cell>
          <cell r="CK72">
            <v>-0.1307277628032345</v>
          </cell>
          <cell r="CL72">
            <v>2.0548780487804876</v>
          </cell>
          <cell r="CM72">
            <v>-0.18784635964074137</v>
          </cell>
          <cell r="CN72">
            <v>-0.11065573770491799</v>
          </cell>
          <cell r="CO72">
            <v>0.28682170542635665</v>
          </cell>
          <cell r="CP72">
            <v>-0.2075848303393214</v>
          </cell>
          <cell r="CQ72">
            <v>-1.5823529411764707</v>
          </cell>
          <cell r="CR72">
            <v>-1.1033532890973057</v>
          </cell>
          <cell r="CS72">
            <v>-1.1312382962936791</v>
          </cell>
          <cell r="CT72">
            <v>-1.3742345450113387</v>
          </cell>
          <cell r="CU72">
            <v>29.187300670438503</v>
          </cell>
          <cell r="CV72">
            <v>17.121762928837111</v>
          </cell>
          <cell r="CW72">
            <v>9.8348934044213792</v>
          </cell>
          <cell r="CX72">
            <v>-0.97682231029342714</v>
          </cell>
          <cell r="CY72">
            <v>-0.94264511434461629</v>
          </cell>
          <cell r="CZ72">
            <v>-0.68875438935601307</v>
          </cell>
          <cell r="DA72">
            <v>-3.5249509440241846</v>
          </cell>
          <cell r="DB72">
            <v>-148.7696530418242</v>
          </cell>
          <cell r="DC72">
            <v>-2.6452019478659405</v>
          </cell>
          <cell r="DD72">
            <v>-6.8656505932126644</v>
          </cell>
          <cell r="DE72">
            <v>0.44630872483221484</v>
          </cell>
          <cell r="DF72">
            <v>0.7588680357669253</v>
          </cell>
          <cell r="DG72">
            <v>-0.17375886524822692</v>
          </cell>
          <cell r="DH72">
            <v>-0.16307277628032346</v>
          </cell>
          <cell r="DI72">
            <v>0.11368909512761016</v>
          </cell>
          <cell r="DJ72">
            <v>-0.12849162011173187</v>
          </cell>
          <cell r="DK72">
            <v>1.7682403433476397</v>
          </cell>
          <cell r="DL72">
            <v>0.45732689210950084</v>
          </cell>
          <cell r="DM72">
            <v>-4.0625000000000022E-2</v>
          </cell>
          <cell r="DN72">
            <v>9.4871794871794979E-2</v>
          </cell>
          <cell r="DO72">
            <v>0.82325581395348846</v>
          </cell>
          <cell r="DP72">
            <v>-7.3641076371929071E-2</v>
          </cell>
          <cell r="DQ72">
            <v>-0.15279360389870422</v>
          </cell>
          <cell r="DR72">
            <v>6.4508414149211601E-2</v>
          </cell>
          <cell r="DS72">
            <v>-0.23763676233927689</v>
          </cell>
          <cell r="DU72">
            <v>-3.3441313488065911</v>
          </cell>
        </row>
        <row r="74">
          <cell r="B74" t="str">
            <v>Income from discontinued operations, net of tax</v>
          </cell>
          <cell r="D74">
            <v>0</v>
          </cell>
          <cell r="E74">
            <v>-10</v>
          </cell>
          <cell r="F74">
            <v>22</v>
          </cell>
          <cell r="G74">
            <v>0</v>
          </cell>
          <cell r="H74">
            <v>0</v>
          </cell>
          <cell r="I74">
            <v>0</v>
          </cell>
          <cell r="J74">
            <v>0</v>
          </cell>
          <cell r="K74">
            <v>0</v>
          </cell>
          <cell r="L74">
            <v>-35</v>
          </cell>
          <cell r="M74">
            <v>-33</v>
          </cell>
          <cell r="N74">
            <v>-5</v>
          </cell>
          <cell r="O74">
            <v>0</v>
          </cell>
          <cell r="P74">
            <v>0</v>
          </cell>
          <cell r="Q74">
            <v>0</v>
          </cell>
          <cell r="R74">
            <v>0</v>
          </cell>
          <cell r="S74">
            <v>-550</v>
          </cell>
          <cell r="T74">
            <v>0</v>
          </cell>
          <cell r="U74">
            <v>15</v>
          </cell>
          <cell r="V74">
            <v>1</v>
          </cell>
          <cell r="W74">
            <v>64</v>
          </cell>
          <cell r="X74">
            <v>0</v>
          </cell>
          <cell r="Y74">
            <v>-22</v>
          </cell>
          <cell r="Z74">
            <v>-7</v>
          </cell>
          <cell r="AA74">
            <v>0</v>
          </cell>
          <cell r="AB74">
            <v>0</v>
          </cell>
          <cell r="AC74">
            <v>0</v>
          </cell>
          <cell r="AD74">
            <v>0</v>
          </cell>
          <cell r="AE74">
            <v>0</v>
          </cell>
          <cell r="AF74">
            <v>0</v>
          </cell>
          <cell r="AG74">
            <v>0</v>
          </cell>
          <cell r="AJ74">
            <v>22</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-31</v>
          </cell>
          <cell r="BJ74">
            <v>-4</v>
          </cell>
          <cell r="BK74">
            <v>0</v>
          </cell>
          <cell r="BL74">
            <v>-11</v>
          </cell>
          <cell r="BM74">
            <v>-19</v>
          </cell>
          <cell r="BN74">
            <v>0</v>
          </cell>
          <cell r="BO74">
            <v>-3</v>
          </cell>
          <cell r="BP74">
            <v>0</v>
          </cell>
          <cell r="BQ74">
            <v>0</v>
          </cell>
          <cell r="BR74">
            <v>0</v>
          </cell>
          <cell r="BS74">
            <v>-5</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4</v>
          </cell>
          <cell r="CK74">
            <v>31</v>
          </cell>
          <cell r="CL74">
            <v>-4</v>
          </cell>
          <cell r="CM74">
            <v>-581</v>
          </cell>
          <cell r="CN74">
            <v>0</v>
          </cell>
          <cell r="CO74">
            <v>0</v>
          </cell>
          <cell r="CP74">
            <v>0</v>
          </cell>
          <cell r="CQ74">
            <v>0</v>
          </cell>
          <cell r="CR74">
            <v>8</v>
          </cell>
          <cell r="CS74">
            <v>2</v>
          </cell>
          <cell r="CT74">
            <v>1</v>
          </cell>
          <cell r="CU74">
            <v>4</v>
          </cell>
          <cell r="CV74">
            <v>-4</v>
          </cell>
          <cell r="CW74">
            <v>2</v>
          </cell>
          <cell r="CX74">
            <v>-1</v>
          </cell>
          <cell r="CY74">
            <v>4</v>
          </cell>
          <cell r="CZ74">
            <v>0</v>
          </cell>
          <cell r="DA74">
            <v>0</v>
          </cell>
          <cell r="DB74">
            <v>0</v>
          </cell>
          <cell r="DC74">
            <v>64</v>
          </cell>
          <cell r="DD74">
            <v>0</v>
          </cell>
          <cell r="DE74">
            <v>0</v>
          </cell>
          <cell r="DF74">
            <v>0</v>
          </cell>
          <cell r="DG74">
            <v>0</v>
          </cell>
          <cell r="DH74">
            <v>0</v>
          </cell>
          <cell r="DI74">
            <v>0</v>
          </cell>
          <cell r="DJ74">
            <v>0</v>
          </cell>
          <cell r="DK74">
            <v>-22</v>
          </cell>
          <cell r="DL74">
            <v>-6</v>
          </cell>
          <cell r="DM74">
            <v>4</v>
          </cell>
          <cell r="DN74">
            <v>-3</v>
          </cell>
          <cell r="DO74">
            <v>-2</v>
          </cell>
          <cell r="DP74">
            <v>0</v>
          </cell>
          <cell r="DQ74">
            <v>0</v>
          </cell>
          <cell r="DR74">
            <v>0</v>
          </cell>
          <cell r="DS74">
            <v>0</v>
          </cell>
          <cell r="DU74">
            <v>0</v>
          </cell>
          <cell r="DX74" t="str">
            <v>mstag:incomeLossFromDiscontinuedOperationsNetOfTax</v>
          </cell>
          <cell r="DY74">
            <v>6</v>
          </cell>
          <cell r="DZ74" t="str">
            <v>ISO4217:USD</v>
          </cell>
          <cell r="EA74" t="b">
            <v>0</v>
          </cell>
        </row>
        <row r="76">
          <cell r="B76" t="str">
            <v>Reported net income (loss)</v>
          </cell>
          <cell r="D76">
            <v>222</v>
          </cell>
          <cell r="E76">
            <v>16</v>
          </cell>
          <cell r="F76">
            <v>26</v>
          </cell>
          <cell r="G76">
            <v>223</v>
          </cell>
          <cell r="H76">
            <v>389</v>
          </cell>
          <cell r="I76">
            <v>126</v>
          </cell>
          <cell r="J76">
            <v>286</v>
          </cell>
          <cell r="K76">
            <v>52</v>
          </cell>
          <cell r="L76">
            <v>-115</v>
          </cell>
          <cell r="M76">
            <v>437</v>
          </cell>
          <cell r="N76">
            <v>-150</v>
          </cell>
          <cell r="O76">
            <v>-148</v>
          </cell>
          <cell r="P76">
            <v>-302</v>
          </cell>
          <cell r="Q76">
            <v>54</v>
          </cell>
          <cell r="R76">
            <v>531</v>
          </cell>
          <cell r="S76">
            <v>186</v>
          </cell>
          <cell r="T76">
            <v>661</v>
          </cell>
          <cell r="U76">
            <v>-7321</v>
          </cell>
          <cell r="V76">
            <v>-2865</v>
          </cell>
          <cell r="W76">
            <v>10192</v>
          </cell>
          <cell r="X76">
            <v>2140</v>
          </cell>
          <cell r="Y76">
            <v>2834</v>
          </cell>
          <cell r="Z76">
            <v>3849</v>
          </cell>
          <cell r="AA76">
            <v>3424.2612698651355</v>
          </cell>
          <cell r="AB76">
            <v>3419.2281882490597</v>
          </cell>
          <cell r="AC76">
            <v>3487.0755030213177</v>
          </cell>
          <cell r="AD76">
            <v>3329.8225287296268</v>
          </cell>
          <cell r="AE76">
            <v>3112.7201637485314</v>
          </cell>
          <cell r="AF76">
            <v>1973.6711833105746</v>
          </cell>
          <cell r="AG76">
            <v>1819.2939875995435</v>
          </cell>
          <cell r="AJ76">
            <v>14</v>
          </cell>
          <cell r="AK76">
            <v>-11</v>
          </cell>
          <cell r="AL76">
            <v>9</v>
          </cell>
          <cell r="AM76">
            <v>14</v>
          </cell>
          <cell r="AN76">
            <v>22</v>
          </cell>
          <cell r="AO76">
            <v>32</v>
          </cell>
          <cell r="AP76">
            <v>66</v>
          </cell>
          <cell r="AQ76">
            <v>103</v>
          </cell>
          <cell r="AR76">
            <v>127</v>
          </cell>
          <cell r="AS76">
            <v>135</v>
          </cell>
          <cell r="AT76">
            <v>100</v>
          </cell>
          <cell r="AU76">
            <v>27</v>
          </cell>
          <cell r="AV76">
            <v>24</v>
          </cell>
          <cell r="AW76">
            <v>15</v>
          </cell>
          <cell r="AX76">
            <v>35</v>
          </cell>
          <cell r="AY76">
            <v>52</v>
          </cell>
          <cell r="AZ76">
            <v>40</v>
          </cell>
          <cell r="BA76">
            <v>93</v>
          </cell>
          <cell r="BB76">
            <v>102</v>
          </cell>
          <cell r="BC76">
            <v>51</v>
          </cell>
          <cell r="BD76">
            <v>65</v>
          </cell>
          <cell r="BE76">
            <v>29</v>
          </cell>
          <cell r="BF76">
            <v>1</v>
          </cell>
          <cell r="BG76">
            <v>-2</v>
          </cell>
          <cell r="BH76">
            <v>26</v>
          </cell>
          <cell r="BI76">
            <v>-19</v>
          </cell>
          <cell r="BJ76">
            <v>11</v>
          </cell>
          <cell r="BK76">
            <v>-32.999999999999993</v>
          </cell>
          <cell r="BL76">
            <v>334</v>
          </cell>
          <cell r="BM76">
            <v>71</v>
          </cell>
          <cell r="BN76">
            <v>161</v>
          </cell>
          <cell r="BO76">
            <v>-28</v>
          </cell>
          <cell r="BP76">
            <v>-34</v>
          </cell>
          <cell r="BQ76">
            <v>4</v>
          </cell>
          <cell r="BR76">
            <v>-67</v>
          </cell>
          <cell r="BS76">
            <v>-53</v>
          </cell>
          <cell r="BT76">
            <v>-55</v>
          </cell>
          <cell r="BU76">
            <v>2</v>
          </cell>
          <cell r="BV76">
            <v>-2</v>
          </cell>
          <cell r="BW76">
            <v>-93</v>
          </cell>
          <cell r="BX76">
            <v>-113</v>
          </cell>
          <cell r="BY76">
            <v>-68</v>
          </cell>
          <cell r="BZ76">
            <v>-44</v>
          </cell>
          <cell r="CA76">
            <v>-77</v>
          </cell>
          <cell r="CB76">
            <v>-15</v>
          </cell>
          <cell r="CC76">
            <v>3</v>
          </cell>
          <cell r="CD76">
            <v>50</v>
          </cell>
          <cell r="CE76">
            <v>16</v>
          </cell>
          <cell r="CF76">
            <v>254</v>
          </cell>
          <cell r="CG76">
            <v>126</v>
          </cell>
          <cell r="CH76">
            <v>13</v>
          </cell>
          <cell r="CI76">
            <v>153</v>
          </cell>
          <cell r="CJ76">
            <v>290</v>
          </cell>
          <cell r="CK76">
            <v>160</v>
          </cell>
          <cell r="CL76">
            <v>57</v>
          </cell>
          <cell r="CM76">
            <v>-321</v>
          </cell>
          <cell r="CN76">
            <v>217</v>
          </cell>
          <cell r="CO76">
            <v>166</v>
          </cell>
          <cell r="CP76">
            <v>397</v>
          </cell>
          <cell r="CQ76">
            <v>-99</v>
          </cell>
          <cell r="CR76">
            <v>19</v>
          </cell>
          <cell r="CS76">
            <v>-14</v>
          </cell>
          <cell r="CT76">
            <v>-136</v>
          </cell>
          <cell r="CU76">
            <v>-7190</v>
          </cell>
          <cell r="CV76">
            <v>-1016</v>
          </cell>
          <cell r="CW76">
            <v>-351</v>
          </cell>
          <cell r="CX76">
            <v>-649</v>
          </cell>
          <cell r="CY76">
            <v>-849</v>
          </cell>
          <cell r="CZ76">
            <v>8</v>
          </cell>
          <cell r="DA76">
            <v>8843</v>
          </cell>
          <cell r="DB76">
            <v>467</v>
          </cell>
          <cell r="DC76">
            <v>874</v>
          </cell>
          <cell r="DD76">
            <v>660</v>
          </cell>
          <cell r="DE76">
            <v>803</v>
          </cell>
          <cell r="DF76">
            <v>895</v>
          </cell>
          <cell r="DG76">
            <v>-218</v>
          </cell>
          <cell r="DH76">
            <v>599</v>
          </cell>
          <cell r="DI76">
            <v>768</v>
          </cell>
          <cell r="DJ76">
            <v>844</v>
          </cell>
          <cell r="DK76">
            <v>623</v>
          </cell>
          <cell r="DL76">
            <v>899</v>
          </cell>
          <cell r="DM76">
            <v>925</v>
          </cell>
          <cell r="DN76">
            <v>851</v>
          </cell>
          <cell r="DO76">
            <v>1174</v>
          </cell>
          <cell r="DP76">
            <v>838.35482588340415</v>
          </cell>
          <cell r="DQ76">
            <v>780.27709080929344</v>
          </cell>
          <cell r="DR76">
            <v>909.09018568342674</v>
          </cell>
          <cell r="DS76">
            <v>896.53916748901042</v>
          </cell>
          <cell r="DU76">
            <v>401.80176131017072</v>
          </cell>
          <cell r="DX76" t="str">
            <v>mstag:netIncomeAsReported</v>
          </cell>
          <cell r="DY76">
            <v>6</v>
          </cell>
          <cell r="DZ76" t="str">
            <v>ISO4217:USD</v>
          </cell>
          <cell r="EA76" t="b">
            <v>0</v>
          </cell>
        </row>
        <row r="77">
          <cell r="B77" t="str">
            <v>Margin</v>
          </cell>
          <cell r="D77">
            <v>3.870967741935484E-2</v>
          </cell>
          <cell r="E77">
            <v>3.3270950301517986E-3</v>
          </cell>
          <cell r="F77">
            <v>6.7532467532467532E-3</v>
          </cell>
          <cell r="G77">
            <v>5.7816956183562355E-2</v>
          </cell>
          <cell r="H77">
            <v>7.8808752025931933E-2</v>
          </cell>
          <cell r="I77">
            <v>4.7655068078668684E-2</v>
          </cell>
          <cell r="J77">
            <v>9.9374565670604584E-2</v>
          </cell>
          <cell r="K77">
            <v>3.5936420179682099E-2</v>
          </cell>
          <cell r="L77">
            <v>-3.1139994584348768E-2</v>
          </cell>
          <cell r="M77">
            <v>0.10827552031714568</v>
          </cell>
          <cell r="N77">
            <v>-4.6977763858440338E-2</v>
          </cell>
          <cell r="O77">
            <v>-4.5370938074800735E-2</v>
          </cell>
          <cell r="P77">
            <v>-7.9452775585372268E-2</v>
          </cell>
          <cell r="Q77">
            <v>9.0817356205852677E-3</v>
          </cell>
          <cell r="R77">
            <v>2.8539180909384069E-2</v>
          </cell>
          <cell r="S77">
            <v>8.9071927976247488E-3</v>
          </cell>
          <cell r="T77">
            <v>3.8609813084112148E-2</v>
          </cell>
          <cell r="U77">
            <v>-0.14438133554214491</v>
          </cell>
          <cell r="V77">
            <v>-9.2934994161152196E-2</v>
          </cell>
          <cell r="W77">
            <v>0.24767320356734951</v>
          </cell>
          <cell r="X77">
            <v>4.193200744587048E-2</v>
          </cell>
          <cell r="Y77">
            <v>6.2289821306899355E-2</v>
          </cell>
          <cell r="Z77">
            <v>8.7354182742499203E-2</v>
          </cell>
          <cell r="AA77">
            <v>7.5429995551729967E-2</v>
          </cell>
          <cell r="AB77">
            <v>6.7511428905482312E-2</v>
          </cell>
          <cell r="AC77">
            <v>6.8701687296375991E-2</v>
          </cell>
          <cell r="AD77">
            <v>6.6626853271710917E-2</v>
          </cell>
          <cell r="AE77">
            <v>6.3028887621969287E-2</v>
          </cell>
          <cell r="AF77">
            <v>4.0289090770620789E-2</v>
          </cell>
          <cell r="AG77">
            <v>3.7372517670524463E-2</v>
          </cell>
          <cell r="AJ77">
            <v>1.3145539906103286E-2</v>
          </cell>
          <cell r="AK77">
            <v>-1.0185185185185186E-2</v>
          </cell>
          <cell r="AL77">
            <v>1.0169491525423728E-2</v>
          </cell>
          <cell r="AM77">
            <v>1.7073170731707318E-2</v>
          </cell>
          <cell r="AN77">
            <v>2.6699029126213591E-2</v>
          </cell>
          <cell r="AO77">
            <v>3.5555555555555556E-2</v>
          </cell>
          <cell r="AP77">
            <v>6.3645130183220835E-2</v>
          </cell>
          <cell r="AQ77">
            <v>9.3978102189781018E-2</v>
          </cell>
          <cell r="AR77">
            <v>0.10817717206132879</v>
          </cell>
          <cell r="AS77">
            <v>9.8540145985401464E-2</v>
          </cell>
          <cell r="AT77">
            <v>8.0064051240992792E-2</v>
          </cell>
          <cell r="AU77">
            <v>2.3622047244094488E-2</v>
          </cell>
          <cell r="AV77">
            <v>4.145077720207254E-2</v>
          </cell>
          <cell r="AW77">
            <v>2.4469820554649267E-2</v>
          </cell>
          <cell r="AX77">
            <v>5.1319648093841645E-2</v>
          </cell>
          <cell r="AY77">
            <v>6.7532467532467527E-2</v>
          </cell>
          <cell r="AZ77">
            <v>5.2980132450331126E-2</v>
          </cell>
          <cell r="BA77">
            <v>0.11787072243346007</v>
          </cell>
          <cell r="BB77">
            <v>0.1276595744680851</v>
          </cell>
          <cell r="BC77">
            <v>9.5327102803738323E-2</v>
          </cell>
          <cell r="BD77" t="str">
            <v>NM</v>
          </cell>
          <cell r="BE77" t="str">
            <v>NM</v>
          </cell>
          <cell r="BF77">
            <v>1.7667844522968198E-3</v>
          </cell>
          <cell r="BG77">
            <v>-2.2701475595913734E-3</v>
          </cell>
          <cell r="BH77">
            <v>3.0409356725146199E-2</v>
          </cell>
          <cell r="BI77">
            <v>-2.224824355971897E-2</v>
          </cell>
          <cell r="BJ77">
            <v>1.1270491803278689E-2</v>
          </cell>
          <cell r="BK77">
            <v>-3.2738095238095233E-2</v>
          </cell>
          <cell r="BL77">
            <v>0.29401408450704225</v>
          </cell>
          <cell r="BM77">
            <v>7.274590163934426E-2</v>
          </cell>
          <cell r="BN77">
            <v>0.16512820512820514</v>
          </cell>
          <cell r="BO77">
            <v>-2.9504741833508957E-2</v>
          </cell>
          <cell r="BP77">
            <v>-4.0047114252061249E-2</v>
          </cell>
          <cell r="BQ77">
            <v>4.4792833146696529E-3</v>
          </cell>
          <cell r="BR77">
            <v>-9.0296495956873321E-2</v>
          </cell>
          <cell r="BS77">
            <v>-7.4753173483779967E-2</v>
          </cell>
          <cell r="BT77">
            <v>-8.1602373887240356E-2</v>
          </cell>
          <cell r="BU77">
            <v>2.3724792408066431E-3</v>
          </cell>
          <cell r="BV77">
            <v>-2.3391812865497076E-3</v>
          </cell>
          <cell r="BW77">
            <v>-0.10449438202247191</v>
          </cell>
          <cell r="BX77">
            <v>-0.11425682507583418</v>
          </cell>
          <cell r="BY77">
            <v>-7.4479737130339535E-2</v>
          </cell>
          <cell r="BZ77">
            <v>-4.6121593291404611E-2</v>
          </cell>
          <cell r="CA77">
            <v>-8.1481481481481488E-2</v>
          </cell>
          <cell r="CB77">
            <v>-1.3574660633484163E-2</v>
          </cell>
          <cell r="CC77">
            <v>2.5839793281653748E-3</v>
          </cell>
          <cell r="CD77">
            <v>3.8255547054322873E-2</v>
          </cell>
          <cell r="CE77">
            <v>6.7425200168563003E-3</v>
          </cell>
          <cell r="CF77">
            <v>5.7207207207207206E-2</v>
          </cell>
          <cell r="CG77">
            <v>2.8793418647166363E-2</v>
          </cell>
          <cell r="CH77">
            <v>2.7139874739039666E-3</v>
          </cell>
          <cell r="CI77">
            <v>3.0599999999999999E-2</v>
          </cell>
          <cell r="CJ77">
            <v>6.5640561339972842E-2</v>
          </cell>
          <cell r="CK77">
            <v>3.3934252386002124E-2</v>
          </cell>
          <cell r="CL77">
            <v>9.8022355975924333E-3</v>
          </cell>
          <cell r="CM77">
            <v>-5.4095045500505562E-2</v>
          </cell>
          <cell r="CN77">
            <v>5.836471221086606E-2</v>
          </cell>
          <cell r="CO77">
            <v>4.056695992179863E-2</v>
          </cell>
          <cell r="CP77">
            <v>9.7976307996051337E-2</v>
          </cell>
          <cell r="CQ77">
            <v>-1.8828451882845189E-2</v>
          </cell>
          <cell r="CR77">
            <v>1.4884449667058363E-3</v>
          </cell>
          <cell r="CS77">
            <v>-8.9749342906596578E-4</v>
          </cell>
          <cell r="CT77">
            <v>-9.6549765724833168E-3</v>
          </cell>
          <cell r="CU77">
            <v>-0.87088178294573648</v>
          </cell>
          <cell r="CV77">
            <v>-0.17220338983050848</v>
          </cell>
          <cell r="CW77">
            <v>-4.6806240832110949E-2</v>
          </cell>
          <cell r="CX77">
            <v>-7.5359962842545286E-2</v>
          </cell>
          <cell r="CY77">
            <v>-9.6291255529091527E-2</v>
          </cell>
          <cell r="CZ77">
            <v>8.2009226037929269E-4</v>
          </cell>
          <cell r="DA77">
            <v>0.84347577260587558</v>
          </cell>
        </row>
        <row r="78">
          <cell r="B78" t="str">
            <v>Growth (%)</v>
          </cell>
          <cell r="E78">
            <v>-0.92792792792792789</v>
          </cell>
          <cell r="F78">
            <v>0.625</v>
          </cell>
          <cell r="G78">
            <v>7.5769230769230766</v>
          </cell>
          <cell r="H78">
            <v>0.74439461883408065</v>
          </cell>
          <cell r="I78">
            <v>-0.67609254498714655</v>
          </cell>
          <cell r="J78">
            <v>1.2698412698412698</v>
          </cell>
          <cell r="K78">
            <v>-0.81818181818181812</v>
          </cell>
          <cell r="L78">
            <v>-3.2115384615384617</v>
          </cell>
          <cell r="M78">
            <v>-4.8</v>
          </cell>
          <cell r="N78">
            <v>-1.3432494279176201</v>
          </cell>
          <cell r="O78">
            <v>-1.3333333333333308E-2</v>
          </cell>
          <cell r="P78">
            <v>1.0405405405405403</v>
          </cell>
          <cell r="Q78">
            <v>-1.1788079470198676</v>
          </cell>
          <cell r="R78">
            <v>8.8333333333333339</v>
          </cell>
          <cell r="S78">
            <v>-0.64971751412429379</v>
          </cell>
          <cell r="T78">
            <v>2.553763440860215</v>
          </cell>
          <cell r="U78">
            <v>-12.075642965204237</v>
          </cell>
          <cell r="V78">
            <v>-0.60866001912307066</v>
          </cell>
          <cell r="W78">
            <v>-4.5574171029668413</v>
          </cell>
          <cell r="X78">
            <v>-0.7900313971742543</v>
          </cell>
          <cell r="Y78">
            <v>0.32429906542056064</v>
          </cell>
          <cell r="Z78">
            <v>0.35815102328863802</v>
          </cell>
          <cell r="AA78">
            <v>-0.11035041053127159</v>
          </cell>
          <cell r="AB78">
            <v>-1.4698299047356533E-3</v>
          </cell>
          <cell r="AC78">
            <v>1.9842874191734472E-2</v>
          </cell>
          <cell r="AD78">
            <v>-4.5095947637337264E-2</v>
          </cell>
          <cell r="AE78">
            <v>-6.5199380179556621E-2</v>
          </cell>
          <cell r="AF78">
            <v>-0.36593362734742052</v>
          </cell>
          <cell r="AG78">
            <v>-7.8218295436671248E-2</v>
          </cell>
          <cell r="AN78">
            <v>0.5714285714285714</v>
          </cell>
          <cell r="AO78">
            <v>-3.9090909090909092</v>
          </cell>
          <cell r="AP78">
            <v>6.333333333333333</v>
          </cell>
          <cell r="AQ78">
            <v>6.3571428571428568</v>
          </cell>
          <cell r="AR78">
            <v>4.7727272727272725</v>
          </cell>
          <cell r="AS78">
            <v>3.21875</v>
          </cell>
          <cell r="AT78">
            <v>0.51515151515151514</v>
          </cell>
          <cell r="AU78">
            <v>-0.73786407766990292</v>
          </cell>
          <cell r="AV78">
            <v>-0.8110236220472441</v>
          </cell>
          <cell r="AW78">
            <v>-0.88888888888888884</v>
          </cell>
          <cell r="AX78">
            <v>-0.65</v>
          </cell>
          <cell r="AY78">
            <v>0.92592592592592582</v>
          </cell>
          <cell r="AZ78">
            <v>0.66666666666666674</v>
          </cell>
          <cell r="BA78">
            <v>5.2</v>
          </cell>
          <cell r="BB78">
            <v>1.9142857142857141</v>
          </cell>
          <cell r="BC78">
            <v>-1.9230769230769273E-2</v>
          </cell>
          <cell r="BD78">
            <v>0.625</v>
          </cell>
          <cell r="BE78">
            <v>-0.68817204301075274</v>
          </cell>
          <cell r="BF78">
            <v>-0.99019607843137258</v>
          </cell>
          <cell r="BG78">
            <v>-1.0392156862745099</v>
          </cell>
          <cell r="BH78">
            <v>-0.6</v>
          </cell>
          <cell r="BI78">
            <v>-1.6551724137931034</v>
          </cell>
          <cell r="BJ78">
            <v>10</v>
          </cell>
          <cell r="BK78">
            <v>15.499999999999996</v>
          </cell>
          <cell r="BL78">
            <v>11.846153846153847</v>
          </cell>
          <cell r="BM78">
            <v>-4.7368421052631575</v>
          </cell>
          <cell r="BN78">
            <v>13.636363636363637</v>
          </cell>
          <cell r="BO78">
            <v>-0.15151515151515138</v>
          </cell>
          <cell r="BP78">
            <v>-1.1017964071856288</v>
          </cell>
          <cell r="BQ78">
            <v>-0.94366197183098588</v>
          </cell>
          <cell r="BR78">
            <v>-1.4161490683229814</v>
          </cell>
          <cell r="BS78">
            <v>0.89285714285714279</v>
          </cell>
          <cell r="BT78">
            <v>0.61764705882352944</v>
          </cell>
          <cell r="BU78">
            <v>-0.5</v>
          </cell>
          <cell r="BV78">
            <v>-0.97014925373134331</v>
          </cell>
          <cell r="BW78">
            <v>0.75471698113207553</v>
          </cell>
          <cell r="BX78">
            <v>1.0545454545454547</v>
          </cell>
          <cell r="BY78">
            <v>-35</v>
          </cell>
          <cell r="BZ78">
            <v>21</v>
          </cell>
          <cell r="CA78">
            <v>-0.17204301075268813</v>
          </cell>
          <cell r="CB78">
            <v>-0.86725663716814161</v>
          </cell>
          <cell r="CC78">
            <v>-1.0441176470588236</v>
          </cell>
          <cell r="CD78">
            <v>-2.1363636363636367</v>
          </cell>
          <cell r="CE78">
            <v>-1.2077922077922079</v>
          </cell>
          <cell r="CF78">
            <v>-17.933333333333334</v>
          </cell>
          <cell r="CG78">
            <v>41</v>
          </cell>
          <cell r="CH78">
            <v>-0.74</v>
          </cell>
          <cell r="CI78">
            <v>8.5625</v>
          </cell>
          <cell r="CJ78">
            <v>0.1417322834645669</v>
          </cell>
          <cell r="CK78">
            <v>0.26984126984126977</v>
          </cell>
          <cell r="CL78">
            <v>3.384615384615385</v>
          </cell>
          <cell r="CM78">
            <v>-3.0980392156862746</v>
          </cell>
          <cell r="CN78">
            <v>-0.25172413793103443</v>
          </cell>
          <cell r="CO78">
            <v>3.7500000000000089E-2</v>
          </cell>
          <cell r="CP78">
            <v>5.9649122807017543</v>
          </cell>
          <cell r="CQ78">
            <v>-0.69158878504672905</v>
          </cell>
          <cell r="CR78">
            <v>-0.9124423963133641</v>
          </cell>
          <cell r="CS78">
            <v>-1.0843373493975903</v>
          </cell>
          <cell r="CT78">
            <v>-1.3425692695214106</v>
          </cell>
          <cell r="CU78">
            <v>71.62626262626263</v>
          </cell>
          <cell r="CV78">
            <v>-54.473684210526315</v>
          </cell>
          <cell r="CW78">
            <v>24.071428571428573</v>
          </cell>
          <cell r="CX78">
            <v>3.7720588235294121</v>
          </cell>
          <cell r="CY78">
            <v>-0.88191933240611964</v>
          </cell>
          <cell r="CZ78">
            <v>-1.0078740157480315</v>
          </cell>
          <cell r="DA78">
            <v>-26.193732193732195</v>
          </cell>
          <cell r="DB78">
            <v>-1.7195685670261942</v>
          </cell>
          <cell r="DC78">
            <v>-2.0294464075382805</v>
          </cell>
          <cell r="DD78">
            <v>81.5</v>
          </cell>
          <cell r="DE78">
            <v>-0.9091937125409929</v>
          </cell>
          <cell r="DF78">
            <v>0.91648822269807284</v>
          </cell>
          <cell r="DG78">
            <v>-1.2494279176201373</v>
          </cell>
          <cell r="DH78">
            <v>-9.2424242424242409E-2</v>
          </cell>
          <cell r="DI78">
            <v>-4.3586550435865457E-2</v>
          </cell>
          <cell r="DJ78">
            <v>-5.6983240223463683E-2</v>
          </cell>
          <cell r="DK78">
            <v>-3.8577981651376145</v>
          </cell>
          <cell r="DL78">
            <v>0.5008347245409015</v>
          </cell>
          <cell r="DM78">
            <v>0.20442708333333326</v>
          </cell>
          <cell r="DN78">
            <v>8.2938388625592996E-3</v>
          </cell>
          <cell r="DO78">
            <v>0.884430176565008</v>
          </cell>
          <cell r="DP78">
            <v>-6.7458480663621589E-2</v>
          </cell>
          <cell r="DQ78">
            <v>-0.15645719912508815</v>
          </cell>
          <cell r="DR78">
            <v>6.8261087759608374E-2</v>
          </cell>
          <cell r="DS78">
            <v>-0.23633801747103034</v>
          </cell>
          <cell r="DU78">
            <v>-1.4732647365255249</v>
          </cell>
        </row>
        <row r="80">
          <cell r="B80" t="str">
            <v>Basic EPS</v>
          </cell>
          <cell r="D80">
            <v>2.7749999999999999</v>
          </cell>
          <cell r="E80">
            <v>0.2</v>
          </cell>
          <cell r="F80">
            <v>0.32500000000000001</v>
          </cell>
          <cell r="G80">
            <v>2.7875000000000001</v>
          </cell>
          <cell r="H80">
            <v>4.8624999999999998</v>
          </cell>
          <cell r="I80">
            <v>1.575</v>
          </cell>
          <cell r="J80">
            <v>3.5841395558674618</v>
          </cell>
          <cell r="K80">
            <v>0.66950778302797775</v>
          </cell>
          <cell r="L80">
            <v>-1.1152596615429375</v>
          </cell>
          <cell r="M80">
            <v>3.7173456280782937</v>
          </cell>
          <cell r="N80">
            <v>-1.2759116388659697</v>
          </cell>
          <cell r="O80">
            <v>-1.1049476269756537</v>
          </cell>
          <cell r="P80">
            <v>-1.8381010346926352</v>
          </cell>
          <cell r="Q80">
            <v>0.29475982532751094</v>
          </cell>
          <cell r="R80">
            <v>2.1594143960959737</v>
          </cell>
          <cell r="S80">
            <v>0.7512116316639742</v>
          </cell>
          <cell r="T80" t="str">
            <v>NA</v>
          </cell>
          <cell r="U80" t="str">
            <v>NA</v>
          </cell>
          <cell r="V80" t="str">
            <v>NA</v>
          </cell>
          <cell r="W80">
            <v>18.01502430402121</v>
          </cell>
          <cell r="X80">
            <v>3.7363596682671321</v>
          </cell>
          <cell r="Y80">
            <v>4.9346720850283212</v>
          </cell>
          <cell r="Z80">
            <v>6.8479570699012857</v>
          </cell>
          <cell r="AA80">
            <v>6.5374343219591946</v>
          </cell>
          <cell r="AB80">
            <v>7.0472738055029724</v>
          </cell>
          <cell r="AC80">
            <v>7.511721746533726</v>
          </cell>
          <cell r="AD80">
            <v>7.3933055756999453</v>
          </cell>
          <cell r="AE80">
            <v>7.092262079255776</v>
          </cell>
          <cell r="AF80">
            <v>4.5772006021674887</v>
          </cell>
          <cell r="AG80">
            <v>4.2645811417106172</v>
          </cell>
          <cell r="AJ80">
            <v>0.17499999999999999</v>
          </cell>
          <cell r="AK80">
            <v>-0.13750000000000001</v>
          </cell>
          <cell r="AL80">
            <v>0.1125</v>
          </cell>
          <cell r="AM80">
            <v>0.17499999999999999</v>
          </cell>
          <cell r="AN80">
            <v>0.27500000000000002</v>
          </cell>
          <cell r="AO80">
            <v>0.4</v>
          </cell>
          <cell r="AP80">
            <v>0.82499999999999996</v>
          </cell>
          <cell r="AQ80">
            <v>1.2875000000000001</v>
          </cell>
          <cell r="AR80">
            <v>1.5874999999999999</v>
          </cell>
          <cell r="AS80">
            <v>1.6875</v>
          </cell>
          <cell r="AT80">
            <v>1.25</v>
          </cell>
          <cell r="AU80">
            <v>0.33750000000000002</v>
          </cell>
          <cell r="AV80">
            <v>0.3</v>
          </cell>
          <cell r="AW80">
            <v>0.1875</v>
          </cell>
          <cell r="AX80">
            <v>0.4375</v>
          </cell>
          <cell r="AY80">
            <v>0.65</v>
          </cell>
          <cell r="AZ80">
            <v>0.5</v>
          </cell>
          <cell r="BA80">
            <v>1.1625000000000001</v>
          </cell>
          <cell r="BB80">
            <v>1.2754145097156575</v>
          </cell>
          <cell r="BC80" t="str">
            <v>NM</v>
          </cell>
          <cell r="BD80">
            <v>0.82578481318206653</v>
          </cell>
          <cell r="BE80">
            <v>0.3709436037810665</v>
          </cell>
          <cell r="BF80">
            <v>1.2926075772656179E-2</v>
          </cell>
          <cell r="BG80" t="str">
            <v>NM</v>
          </cell>
          <cell r="BH80">
            <v>0.33734689640855303</v>
          </cell>
          <cell r="BI80">
            <v>-0.19067116249197175</v>
          </cell>
          <cell r="BJ80">
            <v>9.3574017047484553E-2</v>
          </cell>
          <cell r="BK80" t="str">
            <v>NM</v>
          </cell>
          <cell r="BL80">
            <v>2.8410540821013592</v>
          </cell>
          <cell r="BM80">
            <v>0.60400343686462665</v>
          </cell>
          <cell r="BN80">
            <v>1.3695600394705503</v>
          </cell>
          <cell r="BO80" t="str">
            <v>NM</v>
          </cell>
          <cell r="BP80">
            <v>-0.28920909817798268</v>
          </cell>
          <cell r="BQ80">
            <v>3.4024310369759191E-2</v>
          </cell>
          <cell r="BR80">
            <v>-0.56990719869346651</v>
          </cell>
          <cell r="BS80" t="str">
            <v>NM</v>
          </cell>
          <cell r="BT80">
            <v>-0.4678263088504232</v>
          </cell>
          <cell r="BU80">
            <v>1.7011865776379025E-2</v>
          </cell>
          <cell r="BV80">
            <v>-1.4259436181893367E-2</v>
          </cell>
          <cell r="BW80" t="str">
            <v>NM</v>
          </cell>
          <cell r="BX80">
            <v>-0.7044053385197514</v>
          </cell>
          <cell r="BY80">
            <v>-0.4222999198872211</v>
          </cell>
          <cell r="BZ80">
            <v>-0.2722772277227723</v>
          </cell>
          <cell r="CA80">
            <v>-0.44248804707613093</v>
          </cell>
          <cell r="CB80">
            <v>-8.4985835694050993E-2</v>
          </cell>
          <cell r="CC80">
            <v>1.693958215697346E-2</v>
          </cell>
          <cell r="CD80">
            <v>0.28074115665356542</v>
          </cell>
          <cell r="CE80">
            <v>7.9800498753117205E-2</v>
          </cell>
          <cell r="CF80">
            <v>1.0388548057259714</v>
          </cell>
          <cell r="CG80">
            <v>0.51240341602277351</v>
          </cell>
          <cell r="CH80">
            <v>5.2738336713995942E-2</v>
          </cell>
          <cell r="CI80">
            <v>0.620186461289015</v>
          </cell>
          <cell r="CJ80">
            <v>1.1745646010530579</v>
          </cell>
          <cell r="CK80">
            <v>0.64672594987873888</v>
          </cell>
          <cell r="CL80">
            <v>0.23011707710940654</v>
          </cell>
          <cell r="CM80">
            <v>-1.2922705314009661</v>
          </cell>
          <cell r="CN80" t="str">
            <v>NM</v>
          </cell>
          <cell r="CO80" t="str">
            <v>NM</v>
          </cell>
          <cell r="CP80" t="str">
            <v>NM</v>
          </cell>
          <cell r="CQ80" t="str">
            <v>NM</v>
          </cell>
          <cell r="CR80" t="str">
            <v>NM</v>
          </cell>
          <cell r="CS80" t="str">
            <v>NM</v>
          </cell>
          <cell r="CT80" t="str">
            <v>NM</v>
          </cell>
          <cell r="CU80" t="str">
            <v>NM</v>
          </cell>
          <cell r="CV80" t="str">
            <v>NM</v>
          </cell>
          <cell r="CW80" t="str">
            <v>NM</v>
          </cell>
          <cell r="CX80" t="str">
            <v>NM</v>
          </cell>
          <cell r="CY80" t="str">
            <v>NM</v>
          </cell>
          <cell r="CZ80">
            <v>1.4134275618374558E-2</v>
          </cell>
          <cell r="DA80">
            <v>15.623674911660778</v>
          </cell>
          <cell r="DB80">
            <v>0.82654867256637166</v>
          </cell>
          <cell r="DC80">
            <v>1.5441696113074206</v>
          </cell>
          <cell r="DD80">
            <v>1.1599297012302285</v>
          </cell>
          <cell r="DE80">
            <v>1.3965217391304348</v>
          </cell>
          <cell r="DF80">
            <v>1.5565217391304347</v>
          </cell>
          <cell r="DG80">
            <v>-0.38111888111888109</v>
          </cell>
          <cell r="DH80">
            <v>1.0417391304347825</v>
          </cell>
          <cell r="DI80">
            <v>1.3333333333333333</v>
          </cell>
          <cell r="DJ80">
            <v>1.4627383015597921</v>
          </cell>
          <cell r="DK80">
            <v>1.0778546712802768</v>
          </cell>
          <cell r="DL80">
            <v>1.5634782608695652</v>
          </cell>
          <cell r="DM80">
            <v>1.6086956521739131</v>
          </cell>
          <cell r="DN80">
            <v>1.5008818342151675</v>
          </cell>
          <cell r="DO80">
            <v>2.1153153153153155</v>
          </cell>
          <cell r="DP80">
            <v>1.5482083580487611</v>
          </cell>
          <cell r="DQ80">
            <v>1.4777975204721467</v>
          </cell>
          <cell r="DR80">
            <v>1.7635115144198386</v>
          </cell>
          <cell r="DS80">
            <v>1.7823840307932612</v>
          </cell>
          <cell r="DU80">
            <v>0.70636088560472887</v>
          </cell>
        </row>
        <row r="81">
          <cell r="B81" t="str">
            <v>GAAP diluted EPS</v>
          </cell>
          <cell r="D81">
            <v>2.7749999999999999</v>
          </cell>
          <cell r="E81">
            <v>0.2</v>
          </cell>
          <cell r="F81">
            <v>0.32500000000000001</v>
          </cell>
          <cell r="G81">
            <v>2.7875000000000001</v>
          </cell>
          <cell r="H81">
            <v>4.8624999999999998</v>
          </cell>
          <cell r="I81">
            <v>1.575</v>
          </cell>
          <cell r="J81">
            <v>3.5833761417312968</v>
          </cell>
          <cell r="K81">
            <v>0.66924928248754811</v>
          </cell>
          <cell r="L81">
            <v>-1.1152596615429375</v>
          </cell>
          <cell r="M81">
            <v>3.7103703577917777</v>
          </cell>
          <cell r="N81">
            <v>-1.2759116388659697</v>
          </cell>
          <cell r="O81">
            <v>-1.1049476269756537</v>
          </cell>
          <cell r="P81">
            <v>-1.8381010346926352</v>
          </cell>
          <cell r="Q81">
            <v>0.29032258064516131</v>
          </cell>
          <cell r="R81">
            <v>2.0430934974990382</v>
          </cell>
          <cell r="S81">
            <v>0.71456012293507487</v>
          </cell>
          <cell r="T81" t="str">
            <v>NA</v>
          </cell>
          <cell r="U81" t="str">
            <v>NA</v>
          </cell>
          <cell r="V81" t="str">
            <v>NA</v>
          </cell>
          <cell r="W81">
            <v>17.951563188022899</v>
          </cell>
          <cell r="X81">
            <v>3.7363596682671321</v>
          </cell>
          <cell r="Y81">
            <v>4.9116117850953209</v>
          </cell>
          <cell r="Z81">
            <v>6.8479570699012857</v>
          </cell>
          <cell r="AA81">
            <v>6.5374343219591946</v>
          </cell>
          <cell r="AB81">
            <v>7.0472738055029724</v>
          </cell>
          <cell r="AC81">
            <v>7.511721746533726</v>
          </cell>
          <cell r="AD81">
            <v>7.3933055756999453</v>
          </cell>
          <cell r="AE81">
            <v>7.092262079255776</v>
          </cell>
          <cell r="AF81">
            <v>4.5772006021674887</v>
          </cell>
          <cell r="AG81">
            <v>4.2645811417106172</v>
          </cell>
          <cell r="AJ81">
            <v>0.17499999999999999</v>
          </cell>
          <cell r="AK81">
            <v>-0.13750000000000001</v>
          </cell>
          <cell r="AL81">
            <v>0.1125</v>
          </cell>
          <cell r="AM81">
            <v>0.17499999999999999</v>
          </cell>
          <cell r="AN81">
            <v>0.27500000000000002</v>
          </cell>
          <cell r="AO81">
            <v>0.4</v>
          </cell>
          <cell r="AP81">
            <v>0.82499999999999996</v>
          </cell>
          <cell r="AQ81">
            <v>1.2875000000000001</v>
          </cell>
          <cell r="AR81">
            <v>1.5874999999999999</v>
          </cell>
          <cell r="AS81">
            <v>1.6875</v>
          </cell>
          <cell r="AT81">
            <v>1.25</v>
          </cell>
          <cell r="AU81">
            <v>0.33750000000000002</v>
          </cell>
          <cell r="AV81">
            <v>0.3</v>
          </cell>
          <cell r="AW81">
            <v>0.1875</v>
          </cell>
          <cell r="AX81">
            <v>0.4375</v>
          </cell>
          <cell r="AY81">
            <v>0.65</v>
          </cell>
          <cell r="AZ81">
            <v>0.5</v>
          </cell>
          <cell r="BA81">
            <v>1.1625000000000001</v>
          </cell>
          <cell r="BB81">
            <v>1.2750478142930359</v>
          </cell>
          <cell r="BC81" t="str">
            <v>NM</v>
          </cell>
          <cell r="BD81">
            <v>0.82498825978245693</v>
          </cell>
          <cell r="BE81">
            <v>0.3701623608700092</v>
          </cell>
          <cell r="BF81">
            <v>1.2901727541317782E-2</v>
          </cell>
          <cell r="BG81" t="str">
            <v>NM</v>
          </cell>
          <cell r="BH81">
            <v>0.33734689640855303</v>
          </cell>
          <cell r="BI81">
            <v>-0.19067116249197175</v>
          </cell>
          <cell r="BJ81">
            <v>9.3574017047484553E-2</v>
          </cell>
          <cell r="BK81" t="str">
            <v>NM</v>
          </cell>
          <cell r="BL81">
            <v>2.8410540821013592</v>
          </cell>
          <cell r="BM81">
            <v>0.60091067589755742</v>
          </cell>
          <cell r="BN81">
            <v>1.3676404379847265</v>
          </cell>
          <cell r="BO81" t="str">
            <v>NM</v>
          </cell>
          <cell r="BP81">
            <v>-0.28920909817798268</v>
          </cell>
          <cell r="BQ81">
            <v>3.3909512465984518E-2</v>
          </cell>
          <cell r="BR81">
            <v>-0.56990719869346651</v>
          </cell>
          <cell r="BS81" t="str">
            <v>NM</v>
          </cell>
          <cell r="BT81">
            <v>-0.4678263088504232</v>
          </cell>
          <cell r="BU81">
            <v>1.6902027398186414E-2</v>
          </cell>
          <cell r="BV81">
            <v>-1.4259436181893367E-2</v>
          </cell>
          <cell r="BW81" t="str">
            <v>NM</v>
          </cell>
          <cell r="BX81">
            <v>-0.7044053385197514</v>
          </cell>
          <cell r="BY81">
            <v>-0.4222999198872211</v>
          </cell>
          <cell r="BZ81">
            <v>-0.2722772277227723</v>
          </cell>
          <cell r="CA81">
            <v>-0.44248804707613093</v>
          </cell>
          <cell r="CB81">
            <v>-8.4985835694050993E-2</v>
          </cell>
          <cell r="CC81">
            <v>1.6872890888638917E-2</v>
          </cell>
          <cell r="CD81">
            <v>0.27793218454697055</v>
          </cell>
          <cell r="CE81">
            <v>7.703418391911411E-2</v>
          </cell>
          <cell r="CF81">
            <v>0.97767513471901457</v>
          </cell>
          <cell r="CG81">
            <v>0.48648648648648651</v>
          </cell>
          <cell r="CH81">
            <v>4.9923195084485408E-2</v>
          </cell>
          <cell r="CI81">
            <v>0.58778332693046487</v>
          </cell>
          <cell r="CJ81">
            <v>1.1183956806787505</v>
          </cell>
          <cell r="CK81">
            <v>0.61514801999231061</v>
          </cell>
          <cell r="CL81">
            <v>0.21880998080614203</v>
          </cell>
          <cell r="CM81">
            <v>-1.2280030604437644</v>
          </cell>
          <cell r="CN81" t="str">
            <v>NM</v>
          </cell>
          <cell r="CO81" t="str">
            <v>NM</v>
          </cell>
          <cell r="CP81" t="str">
            <v>NM</v>
          </cell>
          <cell r="CQ81" t="str">
            <v>NM</v>
          </cell>
          <cell r="CR81" t="str">
            <v>NM</v>
          </cell>
          <cell r="CS81" t="str">
            <v>NM</v>
          </cell>
          <cell r="CT81" t="str">
            <v>NM</v>
          </cell>
          <cell r="CU81" t="str">
            <v>NM</v>
          </cell>
          <cell r="CV81" t="str">
            <v>NM</v>
          </cell>
          <cell r="CW81" t="str">
            <v>NM</v>
          </cell>
          <cell r="CX81" t="str">
            <v>NM</v>
          </cell>
          <cell r="CY81" t="str">
            <v>NM</v>
          </cell>
          <cell r="CZ81">
            <v>1.4035087719298246E-2</v>
          </cell>
          <cell r="DA81">
            <v>15.514035087719298</v>
          </cell>
          <cell r="DB81">
            <v>0.82654867256637166</v>
          </cell>
          <cell r="DC81">
            <v>1.5441696113074206</v>
          </cell>
          <cell r="DD81">
            <v>1.1599297012302285</v>
          </cell>
          <cell r="DE81">
            <v>1.3965217391304348</v>
          </cell>
          <cell r="DF81">
            <v>1.5565217391304347</v>
          </cell>
          <cell r="DG81">
            <v>-0.38111888111888109</v>
          </cell>
          <cell r="DH81">
            <v>1.0417391304347825</v>
          </cell>
          <cell r="DI81">
            <v>1.3333333333333333</v>
          </cell>
          <cell r="DJ81">
            <v>1.4627383015597921</v>
          </cell>
          <cell r="DK81">
            <v>1.0778546712802768</v>
          </cell>
          <cell r="DL81">
            <v>1.5634782608695652</v>
          </cell>
          <cell r="DM81">
            <v>1.6086956521739131</v>
          </cell>
          <cell r="DN81">
            <v>1.5008818342151675</v>
          </cell>
          <cell r="DO81">
            <v>2.1153153153153155</v>
          </cell>
          <cell r="DP81">
            <v>1.5482083580487611</v>
          </cell>
          <cell r="DQ81">
            <v>1.4777975204721467</v>
          </cell>
          <cell r="DR81">
            <v>1.7635115144198386</v>
          </cell>
          <cell r="DS81">
            <v>1.7823840307932612</v>
          </cell>
          <cell r="DU81">
            <v>0.70761548242886585</v>
          </cell>
        </row>
        <row r="82">
          <cell r="B82" t="str">
            <v>Recurring diluted EPS</v>
          </cell>
          <cell r="D82">
            <v>2.7749999999999999</v>
          </cell>
          <cell r="E82">
            <v>0.32500000000000001</v>
          </cell>
          <cell r="F82">
            <v>0.05</v>
          </cell>
          <cell r="G82">
            <v>2.7875000000000001</v>
          </cell>
          <cell r="H82">
            <v>4.8624999999999998</v>
          </cell>
          <cell r="I82">
            <v>1.325</v>
          </cell>
          <cell r="J82">
            <v>3.8966083219525638</v>
          </cell>
          <cell r="K82">
            <v>1.0869123154738156</v>
          </cell>
          <cell r="L82">
            <v>-0.41999410665463133</v>
          </cell>
          <cell r="M82">
            <v>0.44131257091232651</v>
          </cell>
          <cell r="N82">
            <v>-1.0818114157950471</v>
          </cell>
          <cell r="O82">
            <v>-1.1114017603107917</v>
          </cell>
          <cell r="P82">
            <v>-1.8438078511115636</v>
          </cell>
          <cell r="Q82">
            <v>0.51397849462365586</v>
          </cell>
          <cell r="R82">
            <v>2.8974220854174684</v>
          </cell>
          <cell r="S82">
            <v>4.0107568190549365</v>
          </cell>
          <cell r="T82" t="str">
            <v>NA</v>
          </cell>
          <cell r="U82" t="str">
            <v>NA</v>
          </cell>
          <cell r="V82" t="str">
            <v>NA</v>
          </cell>
          <cell r="W82">
            <v>2.2199045677333435</v>
          </cell>
          <cell r="X82">
            <v>4.7699694456569182</v>
          </cell>
          <cell r="Y82">
            <v>5.209705372616984</v>
          </cell>
          <cell r="Z82">
            <v>6.8604111357597706</v>
          </cell>
          <cell r="AA82">
            <v>6.5374343219591946</v>
          </cell>
          <cell r="AB82">
            <v>7.0472738055029724</v>
          </cell>
          <cell r="AC82">
            <v>7.511721746533726</v>
          </cell>
          <cell r="AD82">
            <v>7.3933055756999453</v>
          </cell>
          <cell r="AE82">
            <v>7.092262079255776</v>
          </cell>
          <cell r="AF82">
            <v>4.5772006021674887</v>
          </cell>
          <cell r="AG82">
            <v>4.2645811417106172</v>
          </cell>
          <cell r="AJ82">
            <v>-0.1</v>
          </cell>
          <cell r="AK82">
            <v>-0.13750000000000001</v>
          </cell>
          <cell r="AL82">
            <v>0.1125</v>
          </cell>
          <cell r="AM82">
            <v>0.17499999999999999</v>
          </cell>
          <cell r="AN82">
            <v>0.27500000000000002</v>
          </cell>
          <cell r="AO82">
            <v>0.4</v>
          </cell>
          <cell r="AP82">
            <v>0.82499999999999996</v>
          </cell>
          <cell r="AQ82">
            <v>1.2875000000000001</v>
          </cell>
          <cell r="AR82">
            <v>1.5874999999999999</v>
          </cell>
          <cell r="AS82">
            <v>1.6875</v>
          </cell>
          <cell r="AT82">
            <v>1.25</v>
          </cell>
          <cell r="AU82">
            <v>0.33750000000000002</v>
          </cell>
          <cell r="AV82">
            <v>0.3</v>
          </cell>
          <cell r="AW82">
            <v>0.1875</v>
          </cell>
          <cell r="AX82">
            <v>0.4375</v>
          </cell>
          <cell r="AY82">
            <v>0.4</v>
          </cell>
          <cell r="AZ82">
            <v>0.5</v>
          </cell>
          <cell r="BA82">
            <v>1.1625000000000001</v>
          </cell>
          <cell r="BB82">
            <v>1.2750478142930359</v>
          </cell>
          <cell r="BC82" t="str">
            <v>NM</v>
          </cell>
          <cell r="BD82">
            <v>0.85199710619502722</v>
          </cell>
          <cell r="BE82">
            <v>0.39053405493720006</v>
          </cell>
          <cell r="BF82">
            <v>0.40413371350423821</v>
          </cell>
          <cell r="BG82" t="str">
            <v>NM</v>
          </cell>
          <cell r="BH82">
            <v>0.33734689640855303</v>
          </cell>
          <cell r="BI82">
            <v>-0.1675899165061015</v>
          </cell>
          <cell r="BJ82">
            <v>3.4026915289994387E-2</v>
          </cell>
          <cell r="BK82" t="str">
            <v>NM</v>
          </cell>
          <cell r="BL82">
            <v>-0.34391603946392035</v>
          </cell>
          <cell r="BM82">
            <v>0.76171775818000242</v>
          </cell>
          <cell r="BN82">
            <v>1.0907855812333349</v>
          </cell>
          <cell r="BO82" t="str">
            <v>NM</v>
          </cell>
          <cell r="BP82">
            <v>-1.4856895381514674E-2</v>
          </cell>
          <cell r="BQ82">
            <v>7.6296403048465175E-2</v>
          </cell>
          <cell r="BR82">
            <v>-6.8048620739518381E-2</v>
          </cell>
          <cell r="BS82" t="str">
            <v>NM</v>
          </cell>
          <cell r="BT82">
            <v>-0.42525689705953085</v>
          </cell>
          <cell r="BU82">
            <v>0.216290663691278</v>
          </cell>
          <cell r="BV82">
            <v>3.5648590454733418E-2</v>
          </cell>
          <cell r="BW82" t="str">
            <v>NM</v>
          </cell>
          <cell r="BX82">
            <v>-0.73412221599157057</v>
          </cell>
          <cell r="BY82">
            <v>-0.38662624131780715</v>
          </cell>
          <cell r="BZ82">
            <v>-0.2722772277227723</v>
          </cell>
          <cell r="CA82">
            <v>-0.45349140834613433</v>
          </cell>
          <cell r="CB82">
            <v>-8.4985835694050993E-2</v>
          </cell>
          <cell r="CC82">
            <v>1.6872890888638917E-2</v>
          </cell>
          <cell r="CD82">
            <v>0.29961089494163423</v>
          </cell>
          <cell r="CE82">
            <v>0.25854597977852672</v>
          </cell>
          <cell r="CF82">
            <v>0.94811393379522702</v>
          </cell>
          <cell r="CG82">
            <v>0.572972972972973</v>
          </cell>
          <cell r="CH82">
            <v>0.62980030721966207</v>
          </cell>
          <cell r="CI82">
            <v>0.80414905877833265</v>
          </cell>
          <cell r="CJ82">
            <v>0.9409949865021211</v>
          </cell>
          <cell r="CK82">
            <v>0.49596309111880044</v>
          </cell>
          <cell r="CL82">
            <v>1.9232245681381959</v>
          </cell>
          <cell r="CM82">
            <v>0.65034429992348897</v>
          </cell>
          <cell r="CN82" t="str">
            <v>NM</v>
          </cell>
          <cell r="CO82" t="str">
            <v>NM</v>
          </cell>
          <cell r="CP82" t="str">
            <v>NM</v>
          </cell>
          <cell r="CQ82" t="str">
            <v>NM</v>
          </cell>
          <cell r="CR82" t="str">
            <v>NM</v>
          </cell>
          <cell r="CS82" t="str">
            <v>NM</v>
          </cell>
          <cell r="CT82" t="str">
            <v>NM</v>
          </cell>
          <cell r="CU82" t="str">
            <v>NM</v>
          </cell>
          <cell r="CV82" t="str">
            <v>NM</v>
          </cell>
          <cell r="CW82" t="str">
            <v>NM</v>
          </cell>
          <cell r="CX82" t="str">
            <v>NM</v>
          </cell>
          <cell r="CY82" t="str">
            <v>NM</v>
          </cell>
          <cell r="CZ82">
            <v>-0.22192838889367444</v>
          </cell>
          <cell r="DA82">
            <v>1.0456140350877192</v>
          </cell>
          <cell r="DB82">
            <v>0.90061946902654866</v>
          </cell>
          <cell r="DC82">
            <v>0.49823321554770317</v>
          </cell>
          <cell r="DD82">
            <v>1.3040421792618628</v>
          </cell>
          <cell r="DE82">
            <v>1.4991304347826087</v>
          </cell>
          <cell r="DF82">
            <v>1.5565217391304347</v>
          </cell>
          <cell r="DG82">
            <v>0.40734265734265734</v>
          </cell>
          <cell r="DH82">
            <v>1.08</v>
          </cell>
          <cell r="DI82">
            <v>1.6666666666666667</v>
          </cell>
          <cell r="DJ82">
            <v>1.3518197573656845</v>
          </cell>
          <cell r="DK82">
            <v>1.1159169550173011</v>
          </cell>
          <cell r="DL82">
            <v>1.5739130434782609</v>
          </cell>
          <cell r="DM82">
            <v>1.6017391304347826</v>
          </cell>
          <cell r="DN82">
            <v>1.5061728395061729</v>
          </cell>
          <cell r="DO82">
            <v>2.118918918918919</v>
          </cell>
          <cell r="DP82">
            <v>1.5482083580487611</v>
          </cell>
          <cell r="DQ82">
            <v>1.4777975204721467</v>
          </cell>
          <cell r="DR82">
            <v>1.7635115144198386</v>
          </cell>
          <cell r="DS82">
            <v>1.7823840307932612</v>
          </cell>
          <cell r="DU82">
            <v>0.70761548242886585</v>
          </cell>
        </row>
        <row r="84">
          <cell r="B84" t="str">
            <v>Avg Basic shares outstanding</v>
          </cell>
          <cell r="D84">
            <v>80</v>
          </cell>
          <cell r="E84">
            <v>80</v>
          </cell>
          <cell r="F84">
            <v>80</v>
          </cell>
          <cell r="G84">
            <v>80</v>
          </cell>
          <cell r="H84">
            <v>80</v>
          </cell>
          <cell r="I84">
            <v>80</v>
          </cell>
          <cell r="J84">
            <v>79.796000000000006</v>
          </cell>
          <cell r="K84">
            <v>77.668999999999997</v>
          </cell>
          <cell r="L84">
            <v>103.11499999999999</v>
          </cell>
          <cell r="M84">
            <v>117.557</v>
          </cell>
          <cell r="N84">
            <v>117.563</v>
          </cell>
          <cell r="O84">
            <v>133.94300000000001</v>
          </cell>
          <cell r="P84">
            <v>164.3</v>
          </cell>
          <cell r="Q84">
            <v>183.2</v>
          </cell>
          <cell r="R84">
            <v>245.9</v>
          </cell>
          <cell r="S84">
            <v>247.6</v>
          </cell>
          <cell r="T84">
            <v>0.40322599999999997</v>
          </cell>
          <cell r="U84">
            <v>0.40322599999999997</v>
          </cell>
          <cell r="V84">
            <v>0.40322599999999997</v>
          </cell>
          <cell r="W84">
            <v>565.75</v>
          </cell>
          <cell r="X84">
            <v>572.75</v>
          </cell>
          <cell r="Y84">
            <v>574.30361149999999</v>
          </cell>
          <cell r="Z84">
            <v>562.06543947500006</v>
          </cell>
          <cell r="AA84">
            <v>523.79283694875016</v>
          </cell>
          <cell r="AB84">
            <v>485.18452420269278</v>
          </cell>
          <cell r="AC84">
            <v>464.21787450133172</v>
          </cell>
          <cell r="AD84">
            <v>450.38345766120767</v>
          </cell>
          <cell r="AE84">
            <v>438.88961363299813</v>
          </cell>
          <cell r="AF84">
            <v>431.19612943683563</v>
          </cell>
          <cell r="AG84">
            <v>426.60555096620453</v>
          </cell>
          <cell r="AJ84">
            <v>80</v>
          </cell>
          <cell r="AK84">
            <v>80</v>
          </cell>
          <cell r="AL84">
            <v>80</v>
          </cell>
          <cell r="AM84">
            <v>80</v>
          </cell>
          <cell r="AN84">
            <v>80</v>
          </cell>
          <cell r="AO84">
            <v>80</v>
          </cell>
          <cell r="AP84">
            <v>80</v>
          </cell>
          <cell r="AQ84">
            <v>80</v>
          </cell>
          <cell r="AR84">
            <v>80</v>
          </cell>
          <cell r="AS84">
            <v>80</v>
          </cell>
          <cell r="AT84">
            <v>80</v>
          </cell>
          <cell r="AU84">
            <v>80</v>
          </cell>
          <cell r="AV84">
            <v>80</v>
          </cell>
          <cell r="AW84">
            <v>80</v>
          </cell>
          <cell r="AX84">
            <v>80</v>
          </cell>
          <cell r="AY84">
            <v>80</v>
          </cell>
          <cell r="AZ84">
            <v>80</v>
          </cell>
          <cell r="BA84">
            <v>80</v>
          </cell>
          <cell r="BB84">
            <v>79.974000000000004</v>
          </cell>
          <cell r="BC84" t="str">
            <v>NA</v>
          </cell>
          <cell r="BD84">
            <v>78.712999999999994</v>
          </cell>
          <cell r="BE84">
            <v>78.179000000000002</v>
          </cell>
          <cell r="BF84">
            <v>77.363</v>
          </cell>
          <cell r="BG84" t="str">
            <v>NA</v>
          </cell>
          <cell r="BH84">
            <v>77.072000000000003</v>
          </cell>
          <cell r="BI84">
            <v>99.647999999999996</v>
          </cell>
          <cell r="BJ84">
            <v>117.554</v>
          </cell>
          <cell r="BK84" t="str">
            <v>NA</v>
          </cell>
          <cell r="BL84">
            <v>117.562</v>
          </cell>
          <cell r="BM84">
            <v>117.54900000000001</v>
          </cell>
          <cell r="BN84">
            <v>117.556</v>
          </cell>
          <cell r="BO84" t="str">
            <v>NA</v>
          </cell>
          <cell r="BP84">
            <v>117.562</v>
          </cell>
          <cell r="BQ84">
            <v>117.563</v>
          </cell>
          <cell r="BR84">
            <v>117.563</v>
          </cell>
          <cell r="BS84" t="str">
            <v>NA</v>
          </cell>
          <cell r="BT84">
            <v>117.565</v>
          </cell>
          <cell r="BU84">
            <v>117.565</v>
          </cell>
          <cell r="BV84">
            <v>140.25800000000001</v>
          </cell>
          <cell r="BW84" t="str">
            <v>NA</v>
          </cell>
          <cell r="BX84">
            <v>160.41900000000001</v>
          </cell>
          <cell r="BY84">
            <v>161.023</v>
          </cell>
          <cell r="BZ84">
            <v>161.6</v>
          </cell>
          <cell r="CA84">
            <v>174.01599999999999</v>
          </cell>
          <cell r="CB84">
            <v>176.5</v>
          </cell>
          <cell r="CC84">
            <v>177.1</v>
          </cell>
          <cell r="CD84">
            <v>178.1</v>
          </cell>
          <cell r="CE84">
            <v>200.5</v>
          </cell>
          <cell r="CF84">
            <v>244.5</v>
          </cell>
          <cell r="CG84">
            <v>245.9</v>
          </cell>
          <cell r="CH84">
            <v>246.5</v>
          </cell>
          <cell r="CI84">
            <v>246.7</v>
          </cell>
          <cell r="CJ84">
            <v>246.9</v>
          </cell>
          <cell r="CK84">
            <v>247.4</v>
          </cell>
          <cell r="CL84">
            <v>247.7</v>
          </cell>
          <cell r="CM84">
            <v>248.4</v>
          </cell>
          <cell r="CZ84">
            <v>566</v>
          </cell>
          <cell r="DA84">
            <v>566</v>
          </cell>
          <cell r="DB84">
            <v>565</v>
          </cell>
          <cell r="DC84">
            <v>566</v>
          </cell>
          <cell r="DD84">
            <v>569</v>
          </cell>
          <cell r="DE84">
            <v>575</v>
          </cell>
          <cell r="DF84">
            <v>575</v>
          </cell>
          <cell r="DG84">
            <v>572</v>
          </cell>
          <cell r="DH84">
            <v>575</v>
          </cell>
          <cell r="DI84">
            <v>576</v>
          </cell>
          <cell r="DJ84">
            <v>577</v>
          </cell>
          <cell r="DK84">
            <v>578</v>
          </cell>
          <cell r="DL84">
            <v>575</v>
          </cell>
          <cell r="DM84">
            <v>575</v>
          </cell>
          <cell r="DN84">
            <v>567</v>
          </cell>
          <cell r="DO84">
            <v>555</v>
          </cell>
          <cell r="DP84">
            <v>541.5</v>
          </cell>
          <cell r="DQ84">
            <v>528</v>
          </cell>
          <cell r="DR84">
            <v>515.5</v>
          </cell>
          <cell r="DS84">
            <v>503</v>
          </cell>
          <cell r="DU84">
            <v>568.83353749999992</v>
          </cell>
        </row>
        <row r="85">
          <cell r="B85" t="str">
            <v xml:space="preserve">Avg Diluted shares outstanding </v>
          </cell>
          <cell r="D85">
            <v>80</v>
          </cell>
          <cell r="E85">
            <v>80</v>
          </cell>
          <cell r="F85">
            <v>80</v>
          </cell>
          <cell r="G85">
            <v>80</v>
          </cell>
          <cell r="H85">
            <v>80</v>
          </cell>
          <cell r="I85">
            <v>80</v>
          </cell>
          <cell r="J85">
            <v>79.813000000000002</v>
          </cell>
          <cell r="K85">
            <v>77.698999999999998</v>
          </cell>
          <cell r="L85">
            <v>103.11499999999999</v>
          </cell>
          <cell r="M85">
            <v>117.77800000000001</v>
          </cell>
          <cell r="N85">
            <v>117.563</v>
          </cell>
          <cell r="O85">
            <v>133.94300000000001</v>
          </cell>
          <cell r="P85">
            <v>164.3</v>
          </cell>
          <cell r="Q85">
            <v>186</v>
          </cell>
          <cell r="R85">
            <v>259.89999999999998</v>
          </cell>
          <cell r="S85">
            <v>260.3</v>
          </cell>
          <cell r="T85">
            <v>0.40322599999999997</v>
          </cell>
          <cell r="U85">
            <v>0.40322599999999997</v>
          </cell>
          <cell r="V85">
            <v>0.40322599999999997</v>
          </cell>
          <cell r="W85">
            <v>567.75</v>
          </cell>
          <cell r="X85">
            <v>572.75</v>
          </cell>
          <cell r="Y85">
            <v>577</v>
          </cell>
          <cell r="Z85">
            <v>562.06543947500006</v>
          </cell>
          <cell r="AA85">
            <v>523.79283694875016</v>
          </cell>
          <cell r="AB85">
            <v>485.18452420269278</v>
          </cell>
          <cell r="AC85">
            <v>464.21787450133172</v>
          </cell>
          <cell r="AD85">
            <v>450.38345766120767</v>
          </cell>
          <cell r="AE85">
            <v>438.88961363299813</v>
          </cell>
          <cell r="AF85">
            <v>431.19612943683563</v>
          </cell>
          <cell r="AG85">
            <v>426.60555096620453</v>
          </cell>
          <cell r="AJ85">
            <v>80</v>
          </cell>
          <cell r="AK85">
            <v>80</v>
          </cell>
          <cell r="AL85">
            <v>80</v>
          </cell>
          <cell r="AM85">
            <v>80</v>
          </cell>
          <cell r="AN85">
            <v>80</v>
          </cell>
          <cell r="AO85">
            <v>80</v>
          </cell>
          <cell r="AP85">
            <v>80</v>
          </cell>
          <cell r="AQ85">
            <v>80</v>
          </cell>
          <cell r="AR85">
            <v>80</v>
          </cell>
          <cell r="AS85">
            <v>80</v>
          </cell>
          <cell r="AT85">
            <v>80</v>
          </cell>
          <cell r="AU85">
            <v>80</v>
          </cell>
          <cell r="AV85">
            <v>80</v>
          </cell>
          <cell r="AW85">
            <v>80</v>
          </cell>
          <cell r="AX85">
            <v>80</v>
          </cell>
          <cell r="AY85">
            <v>80</v>
          </cell>
          <cell r="AZ85">
            <v>80</v>
          </cell>
          <cell r="BA85">
            <v>80</v>
          </cell>
          <cell r="BB85">
            <v>79.997</v>
          </cell>
          <cell r="BC85" t="str">
            <v>NA</v>
          </cell>
          <cell r="BD85">
            <v>78.789000000000001</v>
          </cell>
          <cell r="BE85">
            <v>78.343999999999994</v>
          </cell>
          <cell r="BF85">
            <v>77.509</v>
          </cell>
          <cell r="BG85" t="str">
            <v>NA</v>
          </cell>
          <cell r="BH85">
            <v>77.072000000000003</v>
          </cell>
          <cell r="BI85">
            <v>99.647999999999996</v>
          </cell>
          <cell r="BJ85">
            <v>117.554</v>
          </cell>
          <cell r="BK85" t="str">
            <v>NA</v>
          </cell>
          <cell r="BL85">
            <v>117.562</v>
          </cell>
          <cell r="BM85">
            <v>118.154</v>
          </cell>
          <cell r="BN85">
            <v>117.721</v>
          </cell>
          <cell r="BO85" t="str">
            <v>NA</v>
          </cell>
          <cell r="BP85">
            <v>117.562</v>
          </cell>
          <cell r="BQ85">
            <v>117.961</v>
          </cell>
          <cell r="BR85">
            <v>117.563</v>
          </cell>
          <cell r="BS85" t="str">
            <v>NA</v>
          </cell>
          <cell r="BT85">
            <v>117.565</v>
          </cell>
          <cell r="BU85">
            <v>118.32899999999999</v>
          </cell>
          <cell r="BV85">
            <v>140.25800000000001</v>
          </cell>
          <cell r="BW85" t="str">
            <v>NA</v>
          </cell>
          <cell r="BX85">
            <v>160.41900000000001</v>
          </cell>
          <cell r="BY85">
            <v>161.023</v>
          </cell>
          <cell r="BZ85">
            <v>161.6</v>
          </cell>
          <cell r="CA85">
            <v>174.01599999999999</v>
          </cell>
          <cell r="CB85">
            <v>176.5</v>
          </cell>
          <cell r="CC85">
            <v>177.8</v>
          </cell>
          <cell r="CD85">
            <v>179.9</v>
          </cell>
          <cell r="CE85">
            <v>207.7</v>
          </cell>
          <cell r="CF85">
            <v>259.8</v>
          </cell>
          <cell r="CG85">
            <v>259</v>
          </cell>
          <cell r="CH85">
            <v>260.39999999999998</v>
          </cell>
          <cell r="CI85">
            <v>260.3</v>
          </cell>
          <cell r="CJ85">
            <v>259.3</v>
          </cell>
          <cell r="CK85">
            <v>260.10000000000002</v>
          </cell>
          <cell r="CL85">
            <v>260.5</v>
          </cell>
          <cell r="CM85">
            <v>261.39999999999998</v>
          </cell>
          <cell r="CZ85">
            <v>570</v>
          </cell>
          <cell r="DA85">
            <v>570</v>
          </cell>
          <cell r="DB85">
            <v>565</v>
          </cell>
          <cell r="DC85">
            <v>566</v>
          </cell>
          <cell r="DD85">
            <v>569</v>
          </cell>
          <cell r="DE85">
            <v>575</v>
          </cell>
          <cell r="DF85">
            <v>575</v>
          </cell>
          <cell r="DG85">
            <v>572</v>
          </cell>
          <cell r="DH85">
            <v>575</v>
          </cell>
          <cell r="DI85">
            <v>576</v>
          </cell>
          <cell r="DJ85">
            <v>577</v>
          </cell>
          <cell r="DK85">
            <v>578</v>
          </cell>
          <cell r="DL85">
            <v>575</v>
          </cell>
          <cell r="DM85">
            <v>575</v>
          </cell>
          <cell r="DN85">
            <v>567</v>
          </cell>
          <cell r="DO85">
            <v>555</v>
          </cell>
          <cell r="DP85">
            <v>541.5</v>
          </cell>
          <cell r="DQ85">
            <v>528</v>
          </cell>
          <cell r="DR85">
            <v>515.5</v>
          </cell>
          <cell r="DS85">
            <v>503</v>
          </cell>
          <cell r="DU85">
            <v>567.82500000000005</v>
          </cell>
          <cell r="DX85" t="str">
            <v>mstag:averageDilutedSharesOutstanding</v>
          </cell>
          <cell r="DY85">
            <v>6</v>
          </cell>
          <cell r="DZ85" t="str">
            <v>ms_eqr_gcim_Decimal:ms_eqr_gcim_decimal</v>
          </cell>
          <cell r="EA85" t="b">
            <v>0</v>
          </cell>
        </row>
        <row r="86">
          <cell r="B86" t="str">
            <v>Period end shares</v>
          </cell>
          <cell r="D86">
            <v>80</v>
          </cell>
          <cell r="E86">
            <v>80</v>
          </cell>
          <cell r="F86">
            <v>80</v>
          </cell>
          <cell r="G86">
            <v>80</v>
          </cell>
          <cell r="H86">
            <v>80</v>
          </cell>
          <cell r="I86">
            <v>80</v>
          </cell>
          <cell r="J86">
            <v>78.984487999999999</v>
          </cell>
          <cell r="K86">
            <v>77.021797000000007</v>
          </cell>
          <cell r="L86">
            <v>117.57102399999999</v>
          </cell>
          <cell r="M86">
            <v>117.560333</v>
          </cell>
          <cell r="N86">
            <v>117.56292000000001</v>
          </cell>
          <cell r="O86">
            <v>160.41314400000002</v>
          </cell>
          <cell r="P86">
            <v>176.792587</v>
          </cell>
          <cell r="Q86">
            <v>243.68499800000001</v>
          </cell>
          <cell r="R86">
            <v>247.05023399999999</v>
          </cell>
          <cell r="S86">
            <v>248.97057000000001</v>
          </cell>
          <cell r="T86">
            <v>0.40322599999999997</v>
          </cell>
          <cell r="U86">
            <v>0.40322599999999997</v>
          </cell>
          <cell r="V86">
            <v>0.40322599999999997</v>
          </cell>
          <cell r="AJ86">
            <v>80</v>
          </cell>
          <cell r="AK86">
            <v>80</v>
          </cell>
          <cell r="AL86">
            <v>80</v>
          </cell>
          <cell r="AM86">
            <v>80</v>
          </cell>
          <cell r="AN86">
            <v>80</v>
          </cell>
          <cell r="AO86">
            <v>80</v>
          </cell>
          <cell r="AP86">
            <v>80</v>
          </cell>
          <cell r="AQ86">
            <v>80</v>
          </cell>
          <cell r="AR86">
            <v>80</v>
          </cell>
          <cell r="AS86">
            <v>80</v>
          </cell>
          <cell r="AT86">
            <v>80</v>
          </cell>
          <cell r="AU86">
            <v>80</v>
          </cell>
          <cell r="AV86">
            <v>80</v>
          </cell>
          <cell r="AW86">
            <v>80</v>
          </cell>
          <cell r="AX86">
            <v>80</v>
          </cell>
          <cell r="AY86">
            <v>80</v>
          </cell>
          <cell r="AZ86">
            <v>80</v>
          </cell>
          <cell r="BA86">
            <v>80</v>
          </cell>
          <cell r="BB86">
            <v>79.997</v>
          </cell>
          <cell r="BC86">
            <v>78.984487999999999</v>
          </cell>
          <cell r="BD86">
            <v>78.984487999999999</v>
          </cell>
          <cell r="BE86">
            <v>78.984487999999999</v>
          </cell>
          <cell r="BF86">
            <v>78.984487999999999</v>
          </cell>
          <cell r="BG86">
            <v>77.021797000000007</v>
          </cell>
          <cell r="BH86">
            <v>77.021797000000007</v>
          </cell>
          <cell r="BI86">
            <v>77.021797000000007</v>
          </cell>
          <cell r="BJ86">
            <v>77.021797000000007</v>
          </cell>
          <cell r="BK86">
            <v>117.57102399999999</v>
          </cell>
          <cell r="BL86">
            <v>117.57102399999999</v>
          </cell>
          <cell r="BM86">
            <v>117.57102399999999</v>
          </cell>
          <cell r="BN86">
            <v>117.57102399999999</v>
          </cell>
          <cell r="BO86">
            <v>117.560333</v>
          </cell>
          <cell r="BP86">
            <v>117.560333</v>
          </cell>
          <cell r="BQ86">
            <v>117.560333</v>
          </cell>
          <cell r="BR86">
            <v>117.560333</v>
          </cell>
          <cell r="BS86">
            <v>117.56292000000001</v>
          </cell>
          <cell r="BT86">
            <v>117.56292000000001</v>
          </cell>
          <cell r="BU86">
            <v>117.56292000000001</v>
          </cell>
          <cell r="BV86">
            <v>151.56291999999999</v>
          </cell>
          <cell r="BW86">
            <v>160.41314400000002</v>
          </cell>
          <cell r="BX86">
            <v>160.41314400000002</v>
          </cell>
          <cell r="BY86">
            <v>160.41314400000002</v>
          </cell>
          <cell r="BZ86">
            <v>160.41314400000002</v>
          </cell>
          <cell r="CA86">
            <v>176.792587</v>
          </cell>
          <cell r="CB86">
            <v>176.792587</v>
          </cell>
          <cell r="CC86">
            <v>176.792587</v>
          </cell>
          <cell r="CD86">
            <v>176.792587</v>
          </cell>
          <cell r="CE86">
            <v>243.68499800000001</v>
          </cell>
          <cell r="CF86">
            <v>243.68499800000001</v>
          </cell>
          <cell r="CG86">
            <v>243.68499800000001</v>
          </cell>
          <cell r="CH86">
            <v>243.68499800000001</v>
          </cell>
          <cell r="CI86">
            <v>247.05023399999999</v>
          </cell>
          <cell r="CJ86">
            <v>247.05023399999999</v>
          </cell>
          <cell r="CK86">
            <v>247.05023399999999</v>
          </cell>
          <cell r="CL86">
            <v>247.05023399999999</v>
          </cell>
          <cell r="CM86">
            <v>247.6</v>
          </cell>
        </row>
        <row r="87">
          <cell r="B87" t="str">
            <v>Regular dividend per share</v>
          </cell>
          <cell r="D87">
            <v>1.75</v>
          </cell>
          <cell r="E87">
            <v>1.8</v>
          </cell>
          <cell r="F87">
            <v>1.35</v>
          </cell>
          <cell r="G87">
            <v>0.9</v>
          </cell>
          <cell r="H87">
            <v>0.9</v>
          </cell>
          <cell r="I87">
            <v>0.9</v>
          </cell>
          <cell r="J87">
            <v>0.9</v>
          </cell>
          <cell r="K87">
            <v>0.9</v>
          </cell>
          <cell r="L87">
            <v>0.9</v>
          </cell>
          <cell r="M87">
            <v>0.9</v>
          </cell>
          <cell r="N87">
            <v>0.9</v>
          </cell>
          <cell r="O87">
            <v>0.9</v>
          </cell>
          <cell r="P87">
            <v>0.9</v>
          </cell>
          <cell r="Q87">
            <v>0.9</v>
          </cell>
          <cell r="R87">
            <v>0.9</v>
          </cell>
          <cell r="S87">
            <v>0.9</v>
          </cell>
          <cell r="T87">
            <v>0</v>
          </cell>
          <cell r="U87">
            <v>0</v>
          </cell>
          <cell r="V87">
            <v>0</v>
          </cell>
          <cell r="W87">
            <v>0</v>
          </cell>
          <cell r="X87">
            <v>0.55000000000000004</v>
          </cell>
          <cell r="Y87">
            <v>1.4500000000000002</v>
          </cell>
          <cell r="Z87">
            <v>1.8</v>
          </cell>
          <cell r="AA87">
            <v>1.89</v>
          </cell>
          <cell r="AB87">
            <v>2.8189095222011891</v>
          </cell>
          <cell r="AC87">
            <v>3.0046886986134904</v>
          </cell>
          <cell r="AD87">
            <v>2.9573222302799782</v>
          </cell>
          <cell r="AE87">
            <v>2.8369048317023102</v>
          </cell>
          <cell r="AF87">
            <v>1.8308802408669957</v>
          </cell>
          <cell r="AG87">
            <v>1.7058324566842469</v>
          </cell>
          <cell r="CZ87">
            <v>0</v>
          </cell>
          <cell r="DA87">
            <v>0</v>
          </cell>
          <cell r="DB87">
            <v>0</v>
          </cell>
          <cell r="DC87">
            <v>0</v>
          </cell>
          <cell r="DD87">
            <v>0</v>
          </cell>
          <cell r="DE87">
            <v>0.1</v>
          </cell>
          <cell r="DF87">
            <v>0.2</v>
          </cell>
          <cell r="DG87">
            <v>0.25</v>
          </cell>
          <cell r="DH87">
            <v>0.25</v>
          </cell>
          <cell r="DI87">
            <v>0.4</v>
          </cell>
          <cell r="DJ87">
            <v>0.4</v>
          </cell>
          <cell r="DK87">
            <v>0.4</v>
          </cell>
          <cell r="DL87">
            <v>0.4</v>
          </cell>
          <cell r="DM87">
            <v>0.4</v>
          </cell>
          <cell r="DN87">
            <v>0.5</v>
          </cell>
          <cell r="DO87">
            <v>0.5</v>
          </cell>
          <cell r="DP87">
            <v>0.47249999999999998</v>
          </cell>
          <cell r="DQ87">
            <v>0.47249999999999998</v>
          </cell>
          <cell r="DR87">
            <v>0.47249999999999998</v>
          </cell>
          <cell r="DS87">
            <v>0.47249999999999998</v>
          </cell>
          <cell r="DU87">
            <v>0</v>
          </cell>
        </row>
        <row r="88">
          <cell r="B88" t="str">
            <v>Special dividend per share</v>
          </cell>
          <cell r="R88">
            <v>0</v>
          </cell>
          <cell r="S88">
            <v>0</v>
          </cell>
          <cell r="T88">
            <v>0</v>
          </cell>
          <cell r="U88">
            <v>0</v>
          </cell>
          <cell r="V88">
            <v>0</v>
          </cell>
          <cell r="W88">
            <v>0</v>
          </cell>
          <cell r="X88">
            <v>4.5</v>
          </cell>
          <cell r="Y88">
            <v>2.75</v>
          </cell>
          <cell r="Z88">
            <v>0</v>
          </cell>
          <cell r="AA88">
            <v>0</v>
          </cell>
          <cell r="AB88">
            <v>0</v>
          </cell>
          <cell r="AC88">
            <v>0</v>
          </cell>
          <cell r="AD88">
            <v>0</v>
          </cell>
          <cell r="AE88">
            <v>0</v>
          </cell>
          <cell r="AF88">
            <v>0</v>
          </cell>
          <cell r="AG88">
            <v>0</v>
          </cell>
          <cell r="CZ88">
            <v>0</v>
          </cell>
          <cell r="DA88">
            <v>0</v>
          </cell>
          <cell r="DB88">
            <v>0</v>
          </cell>
          <cell r="DC88">
            <v>0</v>
          </cell>
          <cell r="DD88">
            <v>0</v>
          </cell>
          <cell r="DE88">
            <v>0</v>
          </cell>
          <cell r="DF88">
            <v>0</v>
          </cell>
          <cell r="DG88">
            <v>4.5</v>
          </cell>
          <cell r="DH88">
            <v>0</v>
          </cell>
          <cell r="DI88">
            <v>0</v>
          </cell>
          <cell r="DJ88">
            <v>0</v>
          </cell>
          <cell r="DK88">
            <v>2.75</v>
          </cell>
          <cell r="DL88">
            <v>0</v>
          </cell>
          <cell r="DN88">
            <v>0</v>
          </cell>
          <cell r="DO88">
            <v>0</v>
          </cell>
          <cell r="DP88">
            <v>0</v>
          </cell>
          <cell r="DQ88">
            <v>0</v>
          </cell>
          <cell r="DR88">
            <v>0</v>
          </cell>
          <cell r="DS88">
            <v>0</v>
          </cell>
        </row>
        <row r="89">
          <cell r="B89" t="str">
            <v>Payout ratio</v>
          </cell>
          <cell r="D89">
            <v>0.63063063063063063</v>
          </cell>
          <cell r="E89">
            <v>5.5384615384615383</v>
          </cell>
          <cell r="F89">
            <v>27</v>
          </cell>
          <cell r="G89">
            <v>0.32286995515695066</v>
          </cell>
          <cell r="H89">
            <v>0.18508997429305915</v>
          </cell>
          <cell r="I89">
            <v>0.679245283018868</v>
          </cell>
          <cell r="J89">
            <v>0.23097009646302252</v>
          </cell>
          <cell r="K89">
            <v>0.82803367593425858</v>
          </cell>
          <cell r="L89">
            <v>-2.1428872113676731</v>
          </cell>
          <cell r="M89">
            <v>2.0393708661854522</v>
          </cell>
          <cell r="N89">
            <v>-0.83193797630483513</v>
          </cell>
          <cell r="O89">
            <v>-0.8097881721442699</v>
          </cell>
          <cell r="P89">
            <v>-0.48812027753186066</v>
          </cell>
          <cell r="Q89">
            <v>1.7510460251046027</v>
          </cell>
          <cell r="R89">
            <v>0.31062094975034527</v>
          </cell>
          <cell r="S89">
            <v>0.22439655172413794</v>
          </cell>
          <cell r="T89" t="str">
            <v>NA</v>
          </cell>
          <cell r="U89" t="str">
            <v>NA</v>
          </cell>
          <cell r="V89" t="str">
            <v>NA</v>
          </cell>
          <cell r="W89">
            <v>0</v>
          </cell>
          <cell r="X89">
            <v>1.0587069912152269</v>
          </cell>
          <cell r="Y89">
            <v>0.8061876247504991</v>
          </cell>
          <cell r="Z89">
            <v>0.26237494581301873</v>
          </cell>
          <cell r="AA89">
            <v>0.28910424287575687</v>
          </cell>
          <cell r="AB89">
            <v>0.4</v>
          </cell>
          <cell r="AC89">
            <v>0.4</v>
          </cell>
          <cell r="AD89">
            <v>0.4</v>
          </cell>
          <cell r="AE89">
            <v>0.4</v>
          </cell>
          <cell r="AF89">
            <v>0.4</v>
          </cell>
          <cell r="AG89">
            <v>0.4</v>
          </cell>
          <cell r="CZ89">
            <v>0</v>
          </cell>
          <cell r="DA89">
            <v>0</v>
          </cell>
          <cell r="DB89">
            <v>0</v>
          </cell>
          <cell r="DC89">
            <v>0</v>
          </cell>
          <cell r="DD89">
            <v>0</v>
          </cell>
          <cell r="DE89">
            <v>6.6705336426914161E-2</v>
          </cell>
          <cell r="DF89">
            <v>0.12849162011173185</v>
          </cell>
          <cell r="DG89">
            <v>0.61373390557939911</v>
          </cell>
          <cell r="DH89">
            <v>0.23148148148148145</v>
          </cell>
          <cell r="DI89">
            <v>0.24</v>
          </cell>
          <cell r="DJ89">
            <v>0.29589743589743595</v>
          </cell>
          <cell r="DK89">
            <v>0.35844961240310075</v>
          </cell>
          <cell r="DL89">
            <v>0.2541436464088398</v>
          </cell>
          <cell r="DM89">
            <v>0.24972855591748103</v>
          </cell>
          <cell r="DN89">
            <v>0.33196721311475408</v>
          </cell>
          <cell r="DO89">
            <v>0.23596938775510204</v>
          </cell>
          <cell r="DP89">
            <v>0.30519147990875173</v>
          </cell>
          <cell r="DQ89">
            <v>0.31973257056828686</v>
          </cell>
          <cell r="DR89">
            <v>0.26793133820588827</v>
          </cell>
          <cell r="DS89">
            <v>0.26509438585449563</v>
          </cell>
          <cell r="DU89">
            <v>0</v>
          </cell>
        </row>
        <row r="92">
          <cell r="B92" t="str">
            <v>In US$ millions (except per share data)</v>
          </cell>
          <cell r="D92">
            <v>1991</v>
          </cell>
          <cell r="E92">
            <v>1992</v>
          </cell>
          <cell r="F92">
            <v>1993</v>
          </cell>
          <cell r="G92">
            <v>1994</v>
          </cell>
          <cell r="H92">
            <v>1995</v>
          </cell>
          <cell r="I92">
            <v>1996</v>
          </cell>
          <cell r="J92">
            <v>1997</v>
          </cell>
          <cell r="K92">
            <v>1998</v>
          </cell>
          <cell r="L92">
            <v>1999</v>
          </cell>
          <cell r="M92">
            <v>2000</v>
          </cell>
          <cell r="N92">
            <v>2001</v>
          </cell>
          <cell r="O92">
            <v>2002</v>
          </cell>
          <cell r="P92">
            <v>2003</v>
          </cell>
          <cell r="Q92">
            <v>2004</v>
          </cell>
          <cell r="R92">
            <v>2005</v>
          </cell>
          <cell r="S92">
            <v>2006</v>
          </cell>
          <cell r="T92">
            <v>2007</v>
          </cell>
          <cell r="U92">
            <v>2008</v>
          </cell>
          <cell r="V92" t="str">
            <v>2009</v>
          </cell>
          <cell r="W92" t="str">
            <v>2010</v>
          </cell>
          <cell r="X92" t="str">
            <v>2011</v>
          </cell>
          <cell r="Y92" t="str">
            <v>2012</v>
          </cell>
          <cell r="Z92" t="str">
            <v>2013e</v>
          </cell>
          <cell r="AA92" t="str">
            <v>2014e</v>
          </cell>
          <cell r="AB92" t="str">
            <v>2015e</v>
          </cell>
          <cell r="AC92" t="str">
            <v>2016e</v>
          </cell>
          <cell r="AD92" t="str">
            <v>2017e</v>
          </cell>
          <cell r="AE92" t="str">
            <v>2018e</v>
          </cell>
          <cell r="AF92" t="str">
            <v>2019e</v>
          </cell>
          <cell r="AG92" t="str">
            <v>2020e</v>
          </cell>
          <cell r="AJ92" t="str">
            <v>1993q1</v>
          </cell>
          <cell r="AK92" t="str">
            <v>1993q2</v>
          </cell>
          <cell r="AL92" t="str">
            <v>1993q3</v>
          </cell>
          <cell r="AM92" t="str">
            <v>1993q4</v>
          </cell>
          <cell r="AN92" t="str">
            <v>1994q1</v>
          </cell>
          <cell r="AO92" t="str">
            <v>1994q2</v>
          </cell>
          <cell r="AP92" t="str">
            <v>1994q3</v>
          </cell>
          <cell r="AQ92" t="str">
            <v>1994q4</v>
          </cell>
          <cell r="AR92" t="str">
            <v>1995q1</v>
          </cell>
          <cell r="AS92" t="str">
            <v>1995q2</v>
          </cell>
          <cell r="AT92" t="str">
            <v>1995q3</v>
          </cell>
          <cell r="AU92" t="str">
            <v>1995q4</v>
          </cell>
          <cell r="AV92" t="str">
            <v>1996q1</v>
          </cell>
          <cell r="AW92" t="str">
            <v>1996q2</v>
          </cell>
          <cell r="AX92" t="str">
            <v>1996q3</v>
          </cell>
          <cell r="AY92" t="str">
            <v>1996q4</v>
          </cell>
          <cell r="AZ92" t="str">
            <v>1997q1</v>
          </cell>
          <cell r="BA92" t="str">
            <v>1997q2</v>
          </cell>
          <cell r="BB92" t="str">
            <v>1997q3</v>
          </cell>
          <cell r="BC92" t="str">
            <v>1997q4</v>
          </cell>
          <cell r="BD92" t="str">
            <v>1998q1</v>
          </cell>
          <cell r="BE92" t="str">
            <v>1998q2</v>
          </cell>
          <cell r="BF92" t="str">
            <v>1998q3</v>
          </cell>
          <cell r="BG92" t="str">
            <v>1998q4</v>
          </cell>
          <cell r="BH92" t="str">
            <v>1999q1</v>
          </cell>
          <cell r="BI92" t="str">
            <v>1999q2</v>
          </cell>
          <cell r="BJ92" t="str">
            <v>1999q3</v>
          </cell>
          <cell r="BK92" t="str">
            <v>1999q4</v>
          </cell>
          <cell r="BL92" t="str">
            <v>2000q1</v>
          </cell>
          <cell r="BM92" t="str">
            <v>2000q2</v>
          </cell>
          <cell r="BN92" t="str">
            <v>2000q3</v>
          </cell>
          <cell r="BO92" t="str">
            <v>2000q4</v>
          </cell>
          <cell r="BP92" t="str">
            <v>2001q1</v>
          </cell>
          <cell r="BQ92" t="str">
            <v>2001q2</v>
          </cell>
          <cell r="BR92" t="str">
            <v>2001q3</v>
          </cell>
          <cell r="BS92" t="str">
            <v>2001q4</v>
          </cell>
          <cell r="BT92" t="str">
            <v>2002q1</v>
          </cell>
          <cell r="BU92" t="str">
            <v>2002q2</v>
          </cell>
          <cell r="BV92" t="str">
            <v>2002q3</v>
          </cell>
          <cell r="BW92" t="str">
            <v>2002q4</v>
          </cell>
          <cell r="BX92" t="str">
            <v>2003q1</v>
          </cell>
          <cell r="BY92" t="str">
            <v>2003q2</v>
          </cell>
          <cell r="BZ92" t="str">
            <v>2003q3</v>
          </cell>
          <cell r="CA92" t="str">
            <v>2003q4</v>
          </cell>
          <cell r="CB92" t="str">
            <v>2004q1</v>
          </cell>
          <cell r="CC92" t="str">
            <v>2004q2</v>
          </cell>
          <cell r="CD92" t="str">
            <v>2004q3</v>
          </cell>
          <cell r="CE92" t="str">
            <v>2004q4</v>
          </cell>
          <cell r="CF92" t="str">
            <v>2005q1</v>
          </cell>
          <cell r="CG92" t="str">
            <v>2005q2</v>
          </cell>
          <cell r="CH92" t="str">
            <v>2005q3</v>
          </cell>
          <cell r="CI92" t="str">
            <v>2005q4</v>
          </cell>
          <cell r="CJ92" t="str">
            <v>2006q1</v>
          </cell>
          <cell r="CK92" t="str">
            <v>2006q2</v>
          </cell>
          <cell r="CL92" t="str">
            <v>2006q3</v>
          </cell>
          <cell r="CM92" t="str">
            <v>2006q4</v>
          </cell>
          <cell r="CN92" t="str">
            <v>2007q1</v>
          </cell>
          <cell r="CO92" t="str">
            <v>2007q2</v>
          </cell>
          <cell r="CP92" t="str">
            <v>2007q3</v>
          </cell>
          <cell r="CQ92" t="str">
            <v>2007q4</v>
          </cell>
          <cell r="CR92" t="str">
            <v>2008q1</v>
          </cell>
          <cell r="CS92" t="str">
            <v>2008q2</v>
          </cell>
          <cell r="CT92" t="str">
            <v>2008q3</v>
          </cell>
          <cell r="CU92" t="str">
            <v>2008q4</v>
          </cell>
          <cell r="CV92" t="str">
            <v>2009q1</v>
          </cell>
          <cell r="CW92" t="str">
            <v>2009q2</v>
          </cell>
          <cell r="CX92" t="str">
            <v>2009q3</v>
          </cell>
          <cell r="CY92" t="str">
            <v>2009q4</v>
          </cell>
          <cell r="CZ92" t="str">
            <v>2010q1</v>
          </cell>
          <cell r="DA92" t="str">
            <v>2010q2</v>
          </cell>
          <cell r="DB92" t="str">
            <v>2010q3</v>
          </cell>
          <cell r="DC92" t="str">
            <v>2010q4</v>
          </cell>
          <cell r="DD92" t="str">
            <v>2011q1</v>
          </cell>
          <cell r="DE92" t="str">
            <v>2011q2</v>
          </cell>
          <cell r="DF92" t="str">
            <v>2011q3</v>
          </cell>
          <cell r="DG92" t="str">
            <v>2011q4</v>
          </cell>
          <cell r="DH92" t="str">
            <v>2012q1</v>
          </cell>
          <cell r="DI92" t="str">
            <v>2012q2</v>
          </cell>
          <cell r="DJ92" t="str">
            <v>2012q3</v>
          </cell>
          <cell r="DK92" t="str">
            <v>2012q4</v>
          </cell>
          <cell r="DL92" t="str">
            <v>2013q1e</v>
          </cell>
          <cell r="DM92" t="str">
            <v>2013q2e</v>
          </cell>
          <cell r="DN92" t="str">
            <v>2013q3e</v>
          </cell>
          <cell r="DO92" t="str">
            <v>2013q4e</v>
          </cell>
          <cell r="DP92" t="str">
            <v>2014q1e</v>
          </cell>
          <cell r="DQ92" t="str">
            <v>2014q2e</v>
          </cell>
          <cell r="DR92" t="str">
            <v>2014q3e</v>
          </cell>
          <cell r="DS92" t="str">
            <v>2014q4e</v>
          </cell>
          <cell r="DU92" t="str">
            <v>2010q4e</v>
          </cell>
        </row>
        <row r="93">
          <cell r="B93" t="str">
            <v>ABL</v>
          </cell>
          <cell r="V93">
            <v>0</v>
          </cell>
          <cell r="W93">
            <v>0</v>
          </cell>
          <cell r="X93">
            <v>0</v>
          </cell>
          <cell r="Y93">
            <v>0</v>
          </cell>
          <cell r="Z93">
            <v>0</v>
          </cell>
          <cell r="AA93">
            <v>0</v>
          </cell>
          <cell r="AB93">
            <v>0</v>
          </cell>
          <cell r="AC93">
            <v>0</v>
          </cell>
          <cell r="AD93">
            <v>0</v>
          </cell>
          <cell r="AE93">
            <v>0</v>
          </cell>
          <cell r="AF93">
            <v>0</v>
          </cell>
          <cell r="AG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U93">
            <v>0</v>
          </cell>
        </row>
        <row r="94">
          <cell r="B94" t="str">
            <v>Senior term loan due 2016</v>
          </cell>
          <cell r="V94">
            <v>500</v>
          </cell>
          <cell r="W94">
            <v>0</v>
          </cell>
          <cell r="X94">
            <v>5</v>
          </cell>
          <cell r="Y94">
            <v>0</v>
          </cell>
          <cell r="Z94">
            <v>0</v>
          </cell>
          <cell r="AA94">
            <v>0</v>
          </cell>
          <cell r="AB94">
            <v>0</v>
          </cell>
          <cell r="AC94">
            <v>0</v>
          </cell>
          <cell r="AD94">
            <v>0</v>
          </cell>
          <cell r="AE94">
            <v>0</v>
          </cell>
          <cell r="AF94">
            <v>0</v>
          </cell>
          <cell r="AG94">
            <v>0</v>
          </cell>
          <cell r="CZ94">
            <v>500</v>
          </cell>
          <cell r="DA94">
            <v>495</v>
          </cell>
          <cell r="DB94">
            <v>495</v>
          </cell>
          <cell r="DC94">
            <v>0</v>
          </cell>
          <cell r="DD94">
            <v>0</v>
          </cell>
          <cell r="DE94">
            <v>5</v>
          </cell>
          <cell r="DF94">
            <v>5</v>
          </cell>
          <cell r="DG94">
            <v>5</v>
          </cell>
          <cell r="DH94">
            <v>5</v>
          </cell>
          <cell r="DI94">
            <v>0</v>
          </cell>
          <cell r="DJ94">
            <v>0</v>
          </cell>
          <cell r="DK94">
            <v>0</v>
          </cell>
          <cell r="DL94">
            <v>0</v>
          </cell>
          <cell r="DM94">
            <v>0</v>
          </cell>
          <cell r="DN94">
            <v>0</v>
          </cell>
          <cell r="DO94">
            <v>0</v>
          </cell>
          <cell r="DP94">
            <v>0</v>
          </cell>
          <cell r="DQ94">
            <v>0</v>
          </cell>
          <cell r="DR94">
            <v>0</v>
          </cell>
          <cell r="DS94">
            <v>0</v>
          </cell>
          <cell r="DU94">
            <v>0</v>
          </cell>
        </row>
        <row r="95">
          <cell r="B95" t="str">
            <v>Senior notes due 2017, $2,250mn, 8.0%</v>
          </cell>
          <cell r="V95">
            <v>2250</v>
          </cell>
          <cell r="W95">
            <v>2025</v>
          </cell>
          <cell r="X95">
            <v>637.69999999999993</v>
          </cell>
          <cell r="Y95">
            <v>0</v>
          </cell>
          <cell r="Z95">
            <v>0</v>
          </cell>
          <cell r="AA95">
            <v>0</v>
          </cell>
          <cell r="AB95">
            <v>0</v>
          </cell>
          <cell r="AC95">
            <v>0</v>
          </cell>
          <cell r="AD95">
            <v>0</v>
          </cell>
          <cell r="AE95">
            <v>0</v>
          </cell>
          <cell r="AF95">
            <v>0</v>
          </cell>
          <cell r="AG95">
            <v>0</v>
          </cell>
          <cell r="CZ95">
            <v>2250</v>
          </cell>
          <cell r="DA95">
            <v>2250</v>
          </cell>
          <cell r="DB95">
            <v>2250</v>
          </cell>
          <cell r="DC95">
            <v>2025</v>
          </cell>
          <cell r="DD95">
            <v>2025</v>
          </cell>
          <cell r="DE95">
            <v>1822</v>
          </cell>
          <cell r="DF95">
            <v>1822</v>
          </cell>
          <cell r="DG95">
            <v>637.69999999999993</v>
          </cell>
          <cell r="DH95">
            <v>637.69999999999993</v>
          </cell>
          <cell r="DI95">
            <v>0</v>
          </cell>
          <cell r="DJ95">
            <v>0</v>
          </cell>
          <cell r="DK95">
            <v>0</v>
          </cell>
          <cell r="DL95">
            <v>0</v>
          </cell>
          <cell r="DM95">
            <v>0</v>
          </cell>
          <cell r="DN95">
            <v>0</v>
          </cell>
          <cell r="DO95">
            <v>0</v>
          </cell>
          <cell r="DP95">
            <v>0</v>
          </cell>
          <cell r="DQ95">
            <v>0</v>
          </cell>
          <cell r="DR95">
            <v>0</v>
          </cell>
          <cell r="DS95">
            <v>0</v>
          </cell>
          <cell r="DU95">
            <v>2025</v>
          </cell>
        </row>
        <row r="96">
          <cell r="B96" t="str">
            <v>Senior notes due 2017, EUR375mn, 8.0%</v>
          </cell>
          <cell r="V96">
            <v>506</v>
          </cell>
          <cell r="W96">
            <v>461</v>
          </cell>
          <cell r="X96">
            <v>143.5</v>
          </cell>
          <cell r="Y96">
            <v>0</v>
          </cell>
          <cell r="Z96">
            <v>0</v>
          </cell>
          <cell r="AA96">
            <v>0</v>
          </cell>
          <cell r="AB96">
            <v>0</v>
          </cell>
          <cell r="AC96">
            <v>0</v>
          </cell>
          <cell r="AD96">
            <v>0</v>
          </cell>
          <cell r="AE96">
            <v>0</v>
          </cell>
          <cell r="AF96">
            <v>0</v>
          </cell>
          <cell r="AG96">
            <v>0</v>
          </cell>
          <cell r="CZ96">
            <v>506</v>
          </cell>
          <cell r="DA96">
            <v>461</v>
          </cell>
          <cell r="DB96">
            <v>461</v>
          </cell>
          <cell r="DC96">
            <v>461</v>
          </cell>
          <cell r="DD96">
            <v>461</v>
          </cell>
          <cell r="DE96">
            <v>440</v>
          </cell>
          <cell r="DF96">
            <v>410</v>
          </cell>
          <cell r="DG96">
            <v>143.5</v>
          </cell>
          <cell r="DH96">
            <v>143.5</v>
          </cell>
          <cell r="DI96">
            <v>0</v>
          </cell>
          <cell r="DJ96">
            <v>0</v>
          </cell>
          <cell r="DK96">
            <v>0</v>
          </cell>
          <cell r="DL96">
            <v>0</v>
          </cell>
          <cell r="DM96">
            <v>0</v>
          </cell>
          <cell r="DN96">
            <v>0</v>
          </cell>
          <cell r="DO96">
            <v>0</v>
          </cell>
          <cell r="DP96">
            <v>0</v>
          </cell>
          <cell r="DQ96">
            <v>0</v>
          </cell>
          <cell r="DR96">
            <v>0</v>
          </cell>
          <cell r="DS96">
            <v>0</v>
          </cell>
          <cell r="DU96">
            <v>461</v>
          </cell>
        </row>
        <row r="97">
          <cell r="B97" t="str">
            <v>Other</v>
          </cell>
          <cell r="V97">
            <v>24</v>
          </cell>
          <cell r="W97">
            <v>0</v>
          </cell>
          <cell r="X97">
            <v>0</v>
          </cell>
          <cell r="Y97">
            <v>0</v>
          </cell>
          <cell r="Z97">
            <v>0</v>
          </cell>
          <cell r="AA97">
            <v>0</v>
          </cell>
          <cell r="AB97">
            <v>0</v>
          </cell>
          <cell r="AC97">
            <v>0</v>
          </cell>
          <cell r="AD97">
            <v>0</v>
          </cell>
          <cell r="AE97">
            <v>0</v>
          </cell>
          <cell r="AF97">
            <v>0</v>
          </cell>
          <cell r="AG97">
            <v>0</v>
          </cell>
          <cell r="CZ97">
            <v>24</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U97">
            <v>0</v>
          </cell>
        </row>
        <row r="98">
          <cell r="B98" t="str">
            <v>Total First Lien debt</v>
          </cell>
          <cell r="V98">
            <v>3280</v>
          </cell>
          <cell r="W98">
            <v>2486</v>
          </cell>
          <cell r="X98">
            <v>786.19999999999993</v>
          </cell>
          <cell r="Y98">
            <v>0</v>
          </cell>
          <cell r="Z98">
            <v>0</v>
          </cell>
          <cell r="AA98">
            <v>0</v>
          </cell>
          <cell r="AB98">
            <v>0</v>
          </cell>
          <cell r="AC98">
            <v>0</v>
          </cell>
          <cell r="AD98">
            <v>0</v>
          </cell>
          <cell r="AE98">
            <v>0</v>
          </cell>
          <cell r="AF98">
            <v>0</v>
          </cell>
          <cell r="AG98">
            <v>0</v>
          </cell>
          <cell r="CZ98">
            <v>3280</v>
          </cell>
          <cell r="DA98">
            <v>3206</v>
          </cell>
          <cell r="DB98">
            <v>3206</v>
          </cell>
          <cell r="DC98">
            <v>2486</v>
          </cell>
          <cell r="DD98">
            <v>2486</v>
          </cell>
          <cell r="DE98">
            <v>2267</v>
          </cell>
          <cell r="DF98">
            <v>2237</v>
          </cell>
          <cell r="DG98">
            <v>786.19999999999993</v>
          </cell>
          <cell r="DH98">
            <v>786.19999999999993</v>
          </cell>
          <cell r="DI98">
            <v>0</v>
          </cell>
          <cell r="DJ98">
            <v>0</v>
          </cell>
          <cell r="DK98">
            <v>0</v>
          </cell>
          <cell r="DL98">
            <v>0</v>
          </cell>
          <cell r="DM98">
            <v>0</v>
          </cell>
          <cell r="DN98">
            <v>0</v>
          </cell>
          <cell r="DO98">
            <v>0</v>
          </cell>
          <cell r="DP98">
            <v>0</v>
          </cell>
          <cell r="DQ98">
            <v>0</v>
          </cell>
          <cell r="DR98">
            <v>0</v>
          </cell>
          <cell r="DS98">
            <v>0</v>
          </cell>
          <cell r="DU98">
            <v>2486</v>
          </cell>
        </row>
        <row r="100">
          <cell r="B100" t="str">
            <v>Senior notes due 2018, $3,240mn, 11.0%</v>
          </cell>
          <cell r="V100">
            <v>3245</v>
          </cell>
          <cell r="W100">
            <v>3240</v>
          </cell>
          <cell r="X100">
            <v>1921.328</v>
          </cell>
          <cell r="Y100">
            <v>0</v>
          </cell>
          <cell r="Z100">
            <v>0</v>
          </cell>
          <cell r="AA100">
            <v>0</v>
          </cell>
          <cell r="AB100">
            <v>0</v>
          </cell>
          <cell r="AC100">
            <v>0</v>
          </cell>
          <cell r="AD100">
            <v>0</v>
          </cell>
          <cell r="AE100">
            <v>0</v>
          </cell>
          <cell r="AF100">
            <v>0</v>
          </cell>
          <cell r="AG100">
            <v>0</v>
          </cell>
          <cell r="CZ100">
            <v>3245</v>
          </cell>
          <cell r="DA100">
            <v>3240</v>
          </cell>
          <cell r="DB100">
            <v>3240</v>
          </cell>
          <cell r="DC100">
            <v>3240</v>
          </cell>
          <cell r="DD100">
            <v>3240</v>
          </cell>
          <cell r="DE100">
            <v>3240</v>
          </cell>
          <cell r="DF100">
            <v>3240</v>
          </cell>
          <cell r="DG100">
            <v>1921.328</v>
          </cell>
          <cell r="DH100">
            <v>1921.328</v>
          </cell>
          <cell r="DI100">
            <v>0</v>
          </cell>
          <cell r="DJ100">
            <v>0</v>
          </cell>
          <cell r="DK100">
            <v>0</v>
          </cell>
          <cell r="DL100">
            <v>0</v>
          </cell>
          <cell r="DM100">
            <v>0</v>
          </cell>
          <cell r="DN100">
            <v>0</v>
          </cell>
          <cell r="DO100">
            <v>0</v>
          </cell>
          <cell r="DP100">
            <v>0</v>
          </cell>
          <cell r="DQ100">
            <v>0</v>
          </cell>
          <cell r="DR100">
            <v>0</v>
          </cell>
          <cell r="DS100">
            <v>0</v>
          </cell>
          <cell r="DU100">
            <v>3240</v>
          </cell>
        </row>
        <row r="101">
          <cell r="B101" t="str">
            <v>Total Senior Secured debt</v>
          </cell>
          <cell r="V101">
            <v>6525</v>
          </cell>
          <cell r="W101">
            <v>5726</v>
          </cell>
          <cell r="X101">
            <v>2707.5279999999998</v>
          </cell>
          <cell r="Y101">
            <v>0</v>
          </cell>
          <cell r="Z101">
            <v>0</v>
          </cell>
          <cell r="AA101">
            <v>0</v>
          </cell>
          <cell r="AB101">
            <v>0</v>
          </cell>
          <cell r="AC101">
            <v>0</v>
          </cell>
          <cell r="AD101">
            <v>0</v>
          </cell>
          <cell r="AE101">
            <v>0</v>
          </cell>
          <cell r="AF101">
            <v>0</v>
          </cell>
          <cell r="AG101">
            <v>0</v>
          </cell>
          <cell r="CZ101">
            <v>6525</v>
          </cell>
          <cell r="DA101">
            <v>6446</v>
          </cell>
          <cell r="DB101">
            <v>6446</v>
          </cell>
          <cell r="DC101">
            <v>5726</v>
          </cell>
          <cell r="DD101">
            <v>5726</v>
          </cell>
          <cell r="DE101">
            <v>5507</v>
          </cell>
          <cell r="DF101">
            <v>5477</v>
          </cell>
          <cell r="DG101">
            <v>2707.5279999999998</v>
          </cell>
          <cell r="DH101">
            <v>2707.5279999999998</v>
          </cell>
          <cell r="DI101">
            <v>0</v>
          </cell>
          <cell r="DJ101">
            <v>0</v>
          </cell>
          <cell r="DK101">
            <v>0</v>
          </cell>
          <cell r="DL101">
            <v>0</v>
          </cell>
          <cell r="DM101">
            <v>0</v>
          </cell>
          <cell r="DN101">
            <v>0</v>
          </cell>
          <cell r="DO101">
            <v>0</v>
          </cell>
          <cell r="DP101">
            <v>0</v>
          </cell>
          <cell r="DQ101">
            <v>0</v>
          </cell>
          <cell r="DR101">
            <v>0</v>
          </cell>
          <cell r="DS101">
            <v>0</v>
          </cell>
          <cell r="DU101">
            <v>5726</v>
          </cell>
        </row>
        <row r="103">
          <cell r="B103" t="str">
            <v>Guaranteed notes, due 2027</v>
          </cell>
          <cell r="V103">
            <v>300</v>
          </cell>
          <cell r="W103">
            <v>300</v>
          </cell>
          <cell r="X103">
            <v>300</v>
          </cell>
          <cell r="Y103">
            <v>300</v>
          </cell>
          <cell r="Z103">
            <v>300</v>
          </cell>
          <cell r="AA103">
            <v>300</v>
          </cell>
          <cell r="AB103">
            <v>300</v>
          </cell>
          <cell r="AC103">
            <v>300</v>
          </cell>
          <cell r="AD103">
            <v>300</v>
          </cell>
          <cell r="AE103">
            <v>300</v>
          </cell>
          <cell r="AF103">
            <v>300</v>
          </cell>
          <cell r="AG103">
            <v>300</v>
          </cell>
          <cell r="CZ103">
            <v>300</v>
          </cell>
          <cell r="DA103">
            <v>300</v>
          </cell>
          <cell r="DB103">
            <v>300</v>
          </cell>
          <cell r="DC103">
            <v>300</v>
          </cell>
          <cell r="DD103">
            <v>300</v>
          </cell>
          <cell r="DE103">
            <v>300</v>
          </cell>
          <cell r="DF103">
            <v>300</v>
          </cell>
          <cell r="DG103">
            <v>300</v>
          </cell>
          <cell r="DH103">
            <v>300</v>
          </cell>
          <cell r="DI103">
            <v>300</v>
          </cell>
          <cell r="DJ103">
            <v>300</v>
          </cell>
          <cell r="DK103">
            <v>300</v>
          </cell>
          <cell r="DL103">
            <v>300</v>
          </cell>
          <cell r="DM103">
            <v>300</v>
          </cell>
          <cell r="DN103">
            <v>300</v>
          </cell>
          <cell r="DO103">
            <v>300</v>
          </cell>
          <cell r="DP103">
            <v>300</v>
          </cell>
          <cell r="DQ103">
            <v>300</v>
          </cell>
          <cell r="DR103">
            <v>300</v>
          </cell>
          <cell r="DS103">
            <v>300</v>
          </cell>
          <cell r="DU103">
            <v>300</v>
          </cell>
        </row>
        <row r="104">
          <cell r="B104" t="str">
            <v>Other debt</v>
          </cell>
          <cell r="V104">
            <v>7</v>
          </cell>
          <cell r="W104">
            <v>10</v>
          </cell>
          <cell r="X104">
            <v>972.47200000000021</v>
          </cell>
          <cell r="Y104">
            <v>4052</v>
          </cell>
          <cell r="Z104">
            <v>3953</v>
          </cell>
          <cell r="AA104">
            <v>8039.1763364073431</v>
          </cell>
          <cell r="AB104">
            <v>6892.0563633158117</v>
          </cell>
          <cell r="AC104">
            <v>7543.2073873188365</v>
          </cell>
          <cell r="AD104">
            <v>8546.5864094872668</v>
          </cell>
          <cell r="AE104">
            <v>8247.4726836929913</v>
          </cell>
          <cell r="AF104">
            <v>7027.7032175075337</v>
          </cell>
          <cell r="AG104">
            <v>5800.2223729857606</v>
          </cell>
          <cell r="CZ104">
            <v>7</v>
          </cell>
          <cell r="DA104">
            <v>7</v>
          </cell>
          <cell r="DB104">
            <v>7</v>
          </cell>
          <cell r="DC104">
            <v>10</v>
          </cell>
          <cell r="DD104">
            <v>10</v>
          </cell>
          <cell r="DE104">
            <v>8</v>
          </cell>
          <cell r="DF104">
            <v>7</v>
          </cell>
          <cell r="DG104">
            <v>972.47200000000021</v>
          </cell>
          <cell r="DH104">
            <v>976.47200000000021</v>
          </cell>
          <cell r="DI104">
            <v>3957</v>
          </cell>
          <cell r="DJ104">
            <v>4005</v>
          </cell>
          <cell r="DK104">
            <v>4052</v>
          </cell>
          <cell r="DL104">
            <v>4075</v>
          </cell>
          <cell r="DM104">
            <v>4074</v>
          </cell>
          <cell r="DN104">
            <v>5542</v>
          </cell>
          <cell r="DO104">
            <v>3953</v>
          </cell>
          <cell r="DP104">
            <v>8039.1763364073431</v>
          </cell>
          <cell r="DQ104">
            <v>8039.1763364073431</v>
          </cell>
          <cell r="DR104">
            <v>8039.1763364073431</v>
          </cell>
          <cell r="DS104">
            <v>8039.1763364073431</v>
          </cell>
          <cell r="DU104">
            <v>7</v>
          </cell>
        </row>
        <row r="105">
          <cell r="B105" t="str">
            <v>Total long-term debt</v>
          </cell>
          <cell r="V105">
            <v>6832</v>
          </cell>
          <cell r="W105">
            <v>6036</v>
          </cell>
          <cell r="X105">
            <v>3980</v>
          </cell>
          <cell r="Y105">
            <v>4352</v>
          </cell>
          <cell r="Z105">
            <v>4253</v>
          </cell>
          <cell r="AA105">
            <v>8339.1763364073431</v>
          </cell>
          <cell r="AB105">
            <v>7192.0563633158117</v>
          </cell>
          <cell r="AC105">
            <v>7843.2073873188365</v>
          </cell>
          <cell r="AD105">
            <v>8846.5864094872668</v>
          </cell>
          <cell r="AE105">
            <v>8547.4726836929913</v>
          </cell>
          <cell r="AF105">
            <v>7327.7032175075337</v>
          </cell>
          <cell r="AG105">
            <v>6100.2223729857606</v>
          </cell>
          <cell r="CZ105">
            <v>6832</v>
          </cell>
          <cell r="DA105">
            <v>6753</v>
          </cell>
          <cell r="DB105">
            <v>6753</v>
          </cell>
          <cell r="DC105">
            <v>6036</v>
          </cell>
          <cell r="DD105">
            <v>6036</v>
          </cell>
          <cell r="DE105">
            <v>5815</v>
          </cell>
          <cell r="DF105">
            <v>5784</v>
          </cell>
          <cell r="DG105">
            <v>3980</v>
          </cell>
          <cell r="DH105">
            <v>3984</v>
          </cell>
          <cell r="DI105">
            <v>4257</v>
          </cell>
          <cell r="DJ105">
            <v>4305</v>
          </cell>
          <cell r="DK105">
            <v>4352</v>
          </cell>
          <cell r="DL105">
            <v>4375</v>
          </cell>
          <cell r="DM105">
            <v>4374</v>
          </cell>
          <cell r="DN105">
            <v>5842</v>
          </cell>
          <cell r="DO105">
            <v>4253</v>
          </cell>
          <cell r="DP105">
            <v>8339.1763364073431</v>
          </cell>
          <cell r="DQ105">
            <v>8339.1763364073431</v>
          </cell>
          <cell r="DR105">
            <v>8339.1763364073431</v>
          </cell>
          <cell r="DS105">
            <v>8339.1763364073431</v>
          </cell>
          <cell r="DU105">
            <v>6033</v>
          </cell>
        </row>
        <row r="106">
          <cell r="B106" t="str">
            <v>Current maturities</v>
          </cell>
          <cell r="V106">
            <v>0</v>
          </cell>
          <cell r="W106">
            <v>-4</v>
          </cell>
          <cell r="X106">
            <v>-2</v>
          </cell>
          <cell r="Y106">
            <v>0</v>
          </cell>
          <cell r="Z106">
            <v>0</v>
          </cell>
          <cell r="AA106">
            <v>0</v>
          </cell>
          <cell r="AB106">
            <v>0</v>
          </cell>
          <cell r="AC106">
            <v>0</v>
          </cell>
          <cell r="AD106">
            <v>0</v>
          </cell>
          <cell r="AE106">
            <v>0</v>
          </cell>
          <cell r="AF106">
            <v>0</v>
          </cell>
          <cell r="AG106">
            <v>0</v>
          </cell>
          <cell r="CZ106">
            <v>0</v>
          </cell>
          <cell r="DA106">
            <v>-8</v>
          </cell>
          <cell r="DB106">
            <v>-8</v>
          </cell>
          <cell r="DC106">
            <v>-4</v>
          </cell>
          <cell r="DD106">
            <v>-4</v>
          </cell>
          <cell r="DE106">
            <v>-2</v>
          </cell>
          <cell r="DF106">
            <v>-2</v>
          </cell>
          <cell r="DG106">
            <v>-2</v>
          </cell>
          <cell r="DH106">
            <v>0</v>
          </cell>
          <cell r="DI106">
            <v>0</v>
          </cell>
          <cell r="DJ106">
            <v>0</v>
          </cell>
          <cell r="DK106">
            <v>0</v>
          </cell>
          <cell r="DL106">
            <v>0</v>
          </cell>
          <cell r="DM106">
            <v>0</v>
          </cell>
          <cell r="DN106">
            <v>0</v>
          </cell>
          <cell r="DO106">
            <v>0</v>
          </cell>
          <cell r="DP106">
            <v>0</v>
          </cell>
          <cell r="DQ106">
            <v>0</v>
          </cell>
          <cell r="DR106">
            <v>0</v>
          </cell>
          <cell r="DS106">
            <v>0</v>
          </cell>
          <cell r="DU106">
            <v>-8</v>
          </cell>
        </row>
        <row r="107">
          <cell r="B107" t="str">
            <v>Total long-term debt, less current</v>
          </cell>
          <cell r="V107">
            <v>6832</v>
          </cell>
          <cell r="W107">
            <v>6032</v>
          </cell>
          <cell r="X107">
            <v>3978</v>
          </cell>
          <cell r="Y107">
            <v>4352</v>
          </cell>
          <cell r="Z107">
            <v>4253</v>
          </cell>
          <cell r="AA107">
            <v>8339.1763364073431</v>
          </cell>
          <cell r="AB107">
            <v>7192.0563633158117</v>
          </cell>
          <cell r="AC107">
            <v>7843.2073873188365</v>
          </cell>
          <cell r="AD107">
            <v>8846.5864094872668</v>
          </cell>
          <cell r="AE107">
            <v>8547.4726836929913</v>
          </cell>
          <cell r="AF107">
            <v>7327.7032175075337</v>
          </cell>
          <cell r="AG107">
            <v>6100.2223729857606</v>
          </cell>
          <cell r="CZ107">
            <v>6832</v>
          </cell>
          <cell r="DA107">
            <v>6745</v>
          </cell>
          <cell r="DB107">
            <v>6745</v>
          </cell>
          <cell r="DC107">
            <v>6032</v>
          </cell>
          <cell r="DD107">
            <v>6032</v>
          </cell>
          <cell r="DE107">
            <v>5813</v>
          </cell>
          <cell r="DF107">
            <v>5782</v>
          </cell>
          <cell r="DG107">
            <v>3978</v>
          </cell>
          <cell r="DH107">
            <v>3984</v>
          </cell>
          <cell r="DI107">
            <v>4257</v>
          </cell>
          <cell r="DJ107">
            <v>4305</v>
          </cell>
          <cell r="DK107">
            <v>4352</v>
          </cell>
          <cell r="DL107">
            <v>4375</v>
          </cell>
          <cell r="DM107">
            <v>4374</v>
          </cell>
          <cell r="DN107">
            <v>5842</v>
          </cell>
          <cell r="DO107">
            <v>4253</v>
          </cell>
          <cell r="DP107">
            <v>8339.1763364073431</v>
          </cell>
          <cell r="DQ107">
            <v>8339.1763364073431</v>
          </cell>
          <cell r="DR107">
            <v>8339.1763364073431</v>
          </cell>
          <cell r="DS107">
            <v>8339.1763364073431</v>
          </cell>
          <cell r="DU107">
            <v>6025</v>
          </cell>
        </row>
        <row r="109">
          <cell r="B109" t="str">
            <v>Short-term debt</v>
          </cell>
          <cell r="V109">
            <v>359</v>
          </cell>
          <cell r="W109">
            <v>42</v>
          </cell>
          <cell r="X109">
            <v>48</v>
          </cell>
          <cell r="Y109">
            <v>47</v>
          </cell>
          <cell r="Z109">
            <v>47</v>
          </cell>
          <cell r="AA109">
            <v>47</v>
          </cell>
          <cell r="AB109">
            <v>1798.0140908289532</v>
          </cell>
          <cell r="AC109">
            <v>1960.8018468297091</v>
          </cell>
          <cell r="AD109">
            <v>2211.6466023718167</v>
          </cell>
          <cell r="AE109">
            <v>2136.8681709232478</v>
          </cell>
          <cell r="AF109">
            <v>1831.9258043768834</v>
          </cell>
          <cell r="AG109">
            <v>1525.0555932464404</v>
          </cell>
          <cell r="CZ109">
            <v>359</v>
          </cell>
          <cell r="DA109">
            <v>557</v>
          </cell>
          <cell r="DB109">
            <v>518</v>
          </cell>
          <cell r="DC109">
            <v>42</v>
          </cell>
          <cell r="DD109">
            <v>51</v>
          </cell>
          <cell r="DE109">
            <v>50</v>
          </cell>
          <cell r="DF109">
            <v>48</v>
          </cell>
          <cell r="DG109">
            <v>48</v>
          </cell>
          <cell r="DH109">
            <v>42</v>
          </cell>
          <cell r="DI109">
            <v>48</v>
          </cell>
          <cell r="DJ109">
            <v>47</v>
          </cell>
          <cell r="DK109">
            <v>47</v>
          </cell>
          <cell r="DL109">
            <v>47</v>
          </cell>
          <cell r="DM109">
            <v>47</v>
          </cell>
          <cell r="DN109">
            <v>47</v>
          </cell>
          <cell r="DO109">
            <v>47</v>
          </cell>
          <cell r="DP109">
            <v>47</v>
          </cell>
          <cell r="DQ109">
            <v>47</v>
          </cell>
          <cell r="DR109">
            <v>47</v>
          </cell>
          <cell r="DS109">
            <v>47</v>
          </cell>
          <cell r="DU109">
            <v>518</v>
          </cell>
        </row>
        <row r="111">
          <cell r="B111" t="str">
            <v>Total debt</v>
          </cell>
          <cell r="V111">
            <v>7191</v>
          </cell>
          <cell r="W111">
            <v>6074</v>
          </cell>
          <cell r="X111">
            <v>4026</v>
          </cell>
          <cell r="Y111">
            <v>4399</v>
          </cell>
          <cell r="Z111">
            <v>4300</v>
          </cell>
          <cell r="AA111">
            <v>8386.1763364073431</v>
          </cell>
          <cell r="AB111">
            <v>8990.0704541447649</v>
          </cell>
          <cell r="AC111">
            <v>9804.0092341485451</v>
          </cell>
          <cell r="AD111">
            <v>11058.233011859083</v>
          </cell>
          <cell r="AE111">
            <v>10684.340854616239</v>
          </cell>
          <cell r="AF111">
            <v>9159.6290218844169</v>
          </cell>
          <cell r="AG111">
            <v>7625.2779662322009</v>
          </cell>
          <cell r="CZ111">
            <v>7191</v>
          </cell>
          <cell r="DA111">
            <v>7302</v>
          </cell>
          <cell r="DB111">
            <v>7263</v>
          </cell>
          <cell r="DC111">
            <v>6074</v>
          </cell>
          <cell r="DD111">
            <v>6083</v>
          </cell>
          <cell r="DE111">
            <v>5863</v>
          </cell>
          <cell r="DF111">
            <v>5830</v>
          </cell>
          <cell r="DG111">
            <v>4032</v>
          </cell>
          <cell r="DH111">
            <v>4026</v>
          </cell>
          <cell r="DI111">
            <v>4305</v>
          </cell>
          <cell r="DJ111">
            <v>4352</v>
          </cell>
          <cell r="DK111">
            <v>4399</v>
          </cell>
          <cell r="DL111">
            <v>4422</v>
          </cell>
          <cell r="DM111">
            <v>4421</v>
          </cell>
          <cell r="DN111">
            <v>5889</v>
          </cell>
          <cell r="DO111">
            <v>4300</v>
          </cell>
          <cell r="DP111">
            <v>8386.1763364073431</v>
          </cell>
          <cell r="DQ111">
            <v>8386.1763364073431</v>
          </cell>
          <cell r="DR111">
            <v>8386.1763364073431</v>
          </cell>
          <cell r="DS111">
            <v>8386.1763364073431</v>
          </cell>
          <cell r="DU111">
            <v>6543</v>
          </cell>
        </row>
        <row r="112">
          <cell r="B112" t="str">
            <v>Cash</v>
          </cell>
          <cell r="V112">
            <v>-558</v>
          </cell>
          <cell r="W112">
            <v>-4222</v>
          </cell>
          <cell r="X112">
            <v>-1065</v>
          </cell>
          <cell r="Y112">
            <v>-2732</v>
          </cell>
          <cell r="Z112">
            <v>-3127.4135435410835</v>
          </cell>
          <cell r="AA112">
            <v>-4587.9865573114776</v>
          </cell>
          <cell r="AB112">
            <v>-3786.3661266704503</v>
          </cell>
          <cell r="AC112">
            <v>-4870.3552840215771</v>
          </cell>
          <cell r="AD112">
            <v>-6391.641976152494</v>
          </cell>
          <cell r="AE112">
            <v>-6247.7261368908503</v>
          </cell>
          <cell r="AF112">
            <v>-4822.1318902075609</v>
          </cell>
          <cell r="AG112">
            <v>-3379.484511594409</v>
          </cell>
          <cell r="CZ112">
            <v>-2052</v>
          </cell>
          <cell r="DA112">
            <v>-3753</v>
          </cell>
          <cell r="DB112">
            <v>-4832</v>
          </cell>
          <cell r="DC112">
            <v>-4222</v>
          </cell>
          <cell r="DD112">
            <v>-4383</v>
          </cell>
          <cell r="DE112">
            <v>-4687</v>
          </cell>
          <cell r="DF112">
            <v>-5609</v>
          </cell>
          <cell r="DG112">
            <v>-1065</v>
          </cell>
          <cell r="DH112">
            <v>-1670</v>
          </cell>
          <cell r="DI112">
            <v>-1950</v>
          </cell>
          <cell r="DJ112">
            <v>-3527</v>
          </cell>
          <cell r="DK112">
            <v>-2732</v>
          </cell>
          <cell r="DL112">
            <v>-2879</v>
          </cell>
          <cell r="DM112">
            <v>-3233</v>
          </cell>
          <cell r="DN112">
            <v>-4414</v>
          </cell>
          <cell r="DO112">
            <v>-5532.5269492055522</v>
          </cell>
          <cell r="DP112">
            <v>-6224.6938732571334</v>
          </cell>
          <cell r="DQ112">
            <v>-6861.5030622346039</v>
          </cell>
          <cell r="DR112">
            <v>-7625.7653460862084</v>
          </cell>
          <cell r="DS112">
            <v>-8377.4766117433956</v>
          </cell>
          <cell r="DU112">
            <v>-4712</v>
          </cell>
        </row>
        <row r="113">
          <cell r="B113" t="str">
            <v>Net debt</v>
          </cell>
          <cell r="V113">
            <v>6633</v>
          </cell>
          <cell r="W113">
            <v>1852</v>
          </cell>
          <cell r="X113">
            <v>2961</v>
          </cell>
          <cell r="Y113">
            <v>1667</v>
          </cell>
          <cell r="Z113">
            <v>1172.5864564589165</v>
          </cell>
          <cell r="AA113">
            <v>3798.1897790958656</v>
          </cell>
          <cell r="AB113">
            <v>5203.7043274743146</v>
          </cell>
          <cell r="AC113">
            <v>4933.6539501269681</v>
          </cell>
          <cell r="AD113">
            <v>4666.5910357065895</v>
          </cell>
          <cell r="AE113">
            <v>4436.6147177253888</v>
          </cell>
          <cell r="AF113">
            <v>4337.497131676856</v>
          </cell>
          <cell r="AG113">
            <v>4245.7934546377919</v>
          </cell>
          <cell r="CZ113">
            <v>5139</v>
          </cell>
          <cell r="DA113">
            <v>3549</v>
          </cell>
          <cell r="DB113">
            <v>2431</v>
          </cell>
          <cell r="DC113">
            <v>1852</v>
          </cell>
          <cell r="DD113">
            <v>1700</v>
          </cell>
          <cell r="DE113">
            <v>1176</v>
          </cell>
          <cell r="DF113">
            <v>221</v>
          </cell>
          <cell r="DG113">
            <v>2967</v>
          </cell>
          <cell r="DH113">
            <v>2356</v>
          </cell>
          <cell r="DI113">
            <v>2355</v>
          </cell>
          <cell r="DJ113">
            <v>825</v>
          </cell>
          <cell r="DK113">
            <v>1667</v>
          </cell>
          <cell r="DL113">
            <v>1543</v>
          </cell>
          <cell r="DM113">
            <v>1188</v>
          </cell>
          <cell r="DN113">
            <v>1475</v>
          </cell>
          <cell r="DO113">
            <v>-1232.5269492055522</v>
          </cell>
          <cell r="DP113">
            <v>2161.4824631502097</v>
          </cell>
          <cell r="DQ113">
            <v>1524.6732741727392</v>
          </cell>
          <cell r="DR113">
            <v>760.4109903211347</v>
          </cell>
          <cell r="DS113">
            <v>8.6997246639475634</v>
          </cell>
          <cell r="DU113">
            <v>1831</v>
          </cell>
        </row>
        <row r="114">
          <cell r="B114" t="str">
            <v>turns of LTM EBITDA</v>
          </cell>
          <cell r="V114">
            <v>3.229308666017527</v>
          </cell>
          <cell r="W114">
            <v>0.44594269202985792</v>
          </cell>
          <cell r="X114">
            <v>0.54540431018603797</v>
          </cell>
          <cell r="Y114">
            <v>0.29087419298551737</v>
          </cell>
          <cell r="Z114">
            <v>0.18577098486357993</v>
          </cell>
          <cell r="AA114">
            <v>0.59587502623958299</v>
          </cell>
          <cell r="AB114">
            <v>1.2</v>
          </cell>
          <cell r="AC114">
            <v>1.3</v>
          </cell>
          <cell r="AD114">
            <v>1.5</v>
          </cell>
          <cell r="AE114">
            <v>1.5</v>
          </cell>
          <cell r="AF114">
            <v>1.5</v>
          </cell>
          <cell r="AG114">
            <v>1.5</v>
          </cell>
          <cell r="CZ114">
            <v>2.071342200725514</v>
          </cell>
          <cell r="DA114">
            <v>1.0699427193246911</v>
          </cell>
          <cell r="DB114">
            <v>0.62622359608449252</v>
          </cell>
          <cell r="DC114">
            <v>0.44594269202985792</v>
          </cell>
          <cell r="DD114">
            <v>0.35160289555325752</v>
          </cell>
          <cell r="DE114">
            <v>0.23300970873786409</v>
          </cell>
          <cell r="DF114">
            <v>3.9791141519625498E-2</v>
          </cell>
          <cell r="DG114">
            <v>0.54650948609320316</v>
          </cell>
          <cell r="DH114">
            <v>0.4417776111006938</v>
          </cell>
          <cell r="DI114">
            <v>0.43659621802002224</v>
          </cell>
          <cell r="DJ114">
            <v>0.1611328125</v>
          </cell>
          <cell r="DK114">
            <v>0.29087419298551737</v>
          </cell>
          <cell r="DL114">
            <v>0.25508348487353283</v>
          </cell>
          <cell r="DM114">
            <v>0.1979340219926691</v>
          </cell>
          <cell r="DN114">
            <v>0.24416487336533688</v>
          </cell>
          <cell r="DO114">
            <v>-0.19526726064726746</v>
          </cell>
          <cell r="DP114">
            <v>0.34355654403924407</v>
          </cell>
          <cell r="DQ114">
            <v>0.24898433862080546</v>
          </cell>
          <cell r="DR114">
            <v>0.1213922220106384</v>
          </cell>
          <cell r="DS114">
            <v>1.3648471940338133E-3</v>
          </cell>
          <cell r="DU114">
            <v>0.42099097624263365</v>
          </cell>
        </row>
        <row r="115">
          <cell r="B115" t="str">
            <v>turns of Trough EBITDA</v>
          </cell>
          <cell r="V115">
            <v>4.2302295918367347</v>
          </cell>
          <cell r="W115">
            <v>1.1811224489795917</v>
          </cell>
          <cell r="X115">
            <v>1.8883928571428572</v>
          </cell>
          <cell r="Y115">
            <v>1.0631377551020409</v>
          </cell>
          <cell r="Z115">
            <v>0.74782299519063555</v>
          </cell>
          <cell r="AA115">
            <v>2.4223149101376693</v>
          </cell>
          <cell r="AB115">
            <v>3.3186889843586189</v>
          </cell>
          <cell r="AC115">
            <v>3.146462978397301</v>
          </cell>
          <cell r="AD115">
            <v>2.9761422421598147</v>
          </cell>
          <cell r="AE115">
            <v>2.829473672018743</v>
          </cell>
          <cell r="AF115">
            <v>2.7662609258143216</v>
          </cell>
          <cell r="AG115">
            <v>2.7077764379067553</v>
          </cell>
          <cell r="CZ115">
            <v>3.2774234693877551</v>
          </cell>
          <cell r="DA115">
            <v>2.2633928571428572</v>
          </cell>
          <cell r="DB115">
            <v>1.5503826530612246</v>
          </cell>
          <cell r="DC115">
            <v>1.1811224489795917</v>
          </cell>
          <cell r="DD115">
            <v>1.0841836734693877</v>
          </cell>
          <cell r="DE115">
            <v>0.75</v>
          </cell>
          <cell r="DF115">
            <v>0.14094387755102042</v>
          </cell>
          <cell r="DG115">
            <v>1.8922193877551021</v>
          </cell>
          <cell r="DH115">
            <v>1.5025510204081634</v>
          </cell>
          <cell r="DI115">
            <v>1.5019132653061225</v>
          </cell>
          <cell r="DJ115">
            <v>0.52614795918367352</v>
          </cell>
          <cell r="DK115">
            <v>1.0631377551020409</v>
          </cell>
          <cell r="DL115">
            <v>0.98405612244897955</v>
          </cell>
          <cell r="DM115">
            <v>0.75765306122448983</v>
          </cell>
          <cell r="DN115">
            <v>0.94068877551020413</v>
          </cell>
          <cell r="DO115">
            <v>-0.786050350258643</v>
          </cell>
          <cell r="DP115">
            <v>1.378496468845797</v>
          </cell>
          <cell r="DQ115">
            <v>0.97236815954894085</v>
          </cell>
          <cell r="DR115">
            <v>0.48495598872521345</v>
          </cell>
          <cell r="DS115">
            <v>5.5482937907828846E-3</v>
          </cell>
        </row>
        <row r="116">
          <cell r="B116" t="str">
            <v>Cash conversion of EBITDA</v>
          </cell>
          <cell r="DE116">
            <v>0.31990231990231988</v>
          </cell>
          <cell r="DF116">
            <v>0.54077010192525476</v>
          </cell>
          <cell r="DG116">
            <v>-4.1543116490166412</v>
          </cell>
          <cell r="DH116">
            <v>0.48186119873817035</v>
          </cell>
          <cell r="DI116">
            <v>5.885815185403178E-4</v>
          </cell>
          <cell r="DJ116">
            <v>1.0254691689008042</v>
          </cell>
          <cell r="DK116">
            <v>-0.66194968553459121</v>
          </cell>
          <cell r="DL116">
            <v>7.8184110970996215E-2</v>
          </cell>
          <cell r="DM116">
            <v>0.2148910411622276</v>
          </cell>
          <cell r="DN116">
            <v>-0.18745917700849118</v>
          </cell>
          <cell r="DO116">
            <v>1.7547161044754065</v>
          </cell>
          <cell r="DP116">
            <v>-2.1680177014626518</v>
          </cell>
          <cell r="DQ116">
            <v>0.42909320220067071</v>
          </cell>
          <cell r="DR116">
            <v>0.45722803401716428</v>
          </cell>
          <cell r="DS116">
            <v>0.4547406473576352</v>
          </cell>
        </row>
        <row r="120">
          <cell r="B120" t="str">
            <v>Book interest expense</v>
          </cell>
          <cell r="W120">
            <v>1263</v>
          </cell>
          <cell r="X120">
            <v>595</v>
          </cell>
          <cell r="Y120">
            <v>311</v>
          </cell>
          <cell r="Z120">
            <v>294</v>
          </cell>
          <cell r="AA120">
            <v>320</v>
          </cell>
          <cell r="AB120">
            <v>469.89664583189341</v>
          </cell>
          <cell r="AC120">
            <v>489.74903205147939</v>
          </cell>
          <cell r="AD120">
            <v>542.48717727319445</v>
          </cell>
          <cell r="AE120">
            <v>564.93563359512075</v>
          </cell>
          <cell r="AF120">
            <v>516.52123185076675</v>
          </cell>
          <cell r="AG120">
            <v>438.51512819697376</v>
          </cell>
          <cell r="DE120">
            <v>169</v>
          </cell>
          <cell r="DF120">
            <v>150</v>
          </cell>
          <cell r="DG120">
            <v>116</v>
          </cell>
          <cell r="DH120">
            <v>95</v>
          </cell>
          <cell r="DI120">
            <v>80</v>
          </cell>
          <cell r="DJ120">
            <v>67</v>
          </cell>
          <cell r="DK120">
            <v>69</v>
          </cell>
          <cell r="DL120">
            <v>69</v>
          </cell>
          <cell r="DM120">
            <v>65</v>
          </cell>
          <cell r="DN120">
            <v>76</v>
          </cell>
          <cell r="DO120">
            <v>80</v>
          </cell>
          <cell r="DP120">
            <v>80</v>
          </cell>
          <cell r="DQ120">
            <v>80</v>
          </cell>
          <cell r="DR120">
            <v>80</v>
          </cell>
          <cell r="DS120">
            <v>80</v>
          </cell>
        </row>
        <row r="121">
          <cell r="B121" t="str">
            <v>Book interest rate</v>
          </cell>
          <cell r="W121">
            <v>0.20793546262759302</v>
          </cell>
          <cell r="X121">
            <v>0.1477893691008445</v>
          </cell>
          <cell r="Y121">
            <v>7.0697885883155259E-2</v>
          </cell>
          <cell r="Z121">
            <v>6.8372093023255809E-2</v>
          </cell>
          <cell r="AA121">
            <v>3.8158033788386655E-2</v>
          </cell>
          <cell r="AB121">
            <v>5.2268405262080361E-2</v>
          </cell>
          <cell r="AC121">
            <v>4.995395458682602E-2</v>
          </cell>
          <cell r="AD121">
            <v>4.9057311117555555E-2</v>
          </cell>
          <cell r="AE121">
            <v>5.2875103975275797E-2</v>
          </cell>
          <cell r="AF121">
            <v>5.6391064596249603E-2</v>
          </cell>
          <cell r="AG121">
            <v>5.7508084313633571E-2</v>
          </cell>
          <cell r="DE121">
            <v>0.11317595847982588</v>
          </cell>
          <cell r="DF121">
            <v>0.10262550243735569</v>
          </cell>
          <cell r="DG121">
            <v>9.409856012979112E-2</v>
          </cell>
          <cell r="DH121">
            <v>9.4316207495656487E-2</v>
          </cell>
          <cell r="DI121">
            <v>7.6821510022806391E-2</v>
          </cell>
          <cell r="DJ121">
            <v>6.1915213122328748E-2</v>
          </cell>
          <cell r="DK121">
            <v>6.3078505313678437E-2</v>
          </cell>
          <cell r="DL121">
            <v>6.2577939009182626E-2</v>
          </cell>
          <cell r="DM121">
            <v>5.880357344792491E-2</v>
          </cell>
          <cell r="DN121">
            <v>5.897187196896217E-2</v>
          </cell>
          <cell r="DO121">
            <v>6.2812837373638242E-2</v>
          </cell>
          <cell r="DP121">
            <v>5.04486129649089E-2</v>
          </cell>
          <cell r="DQ121">
            <v>3.8158033788386655E-2</v>
          </cell>
          <cell r="DR121">
            <v>3.8158033788386655E-2</v>
          </cell>
          <cell r="DS121">
            <v>3.8158033788386655E-2</v>
          </cell>
        </row>
        <row r="122">
          <cell r="B122" t="str">
            <v>Interest rate on new debt, long-term</v>
          </cell>
          <cell r="W122">
            <v>5.9299999999999999E-2</v>
          </cell>
          <cell r="X122">
            <v>5.9299999999999999E-2</v>
          </cell>
          <cell r="Y122">
            <v>5.4374999999999993E-2</v>
          </cell>
          <cell r="Z122">
            <v>5.5E-2</v>
          </cell>
          <cell r="AA122">
            <v>5.5E-2</v>
          </cell>
          <cell r="AB122">
            <v>5.5E-2</v>
          </cell>
          <cell r="AC122">
            <v>5.5E-2</v>
          </cell>
          <cell r="AD122">
            <v>5.5E-2</v>
          </cell>
          <cell r="AE122">
            <v>5.5E-2</v>
          </cell>
          <cell r="AF122">
            <v>5.5E-2</v>
          </cell>
          <cell r="AG122">
            <v>5.5E-2</v>
          </cell>
          <cell r="DF122">
            <v>5.9299999999999999E-2</v>
          </cell>
          <cell r="DG122">
            <v>5.9299999999999999E-2</v>
          </cell>
          <cell r="DH122">
            <v>0.06</v>
          </cell>
          <cell r="DI122">
            <v>5.2499999999999998E-2</v>
          </cell>
          <cell r="DJ122">
            <v>5.2499999999999998E-2</v>
          </cell>
          <cell r="DK122">
            <v>5.2499999999999998E-2</v>
          </cell>
          <cell r="DL122">
            <v>5.2499999999999998E-2</v>
          </cell>
          <cell r="DM122">
            <v>5.2499999999999998E-2</v>
          </cell>
          <cell r="DN122">
            <v>5.2499999999999998E-2</v>
          </cell>
          <cell r="DO122">
            <v>5.2499999999999998E-2</v>
          </cell>
          <cell r="DP122">
            <v>5.2499999999999998E-2</v>
          </cell>
          <cell r="DQ122">
            <v>5.2499999999999998E-2</v>
          </cell>
          <cell r="DR122">
            <v>5.2499999999999998E-2</v>
          </cell>
          <cell r="DS122">
            <v>5.2499999999999998E-2</v>
          </cell>
        </row>
        <row r="123">
          <cell r="B123" t="str">
            <v>Short-term rate, borrow</v>
          </cell>
          <cell r="X123">
            <v>2.2499999999999999E-2</v>
          </cell>
          <cell r="Y123">
            <v>2.5000000000000001E-2</v>
          </cell>
          <cell r="Z123">
            <v>3.2500000000000001E-2</v>
          </cell>
          <cell r="AA123">
            <v>3.5000000000000003E-2</v>
          </cell>
          <cell r="AB123">
            <v>3.5000000000000003E-2</v>
          </cell>
          <cell r="AC123">
            <v>3.5000000000000003E-2</v>
          </cell>
          <cell r="AD123">
            <v>3.5000000000000003E-2</v>
          </cell>
          <cell r="AE123">
            <v>3.5000000000000003E-2</v>
          </cell>
          <cell r="AF123">
            <v>3.5000000000000003E-2</v>
          </cell>
          <cell r="AG123">
            <v>3.5000000000000003E-2</v>
          </cell>
        </row>
        <row r="125">
          <cell r="B125" t="str">
            <v>Book interest income</v>
          </cell>
          <cell r="W125">
            <v>27</v>
          </cell>
          <cell r="X125">
            <v>20</v>
          </cell>
          <cell r="Y125">
            <v>0</v>
          </cell>
          <cell r="Z125">
            <v>0</v>
          </cell>
          <cell r="AA125">
            <v>0</v>
          </cell>
          <cell r="AB125">
            <v>0</v>
          </cell>
          <cell r="AC125">
            <v>0</v>
          </cell>
          <cell r="AD125">
            <v>0</v>
          </cell>
          <cell r="AE125">
            <v>0</v>
          </cell>
          <cell r="AF125">
            <v>0</v>
          </cell>
          <cell r="AG125">
            <v>0</v>
          </cell>
        </row>
        <row r="126">
          <cell r="B126" t="str">
            <v>Short-term rate, lend</v>
          </cell>
          <cell r="W126">
            <v>1.1297071129707114E-2</v>
          </cell>
          <cell r="X126">
            <v>7.5657272555324385E-3</v>
          </cell>
          <cell r="Y126">
            <v>0</v>
          </cell>
          <cell r="Z126">
            <v>0</v>
          </cell>
          <cell r="AA126">
            <v>0</v>
          </cell>
          <cell r="AB126">
            <v>0</v>
          </cell>
          <cell r="AC126">
            <v>0</v>
          </cell>
          <cell r="AD126">
            <v>0</v>
          </cell>
          <cell r="AE126">
            <v>0</v>
          </cell>
          <cell r="AF126">
            <v>0</v>
          </cell>
          <cell r="AG126">
            <v>0</v>
          </cell>
        </row>
        <row r="129">
          <cell r="B129" t="str">
            <v>ABL capacity</v>
          </cell>
          <cell r="V129">
            <v>1750</v>
          </cell>
          <cell r="W129">
            <v>1750</v>
          </cell>
          <cell r="CZ129">
            <v>1750</v>
          </cell>
          <cell r="DA129">
            <v>1750</v>
          </cell>
          <cell r="DB129">
            <v>1750</v>
          </cell>
          <cell r="DC129">
            <v>1750</v>
          </cell>
          <cell r="DD129">
            <v>1750</v>
          </cell>
          <cell r="DE129">
            <v>1750</v>
          </cell>
          <cell r="DF129">
            <v>2200</v>
          </cell>
          <cell r="DG129">
            <v>2200</v>
          </cell>
          <cell r="DJ129">
            <v>3500</v>
          </cell>
          <cell r="DM129">
            <v>3500</v>
          </cell>
          <cell r="DU129">
            <v>1750</v>
          </cell>
        </row>
        <row r="130">
          <cell r="B130" t="str">
            <v>Letter of credit</v>
          </cell>
          <cell r="V130">
            <v>-300</v>
          </cell>
          <cell r="W130">
            <v>-300</v>
          </cell>
          <cell r="CZ130">
            <v>-300</v>
          </cell>
          <cell r="DA130">
            <v>-300</v>
          </cell>
          <cell r="DB130">
            <v>-300</v>
          </cell>
          <cell r="DC130">
            <v>-300</v>
          </cell>
          <cell r="DD130">
            <v>-300</v>
          </cell>
          <cell r="DE130">
            <v>-300</v>
          </cell>
          <cell r="DF130">
            <v>-262</v>
          </cell>
          <cell r="DG130">
            <v>-262</v>
          </cell>
          <cell r="DJ130">
            <v>0</v>
          </cell>
          <cell r="DU130">
            <v>-300</v>
          </cell>
        </row>
        <row r="131">
          <cell r="B131" t="str">
            <v>Minimum reserve</v>
          </cell>
          <cell r="V131">
            <v>-300</v>
          </cell>
          <cell r="W131">
            <v>-300</v>
          </cell>
          <cell r="CZ131">
            <v>-300</v>
          </cell>
          <cell r="DA131">
            <v>-300</v>
          </cell>
          <cell r="DB131">
            <v>-300</v>
          </cell>
          <cell r="DC131">
            <v>-300</v>
          </cell>
          <cell r="DD131">
            <v>-300</v>
          </cell>
          <cell r="DE131">
            <v>-300</v>
          </cell>
          <cell r="DF131">
            <v>-200</v>
          </cell>
          <cell r="DG131">
            <v>-200</v>
          </cell>
          <cell r="DJ131">
            <v>-200</v>
          </cell>
          <cell r="DU131">
            <v>-300</v>
          </cell>
        </row>
        <row r="132">
          <cell r="B132" t="str">
            <v>Total liquidity</v>
          </cell>
          <cell r="W132">
            <v>4903</v>
          </cell>
          <cell r="CZ132">
            <v>3202</v>
          </cell>
          <cell r="DA132">
            <v>4903</v>
          </cell>
          <cell r="DB132">
            <v>5982</v>
          </cell>
          <cell r="DC132">
            <v>5372</v>
          </cell>
          <cell r="DD132">
            <v>5533</v>
          </cell>
          <cell r="DE132">
            <v>5837</v>
          </cell>
          <cell r="DF132">
            <v>7347</v>
          </cell>
          <cell r="DG132">
            <v>2803</v>
          </cell>
          <cell r="DJ132">
            <v>6827</v>
          </cell>
          <cell r="DU132">
            <v>5862</v>
          </cell>
        </row>
        <row r="148">
          <cell r="E148" t="str">
            <v>1992-FY</v>
          </cell>
          <cell r="F148" t="str">
            <v>1993-FY</v>
          </cell>
          <cell r="G148" t="str">
            <v>1994-FY</v>
          </cell>
          <cell r="H148" t="str">
            <v>1995-FY</v>
          </cell>
          <cell r="I148" t="str">
            <v>1996-FY</v>
          </cell>
          <cell r="J148" t="str">
            <v>1997-FY</v>
          </cell>
          <cell r="K148" t="str">
            <v>1998-FY</v>
          </cell>
          <cell r="L148" t="str">
            <v>1999-FY</v>
          </cell>
          <cell r="M148" t="str">
            <v>2000-FY</v>
          </cell>
          <cell r="N148" t="str">
            <v>2001-FY</v>
          </cell>
          <cell r="O148" t="str">
            <v>2002-FY</v>
          </cell>
          <cell r="P148" t="str">
            <v>2003-FY</v>
          </cell>
          <cell r="Q148" t="str">
            <v>2004-FY</v>
          </cell>
          <cell r="R148" t="str">
            <v>2005-FY</v>
          </cell>
          <cell r="S148" t="str">
            <v>2006-FY</v>
          </cell>
          <cell r="T148" t="str">
            <v>2007-FY</v>
          </cell>
          <cell r="U148" t="str">
            <v>2008-FY</v>
          </cell>
          <cell r="V148" t="str">
            <v>2009-FY</v>
          </cell>
          <cell r="W148" t="str">
            <v>2010-FY</v>
          </cell>
          <cell r="X148" t="str">
            <v>2011-FY</v>
          </cell>
          <cell r="Y148" t="str">
            <v>2012-FY</v>
          </cell>
          <cell r="Z148" t="str">
            <v>2013-FY</v>
          </cell>
          <cell r="AA148" t="str">
            <v>2014-FY</v>
          </cell>
          <cell r="AB148" t="str">
            <v>2015-FY</v>
          </cell>
          <cell r="AC148" t="str">
            <v>2016-FY</v>
          </cell>
          <cell r="AD148" t="str">
            <v>2017-FY</v>
          </cell>
          <cell r="AE148" t="str">
            <v>2018-FY</v>
          </cell>
          <cell r="AF148" t="str">
            <v>2019-FY</v>
          </cell>
          <cell r="AG148" t="str">
            <v>2020-FY</v>
          </cell>
          <cell r="CZ148" t="str">
            <v>2010-Q1</v>
          </cell>
          <cell r="DA148" t="str">
            <v>2010-Q2</v>
          </cell>
          <cell r="DB148" t="str">
            <v>2010-Q3</v>
          </cell>
          <cell r="DC148" t="str">
            <v>2010-Q4</v>
          </cell>
          <cell r="DD148" t="str">
            <v>2011-Q1</v>
          </cell>
          <cell r="DE148" t="str">
            <v>2011-Q2</v>
          </cell>
          <cell r="DF148" t="str">
            <v>2011-Q3</v>
          </cell>
          <cell r="DG148" t="str">
            <v>2011-Q4</v>
          </cell>
          <cell r="DH148" t="str">
            <v>2012-Q1</v>
          </cell>
          <cell r="DI148" t="str">
            <v>2012-Q2</v>
          </cell>
          <cell r="DJ148" t="str">
            <v>2012-Q3</v>
          </cell>
          <cell r="DK148" t="str">
            <v>2012-Q4</v>
          </cell>
          <cell r="DL148" t="str">
            <v>2013-Q1</v>
          </cell>
          <cell r="DM148" t="str">
            <v>2013-Q2</v>
          </cell>
          <cell r="DN148" t="str">
            <v>2013-Q3</v>
          </cell>
          <cell r="DO148" t="str">
            <v>2013-Q4</v>
          </cell>
          <cell r="DP148" t="str">
            <v>2014-Q1</v>
          </cell>
          <cell r="DQ148" t="str">
            <v>2014-Q2</v>
          </cell>
          <cell r="DR148" t="str">
            <v>2014-Q3</v>
          </cell>
          <cell r="DS148" t="str">
            <v>2014-Q4</v>
          </cell>
        </row>
      </sheetData>
      <sheetData sheetId="5" refreshError="1">
        <row r="1">
          <cell r="B1" t="str">
            <v>LyondellBasell (LYB)</v>
          </cell>
        </row>
        <row r="2">
          <cell r="B2" t="str">
            <v>Days</v>
          </cell>
          <cell r="D2">
            <v>367</v>
          </cell>
          <cell r="E2">
            <v>366</v>
          </cell>
          <cell r="F2">
            <v>365</v>
          </cell>
          <cell r="G2">
            <v>365</v>
          </cell>
          <cell r="H2">
            <v>366</v>
          </cell>
          <cell r="I2">
            <v>365</v>
          </cell>
          <cell r="J2">
            <v>365</v>
          </cell>
          <cell r="K2">
            <v>365</v>
          </cell>
          <cell r="L2">
            <v>366</v>
          </cell>
          <cell r="M2">
            <v>365</v>
          </cell>
          <cell r="N2">
            <v>365</v>
          </cell>
          <cell r="O2">
            <v>365</v>
          </cell>
          <cell r="P2">
            <v>366</v>
          </cell>
          <cell r="Q2">
            <v>365</v>
          </cell>
          <cell r="R2">
            <v>365</v>
          </cell>
          <cell r="S2">
            <v>365</v>
          </cell>
          <cell r="T2">
            <v>366</v>
          </cell>
          <cell r="U2">
            <v>365</v>
          </cell>
          <cell r="V2">
            <v>365</v>
          </cell>
          <cell r="W2">
            <v>365</v>
          </cell>
          <cell r="X2">
            <v>366</v>
          </cell>
          <cell r="Y2">
            <v>365</v>
          </cell>
          <cell r="Z2">
            <v>365</v>
          </cell>
          <cell r="AA2">
            <v>365</v>
          </cell>
          <cell r="AB2">
            <v>366</v>
          </cell>
          <cell r="AC2">
            <v>365</v>
          </cell>
          <cell r="AD2">
            <v>365</v>
          </cell>
          <cell r="AE2">
            <v>365</v>
          </cell>
          <cell r="AF2">
            <v>366</v>
          </cell>
          <cell r="AI2">
            <v>90</v>
          </cell>
          <cell r="AJ2">
            <v>91</v>
          </cell>
          <cell r="AK2">
            <v>92</v>
          </cell>
          <cell r="AL2">
            <v>92</v>
          </cell>
          <cell r="AM2">
            <v>90</v>
          </cell>
          <cell r="AN2">
            <v>91</v>
          </cell>
          <cell r="AO2">
            <v>92</v>
          </cell>
          <cell r="AP2">
            <v>92</v>
          </cell>
          <cell r="AQ2">
            <v>90</v>
          </cell>
          <cell r="AR2">
            <v>91</v>
          </cell>
          <cell r="AS2">
            <v>92</v>
          </cell>
          <cell r="AT2">
            <v>92</v>
          </cell>
          <cell r="AU2">
            <v>91</v>
          </cell>
          <cell r="AV2">
            <v>91</v>
          </cell>
          <cell r="AW2">
            <v>92</v>
          </cell>
          <cell r="AX2">
            <v>92</v>
          </cell>
          <cell r="AY2">
            <v>90</v>
          </cell>
          <cell r="AZ2">
            <v>91</v>
          </cell>
          <cell r="BA2">
            <v>92</v>
          </cell>
          <cell r="BB2">
            <v>92</v>
          </cell>
          <cell r="BC2">
            <v>90</v>
          </cell>
          <cell r="BD2">
            <v>91</v>
          </cell>
          <cell r="BE2">
            <v>92</v>
          </cell>
          <cell r="BF2">
            <v>92</v>
          </cell>
          <cell r="BG2">
            <v>90</v>
          </cell>
          <cell r="BH2">
            <v>91</v>
          </cell>
          <cell r="BI2">
            <v>92</v>
          </cell>
          <cell r="BJ2">
            <v>92</v>
          </cell>
          <cell r="BK2">
            <v>91</v>
          </cell>
          <cell r="BL2">
            <v>91</v>
          </cell>
          <cell r="BM2">
            <v>92</v>
          </cell>
          <cell r="BN2">
            <v>92</v>
          </cell>
          <cell r="BO2">
            <v>90</v>
          </cell>
          <cell r="BP2">
            <v>91</v>
          </cell>
          <cell r="BQ2">
            <v>92</v>
          </cell>
          <cell r="BR2">
            <v>92</v>
          </cell>
          <cell r="BS2">
            <v>90</v>
          </cell>
          <cell r="BT2">
            <v>91</v>
          </cell>
          <cell r="BU2">
            <v>92</v>
          </cell>
          <cell r="BV2">
            <v>92</v>
          </cell>
          <cell r="BW2">
            <v>90</v>
          </cell>
          <cell r="BX2">
            <v>91</v>
          </cell>
          <cell r="BY2">
            <v>92</v>
          </cell>
          <cell r="BZ2">
            <v>92</v>
          </cell>
          <cell r="CA2">
            <v>91</v>
          </cell>
          <cell r="CB2">
            <v>91</v>
          </cell>
          <cell r="CC2">
            <v>92</v>
          </cell>
          <cell r="CD2">
            <v>92</v>
          </cell>
          <cell r="CE2">
            <v>90</v>
          </cell>
          <cell r="CF2">
            <v>91</v>
          </cell>
          <cell r="CG2">
            <v>92</v>
          </cell>
          <cell r="CH2">
            <v>92</v>
          </cell>
          <cell r="CI2">
            <v>90</v>
          </cell>
          <cell r="CJ2">
            <v>91</v>
          </cell>
          <cell r="CK2">
            <v>92</v>
          </cell>
          <cell r="CL2">
            <v>92</v>
          </cell>
          <cell r="CM2">
            <v>90</v>
          </cell>
          <cell r="CN2">
            <v>91</v>
          </cell>
          <cell r="CO2">
            <v>92</v>
          </cell>
          <cell r="CP2">
            <v>92</v>
          </cell>
          <cell r="CQ2">
            <v>91</v>
          </cell>
          <cell r="CR2">
            <v>91</v>
          </cell>
          <cell r="CS2">
            <v>92</v>
          </cell>
          <cell r="CT2">
            <v>92</v>
          </cell>
          <cell r="CU2">
            <v>90</v>
          </cell>
          <cell r="CV2">
            <v>91</v>
          </cell>
          <cell r="CW2">
            <v>92</v>
          </cell>
          <cell r="CX2">
            <v>92</v>
          </cell>
          <cell r="CY2">
            <v>90</v>
          </cell>
          <cell r="CZ2">
            <v>91</v>
          </cell>
          <cell r="DA2">
            <v>92</v>
          </cell>
          <cell r="DB2">
            <v>92</v>
          </cell>
          <cell r="DC2">
            <v>90</v>
          </cell>
          <cell r="DD2">
            <v>91</v>
          </cell>
          <cell r="DE2">
            <v>92</v>
          </cell>
          <cell r="DF2">
            <v>92</v>
          </cell>
          <cell r="DG2">
            <v>91</v>
          </cell>
          <cell r="DH2">
            <v>91</v>
          </cell>
          <cell r="DI2">
            <v>92</v>
          </cell>
          <cell r="DJ2">
            <v>92</v>
          </cell>
          <cell r="DK2">
            <v>90</v>
          </cell>
          <cell r="DL2">
            <v>91</v>
          </cell>
          <cell r="DM2">
            <v>92</v>
          </cell>
          <cell r="DN2">
            <v>92</v>
          </cell>
          <cell r="DO2">
            <v>90</v>
          </cell>
          <cell r="DP2">
            <v>91</v>
          </cell>
          <cell r="DQ2">
            <v>92</v>
          </cell>
          <cell r="DR2">
            <v>92</v>
          </cell>
          <cell r="DT2">
            <v>91</v>
          </cell>
        </row>
        <row r="3">
          <cell r="B3" t="str">
            <v>Frequency</v>
          </cell>
          <cell r="C3" t="str">
            <v>A</v>
          </cell>
          <cell r="D3" t="str">
            <v>A</v>
          </cell>
          <cell r="E3" t="str">
            <v>A</v>
          </cell>
          <cell r="F3" t="str">
            <v>A</v>
          </cell>
          <cell r="G3" t="str">
            <v>A</v>
          </cell>
          <cell r="H3" t="str">
            <v>A</v>
          </cell>
          <cell r="I3" t="str">
            <v>A</v>
          </cell>
          <cell r="J3" t="str">
            <v>A</v>
          </cell>
          <cell r="K3" t="str">
            <v>A</v>
          </cell>
          <cell r="L3" t="str">
            <v>A</v>
          </cell>
          <cell r="M3" t="str">
            <v>A</v>
          </cell>
          <cell r="N3" t="str">
            <v>A</v>
          </cell>
          <cell r="O3" t="str">
            <v>A</v>
          </cell>
          <cell r="P3" t="str">
            <v>A</v>
          </cell>
          <cell r="Q3" t="str">
            <v>A</v>
          </cell>
          <cell r="R3" t="str">
            <v>A</v>
          </cell>
          <cell r="S3" t="str">
            <v>A</v>
          </cell>
          <cell r="T3" t="str">
            <v>A</v>
          </cell>
          <cell r="U3" t="str">
            <v>A</v>
          </cell>
          <cell r="V3" t="str">
            <v>A</v>
          </cell>
          <cell r="W3" t="str">
            <v>A</v>
          </cell>
          <cell r="X3" t="str">
            <v>A</v>
          </cell>
          <cell r="Y3" t="str">
            <v>A</v>
          </cell>
          <cell r="Z3" t="str">
            <v>A</v>
          </cell>
          <cell r="AA3" t="str">
            <v>A</v>
          </cell>
          <cell r="AB3" t="str">
            <v>A</v>
          </cell>
          <cell r="AC3" t="str">
            <v>A</v>
          </cell>
          <cell r="AD3" t="str">
            <v>A</v>
          </cell>
          <cell r="AE3" t="str">
            <v>A</v>
          </cell>
          <cell r="AF3" t="str">
            <v>A</v>
          </cell>
          <cell r="AI3" t="str">
            <v>Q</v>
          </cell>
          <cell r="AJ3" t="str">
            <v>Q</v>
          </cell>
          <cell r="AK3" t="str">
            <v>Q</v>
          </cell>
          <cell r="AL3" t="str">
            <v>Q</v>
          </cell>
          <cell r="AM3" t="str">
            <v>Q</v>
          </cell>
          <cell r="AN3" t="str">
            <v>Q</v>
          </cell>
          <cell r="AO3" t="str">
            <v>Q</v>
          </cell>
          <cell r="AP3" t="str">
            <v>Q</v>
          </cell>
          <cell r="AQ3" t="str">
            <v>Q</v>
          </cell>
          <cell r="AR3" t="str">
            <v>Q</v>
          </cell>
          <cell r="AS3" t="str">
            <v>Q</v>
          </cell>
          <cell r="AT3" t="str">
            <v>Q</v>
          </cell>
          <cell r="AU3" t="str">
            <v>Q</v>
          </cell>
          <cell r="AV3" t="str">
            <v>Q</v>
          </cell>
          <cell r="AW3" t="str">
            <v>Q</v>
          </cell>
          <cell r="AX3" t="str">
            <v>Q</v>
          </cell>
          <cell r="AY3" t="str">
            <v>Q</v>
          </cell>
          <cell r="AZ3" t="str">
            <v>Q</v>
          </cell>
          <cell r="BA3" t="str">
            <v>Q</v>
          </cell>
          <cell r="BB3" t="str">
            <v>Q</v>
          </cell>
          <cell r="BC3" t="str">
            <v>Q</v>
          </cell>
          <cell r="BD3" t="str">
            <v>Q</v>
          </cell>
          <cell r="BE3" t="str">
            <v>Q</v>
          </cell>
          <cell r="BF3" t="str">
            <v>Q</v>
          </cell>
          <cell r="BG3" t="str">
            <v>Q</v>
          </cell>
          <cell r="BH3" t="str">
            <v>Q</v>
          </cell>
          <cell r="BI3" t="str">
            <v>Q</v>
          </cell>
          <cell r="BJ3" t="str">
            <v>Q</v>
          </cell>
          <cell r="BK3" t="str">
            <v>Q</v>
          </cell>
          <cell r="BL3" t="str">
            <v>Q</v>
          </cell>
          <cell r="BM3" t="str">
            <v>Q</v>
          </cell>
          <cell r="BN3" t="str">
            <v>Q</v>
          </cell>
          <cell r="BO3" t="str">
            <v>Q</v>
          </cell>
          <cell r="BP3" t="str">
            <v>Q</v>
          </cell>
          <cell r="BQ3" t="str">
            <v>Q</v>
          </cell>
          <cell r="BR3" t="str">
            <v>Q</v>
          </cell>
          <cell r="BS3" t="str">
            <v>Q</v>
          </cell>
          <cell r="BT3" t="str">
            <v>Q</v>
          </cell>
          <cell r="BU3" t="str">
            <v>Q</v>
          </cell>
          <cell r="BV3" t="str">
            <v>Q</v>
          </cell>
          <cell r="BW3" t="str">
            <v>Q</v>
          </cell>
          <cell r="BX3" t="str">
            <v>Q</v>
          </cell>
          <cell r="BY3" t="str">
            <v>Q</v>
          </cell>
          <cell r="BZ3" t="str">
            <v>Q</v>
          </cell>
          <cell r="CA3" t="str">
            <v>Q</v>
          </cell>
          <cell r="CB3" t="str">
            <v>Q</v>
          </cell>
          <cell r="CC3" t="str">
            <v>Q</v>
          </cell>
          <cell r="CD3" t="str">
            <v>Q</v>
          </cell>
          <cell r="CE3" t="str">
            <v>Q</v>
          </cell>
          <cell r="CF3" t="str">
            <v>Q</v>
          </cell>
          <cell r="CG3" t="str">
            <v>Q</v>
          </cell>
          <cell r="CH3" t="str">
            <v>Q</v>
          </cell>
          <cell r="CI3" t="str">
            <v>Q</v>
          </cell>
          <cell r="CJ3" t="str">
            <v>Q</v>
          </cell>
          <cell r="CK3" t="str">
            <v>Q</v>
          </cell>
          <cell r="CL3" t="str">
            <v>Q</v>
          </cell>
          <cell r="CM3" t="str">
            <v>Q</v>
          </cell>
          <cell r="CN3" t="str">
            <v>Q</v>
          </cell>
          <cell r="CO3" t="str">
            <v>Q</v>
          </cell>
          <cell r="CP3" t="str">
            <v>Q</v>
          </cell>
          <cell r="CQ3" t="str">
            <v>Q</v>
          </cell>
          <cell r="CR3" t="str">
            <v>Q</v>
          </cell>
          <cell r="CS3" t="str">
            <v>Q</v>
          </cell>
          <cell r="CT3" t="str">
            <v>Q</v>
          </cell>
          <cell r="CU3" t="str">
            <v>Q</v>
          </cell>
          <cell r="CV3" t="str">
            <v>Q</v>
          </cell>
          <cell r="CW3" t="str">
            <v>Q</v>
          </cell>
          <cell r="CX3" t="str">
            <v>Q</v>
          </cell>
          <cell r="CY3" t="str">
            <v>Q</v>
          </cell>
          <cell r="CZ3" t="str">
            <v>Q</v>
          </cell>
          <cell r="DA3" t="str">
            <v>Q</v>
          </cell>
          <cell r="DB3" t="str">
            <v>Q</v>
          </cell>
          <cell r="DC3" t="str">
            <v>Q</v>
          </cell>
          <cell r="DD3" t="str">
            <v>Q</v>
          </cell>
          <cell r="DE3" t="str">
            <v>Q</v>
          </cell>
          <cell r="DF3" t="str">
            <v>Q</v>
          </cell>
          <cell r="DG3" t="str">
            <v>Q</v>
          </cell>
          <cell r="DH3" t="str">
            <v>Q</v>
          </cell>
          <cell r="DI3" t="str">
            <v>Q</v>
          </cell>
          <cell r="DJ3" t="str">
            <v>Q</v>
          </cell>
          <cell r="DK3" t="str">
            <v>Q</v>
          </cell>
          <cell r="DL3" t="str">
            <v>Q</v>
          </cell>
          <cell r="DM3" t="str">
            <v>Q</v>
          </cell>
          <cell r="DN3" t="str">
            <v>Q</v>
          </cell>
          <cell r="DO3" t="str">
            <v>Q</v>
          </cell>
          <cell r="DP3" t="str">
            <v>Q</v>
          </cell>
          <cell r="DQ3" t="str">
            <v>Q</v>
          </cell>
          <cell r="DR3" t="str">
            <v>Q</v>
          </cell>
          <cell r="DT3" t="str">
            <v>Q</v>
          </cell>
        </row>
        <row r="4">
          <cell r="B4" t="str">
            <v>Date</v>
          </cell>
          <cell r="C4">
            <v>33601</v>
          </cell>
          <cell r="D4">
            <v>33968</v>
          </cell>
          <cell r="E4">
            <v>34334</v>
          </cell>
          <cell r="F4">
            <v>34699</v>
          </cell>
          <cell r="G4">
            <v>35064</v>
          </cell>
          <cell r="H4">
            <v>35430</v>
          </cell>
          <cell r="I4">
            <v>35795</v>
          </cell>
          <cell r="J4">
            <v>36160</v>
          </cell>
          <cell r="K4">
            <v>36525</v>
          </cell>
          <cell r="L4">
            <v>36891</v>
          </cell>
          <cell r="M4">
            <v>37256</v>
          </cell>
          <cell r="N4">
            <v>37621</v>
          </cell>
          <cell r="O4">
            <v>37986</v>
          </cell>
          <cell r="P4">
            <v>38352</v>
          </cell>
          <cell r="Q4">
            <v>38717</v>
          </cell>
          <cell r="R4">
            <v>39082</v>
          </cell>
          <cell r="S4">
            <v>39447</v>
          </cell>
          <cell r="T4">
            <v>39813</v>
          </cell>
          <cell r="U4">
            <v>40178</v>
          </cell>
          <cell r="V4">
            <v>40543</v>
          </cell>
          <cell r="W4">
            <v>40908</v>
          </cell>
          <cell r="X4">
            <v>41274</v>
          </cell>
          <cell r="Y4">
            <v>41639</v>
          </cell>
          <cell r="Z4">
            <v>42004</v>
          </cell>
          <cell r="AA4">
            <v>42369</v>
          </cell>
          <cell r="AB4">
            <v>42735</v>
          </cell>
          <cell r="AC4">
            <v>43100</v>
          </cell>
          <cell r="AD4">
            <v>43465</v>
          </cell>
          <cell r="AE4">
            <v>43830</v>
          </cell>
          <cell r="AF4">
            <v>44196</v>
          </cell>
          <cell r="AH4">
            <v>33969</v>
          </cell>
          <cell r="AI4">
            <v>34059</v>
          </cell>
          <cell r="AJ4">
            <v>34150</v>
          </cell>
          <cell r="AK4">
            <v>34242</v>
          </cell>
          <cell r="AL4">
            <v>34334</v>
          </cell>
          <cell r="AM4">
            <v>34424</v>
          </cell>
          <cell r="AN4">
            <v>34515</v>
          </cell>
          <cell r="AO4">
            <v>34607</v>
          </cell>
          <cell r="AP4">
            <v>34699</v>
          </cell>
          <cell r="AQ4">
            <v>34789</v>
          </cell>
          <cell r="AR4">
            <v>34880</v>
          </cell>
          <cell r="AS4">
            <v>34972</v>
          </cell>
          <cell r="AT4">
            <v>35064</v>
          </cell>
          <cell r="AU4">
            <v>35155</v>
          </cell>
          <cell r="AV4">
            <v>35246</v>
          </cell>
          <cell r="AW4">
            <v>35338</v>
          </cell>
          <cell r="AX4">
            <v>35430</v>
          </cell>
          <cell r="AY4">
            <v>35520</v>
          </cell>
          <cell r="AZ4">
            <v>35611</v>
          </cell>
          <cell r="BA4">
            <v>35703</v>
          </cell>
          <cell r="BB4">
            <v>35795</v>
          </cell>
          <cell r="BC4">
            <v>35885</v>
          </cell>
          <cell r="BD4">
            <v>35976</v>
          </cell>
          <cell r="BE4">
            <v>36068</v>
          </cell>
          <cell r="BF4">
            <v>36160</v>
          </cell>
          <cell r="BG4">
            <v>36250</v>
          </cell>
          <cell r="BH4">
            <v>36341</v>
          </cell>
          <cell r="BI4">
            <v>36433</v>
          </cell>
          <cell r="BJ4">
            <v>36525</v>
          </cell>
          <cell r="BK4">
            <v>36616</v>
          </cell>
          <cell r="BL4">
            <v>36707</v>
          </cell>
          <cell r="BM4">
            <v>36799</v>
          </cell>
          <cell r="BN4">
            <v>36891</v>
          </cell>
          <cell r="BO4">
            <v>36981</v>
          </cell>
          <cell r="BP4">
            <v>37072</v>
          </cell>
          <cell r="BQ4">
            <v>37164</v>
          </cell>
          <cell r="BR4">
            <v>37256</v>
          </cell>
          <cell r="BS4">
            <v>37346</v>
          </cell>
          <cell r="BT4">
            <v>37437</v>
          </cell>
          <cell r="BU4">
            <v>37529</v>
          </cell>
          <cell r="BV4">
            <v>37621</v>
          </cell>
          <cell r="BW4">
            <v>37711</v>
          </cell>
          <cell r="BX4">
            <v>37802</v>
          </cell>
          <cell r="BY4">
            <v>37894</v>
          </cell>
          <cell r="BZ4">
            <v>37986</v>
          </cell>
          <cell r="CA4">
            <v>38077</v>
          </cell>
          <cell r="CB4">
            <v>38168</v>
          </cell>
          <cell r="CC4">
            <v>38260</v>
          </cell>
          <cell r="CD4">
            <v>38352</v>
          </cell>
          <cell r="CE4">
            <v>38442</v>
          </cell>
          <cell r="CF4">
            <v>38533</v>
          </cell>
          <cell r="CG4">
            <v>38625</v>
          </cell>
          <cell r="CH4">
            <v>38717</v>
          </cell>
          <cell r="CI4">
            <v>38807</v>
          </cell>
          <cell r="CJ4">
            <v>38898</v>
          </cell>
          <cell r="CK4">
            <v>38990</v>
          </cell>
          <cell r="CL4">
            <v>39082</v>
          </cell>
          <cell r="CM4">
            <v>39172</v>
          </cell>
          <cell r="CN4">
            <v>39263</v>
          </cell>
          <cell r="CO4">
            <v>39355</v>
          </cell>
          <cell r="CP4">
            <v>39447</v>
          </cell>
          <cell r="CQ4">
            <v>39538</v>
          </cell>
          <cell r="CR4">
            <v>39629</v>
          </cell>
          <cell r="CS4">
            <v>39721</v>
          </cell>
          <cell r="CT4">
            <v>39813</v>
          </cell>
          <cell r="CU4">
            <v>39903</v>
          </cell>
          <cell r="CV4">
            <v>39994</v>
          </cell>
          <cell r="CW4">
            <v>40086</v>
          </cell>
          <cell r="CX4">
            <v>40178</v>
          </cell>
          <cell r="CY4">
            <v>40268</v>
          </cell>
          <cell r="CZ4">
            <v>40359</v>
          </cell>
          <cell r="DA4">
            <v>40451</v>
          </cell>
          <cell r="DB4">
            <v>40543</v>
          </cell>
          <cell r="DC4">
            <v>40633</v>
          </cell>
          <cell r="DD4">
            <v>40724</v>
          </cell>
          <cell r="DE4">
            <v>40816</v>
          </cell>
          <cell r="DF4">
            <v>40908</v>
          </cell>
          <cell r="DG4">
            <v>40999</v>
          </cell>
          <cell r="DH4">
            <v>41090</v>
          </cell>
          <cell r="DI4">
            <v>41182</v>
          </cell>
          <cell r="DJ4">
            <v>41274</v>
          </cell>
          <cell r="DK4">
            <v>41364</v>
          </cell>
          <cell r="DL4">
            <v>41455</v>
          </cell>
          <cell r="DM4">
            <v>41547</v>
          </cell>
          <cell r="DN4">
            <v>41639</v>
          </cell>
          <cell r="DO4">
            <v>41729</v>
          </cell>
          <cell r="DP4">
            <v>41820</v>
          </cell>
          <cell r="DQ4">
            <v>41912</v>
          </cell>
          <cell r="DR4">
            <v>42004</v>
          </cell>
          <cell r="DT4">
            <v>41455</v>
          </cell>
        </row>
        <row r="5">
          <cell r="B5" t="str">
            <v>Year</v>
          </cell>
          <cell r="C5">
            <v>1991</v>
          </cell>
          <cell r="D5">
            <v>1992</v>
          </cell>
          <cell r="E5">
            <v>1993</v>
          </cell>
          <cell r="F5">
            <v>1994</v>
          </cell>
          <cell r="G5">
            <v>1995</v>
          </cell>
          <cell r="H5">
            <v>1996</v>
          </cell>
          <cell r="I5">
            <v>1997</v>
          </cell>
          <cell r="J5">
            <v>1998</v>
          </cell>
          <cell r="K5">
            <v>1999</v>
          </cell>
          <cell r="L5">
            <v>2000</v>
          </cell>
          <cell r="M5">
            <v>2001</v>
          </cell>
          <cell r="N5">
            <v>2002</v>
          </cell>
          <cell r="O5">
            <v>2003</v>
          </cell>
          <cell r="P5">
            <v>2004</v>
          </cell>
          <cell r="Q5">
            <v>2005</v>
          </cell>
          <cell r="R5">
            <v>2006</v>
          </cell>
          <cell r="S5">
            <v>2007</v>
          </cell>
          <cell r="T5">
            <v>2008</v>
          </cell>
          <cell r="U5">
            <v>2009</v>
          </cell>
          <cell r="V5">
            <v>2010</v>
          </cell>
          <cell r="W5">
            <v>2011</v>
          </cell>
          <cell r="X5">
            <v>2012</v>
          </cell>
          <cell r="Y5">
            <v>2013</v>
          </cell>
          <cell r="Z5">
            <v>2014</v>
          </cell>
          <cell r="AA5">
            <v>2015</v>
          </cell>
          <cell r="AB5">
            <v>2016</v>
          </cell>
          <cell r="AC5">
            <v>2017</v>
          </cell>
          <cell r="AD5">
            <v>2018</v>
          </cell>
          <cell r="AE5">
            <v>2019</v>
          </cell>
          <cell r="AF5">
            <v>2020</v>
          </cell>
          <cell r="AI5">
            <v>1993</v>
          </cell>
          <cell r="AJ5">
            <v>1993</v>
          </cell>
          <cell r="AK5">
            <v>1993</v>
          </cell>
          <cell r="AL5">
            <v>1993</v>
          </cell>
          <cell r="AM5">
            <v>1994</v>
          </cell>
          <cell r="AN5">
            <v>1994</v>
          </cell>
          <cell r="AO5">
            <v>1994</v>
          </cell>
          <cell r="AP5">
            <v>1994</v>
          </cell>
          <cell r="AQ5">
            <v>1995</v>
          </cell>
          <cell r="AR5">
            <v>1995</v>
          </cell>
          <cell r="AS5">
            <v>1995</v>
          </cell>
          <cell r="AT5">
            <v>1995</v>
          </cell>
          <cell r="AU5">
            <v>1996</v>
          </cell>
          <cell r="AV5">
            <v>1996</v>
          </cell>
          <cell r="AW5">
            <v>1996</v>
          </cell>
          <cell r="AX5">
            <v>1996</v>
          </cell>
          <cell r="AY5">
            <v>1997</v>
          </cell>
          <cell r="AZ5">
            <v>1997</v>
          </cell>
          <cell r="BA5">
            <v>1997</v>
          </cell>
          <cell r="BB5">
            <v>1997</v>
          </cell>
          <cell r="BC5">
            <v>1998</v>
          </cell>
          <cell r="BD5">
            <v>1998</v>
          </cell>
          <cell r="BE5">
            <v>1998</v>
          </cell>
          <cell r="BF5">
            <v>1998</v>
          </cell>
          <cell r="BG5">
            <v>1999</v>
          </cell>
          <cell r="BH5">
            <v>1999</v>
          </cell>
          <cell r="BI5">
            <v>1999</v>
          </cell>
          <cell r="BJ5">
            <v>1999</v>
          </cell>
          <cell r="BK5">
            <v>2000</v>
          </cell>
          <cell r="BL5">
            <v>2000</v>
          </cell>
          <cell r="BM5">
            <v>2000</v>
          </cell>
          <cell r="BN5">
            <v>2000</v>
          </cell>
          <cell r="BO5">
            <v>2001</v>
          </cell>
          <cell r="BP5">
            <v>2001</v>
          </cell>
          <cell r="BQ5">
            <v>2001</v>
          </cell>
          <cell r="BR5">
            <v>2001</v>
          </cell>
          <cell r="BS5">
            <v>2002</v>
          </cell>
          <cell r="BT5">
            <v>2002</v>
          </cell>
          <cell r="BU5">
            <v>2002</v>
          </cell>
          <cell r="BV5">
            <v>2002</v>
          </cell>
          <cell r="BW5">
            <v>2003</v>
          </cell>
          <cell r="BX5">
            <v>2003</v>
          </cell>
          <cell r="BY5">
            <v>2003</v>
          </cell>
          <cell r="BZ5">
            <v>2003</v>
          </cell>
          <cell r="CA5">
            <v>2004</v>
          </cell>
          <cell r="CB5">
            <v>2004</v>
          </cell>
          <cell r="CC5">
            <v>2004</v>
          </cell>
          <cell r="CD5">
            <v>2004</v>
          </cell>
          <cell r="CE5">
            <v>2005</v>
          </cell>
          <cell r="CF5">
            <v>2005</v>
          </cell>
          <cell r="CG5">
            <v>2005</v>
          </cell>
          <cell r="CH5">
            <v>2005</v>
          </cell>
          <cell r="CI5">
            <v>2006</v>
          </cell>
          <cell r="CJ5">
            <v>2006</v>
          </cell>
          <cell r="CK5">
            <v>2006</v>
          </cell>
          <cell r="CL5">
            <v>2006</v>
          </cell>
          <cell r="CM5">
            <v>2007</v>
          </cell>
          <cell r="CN5">
            <v>2007</v>
          </cell>
          <cell r="CO5">
            <v>2007</v>
          </cell>
          <cell r="CP5">
            <v>2007</v>
          </cell>
          <cell r="CQ5">
            <v>2008</v>
          </cell>
          <cell r="CR5">
            <v>2008</v>
          </cell>
          <cell r="CS5">
            <v>2008</v>
          </cell>
          <cell r="CT5">
            <v>2008</v>
          </cell>
          <cell r="CU5">
            <v>2009</v>
          </cell>
          <cell r="CV5">
            <v>2009</v>
          </cell>
          <cell r="CW5">
            <v>2009</v>
          </cell>
          <cell r="CX5">
            <v>2009</v>
          </cell>
          <cell r="CY5">
            <v>2010</v>
          </cell>
          <cell r="CZ5">
            <v>2010</v>
          </cell>
          <cell r="DA5">
            <v>2010</v>
          </cell>
          <cell r="DB5">
            <v>2010</v>
          </cell>
          <cell r="DC5">
            <v>2011</v>
          </cell>
          <cell r="DD5">
            <v>2011</v>
          </cell>
          <cell r="DE5">
            <v>2011</v>
          </cell>
          <cell r="DF5">
            <v>2011</v>
          </cell>
          <cell r="DG5">
            <v>2012</v>
          </cell>
          <cell r="DH5">
            <v>2012</v>
          </cell>
          <cell r="DI5">
            <v>2012</v>
          </cell>
          <cell r="DJ5">
            <v>2012</v>
          </cell>
          <cell r="DK5">
            <v>2013</v>
          </cell>
          <cell r="DL5">
            <v>2013</v>
          </cell>
          <cell r="DM5">
            <v>2013</v>
          </cell>
          <cell r="DN5">
            <v>2013</v>
          </cell>
          <cell r="DO5">
            <v>2014</v>
          </cell>
          <cell r="DP5">
            <v>2014</v>
          </cell>
          <cell r="DQ5">
            <v>2014</v>
          </cell>
          <cell r="DR5">
            <v>2014</v>
          </cell>
          <cell r="DT5">
            <v>2013</v>
          </cell>
        </row>
        <row r="6">
          <cell r="B6" t="str">
            <v>Quarter</v>
          </cell>
          <cell r="AI6" t="str">
            <v>1993q1</v>
          </cell>
          <cell r="AJ6" t="str">
            <v>1993q2</v>
          </cell>
          <cell r="AK6" t="str">
            <v>1993q3</v>
          </cell>
          <cell r="AL6" t="str">
            <v>1993q4</v>
          </cell>
          <cell r="AM6" t="str">
            <v>1994q1</v>
          </cell>
          <cell r="AN6" t="str">
            <v>1994q2</v>
          </cell>
          <cell r="AO6" t="str">
            <v>1994q3</v>
          </cell>
          <cell r="AP6" t="str">
            <v>1994q4</v>
          </cell>
          <cell r="AQ6" t="str">
            <v>1995q1</v>
          </cell>
          <cell r="AR6" t="str">
            <v>1995q2</v>
          </cell>
          <cell r="AS6" t="str">
            <v>1995q3</v>
          </cell>
          <cell r="AT6" t="str">
            <v>1995q4</v>
          </cell>
          <cell r="AU6" t="str">
            <v>1996q1</v>
          </cell>
          <cell r="AV6" t="str">
            <v>1996q2</v>
          </cell>
          <cell r="AW6" t="str">
            <v>1996q3</v>
          </cell>
          <cell r="AX6" t="str">
            <v>1996q4</v>
          </cell>
          <cell r="AY6" t="str">
            <v>1997q1</v>
          </cell>
          <cell r="AZ6" t="str">
            <v>1997q2</v>
          </cell>
          <cell r="BA6" t="str">
            <v>1997q3</v>
          </cell>
          <cell r="BB6" t="str">
            <v>1997q4</v>
          </cell>
          <cell r="BC6" t="str">
            <v>1998q1</v>
          </cell>
          <cell r="BD6" t="str">
            <v>1998q2</v>
          </cell>
          <cell r="BE6" t="str">
            <v>1998q3</v>
          </cell>
          <cell r="BF6" t="str">
            <v>1998q4</v>
          </cell>
          <cell r="BG6" t="str">
            <v>1999q1</v>
          </cell>
          <cell r="BH6" t="str">
            <v>1999q2</v>
          </cell>
          <cell r="BI6" t="str">
            <v>1999q3</v>
          </cell>
          <cell r="BJ6" t="str">
            <v>1999q4</v>
          </cell>
          <cell r="BK6" t="str">
            <v>2000q1</v>
          </cell>
          <cell r="BL6" t="str">
            <v>2000q2</v>
          </cell>
          <cell r="BM6" t="str">
            <v>2000q3</v>
          </cell>
          <cell r="BN6" t="str">
            <v>2000q4</v>
          </cell>
          <cell r="BO6" t="str">
            <v>2001q1</v>
          </cell>
          <cell r="BP6" t="str">
            <v>2001q2</v>
          </cell>
          <cell r="BQ6" t="str">
            <v>2001q3</v>
          </cell>
          <cell r="BR6" t="str">
            <v>2001q4</v>
          </cell>
          <cell r="BS6" t="str">
            <v>2002q1</v>
          </cell>
          <cell r="BT6" t="str">
            <v>2002q2</v>
          </cell>
          <cell r="BU6" t="str">
            <v>2002q3</v>
          </cell>
          <cell r="BV6" t="str">
            <v>2002q4</v>
          </cell>
          <cell r="BW6" t="str">
            <v>2003q1</v>
          </cell>
          <cell r="BX6" t="str">
            <v>2003q2</v>
          </cell>
          <cell r="BY6" t="str">
            <v>2003q3</v>
          </cell>
          <cell r="BZ6" t="str">
            <v>2003q4</v>
          </cell>
          <cell r="CA6" t="str">
            <v>2004q1</v>
          </cell>
          <cell r="CB6" t="str">
            <v>2004q2</v>
          </cell>
          <cell r="CC6" t="str">
            <v>2004q3</v>
          </cell>
          <cell r="CD6" t="str">
            <v>2004q4</v>
          </cell>
          <cell r="CE6" t="str">
            <v>2005q1</v>
          </cell>
          <cell r="CF6" t="str">
            <v>2005q2</v>
          </cell>
          <cell r="CG6" t="str">
            <v>2005q3</v>
          </cell>
          <cell r="CH6" t="str">
            <v>2005q4</v>
          </cell>
          <cell r="CI6" t="str">
            <v>2006q1</v>
          </cell>
          <cell r="CJ6" t="str">
            <v>2006q2</v>
          </cell>
          <cell r="CK6" t="str">
            <v>2006q3</v>
          </cell>
          <cell r="CL6" t="str">
            <v>2006q4</v>
          </cell>
          <cell r="CM6" t="str">
            <v>2007q1</v>
          </cell>
          <cell r="CN6" t="str">
            <v>2007q2</v>
          </cell>
          <cell r="CO6" t="str">
            <v>2007q3</v>
          </cell>
          <cell r="CP6" t="str">
            <v>2007q4</v>
          </cell>
          <cell r="CQ6" t="str">
            <v>2008q1</v>
          </cell>
          <cell r="CR6" t="str">
            <v>2008q2</v>
          </cell>
          <cell r="CS6" t="str">
            <v>2008q3</v>
          </cell>
          <cell r="CT6" t="str">
            <v>2008q4</v>
          </cell>
          <cell r="CU6" t="str">
            <v>2009q1</v>
          </cell>
          <cell r="CV6" t="str">
            <v>2009q2</v>
          </cell>
          <cell r="CW6" t="str">
            <v>2009q3</v>
          </cell>
          <cell r="CX6" t="str">
            <v>2009q4</v>
          </cell>
          <cell r="CY6" t="str">
            <v>2010q1</v>
          </cell>
          <cell r="CZ6" t="str">
            <v>2010q2</v>
          </cell>
          <cell r="DA6" t="str">
            <v>2010q3</v>
          </cell>
          <cell r="DB6" t="str">
            <v>2010q4</v>
          </cell>
          <cell r="DC6" t="str">
            <v>2011q1</v>
          </cell>
          <cell r="DD6" t="str">
            <v>2011q2</v>
          </cell>
          <cell r="DE6" t="str">
            <v>2011q3</v>
          </cell>
          <cell r="DF6" t="str">
            <v>2011q4</v>
          </cell>
          <cell r="DG6" t="str">
            <v>2012q1</v>
          </cell>
          <cell r="DH6" t="str">
            <v>2012q2</v>
          </cell>
          <cell r="DI6" t="str">
            <v>2012q3</v>
          </cell>
          <cell r="DJ6" t="str">
            <v>2012q4</v>
          </cell>
          <cell r="DK6" t="str">
            <v>2013q1</v>
          </cell>
          <cell r="DL6" t="str">
            <v>2013q2</v>
          </cell>
          <cell r="DM6" t="str">
            <v>2013q3</v>
          </cell>
          <cell r="DN6" t="str">
            <v>2013q4</v>
          </cell>
          <cell r="DO6" t="str">
            <v>2014q1</v>
          </cell>
          <cell r="DP6" t="str">
            <v>2014q2</v>
          </cell>
          <cell r="DQ6" t="str">
            <v>2014q3</v>
          </cell>
          <cell r="DR6" t="str">
            <v>2014q4</v>
          </cell>
          <cell r="DT6" t="str">
            <v>2013q2</v>
          </cell>
        </row>
        <row r="7">
          <cell r="A7">
            <v>0</v>
          </cell>
        </row>
        <row r="8">
          <cell r="B8" t="str">
            <v>In US$ millions (except per share data)</v>
          </cell>
          <cell r="C8">
            <v>1991</v>
          </cell>
          <cell r="D8">
            <v>1992</v>
          </cell>
          <cell r="E8">
            <v>1993</v>
          </cell>
          <cell r="F8">
            <v>1994</v>
          </cell>
          <cell r="G8">
            <v>1995</v>
          </cell>
          <cell r="H8">
            <v>1996</v>
          </cell>
          <cell r="I8">
            <v>1997</v>
          </cell>
          <cell r="J8">
            <v>1998</v>
          </cell>
          <cell r="K8">
            <v>1999</v>
          </cell>
          <cell r="L8">
            <v>2000</v>
          </cell>
          <cell r="M8">
            <v>2001</v>
          </cell>
          <cell r="N8">
            <v>2002</v>
          </cell>
          <cell r="O8">
            <v>2003</v>
          </cell>
          <cell r="P8">
            <v>2004</v>
          </cell>
          <cell r="Q8">
            <v>2005</v>
          </cell>
          <cell r="R8">
            <v>2006</v>
          </cell>
          <cell r="S8">
            <v>2007</v>
          </cell>
          <cell r="T8">
            <v>2008</v>
          </cell>
          <cell r="U8" t="str">
            <v>2009</v>
          </cell>
          <cell r="V8" t="str">
            <v>2010</v>
          </cell>
          <cell r="W8" t="str">
            <v>2011</v>
          </cell>
          <cell r="X8" t="str">
            <v>2012</v>
          </cell>
          <cell r="Y8" t="str">
            <v>2013e</v>
          </cell>
          <cell r="Z8" t="str">
            <v>2014e</v>
          </cell>
          <cell r="AA8" t="str">
            <v>2015e</v>
          </cell>
          <cell r="AB8" t="str">
            <v>2016e</v>
          </cell>
          <cell r="AC8" t="str">
            <v>2017e</v>
          </cell>
          <cell r="AD8" t="str">
            <v>2018e</v>
          </cell>
          <cell r="AE8" t="str">
            <v>2019e</v>
          </cell>
          <cell r="AF8" t="str">
            <v>2020e</v>
          </cell>
          <cell r="AI8" t="str">
            <v>1993q1</v>
          </cell>
          <cell r="AJ8" t="str">
            <v>1993q2</v>
          </cell>
          <cell r="AK8" t="str">
            <v>1993q3</v>
          </cell>
          <cell r="AL8" t="str">
            <v>1993q4</v>
          </cell>
          <cell r="AM8" t="str">
            <v>1994q1</v>
          </cell>
          <cell r="AN8" t="str">
            <v>1994q2</v>
          </cell>
          <cell r="AO8" t="str">
            <v>1994q3</v>
          </cell>
          <cell r="AP8" t="str">
            <v>1994q4</v>
          </cell>
          <cell r="AQ8" t="str">
            <v>1995q1</v>
          </cell>
          <cell r="AR8" t="str">
            <v>1995q2</v>
          </cell>
          <cell r="AS8" t="str">
            <v>1995q3</v>
          </cell>
          <cell r="AT8" t="str">
            <v>1995q4</v>
          </cell>
          <cell r="AU8" t="str">
            <v>1996q1</v>
          </cell>
          <cell r="AV8" t="str">
            <v>1996q2</v>
          </cell>
          <cell r="AW8" t="str">
            <v>1996q3</v>
          </cell>
          <cell r="AX8" t="str">
            <v>1996q4</v>
          </cell>
          <cell r="AY8" t="str">
            <v>1997q1</v>
          </cell>
          <cell r="AZ8" t="str">
            <v>1997q2</v>
          </cell>
          <cell r="BA8" t="str">
            <v>1997q3</v>
          </cell>
          <cell r="BB8" t="str">
            <v>1997q4</v>
          </cell>
          <cell r="BC8" t="str">
            <v>1998q1</v>
          </cell>
          <cell r="BD8" t="str">
            <v>1998q2</v>
          </cell>
          <cell r="BE8" t="str">
            <v>1998q3</v>
          </cell>
          <cell r="BF8" t="str">
            <v>1998q4</v>
          </cell>
          <cell r="BG8" t="str">
            <v>1999q1</v>
          </cell>
          <cell r="BH8" t="str">
            <v>1999q2</v>
          </cell>
          <cell r="BI8" t="str">
            <v>1999q3</v>
          </cell>
          <cell r="BJ8" t="str">
            <v>1999q4</v>
          </cell>
          <cell r="BK8" t="str">
            <v>2000q1</v>
          </cell>
          <cell r="BL8" t="str">
            <v>2000q2</v>
          </cell>
          <cell r="BM8" t="str">
            <v>2000q3</v>
          </cell>
          <cell r="BN8" t="str">
            <v>2000q4</v>
          </cell>
          <cell r="BO8" t="str">
            <v>2001q1</v>
          </cell>
          <cell r="BP8" t="str">
            <v>2001q2</v>
          </cell>
          <cell r="BQ8" t="str">
            <v>2001q3</v>
          </cell>
          <cell r="BR8" t="str">
            <v>2001q4</v>
          </cell>
          <cell r="BS8" t="str">
            <v>2002q1</v>
          </cell>
          <cell r="BT8" t="str">
            <v>2002q2</v>
          </cell>
          <cell r="BU8" t="str">
            <v>2002q3</v>
          </cell>
          <cell r="BV8" t="str">
            <v>2002q4</v>
          </cell>
          <cell r="BW8" t="str">
            <v>2003q1</v>
          </cell>
          <cell r="BX8" t="str">
            <v>2003q2</v>
          </cell>
          <cell r="BY8" t="str">
            <v>2003q3</v>
          </cell>
          <cell r="BZ8" t="str">
            <v>2003q4</v>
          </cell>
          <cell r="CA8" t="str">
            <v>2004q1</v>
          </cell>
          <cell r="CB8" t="str">
            <v>2004q2</v>
          </cell>
          <cell r="CC8" t="str">
            <v>2004q3</v>
          </cell>
          <cell r="CD8" t="str">
            <v>2004q4</v>
          </cell>
          <cell r="CE8" t="str">
            <v>2005q1</v>
          </cell>
          <cell r="CF8" t="str">
            <v>2005q2</v>
          </cell>
          <cell r="CG8" t="str">
            <v>2005q3</v>
          </cell>
          <cell r="CH8" t="str">
            <v>2005q4</v>
          </cell>
          <cell r="CI8" t="str">
            <v>2006q1</v>
          </cell>
          <cell r="CJ8" t="str">
            <v>2006q2</v>
          </cell>
          <cell r="CK8" t="str">
            <v>2006q3</v>
          </cell>
          <cell r="CL8" t="str">
            <v>2006q4</v>
          </cell>
          <cell r="CM8" t="str">
            <v>2007q1</v>
          </cell>
          <cell r="CN8" t="str">
            <v>2007q2</v>
          </cell>
          <cell r="CO8" t="str">
            <v>2007q3</v>
          </cell>
          <cell r="CP8" t="str">
            <v>2007q4</v>
          </cell>
          <cell r="CQ8" t="str">
            <v>2008q1</v>
          </cell>
          <cell r="CR8" t="str">
            <v>2008q2</v>
          </cell>
          <cell r="CS8" t="str">
            <v>2008q3</v>
          </cell>
          <cell r="CT8" t="str">
            <v>2008q4</v>
          </cell>
          <cell r="CU8" t="str">
            <v>2009q1</v>
          </cell>
          <cell r="CV8" t="str">
            <v>2009q2</v>
          </cell>
          <cell r="CW8" t="str">
            <v>2009q3</v>
          </cell>
          <cell r="CX8" t="str">
            <v>2009q4</v>
          </cell>
          <cell r="CY8" t="str">
            <v>2010q1</v>
          </cell>
          <cell r="CZ8" t="str">
            <v>2010q2</v>
          </cell>
          <cell r="DA8" t="str">
            <v>2010q3</v>
          </cell>
          <cell r="DB8" t="str">
            <v>2010q4</v>
          </cell>
          <cell r="DC8" t="str">
            <v>2011q1</v>
          </cell>
          <cell r="DD8" t="str">
            <v>2011q2</v>
          </cell>
          <cell r="DE8" t="str">
            <v>2011q3</v>
          </cell>
          <cell r="DF8" t="str">
            <v>2011q4</v>
          </cell>
          <cell r="DG8" t="str">
            <v>2012q1</v>
          </cell>
          <cell r="DH8" t="str">
            <v>2012q2</v>
          </cell>
          <cell r="DI8" t="str">
            <v>2012q3</v>
          </cell>
          <cell r="DJ8" t="str">
            <v>2012q4e</v>
          </cell>
          <cell r="DK8" t="str">
            <v>2013q1e</v>
          </cell>
          <cell r="DL8" t="str">
            <v>2013q2e</v>
          </cell>
          <cell r="DM8" t="str">
            <v>2013q3e</v>
          </cell>
          <cell r="DN8" t="str">
            <v>2013q4e</v>
          </cell>
          <cell r="DO8" t="str">
            <v>2014q1e</v>
          </cell>
          <cell r="DP8" t="str">
            <v>2014q2e</v>
          </cell>
          <cell r="DQ8" t="str">
            <v>2014q3e</v>
          </cell>
          <cell r="DR8" t="str">
            <v>2014q4e</v>
          </cell>
          <cell r="DT8" t="str">
            <v>2013q2e</v>
          </cell>
        </row>
        <row r="10">
          <cell r="B10" t="str">
            <v>Olefins and Polyolefins</v>
          </cell>
          <cell r="C10">
            <v>1991</v>
          </cell>
          <cell r="D10">
            <v>1992</v>
          </cell>
          <cell r="E10">
            <v>1993</v>
          </cell>
          <cell r="F10">
            <v>1994</v>
          </cell>
          <cell r="G10">
            <v>1995</v>
          </cell>
          <cell r="H10">
            <v>1996</v>
          </cell>
          <cell r="I10">
            <v>1997</v>
          </cell>
          <cell r="J10">
            <v>1998</v>
          </cell>
          <cell r="K10">
            <v>1999</v>
          </cell>
          <cell r="L10">
            <v>2000</v>
          </cell>
          <cell r="M10">
            <v>2001</v>
          </cell>
          <cell r="N10">
            <v>2002</v>
          </cell>
          <cell r="O10">
            <v>2003</v>
          </cell>
          <cell r="P10">
            <v>2004</v>
          </cell>
          <cell r="Q10">
            <v>2005</v>
          </cell>
          <cell r="R10">
            <v>2006</v>
          </cell>
          <cell r="S10">
            <v>2007</v>
          </cell>
          <cell r="T10">
            <v>2008</v>
          </cell>
          <cell r="U10" t="str">
            <v>2009</v>
          </cell>
          <cell r="V10" t="str">
            <v>2010</v>
          </cell>
          <cell r="W10" t="str">
            <v>2011</v>
          </cell>
          <cell r="X10" t="str">
            <v>2012</v>
          </cell>
          <cell r="Y10" t="str">
            <v>2013e</v>
          </cell>
          <cell r="Z10" t="str">
            <v>2014e</v>
          </cell>
          <cell r="AA10" t="str">
            <v>2015e</v>
          </cell>
          <cell r="AB10" t="str">
            <v>2016e</v>
          </cell>
          <cell r="AC10" t="str">
            <v>2017e</v>
          </cell>
          <cell r="AD10" t="str">
            <v>2018e</v>
          </cell>
          <cell r="AE10" t="str">
            <v>2019e</v>
          </cell>
          <cell r="AF10" t="str">
            <v>2020e</v>
          </cell>
          <cell r="AI10" t="str">
            <v>1993q1</v>
          </cell>
          <cell r="AJ10" t="str">
            <v>1993q2</v>
          </cell>
          <cell r="AK10" t="str">
            <v>1993q3</v>
          </cell>
          <cell r="AL10" t="str">
            <v>1993q4</v>
          </cell>
          <cell r="AM10" t="str">
            <v>1994q1</v>
          </cell>
          <cell r="AN10" t="str">
            <v>1994q2</v>
          </cell>
          <cell r="AO10" t="str">
            <v>1994q3</v>
          </cell>
          <cell r="AP10" t="str">
            <v>1994q4</v>
          </cell>
          <cell r="AQ10" t="str">
            <v>1995q1</v>
          </cell>
          <cell r="AR10" t="str">
            <v>1995q2</v>
          </cell>
          <cell r="AS10" t="str">
            <v>1995q3</v>
          </cell>
          <cell r="AT10" t="str">
            <v>1995q4</v>
          </cell>
          <cell r="AU10" t="str">
            <v>1996q1</v>
          </cell>
          <cell r="AV10" t="str">
            <v>1996q2</v>
          </cell>
          <cell r="AW10" t="str">
            <v>1996q3</v>
          </cell>
          <cell r="AX10" t="str">
            <v>1996q4</v>
          </cell>
          <cell r="AY10" t="str">
            <v>1997q1</v>
          </cell>
          <cell r="AZ10" t="str">
            <v>1997q2</v>
          </cell>
          <cell r="BA10" t="str">
            <v>1997q3</v>
          </cell>
          <cell r="BB10" t="str">
            <v>1997q4</v>
          </cell>
          <cell r="BC10" t="str">
            <v>1998q1</v>
          </cell>
          <cell r="BD10" t="str">
            <v>1998q2</v>
          </cell>
          <cell r="BE10" t="str">
            <v>1998q3</v>
          </cell>
          <cell r="BF10" t="str">
            <v>1998q4</v>
          </cell>
          <cell r="BG10" t="str">
            <v>1999q1</v>
          </cell>
          <cell r="BH10" t="str">
            <v>1999q2</v>
          </cell>
          <cell r="BI10" t="str">
            <v>1999q3</v>
          </cell>
          <cell r="BJ10" t="str">
            <v>1999q4</v>
          </cell>
          <cell r="BK10" t="str">
            <v>2000q1</v>
          </cell>
          <cell r="BL10" t="str">
            <v>2000q2</v>
          </cell>
          <cell r="BM10" t="str">
            <v>2000q3</v>
          </cell>
          <cell r="BN10" t="str">
            <v>2000q4</v>
          </cell>
          <cell r="BO10" t="str">
            <v>2001q1</v>
          </cell>
          <cell r="BP10" t="str">
            <v>2001q2</v>
          </cell>
          <cell r="BQ10" t="str">
            <v>2001q3</v>
          </cell>
          <cell r="BR10" t="str">
            <v>2001q4</v>
          </cell>
          <cell r="BS10" t="str">
            <v>2002q1</v>
          </cell>
          <cell r="BT10" t="str">
            <v>2002q2</v>
          </cell>
          <cell r="BU10" t="str">
            <v>2002q3</v>
          </cell>
          <cell r="BV10" t="str">
            <v>2002q4</v>
          </cell>
          <cell r="BW10" t="str">
            <v>2003q1</v>
          </cell>
          <cell r="BX10" t="str">
            <v>2003q2</v>
          </cell>
          <cell r="BY10" t="str">
            <v>2003q3</v>
          </cell>
          <cell r="BZ10" t="str">
            <v>2003q4</v>
          </cell>
          <cell r="CA10" t="str">
            <v>2004q1</v>
          </cell>
          <cell r="CB10" t="str">
            <v>2004q2</v>
          </cell>
          <cell r="CC10" t="str">
            <v>2004q3</v>
          </cell>
          <cell r="CD10" t="str">
            <v>2004q4</v>
          </cell>
          <cell r="CE10" t="str">
            <v>2005q1</v>
          </cell>
          <cell r="CF10" t="str">
            <v>2005q2</v>
          </cell>
          <cell r="CG10" t="str">
            <v>2005q3</v>
          </cell>
          <cell r="CH10" t="str">
            <v>2005q4</v>
          </cell>
          <cell r="CI10" t="str">
            <v>2006q1</v>
          </cell>
          <cell r="CJ10" t="str">
            <v>2006q2</v>
          </cell>
          <cell r="CK10" t="str">
            <v>2006q3</v>
          </cell>
          <cell r="CL10" t="str">
            <v>2006q4</v>
          </cell>
          <cell r="CM10" t="str">
            <v>2007q1</v>
          </cell>
          <cell r="CN10" t="str">
            <v>2007q2</v>
          </cell>
          <cell r="CO10" t="str">
            <v>2007q3</v>
          </cell>
          <cell r="CP10" t="str">
            <v>2007q4</v>
          </cell>
          <cell r="CQ10" t="str">
            <v>2008q1</v>
          </cell>
          <cell r="CR10" t="str">
            <v>2008q2</v>
          </cell>
          <cell r="CS10" t="str">
            <v>2008q3</v>
          </cell>
          <cell r="CT10" t="str">
            <v>2008q4</v>
          </cell>
          <cell r="CU10" t="str">
            <v>2009q1</v>
          </cell>
          <cell r="CV10" t="str">
            <v>2009q2</v>
          </cell>
          <cell r="CW10" t="str">
            <v>2009q3</v>
          </cell>
          <cell r="CX10" t="str">
            <v>2009q4</v>
          </cell>
          <cell r="CY10" t="str">
            <v>2010q1</v>
          </cell>
          <cell r="CZ10" t="str">
            <v>2010q2</v>
          </cell>
          <cell r="DA10" t="str">
            <v>2010q3</v>
          </cell>
          <cell r="DB10" t="str">
            <v>2010q4</v>
          </cell>
          <cell r="DC10" t="str">
            <v>2011q1</v>
          </cell>
          <cell r="DD10" t="str">
            <v>2011q2</v>
          </cell>
          <cell r="DE10" t="str">
            <v>2011q3</v>
          </cell>
          <cell r="DF10" t="str">
            <v>2011q4</v>
          </cell>
          <cell r="DG10" t="str">
            <v>2012q1</v>
          </cell>
          <cell r="DH10" t="str">
            <v>2012q2</v>
          </cell>
          <cell r="DI10" t="str">
            <v>2012q3</v>
          </cell>
          <cell r="DJ10" t="str">
            <v>2012q4e</v>
          </cell>
          <cell r="DK10" t="str">
            <v>2013q1e</v>
          </cell>
          <cell r="DL10" t="str">
            <v>2013q2e</v>
          </cell>
          <cell r="DM10" t="str">
            <v>2013q3e</v>
          </cell>
          <cell r="DN10" t="str">
            <v>2013q4e</v>
          </cell>
          <cell r="DO10" t="str">
            <v>2014q1e</v>
          </cell>
          <cell r="DP10" t="str">
            <v>2014q2e</v>
          </cell>
          <cell r="DQ10" t="str">
            <v>2014q3e</v>
          </cell>
          <cell r="DR10" t="str">
            <v>2014q4e</v>
          </cell>
          <cell r="DT10" t="str">
            <v>2013q2e</v>
          </cell>
        </row>
        <row r="12">
          <cell r="B12" t="str">
            <v>O&amp;P Americas</v>
          </cell>
        </row>
        <row r="13">
          <cell r="B13" t="str">
            <v>Customers</v>
          </cell>
          <cell r="S13">
            <v>2823</v>
          </cell>
          <cell r="T13">
            <v>13193</v>
          </cell>
          <cell r="DN13" t="str">
            <v xml:space="preserve"> </v>
          </cell>
        </row>
        <row r="14">
          <cell r="B14" t="str">
            <v>Intersegment</v>
          </cell>
          <cell r="S14">
            <v>-6</v>
          </cell>
          <cell r="T14">
            <v>3219</v>
          </cell>
        </row>
        <row r="15">
          <cell r="B15" t="str">
            <v>Revenue</v>
          </cell>
          <cell r="S15">
            <v>2817</v>
          </cell>
          <cell r="T15">
            <v>16412</v>
          </cell>
          <cell r="U15">
            <v>8614</v>
          </cell>
          <cell r="V15">
            <v>12589</v>
          </cell>
          <cell r="W15">
            <v>14880</v>
          </cell>
          <cell r="X15">
            <v>12934</v>
          </cell>
          <cell r="Y15">
            <v>13089</v>
          </cell>
          <cell r="Z15">
            <v>13443.625726727501</v>
          </cell>
          <cell r="AA15">
            <v>13912.020460308326</v>
          </cell>
          <cell r="AB15">
            <v>14946.16290191414</v>
          </cell>
          <cell r="AC15">
            <v>14793.160065535243</v>
          </cell>
          <cell r="AD15">
            <v>14682.141978739481</v>
          </cell>
          <cell r="AE15">
            <v>14571.957048317421</v>
          </cell>
          <cell r="AF15">
            <v>14502.522191683789</v>
          </cell>
          <cell r="CU15">
            <v>1578</v>
          </cell>
          <cell r="CV15">
            <v>2037</v>
          </cell>
          <cell r="CW15">
            <v>2404</v>
          </cell>
          <cell r="CX15">
            <v>2595</v>
          </cell>
          <cell r="CY15">
            <v>3020</v>
          </cell>
          <cell r="CZ15">
            <v>3167</v>
          </cell>
          <cell r="DA15">
            <v>3247</v>
          </cell>
          <cell r="DB15">
            <v>3155</v>
          </cell>
          <cell r="DC15">
            <v>3572</v>
          </cell>
          <cell r="DD15">
            <v>4010</v>
          </cell>
          <cell r="DE15">
            <v>3875</v>
          </cell>
          <cell r="DF15">
            <v>3423</v>
          </cell>
          <cell r="DG15">
            <v>3349</v>
          </cell>
          <cell r="DH15">
            <v>3283</v>
          </cell>
          <cell r="DI15">
            <v>3217</v>
          </cell>
          <cell r="DJ15">
            <v>3085</v>
          </cell>
          <cell r="DK15">
            <v>3244</v>
          </cell>
          <cell r="DL15">
            <v>3251</v>
          </cell>
          <cell r="DM15">
            <v>3315</v>
          </cell>
          <cell r="DN15">
            <v>3279</v>
          </cell>
          <cell r="DO15">
            <v>3558.2095419558364</v>
          </cell>
          <cell r="DP15">
            <v>3400.5202298780487</v>
          </cell>
          <cell r="DQ15">
            <v>3347.1775999999995</v>
          </cell>
          <cell r="DR15">
            <v>3137.7183548936173</v>
          </cell>
          <cell r="DT15">
            <v>3419.791666666667</v>
          </cell>
        </row>
        <row r="16">
          <cell r="B16" t="str">
            <v>Growth</v>
          </cell>
          <cell r="T16">
            <v>4.8260560880369185</v>
          </cell>
          <cell r="U16">
            <v>-0.47514014135998051</v>
          </cell>
          <cell r="V16">
            <v>0.46145809147898764</v>
          </cell>
          <cell r="W16">
            <v>0.18198427198347766</v>
          </cell>
          <cell r="X16">
            <v>-0.13077956989247308</v>
          </cell>
          <cell r="Y16">
            <v>1.1983918354723899E-2</v>
          </cell>
          <cell r="Z16">
            <v>2.70934163593477E-2</v>
          </cell>
          <cell r="AA16">
            <v>3.4841399418729879E-2</v>
          </cell>
          <cell r="AB16">
            <v>7.4334453759342445E-2</v>
          </cell>
          <cell r="AC16">
            <v>-1.0236930868678162E-2</v>
          </cell>
          <cell r="AD16">
            <v>-7.5046904315196894E-3</v>
          </cell>
          <cell r="AE16">
            <v>-7.5046904315196894E-3</v>
          </cell>
          <cell r="AF16">
            <v>-4.7649644041223294E-3</v>
          </cell>
          <cell r="CY16">
            <v>0.91381495564005077</v>
          </cell>
          <cell r="CZ16">
            <v>0.55473735886107023</v>
          </cell>
          <cell r="DA16">
            <v>0.35066555740432603</v>
          </cell>
          <cell r="DB16">
            <v>0.21579961464354525</v>
          </cell>
          <cell r="DC16">
            <v>0.18278145695364234</v>
          </cell>
          <cell r="DD16">
            <v>0.26618250710451541</v>
          </cell>
          <cell r="DE16">
            <v>0.19340930089313213</v>
          </cell>
          <cell r="DF16">
            <v>8.4944532488114177E-2</v>
          </cell>
          <cell r="DG16">
            <v>-6.2430011198208235E-2</v>
          </cell>
          <cell r="DH16">
            <v>-0.18129675810473811</v>
          </cell>
          <cell r="DI16">
            <v>-0.1698064516129032</v>
          </cell>
          <cell r="DJ16">
            <v>-9.8743791995325791E-2</v>
          </cell>
          <cell r="DK16">
            <v>-3.1352642579874579E-2</v>
          </cell>
          <cell r="DL16">
            <v>-9.7471824550715569E-3</v>
          </cell>
          <cell r="DM16">
            <v>3.0463164438918167E-2</v>
          </cell>
          <cell r="DN16">
            <v>6.2884927066450658E-2</v>
          </cell>
          <cell r="DO16">
            <v>9.6858675078864476E-2</v>
          </cell>
          <cell r="DP16">
            <v>4.5992073170731729E-2</v>
          </cell>
          <cell r="DQ16">
            <v>9.7066666666665302E-3</v>
          </cell>
          <cell r="DR16">
            <v>-4.3086808510638175E-2</v>
          </cell>
          <cell r="DT16">
            <v>4.1666666666666741E-2</v>
          </cell>
        </row>
        <row r="17">
          <cell r="B17" t="str">
            <v>Volume</v>
          </cell>
          <cell r="AA17">
            <v>4.2346089850249569E-2</v>
          </cell>
          <cell r="AB17">
            <v>8.1839144190862134E-2</v>
          </cell>
          <cell r="AC17">
            <v>-2.732240437158473E-3</v>
          </cell>
          <cell r="AD17">
            <v>0</v>
          </cell>
          <cell r="AE17">
            <v>0</v>
          </cell>
          <cell r="AF17">
            <v>2.73972602739736E-3</v>
          </cell>
        </row>
        <row r="18">
          <cell r="B18" t="str">
            <v>Price</v>
          </cell>
          <cell r="AA18">
            <v>-7.5046904315196894E-3</v>
          </cell>
          <cell r="AB18">
            <v>-7.5046904315196894E-3</v>
          </cell>
          <cell r="AC18">
            <v>-7.5046904315196894E-3</v>
          </cell>
          <cell r="AD18">
            <v>-7.5046904315196894E-3</v>
          </cell>
          <cell r="AE18">
            <v>-7.5046904315196894E-3</v>
          </cell>
          <cell r="AF18">
            <v>-7.5046904315196894E-3</v>
          </cell>
          <cell r="DJ18">
            <v>-1.9801980198019709E-2</v>
          </cell>
          <cell r="DK18">
            <v>-3.9393939393939315E-2</v>
          </cell>
          <cell r="DL18">
            <v>5.1282051282051322E-2</v>
          </cell>
          <cell r="DM18">
            <v>0.14213197969543145</v>
          </cell>
          <cell r="DN18">
            <v>0.18686868686868685</v>
          </cell>
          <cell r="DO18">
            <v>9.6858675078864476E-2</v>
          </cell>
          <cell r="DP18">
            <v>4.5992073170731729E-2</v>
          </cell>
          <cell r="DQ18">
            <v>9.7066666666665302E-3</v>
          </cell>
          <cell r="DR18">
            <v>-4.3086808510638175E-2</v>
          </cell>
          <cell r="DT18">
            <v>4.1666666666666741E-2</v>
          </cell>
        </row>
        <row r="20">
          <cell r="B20" t="str">
            <v>Operating Income</v>
          </cell>
          <cell r="S20">
            <v>61</v>
          </cell>
          <cell r="T20">
            <v>-724</v>
          </cell>
          <cell r="U20">
            <v>216</v>
          </cell>
          <cell r="V20">
            <v>1398</v>
          </cell>
          <cell r="W20">
            <v>1886</v>
          </cell>
          <cell r="X20">
            <v>2649</v>
          </cell>
          <cell r="Y20">
            <v>3270</v>
          </cell>
          <cell r="Z20">
            <v>3325.3943128070518</v>
          </cell>
          <cell r="AA20">
            <v>3225.7177640820109</v>
          </cell>
          <cell r="AB20">
            <v>3349.9949490383906</v>
          </cell>
          <cell r="AC20">
            <v>3178.6886255307872</v>
          </cell>
          <cell r="AD20">
            <v>2880.4768695643625</v>
          </cell>
          <cell r="AE20">
            <v>1132.8769271456008</v>
          </cell>
          <cell r="AF20">
            <v>903.53073468873606</v>
          </cell>
          <cell r="CU20">
            <v>-101</v>
          </cell>
          <cell r="CV20">
            <v>69</v>
          </cell>
          <cell r="CW20">
            <v>132</v>
          </cell>
          <cell r="CX20">
            <v>69</v>
          </cell>
          <cell r="CY20">
            <v>145</v>
          </cell>
          <cell r="CZ20">
            <v>324</v>
          </cell>
          <cell r="DA20">
            <v>448</v>
          </cell>
          <cell r="DB20">
            <v>446</v>
          </cell>
          <cell r="DC20">
            <v>421</v>
          </cell>
          <cell r="DD20">
            <v>509</v>
          </cell>
          <cell r="DE20">
            <v>599</v>
          </cell>
          <cell r="DF20">
            <v>328</v>
          </cell>
          <cell r="DG20">
            <v>519</v>
          </cell>
          <cell r="DH20">
            <v>700</v>
          </cell>
          <cell r="DI20">
            <v>738</v>
          </cell>
          <cell r="DJ20">
            <v>693</v>
          </cell>
          <cell r="DK20">
            <v>821</v>
          </cell>
          <cell r="DL20">
            <v>872</v>
          </cell>
          <cell r="DM20">
            <v>759</v>
          </cell>
          <cell r="DN20">
            <v>801</v>
          </cell>
          <cell r="DO20">
            <v>797.62415770071027</v>
          </cell>
          <cell r="DP20">
            <v>719.96577846761102</v>
          </cell>
          <cell r="DQ20">
            <v>912.64382367307041</v>
          </cell>
          <cell r="DR20">
            <v>895.16055296566014</v>
          </cell>
          <cell r="DT20">
            <v>825.85139377343432</v>
          </cell>
        </row>
        <row r="21">
          <cell r="B21" t="str">
            <v>Margin</v>
          </cell>
          <cell r="S21">
            <v>2.1654242101526448E-2</v>
          </cell>
          <cell r="T21">
            <v>-4.4114062880818913E-2</v>
          </cell>
          <cell r="U21">
            <v>2.5075458555839331E-2</v>
          </cell>
          <cell r="V21">
            <v>0.11104932877909286</v>
          </cell>
          <cell r="W21">
            <v>0.12674731182795698</v>
          </cell>
          <cell r="X21">
            <v>0.2048090304623473</v>
          </cell>
          <cell r="Y21">
            <v>0.24982809993123997</v>
          </cell>
          <cell r="Z21">
            <v>0.24735844186704622</v>
          </cell>
          <cell r="AA21">
            <v>0.23186551322901958</v>
          </cell>
          <cell r="AB21">
            <v>0.22413745728740586</v>
          </cell>
          <cell r="AC21">
            <v>0.21487556488599224</v>
          </cell>
          <cell r="AD21">
            <v>0.19618914418178529</v>
          </cell>
          <cell r="AE21">
            <v>7.7743636176611605E-2</v>
          </cell>
          <cell r="AF21">
            <v>6.2301627451178773E-2</v>
          </cell>
          <cell r="CU21">
            <v>-6.4005069708491763E-2</v>
          </cell>
          <cell r="CV21">
            <v>3.3873343151693665E-2</v>
          </cell>
          <cell r="CW21">
            <v>5.4908485856905158E-2</v>
          </cell>
          <cell r="CX21">
            <v>2.6589595375722544E-2</v>
          </cell>
          <cell r="CY21">
            <v>4.8013245033112585E-2</v>
          </cell>
          <cell r="CZ21">
            <v>0.10230502052415535</v>
          </cell>
          <cell r="DA21">
            <v>0.13797351401293501</v>
          </cell>
          <cell r="DB21">
            <v>0.14136291600633916</v>
          </cell>
          <cell r="DC21">
            <v>0.11786114221724524</v>
          </cell>
          <cell r="DD21">
            <v>0.12693266832917705</v>
          </cell>
          <cell r="DE21">
            <v>0.15458064516129033</v>
          </cell>
          <cell r="DF21">
            <v>9.5822378030966993E-2</v>
          </cell>
          <cell r="DG21">
            <v>0.15497163332338013</v>
          </cell>
          <cell r="DH21">
            <v>0.21321961620469082</v>
          </cell>
          <cell r="DI21">
            <v>0.22940627914205783</v>
          </cell>
          <cell r="DJ21">
            <v>0.2246353322528363</v>
          </cell>
          <cell r="DK21">
            <v>0.25308261405672011</v>
          </cell>
          <cell r="DL21">
            <v>0.26822516148877268</v>
          </cell>
          <cell r="DM21">
            <v>0.22895927601809954</v>
          </cell>
          <cell r="DN21">
            <v>0.24428179322964319</v>
          </cell>
          <cell r="DO21">
            <v>0.22416447044382926</v>
          </cell>
          <cell r="DP21">
            <v>0.21172224536168421</v>
          </cell>
          <cell r="DQ21">
            <v>0.27266071082486648</v>
          </cell>
          <cell r="DR21">
            <v>0.28529028157341102</v>
          </cell>
          <cell r="DT21">
            <v>0.2414917264765449</v>
          </cell>
        </row>
        <row r="22">
          <cell r="B22" t="str">
            <v>Growth</v>
          </cell>
          <cell r="U22">
            <v>-1.298342541436464</v>
          </cell>
          <cell r="V22">
            <v>5.4722222222222223</v>
          </cell>
          <cell r="W22">
            <v>0.34907010014306161</v>
          </cell>
          <cell r="X22">
            <v>0.40455991516436907</v>
          </cell>
          <cell r="Y22">
            <v>0.23442808607021526</v>
          </cell>
          <cell r="Z22">
            <v>1.6940156821728447E-2</v>
          </cell>
          <cell r="AA22">
            <v>-2.997435472273402E-2</v>
          </cell>
          <cell r="AB22">
            <v>3.8526986564104027E-2</v>
          </cell>
          <cell r="AC22">
            <v>-5.1136293073151151E-2</v>
          </cell>
          <cell r="AD22">
            <v>-9.381596975911044E-2</v>
          </cell>
          <cell r="AE22">
            <v>-0.60670507751137226</v>
          </cell>
          <cell r="AF22">
            <v>-0.2024458146876783</v>
          </cell>
          <cell r="CY22">
            <v>-2.4356435643564356</v>
          </cell>
          <cell r="CZ22">
            <v>3.6956521739130439</v>
          </cell>
          <cell r="DA22">
            <v>2.393939393939394</v>
          </cell>
          <cell r="DB22">
            <v>5.4637681159420293</v>
          </cell>
          <cell r="DC22">
            <v>1.9034482758620688</v>
          </cell>
          <cell r="DD22">
            <v>0.57098765432098775</v>
          </cell>
          <cell r="DE22">
            <v>0.3370535714285714</v>
          </cell>
          <cell r="DF22">
            <v>-0.26457399103139012</v>
          </cell>
          <cell r="DG22">
            <v>0.23277909738717351</v>
          </cell>
          <cell r="DH22">
            <v>0.37524557956778004</v>
          </cell>
          <cell r="DI22">
            <v>0.23205342237061766</v>
          </cell>
          <cell r="DJ22">
            <v>1.1128048780487805</v>
          </cell>
          <cell r="DK22">
            <v>0.58188824662813099</v>
          </cell>
          <cell r="DL22">
            <v>0.24571428571428577</v>
          </cell>
          <cell r="DM22">
            <v>2.8455284552845628E-2</v>
          </cell>
          <cell r="DN22">
            <v>0.1558441558441559</v>
          </cell>
          <cell r="DO22">
            <v>-2.847240231338577E-2</v>
          </cell>
          <cell r="DP22">
            <v>-0.17435117148209744</v>
          </cell>
          <cell r="DQ22">
            <v>0.20242928020167383</v>
          </cell>
          <cell r="DR22">
            <v>0.11755374902079918</v>
          </cell>
          <cell r="DT22">
            <v>0.1797877053906205</v>
          </cell>
        </row>
        <row r="24">
          <cell r="B24" t="str">
            <v>Income (loss) from equity investments</v>
          </cell>
          <cell r="S24">
            <v>12</v>
          </cell>
          <cell r="T24">
            <v>6</v>
          </cell>
          <cell r="U24">
            <v>7</v>
          </cell>
          <cell r="V24">
            <v>10</v>
          </cell>
          <cell r="W24">
            <v>10</v>
          </cell>
          <cell r="X24">
            <v>10</v>
          </cell>
          <cell r="Y24">
            <v>10</v>
          </cell>
          <cell r="Z24">
            <v>10</v>
          </cell>
          <cell r="AA24">
            <v>10</v>
          </cell>
          <cell r="AB24">
            <v>10</v>
          </cell>
          <cell r="AC24">
            <v>10</v>
          </cell>
          <cell r="AD24">
            <v>10</v>
          </cell>
          <cell r="AE24">
            <v>10</v>
          </cell>
          <cell r="AF24">
            <v>10</v>
          </cell>
          <cell r="CU24">
            <v>-2</v>
          </cell>
          <cell r="CY24">
            <v>10</v>
          </cell>
          <cell r="CZ24">
            <v>-2</v>
          </cell>
          <cell r="DA24">
            <v>2</v>
          </cell>
          <cell r="DB24">
            <v>0</v>
          </cell>
          <cell r="DC24">
            <v>2.5</v>
          </cell>
          <cell r="DD24">
            <v>2.5</v>
          </cell>
          <cell r="DE24">
            <v>2.5</v>
          </cell>
          <cell r="DF24">
            <v>2.5</v>
          </cell>
          <cell r="DG24">
            <v>2.5</v>
          </cell>
          <cell r="DH24">
            <v>2.5</v>
          </cell>
          <cell r="DI24">
            <v>2.5</v>
          </cell>
          <cell r="DJ24">
            <v>2.5</v>
          </cell>
          <cell r="DK24">
            <v>2.5</v>
          </cell>
          <cell r="DL24">
            <v>2.5</v>
          </cell>
          <cell r="DM24">
            <v>2.5</v>
          </cell>
          <cell r="DN24">
            <v>2.5</v>
          </cell>
          <cell r="DO24">
            <v>2.5</v>
          </cell>
          <cell r="DP24">
            <v>2.5</v>
          </cell>
          <cell r="DQ24">
            <v>2.5</v>
          </cell>
          <cell r="DR24">
            <v>2.5</v>
          </cell>
          <cell r="DT24">
            <v>2.5</v>
          </cell>
        </row>
        <row r="26">
          <cell r="B26" t="str">
            <v>D&amp;A</v>
          </cell>
          <cell r="S26">
            <v>-78</v>
          </cell>
          <cell r="T26">
            <v>-558</v>
          </cell>
          <cell r="U26">
            <v>-537</v>
          </cell>
          <cell r="V26">
            <v>-311</v>
          </cell>
          <cell r="W26">
            <v>-246</v>
          </cell>
          <cell r="X26">
            <v>-275</v>
          </cell>
          <cell r="Y26">
            <v>-293</v>
          </cell>
          <cell r="Z26">
            <v>-298.39194574278633</v>
          </cell>
          <cell r="AA26">
            <v>-309.88436891595535</v>
          </cell>
          <cell r="AB26">
            <v>-309.33631337207169</v>
          </cell>
          <cell r="AC26">
            <v>-308.66265776900332</v>
          </cell>
          <cell r="AD26">
            <v>-307.91166685929261</v>
          </cell>
          <cell r="AE26">
            <v>-307.08804056464538</v>
          </cell>
          <cell r="AF26">
            <v>-302.61053018017594</v>
          </cell>
          <cell r="CU26">
            <v>-121</v>
          </cell>
          <cell r="CV26">
            <v>-138</v>
          </cell>
          <cell r="CW26">
            <v>-135</v>
          </cell>
          <cell r="CX26">
            <v>-120</v>
          </cell>
          <cell r="CY26">
            <v>-119</v>
          </cell>
          <cell r="CZ26">
            <v>-92</v>
          </cell>
          <cell r="DA26">
            <v>-42</v>
          </cell>
          <cell r="DB26">
            <v>-58</v>
          </cell>
          <cell r="DC26">
            <v>-58</v>
          </cell>
          <cell r="DD26">
            <v>-59</v>
          </cell>
          <cell r="DE26">
            <v>-64</v>
          </cell>
          <cell r="DF26">
            <v>-65</v>
          </cell>
          <cell r="DG26">
            <v>-65</v>
          </cell>
          <cell r="DH26">
            <v>-65</v>
          </cell>
          <cell r="DI26">
            <v>-69</v>
          </cell>
          <cell r="DJ26">
            <v>-76</v>
          </cell>
          <cell r="DK26">
            <v>-75</v>
          </cell>
          <cell r="DL26">
            <v>-69</v>
          </cell>
          <cell r="DM26">
            <v>-73</v>
          </cell>
          <cell r="DN26">
            <v>-76</v>
          </cell>
          <cell r="DO26">
            <v>-74.597986435696583</v>
          </cell>
          <cell r="DP26">
            <v>-74.597986435696583</v>
          </cell>
          <cell r="DQ26">
            <v>-74.597986435696583</v>
          </cell>
          <cell r="DR26">
            <v>-74.597986435696583</v>
          </cell>
          <cell r="DT26">
            <v>-75</v>
          </cell>
        </row>
        <row r="27">
          <cell r="B27" t="str">
            <v>% of revenue</v>
          </cell>
          <cell r="S27">
            <v>2.7689030883919063E-2</v>
          </cell>
          <cell r="T27">
            <v>3.3999512551791372E-2</v>
          </cell>
          <cell r="U27">
            <v>6.2340376131878338E-2</v>
          </cell>
          <cell r="V27">
            <v>2.4704106759869726E-2</v>
          </cell>
          <cell r="W27">
            <v>1.653225806451613E-2</v>
          </cell>
          <cell r="X27">
            <v>2.1261790629349003E-2</v>
          </cell>
          <cell r="Y27">
            <v>2.2385208954083583E-2</v>
          </cell>
          <cell r="Z27">
            <v>2.2195793888366604E-2</v>
          </cell>
          <cell r="AA27">
            <v>2.2274576852447176E-2</v>
          </cell>
          <cell r="AB27">
            <v>2.0696704257950733E-2</v>
          </cell>
          <cell r="AC27">
            <v>2.0865228010891218E-2</v>
          </cell>
          <cell r="AD27">
            <v>2.0971849155604474E-2</v>
          </cell>
          <cell r="AE27">
            <v>2.1073905141664132E-2</v>
          </cell>
          <cell r="AF27">
            <v>2.0866062204938567E-2</v>
          </cell>
          <cell r="CU27">
            <v>7.6679340937896065E-2</v>
          </cell>
          <cell r="CV27">
            <v>6.774668630338733E-2</v>
          </cell>
          <cell r="CW27">
            <v>5.6156405990016638E-2</v>
          </cell>
          <cell r="CX27">
            <v>4.6242774566473986E-2</v>
          </cell>
          <cell r="CY27">
            <v>3.9403973509933778E-2</v>
          </cell>
          <cell r="CZ27">
            <v>2.9049573729081148E-2</v>
          </cell>
          <cell r="DA27">
            <v>1.2935016938712659E-2</v>
          </cell>
          <cell r="DB27">
            <v>1.838351822503962E-2</v>
          </cell>
          <cell r="DC27">
            <v>1.6237402015677492E-2</v>
          </cell>
          <cell r="DD27">
            <v>1.4713216957605985E-2</v>
          </cell>
          <cell r="DE27">
            <v>1.6516129032258065E-2</v>
          </cell>
          <cell r="DF27">
            <v>1.8989190768331873E-2</v>
          </cell>
        </row>
        <row r="29">
          <cell r="B29" t="str">
            <v>EBITDA</v>
          </cell>
          <cell r="S29">
            <v>151</v>
          </cell>
          <cell r="T29">
            <v>-160</v>
          </cell>
          <cell r="U29">
            <v>681</v>
          </cell>
          <cell r="V29">
            <v>1719</v>
          </cell>
          <cell r="W29">
            <v>2142</v>
          </cell>
          <cell r="X29">
            <v>2934</v>
          </cell>
          <cell r="Y29">
            <v>3573</v>
          </cell>
          <cell r="Z29">
            <v>3633.7862585498383</v>
          </cell>
          <cell r="AA29">
            <v>3545.6021329979662</v>
          </cell>
          <cell r="AB29">
            <v>3669.3312624104624</v>
          </cell>
          <cell r="AC29">
            <v>3497.3512832997903</v>
          </cell>
          <cell r="AD29">
            <v>3198.3885364236548</v>
          </cell>
          <cell r="AE29">
            <v>1449.9649677102461</v>
          </cell>
          <cell r="AF29">
            <v>1216.141264868912</v>
          </cell>
          <cell r="CU29">
            <v>18</v>
          </cell>
          <cell r="CV29">
            <v>207</v>
          </cell>
          <cell r="CW29">
            <v>267</v>
          </cell>
          <cell r="CX29">
            <v>189</v>
          </cell>
          <cell r="CY29">
            <v>274</v>
          </cell>
          <cell r="CZ29">
            <v>585</v>
          </cell>
          <cell r="DA29">
            <v>518</v>
          </cell>
          <cell r="DB29">
            <v>342</v>
          </cell>
          <cell r="DC29">
            <v>484</v>
          </cell>
          <cell r="DD29">
            <v>578</v>
          </cell>
          <cell r="DE29">
            <v>673</v>
          </cell>
          <cell r="DF29">
            <v>407</v>
          </cell>
          <cell r="DG29">
            <v>598</v>
          </cell>
          <cell r="DH29">
            <v>818</v>
          </cell>
          <cell r="DI29">
            <v>749</v>
          </cell>
          <cell r="DJ29">
            <v>769</v>
          </cell>
          <cell r="DK29">
            <v>898</v>
          </cell>
          <cell r="DL29">
            <v>951</v>
          </cell>
          <cell r="DM29">
            <v>841</v>
          </cell>
          <cell r="DN29">
            <v>883</v>
          </cell>
          <cell r="DO29">
            <v>874.72214413640688</v>
          </cell>
          <cell r="DP29">
            <v>797.06376490330763</v>
          </cell>
          <cell r="DQ29">
            <v>989.74181010876703</v>
          </cell>
          <cell r="DR29">
            <v>972.25853940135676</v>
          </cell>
          <cell r="DT29">
            <v>903.35139377343432</v>
          </cell>
        </row>
        <row r="30">
          <cell r="B30" t="str">
            <v>Margin</v>
          </cell>
          <cell r="S30">
            <v>5.360312389066383E-2</v>
          </cell>
          <cell r="T30">
            <v>-9.7489641725566657E-3</v>
          </cell>
          <cell r="U30">
            <v>7.9057348502437896E-2</v>
          </cell>
          <cell r="V30">
            <v>0.13654777980776869</v>
          </cell>
          <cell r="W30">
            <v>0.14395161290322581</v>
          </cell>
          <cell r="X30">
            <v>0.22684397711458174</v>
          </cell>
          <cell r="Y30">
            <v>0.27297730919092367</v>
          </cell>
          <cell r="Z30">
            <v>0.27029808270587641</v>
          </cell>
          <cell r="AA30">
            <v>0.25485889293462027</v>
          </cell>
          <cell r="AB30">
            <v>0.2455032295908226</v>
          </cell>
          <cell r="AC30">
            <v>0.2364167809856825</v>
          </cell>
          <cell r="AD30">
            <v>0.21784209286731396</v>
          </cell>
          <cell r="AE30">
            <v>9.9503790939163464E-2</v>
          </cell>
          <cell r="AF30">
            <v>8.3857224887839601E-2</v>
          </cell>
          <cell r="CU30">
            <v>1.1406844106463879E-2</v>
          </cell>
          <cell r="CV30">
            <v>0.101620029455081</v>
          </cell>
          <cell r="CW30">
            <v>0.1110648918469218</v>
          </cell>
          <cell r="CX30">
            <v>7.2832369942196537E-2</v>
          </cell>
          <cell r="CY30">
            <v>9.0728476821192047E-2</v>
          </cell>
          <cell r="CZ30">
            <v>0.18471739816861382</v>
          </cell>
          <cell r="DA30">
            <v>0.1595318755774561</v>
          </cell>
          <cell r="DB30">
            <v>0.10839936608557844</v>
          </cell>
          <cell r="DC30">
            <v>0.13549832026875699</v>
          </cell>
          <cell r="DD30">
            <v>0.14413965087281796</v>
          </cell>
          <cell r="DE30">
            <v>0.17367741935483871</v>
          </cell>
          <cell r="DF30">
            <v>0.11890154834940111</v>
          </cell>
          <cell r="DG30">
            <v>0.17856076440728574</v>
          </cell>
          <cell r="DH30">
            <v>0.24916235150776728</v>
          </cell>
          <cell r="DI30">
            <v>0.23282561392601803</v>
          </cell>
          <cell r="DJ30">
            <v>0.24927066450567262</v>
          </cell>
          <cell r="DK30">
            <v>0.27681874229346487</v>
          </cell>
          <cell r="DL30">
            <v>0.29252537680713625</v>
          </cell>
          <cell r="DM30">
            <v>0.25369532428355956</v>
          </cell>
          <cell r="DN30">
            <v>0.26928941750533697</v>
          </cell>
          <cell r="DO30">
            <v>0.24583210567627209</v>
          </cell>
          <cell r="DP30">
            <v>0.23439465464726625</v>
          </cell>
          <cell r="DQ30">
            <v>0.29569444122378424</v>
          </cell>
          <cell r="DR30">
            <v>0.30986163493132279</v>
          </cell>
          <cell r="DT30">
            <v>0.26415392568458629</v>
          </cell>
        </row>
        <row r="31">
          <cell r="X31" t="str">
            <v xml:space="preserve"> </v>
          </cell>
        </row>
        <row r="32">
          <cell r="B32" t="str">
            <v>Capex</v>
          </cell>
          <cell r="S32">
            <v>-42</v>
          </cell>
          <cell r="T32">
            <v>-201</v>
          </cell>
          <cell r="U32">
            <v>-142</v>
          </cell>
          <cell r="V32">
            <v>-198</v>
          </cell>
          <cell r="W32">
            <v>-425</v>
          </cell>
          <cell r="X32">
            <v>-468</v>
          </cell>
          <cell r="Y32">
            <v>-523.56000000000006</v>
          </cell>
          <cell r="Z32">
            <v>-604.96315770273759</v>
          </cell>
          <cell r="AA32">
            <v>-528.24040920616653</v>
          </cell>
          <cell r="AB32">
            <v>-298.92325803828282</v>
          </cell>
          <cell r="AC32">
            <v>-295.86320131070488</v>
          </cell>
          <cell r="AD32">
            <v>-293.6428395747896</v>
          </cell>
          <cell r="AE32">
            <v>-291.43914096634842</v>
          </cell>
          <cell r="AF32">
            <v>-217.53783287525684</v>
          </cell>
          <cell r="CU32">
            <v>-34</v>
          </cell>
          <cell r="CV32">
            <v>-29</v>
          </cell>
          <cell r="CW32">
            <v>-26</v>
          </cell>
          <cell r="CX32">
            <v>-53</v>
          </cell>
          <cell r="CY32">
            <v>-30</v>
          </cell>
          <cell r="CZ32">
            <v>-72</v>
          </cell>
          <cell r="DA32">
            <v>-40</v>
          </cell>
          <cell r="DB32">
            <v>-56</v>
          </cell>
          <cell r="DC32">
            <v>-66</v>
          </cell>
          <cell r="DD32">
            <v>-138</v>
          </cell>
          <cell r="DE32">
            <v>-149</v>
          </cell>
          <cell r="DF32">
            <v>-72</v>
          </cell>
          <cell r="DG32">
            <v>-102</v>
          </cell>
          <cell r="DH32">
            <v>-135</v>
          </cell>
          <cell r="DI32">
            <v>-126</v>
          </cell>
          <cell r="DJ32">
            <v>-105</v>
          </cell>
          <cell r="DK32">
            <v>-122</v>
          </cell>
          <cell r="DL32">
            <v>-122</v>
          </cell>
          <cell r="DM32">
            <v>-218</v>
          </cell>
          <cell r="DN32">
            <v>-133.34391752581442</v>
          </cell>
          <cell r="DO32">
            <v>-152.4597287139319</v>
          </cell>
          <cell r="DP32">
            <v>-152.4597287139319</v>
          </cell>
          <cell r="DQ32">
            <v>-152.4597287139319</v>
          </cell>
          <cell r="DR32">
            <v>-152.4597287139319</v>
          </cell>
          <cell r="DT32">
            <v>0</v>
          </cell>
        </row>
        <row r="33">
          <cell r="B33" t="str">
            <v>% of revenue</v>
          </cell>
          <cell r="S33">
            <v>1.4909478168264111E-2</v>
          </cell>
          <cell r="T33">
            <v>1.2247136241774311E-2</v>
          </cell>
          <cell r="U33">
            <v>1.6484792198746226E-2</v>
          </cell>
          <cell r="V33">
            <v>1.5728016522360791E-2</v>
          </cell>
          <cell r="W33">
            <v>2.8561827956989246E-2</v>
          </cell>
          <cell r="X33">
            <v>3.6183701871037574E-2</v>
          </cell>
          <cell r="Y33">
            <v>0.04</v>
          </cell>
          <cell r="Z33">
            <v>4.4999999999999998E-2</v>
          </cell>
          <cell r="AA33">
            <v>3.7970071328838409E-2</v>
          </cell>
          <cell r="AB33">
            <v>0.02</v>
          </cell>
          <cell r="AC33">
            <v>0.02</v>
          </cell>
          <cell r="AD33">
            <v>0.02</v>
          </cell>
          <cell r="AE33">
            <v>0.02</v>
          </cell>
          <cell r="AF33">
            <v>1.4999999999999999E-2</v>
          </cell>
          <cell r="CU33">
            <v>2.1546261089987327E-2</v>
          </cell>
          <cell r="CY33">
            <v>9.9337748344370865E-3</v>
          </cell>
          <cell r="CZ33">
            <v>2.2734449005367856E-2</v>
          </cell>
          <cell r="DA33">
            <v>1.2319063751154912E-2</v>
          </cell>
          <cell r="DB33">
            <v>1.774960380348653E-2</v>
          </cell>
          <cell r="DC33">
            <v>1.8477043673012318E-2</v>
          </cell>
          <cell r="DD33">
            <v>3.4413965087281798E-2</v>
          </cell>
          <cell r="DE33">
            <v>3.845161290322581E-2</v>
          </cell>
          <cell r="DF33">
            <v>2.1034180543382998E-2</v>
          </cell>
          <cell r="DG33">
            <v>3.0456852791878174E-2</v>
          </cell>
          <cell r="DH33">
            <v>4.1120925982333231E-2</v>
          </cell>
          <cell r="DI33">
            <v>3.9166925707180604E-2</v>
          </cell>
          <cell r="DJ33">
            <v>3.4035656401944892E-2</v>
          </cell>
          <cell r="DK33">
            <v>3.76078914919852E-2</v>
          </cell>
          <cell r="DL33">
            <v>3.7526914795447557E-2</v>
          </cell>
          <cell r="DM33">
            <v>6.5761689291101058E-2</v>
          </cell>
          <cell r="DN33">
            <v>4.0666031572374021E-2</v>
          </cell>
          <cell r="DO33">
            <v>4.2847316021228349E-2</v>
          </cell>
          <cell r="DP33">
            <v>4.483423664837291E-2</v>
          </cell>
          <cell r="DQ33">
            <v>4.5548741935274639E-2</v>
          </cell>
          <cell r="DR33">
            <v>4.8589360634027003E-2</v>
          </cell>
        </row>
        <row r="35">
          <cell r="B35" t="str">
            <v>PP&amp;E, net</v>
          </cell>
          <cell r="S35" t="str">
            <v>ND</v>
          </cell>
          <cell r="T35">
            <v>5044</v>
          </cell>
          <cell r="U35">
            <v>4170</v>
          </cell>
          <cell r="V35">
            <v>4057</v>
          </cell>
          <cell r="W35">
            <v>4236</v>
          </cell>
          <cell r="X35">
            <v>4429</v>
          </cell>
          <cell r="Y35">
            <v>4659.5600000000004</v>
          </cell>
          <cell r="Z35">
            <v>4966.1312119599515</v>
          </cell>
          <cell r="AA35">
            <v>5184.4872522501628</v>
          </cell>
          <cell r="AB35">
            <v>5174.0741969163746</v>
          </cell>
          <cell r="AC35">
            <v>5161.2747404580768</v>
          </cell>
          <cell r="AD35">
            <v>5147.0059131735743</v>
          </cell>
          <cell r="AE35">
            <v>5131.3570135752771</v>
          </cell>
          <cell r="AF35">
            <v>5046.2843162703575</v>
          </cell>
          <cell r="CU35" t="str">
            <v>ND</v>
          </cell>
          <cell r="CY35" t="str">
            <v>ND</v>
          </cell>
        </row>
        <row r="36">
          <cell r="B36" t="str">
            <v>Asset turnover</v>
          </cell>
          <cell r="S36" t="str">
            <v>NM</v>
          </cell>
          <cell r="T36">
            <v>3.253766851704996</v>
          </cell>
          <cell r="U36">
            <v>2.0657074340527579</v>
          </cell>
          <cell r="V36">
            <v>3.1030317968942569</v>
          </cell>
          <cell r="W36">
            <v>3.5127478753541075</v>
          </cell>
          <cell r="X36">
            <v>2.9202980356739672</v>
          </cell>
          <cell r="Y36">
            <v>2.8090635167269009</v>
          </cell>
          <cell r="Z36">
            <v>2.7070621280306026</v>
          </cell>
          <cell r="AA36">
            <v>2.6833937057652619</v>
          </cell>
          <cell r="AB36">
            <v>2.8886642002199538</v>
          </cell>
          <cell r="AC36">
            <v>2.8661834158090778</v>
          </cell>
          <cell r="AD36">
            <v>2.8525597651172445</v>
          </cell>
          <cell r="AE36">
            <v>2.8397862416835422</v>
          </cell>
          <cell r="AF36">
            <v>2.8739011285837366</v>
          </cell>
          <cell r="CU36" t="str">
            <v>NM</v>
          </cell>
          <cell r="CY36" t="str">
            <v>NM</v>
          </cell>
        </row>
        <row r="38">
          <cell r="B38" t="str">
            <v>Equity and other investments</v>
          </cell>
          <cell r="S38" t="str">
            <v>ND</v>
          </cell>
          <cell r="T38">
            <v>87</v>
          </cell>
          <cell r="U38">
            <v>117</v>
          </cell>
          <cell r="CU38" t="str">
            <v>ND</v>
          </cell>
          <cell r="CY38" t="str">
            <v>ND</v>
          </cell>
        </row>
        <row r="40">
          <cell r="B40" t="str">
            <v>Production Volumes (mn pounds)</v>
          </cell>
        </row>
        <row r="41">
          <cell r="B41" t="str">
            <v>Ethylene</v>
          </cell>
          <cell r="U41">
            <v>8129</v>
          </cell>
          <cell r="V41">
            <v>8353</v>
          </cell>
          <cell r="W41">
            <v>8353</v>
          </cell>
          <cell r="X41">
            <v>8972</v>
          </cell>
          <cell r="Y41">
            <v>9162.06</v>
          </cell>
          <cell r="Z41">
            <v>9702.0643217391298</v>
          </cell>
          <cell r="AA41">
            <v>10523.753296741663</v>
          </cell>
          <cell r="AB41">
            <v>11663.822171915575</v>
          </cell>
          <cell r="AC41">
            <v>11631.953805325642</v>
          </cell>
          <cell r="AD41">
            <v>11631.953805325642</v>
          </cell>
          <cell r="AE41">
            <v>11631.953805325642</v>
          </cell>
          <cell r="AF41">
            <v>11663.822171915575</v>
          </cell>
          <cell r="CU41">
            <v>1988</v>
          </cell>
          <cell r="CV41">
            <v>2094</v>
          </cell>
          <cell r="CW41">
            <v>2037</v>
          </cell>
          <cell r="CX41">
            <v>2010</v>
          </cell>
          <cell r="CY41">
            <v>2019</v>
          </cell>
          <cell r="CZ41">
            <v>1998</v>
          </cell>
          <cell r="DA41">
            <v>2184</v>
          </cell>
          <cell r="DB41">
            <v>2152</v>
          </cell>
          <cell r="DC41">
            <v>2089</v>
          </cell>
          <cell r="DD41">
            <v>1929</v>
          </cell>
          <cell r="DE41">
            <v>2134</v>
          </cell>
          <cell r="DF41">
            <v>2201</v>
          </cell>
          <cell r="DG41">
            <v>1988</v>
          </cell>
          <cell r="DH41">
            <v>2134</v>
          </cell>
          <cell r="DI41">
            <v>2401</v>
          </cell>
          <cell r="DJ41">
            <v>2449</v>
          </cell>
          <cell r="DK41">
            <v>2337</v>
          </cell>
          <cell r="DL41">
            <v>2412</v>
          </cell>
          <cell r="DM41">
            <v>2111</v>
          </cell>
          <cell r="DN41">
            <v>2156</v>
          </cell>
          <cell r="DO41">
            <v>1976</v>
          </cell>
          <cell r="DT41">
            <v>2366</v>
          </cell>
        </row>
        <row r="42">
          <cell r="B42" t="str">
            <v>per day</v>
          </cell>
          <cell r="U42">
            <v>22.271232876712329</v>
          </cell>
          <cell r="V42">
            <v>22.884931506849316</v>
          </cell>
          <cell r="W42">
            <v>22.884931506849316</v>
          </cell>
          <cell r="X42">
            <v>24.513661202185791</v>
          </cell>
          <cell r="Y42">
            <v>25.101534246575341</v>
          </cell>
          <cell r="Z42">
            <v>26.580998141751042</v>
          </cell>
          <cell r="AA42">
            <v>28.832200812990855</v>
          </cell>
          <cell r="AB42">
            <v>31.868366589933267</v>
          </cell>
          <cell r="AC42">
            <v>31.868366589933267</v>
          </cell>
          <cell r="AD42">
            <v>31.868366589933267</v>
          </cell>
          <cell r="AE42">
            <v>31.868366589933267</v>
          </cell>
          <cell r="AF42">
            <v>31.868366589933267</v>
          </cell>
          <cell r="CU42">
            <v>22.088888888888889</v>
          </cell>
          <cell r="CV42">
            <v>23.010989010989011</v>
          </cell>
          <cell r="CW42">
            <v>22.141304347826086</v>
          </cell>
          <cell r="CX42">
            <v>21.847826086956523</v>
          </cell>
          <cell r="CY42">
            <v>22.433333333333334</v>
          </cell>
          <cell r="CZ42">
            <v>21.956043956043956</v>
          </cell>
          <cell r="DA42">
            <v>23.739130434782609</v>
          </cell>
          <cell r="DB42">
            <v>23.391304347826086</v>
          </cell>
          <cell r="DC42">
            <v>23.211111111111112</v>
          </cell>
          <cell r="DD42">
            <v>21.197802197802197</v>
          </cell>
          <cell r="DE42">
            <v>23.195652173913043</v>
          </cell>
          <cell r="DF42">
            <v>23.923913043478262</v>
          </cell>
          <cell r="DG42">
            <v>21.846153846153847</v>
          </cell>
          <cell r="DH42">
            <v>23.450549450549449</v>
          </cell>
          <cell r="DI42">
            <v>26.097826086956523</v>
          </cell>
          <cell r="DJ42">
            <v>26.619565217391305</v>
          </cell>
          <cell r="DK42">
            <v>25.966666666666665</v>
          </cell>
          <cell r="DL42">
            <v>26.505494505494507</v>
          </cell>
          <cell r="DM42">
            <v>22.945652173913043</v>
          </cell>
          <cell r="DN42">
            <v>23.434782608695652</v>
          </cell>
          <cell r="DO42">
            <v>21.955555555555556</v>
          </cell>
          <cell r="DT42">
            <v>26</v>
          </cell>
        </row>
        <row r="43">
          <cell r="B43" t="str">
            <v>growth</v>
          </cell>
          <cell r="V43">
            <v>2.7555664903432309E-2</v>
          </cell>
          <cell r="W43">
            <v>0</v>
          </cell>
          <cell r="X43">
            <v>7.1170398515241651E-2</v>
          </cell>
          <cell r="Y43">
            <v>2.3981446081874136E-2</v>
          </cell>
          <cell r="Z43">
            <v>5.8939181989545064E-2</v>
          </cell>
          <cell r="AA43">
            <v>8.4692179700499137E-2</v>
          </cell>
          <cell r="AB43">
            <v>0.10530468335162313</v>
          </cell>
          <cell r="AC43">
            <v>0</v>
          </cell>
          <cell r="AD43">
            <v>0</v>
          </cell>
          <cell r="AE43">
            <v>0</v>
          </cell>
          <cell r="AF43">
            <v>0</v>
          </cell>
          <cell r="CY43">
            <v>1.5593561368209219E-2</v>
          </cell>
          <cell r="CZ43">
            <v>-4.5845272206303744E-2</v>
          </cell>
          <cell r="DA43">
            <v>7.2164948453608213E-2</v>
          </cell>
          <cell r="DB43">
            <v>7.0646766169154107E-2</v>
          </cell>
          <cell r="DC43">
            <v>3.4670629024269539E-2</v>
          </cell>
          <cell r="DD43">
            <v>-3.4534534534534589E-2</v>
          </cell>
          <cell r="DE43">
            <v>-2.2893772893772923E-2</v>
          </cell>
          <cell r="DF43">
            <v>2.2769516728624595E-2</v>
          </cell>
          <cell r="DG43">
            <v>-5.8806200979489631E-2</v>
          </cell>
          <cell r="DH43">
            <v>0.10627268014515279</v>
          </cell>
          <cell r="DI43">
            <v>0.12511715089034681</v>
          </cell>
          <cell r="DJ43">
            <v>0.11267605633802824</v>
          </cell>
          <cell r="DK43">
            <v>0.18861502347417836</v>
          </cell>
          <cell r="DL43">
            <v>0.13027179006560474</v>
          </cell>
          <cell r="DM43">
            <v>-0.12078300708038325</v>
          </cell>
          <cell r="DN43">
            <v>-0.11964066966108611</v>
          </cell>
          <cell r="DO43">
            <v>-0.15447154471544711</v>
          </cell>
          <cell r="DT43">
            <v>0.10871602624179943</v>
          </cell>
        </row>
        <row r="44">
          <cell r="B44" t="str">
            <v>Rated capacity</v>
          </cell>
          <cell r="CY44">
            <v>9700</v>
          </cell>
          <cell r="CZ44">
            <v>9700</v>
          </cell>
          <cell r="DA44">
            <v>9700</v>
          </cell>
          <cell r="DB44">
            <v>9700</v>
          </cell>
          <cell r="DC44">
            <v>9700</v>
          </cell>
          <cell r="DD44">
            <v>9700</v>
          </cell>
          <cell r="DE44">
            <v>9700</v>
          </cell>
          <cell r="DF44">
            <v>9700</v>
          </cell>
          <cell r="DG44">
            <v>9700</v>
          </cell>
          <cell r="DH44">
            <v>9700</v>
          </cell>
          <cell r="DI44">
            <v>9700</v>
          </cell>
          <cell r="DJ44">
            <v>9700</v>
          </cell>
          <cell r="DK44">
            <v>9700</v>
          </cell>
          <cell r="DL44">
            <v>9700</v>
          </cell>
          <cell r="DM44">
            <v>9700</v>
          </cell>
          <cell r="DN44">
            <v>9700</v>
          </cell>
          <cell r="DO44">
            <v>9700</v>
          </cell>
          <cell r="DT44">
            <v>9700</v>
          </cell>
        </row>
        <row r="45">
          <cell r="B45" t="str">
            <v>utilization</v>
          </cell>
          <cell r="CY45">
            <v>0.83257731958762882</v>
          </cell>
          <cell r="CZ45">
            <v>0.82391752577319588</v>
          </cell>
          <cell r="DA45">
            <v>0.90061855670103097</v>
          </cell>
          <cell r="DB45">
            <v>0.88742268041237116</v>
          </cell>
          <cell r="DC45">
            <v>0.86144329896907212</v>
          </cell>
          <cell r="DD45">
            <v>0.79546391752577317</v>
          </cell>
          <cell r="DE45">
            <v>0.88</v>
          </cell>
          <cell r="DF45">
            <v>0.90762886597938142</v>
          </cell>
          <cell r="DG45">
            <v>0.81979381443298971</v>
          </cell>
          <cell r="DH45">
            <v>0.88</v>
          </cell>
          <cell r="DI45">
            <v>0.99010309278350517</v>
          </cell>
          <cell r="DJ45">
            <v>1.0098969072164949</v>
          </cell>
          <cell r="DK45">
            <v>0.96371134020618554</v>
          </cell>
          <cell r="DL45">
            <v>0.99463917525773193</v>
          </cell>
          <cell r="DM45">
            <v>0.87051546391752577</v>
          </cell>
          <cell r="DN45">
            <v>0.88907216494845365</v>
          </cell>
          <cell r="DO45">
            <v>0.81484536082474224</v>
          </cell>
          <cell r="DT45">
            <v>0.97567010309278346</v>
          </cell>
        </row>
        <row r="46">
          <cell r="DM46" t="str">
            <v xml:space="preserve"> </v>
          </cell>
          <cell r="DO46" t="str">
            <v xml:space="preserve"> </v>
          </cell>
        </row>
        <row r="47">
          <cell r="B47" t="str">
            <v>Propylene</v>
          </cell>
          <cell r="U47">
            <v>2912</v>
          </cell>
          <cell r="V47">
            <v>3017</v>
          </cell>
          <cell r="W47">
            <v>2907</v>
          </cell>
          <cell r="X47">
            <v>2363</v>
          </cell>
          <cell r="Y47">
            <v>3102.5</v>
          </cell>
          <cell r="Z47">
            <v>3102.5</v>
          </cell>
          <cell r="AA47">
            <v>3102.5</v>
          </cell>
          <cell r="AB47">
            <v>3111</v>
          </cell>
          <cell r="AC47">
            <v>3102.5</v>
          </cell>
          <cell r="AD47">
            <v>3102.5</v>
          </cell>
          <cell r="AE47">
            <v>3102.5</v>
          </cell>
          <cell r="AF47">
            <v>3111</v>
          </cell>
          <cell r="CU47">
            <v>676</v>
          </cell>
          <cell r="CV47">
            <v>731</v>
          </cell>
          <cell r="CW47">
            <v>799</v>
          </cell>
          <cell r="CX47">
            <v>706</v>
          </cell>
          <cell r="CY47">
            <v>755</v>
          </cell>
          <cell r="CZ47">
            <v>777</v>
          </cell>
          <cell r="DA47">
            <v>790</v>
          </cell>
          <cell r="DB47">
            <v>695</v>
          </cell>
          <cell r="DC47">
            <v>769</v>
          </cell>
          <cell r="DD47">
            <v>556</v>
          </cell>
          <cell r="DE47">
            <v>838</v>
          </cell>
          <cell r="DF47">
            <v>744</v>
          </cell>
          <cell r="DG47">
            <v>533</v>
          </cell>
          <cell r="DH47">
            <v>615</v>
          </cell>
          <cell r="DI47">
            <v>633</v>
          </cell>
          <cell r="DJ47">
            <v>582</v>
          </cell>
          <cell r="DK47">
            <v>624</v>
          </cell>
          <cell r="DL47">
            <v>527</v>
          </cell>
          <cell r="DM47">
            <v>652</v>
          </cell>
          <cell r="DN47">
            <v>646</v>
          </cell>
          <cell r="DO47">
            <v>611</v>
          </cell>
          <cell r="DT47">
            <v>773.5</v>
          </cell>
        </row>
        <row r="48">
          <cell r="B48" t="str">
            <v>per day</v>
          </cell>
          <cell r="U48">
            <v>7.978082191780822</v>
          </cell>
          <cell r="V48">
            <v>8.2657534246575342</v>
          </cell>
          <cell r="W48">
            <v>7.9643835616438352</v>
          </cell>
          <cell r="X48">
            <v>6.4562841530054644</v>
          </cell>
          <cell r="Y48">
            <v>8.5</v>
          </cell>
          <cell r="Z48">
            <v>8.5</v>
          </cell>
          <cell r="AA48">
            <v>8.5</v>
          </cell>
          <cell r="AB48">
            <v>8.5</v>
          </cell>
          <cell r="AC48">
            <v>8.5</v>
          </cell>
          <cell r="AD48">
            <v>8.5</v>
          </cell>
          <cell r="AE48">
            <v>8.5</v>
          </cell>
          <cell r="AF48">
            <v>8.5</v>
          </cell>
          <cell r="CU48">
            <v>7.5111111111111111</v>
          </cell>
          <cell r="CV48">
            <v>8.0329670329670328</v>
          </cell>
          <cell r="CW48">
            <v>8.6847826086956523</v>
          </cell>
          <cell r="CX48">
            <v>7.6739130434782608</v>
          </cell>
          <cell r="CY48">
            <v>8.3888888888888893</v>
          </cell>
          <cell r="CZ48">
            <v>8.5384615384615383</v>
          </cell>
          <cell r="DA48">
            <v>8.5869565217391308</v>
          </cell>
          <cell r="DB48">
            <v>7.5543478260869561</v>
          </cell>
          <cell r="DC48">
            <v>8.5444444444444443</v>
          </cell>
          <cell r="DD48">
            <v>6.1098901098901095</v>
          </cell>
          <cell r="DE48">
            <v>9.1086956521739122</v>
          </cell>
          <cell r="DF48">
            <v>8.0869565217391308</v>
          </cell>
          <cell r="DG48">
            <v>5.8571428571428568</v>
          </cell>
          <cell r="DH48">
            <v>6.7582417582417582</v>
          </cell>
          <cell r="DI48">
            <v>6.8804347826086953</v>
          </cell>
          <cell r="DJ48">
            <v>6.3260869565217392</v>
          </cell>
          <cell r="DK48">
            <v>6.9333333333333336</v>
          </cell>
          <cell r="DL48">
            <v>5.7912087912087911</v>
          </cell>
          <cell r="DM48">
            <v>7.0869565217391308</v>
          </cell>
          <cell r="DN48">
            <v>7.0217391304347823</v>
          </cell>
          <cell r="DO48">
            <v>6.7888888888888888</v>
          </cell>
          <cell r="DT48">
            <v>8.5</v>
          </cell>
        </row>
        <row r="49">
          <cell r="B49" t="str">
            <v>growth</v>
          </cell>
          <cell r="V49">
            <v>3.6057692307692291E-2</v>
          </cell>
          <cell r="W49">
            <v>-3.64600596619159E-2</v>
          </cell>
          <cell r="X49">
            <v>-0.18935544690505857</v>
          </cell>
          <cell r="Y49">
            <v>0.31654676258992809</v>
          </cell>
          <cell r="Z49">
            <v>0</v>
          </cell>
          <cell r="AA49">
            <v>0</v>
          </cell>
          <cell r="AB49">
            <v>0</v>
          </cell>
          <cell r="AC49">
            <v>0</v>
          </cell>
          <cell r="AD49">
            <v>0</v>
          </cell>
          <cell r="AE49">
            <v>0</v>
          </cell>
          <cell r="AF49">
            <v>0</v>
          </cell>
          <cell r="CY49">
            <v>0.11686390532544388</v>
          </cell>
          <cell r="CZ49">
            <v>6.2927496580027276E-2</v>
          </cell>
          <cell r="DA49">
            <v>-1.126408010012514E-2</v>
          </cell>
          <cell r="DB49">
            <v>-1.5580736543909346E-2</v>
          </cell>
          <cell r="DC49">
            <v>1.8543046357615722E-2</v>
          </cell>
          <cell r="DD49">
            <v>-0.28442728442728449</v>
          </cell>
          <cell r="DE49">
            <v>6.0759493670885956E-2</v>
          </cell>
          <cell r="DF49">
            <v>7.0503597122302253E-2</v>
          </cell>
          <cell r="DG49">
            <v>-0.31450863830577747</v>
          </cell>
          <cell r="DH49">
            <v>0.10611510791366907</v>
          </cell>
          <cell r="DI49">
            <v>-0.24463007159904526</v>
          </cell>
          <cell r="DJ49">
            <v>-0.217741935483871</v>
          </cell>
          <cell r="DK49">
            <v>0.18373983739837407</v>
          </cell>
          <cell r="DL49">
            <v>-0.14308943089430892</v>
          </cell>
          <cell r="DM49">
            <v>3.0015797788309762E-2</v>
          </cell>
          <cell r="DN49">
            <v>0.10996563573883145</v>
          </cell>
          <cell r="DO49">
            <v>-2.083333333333337E-2</v>
          </cell>
          <cell r="DT49">
            <v>0.25772357723577244</v>
          </cell>
        </row>
        <row r="50">
          <cell r="CU50">
            <v>0.34004024144869216</v>
          </cell>
          <cell r="CV50">
            <v>0.34909264565425024</v>
          </cell>
          <cell r="CW50">
            <v>0.39224349533627884</v>
          </cell>
          <cell r="CX50">
            <v>0.35124378109452736</v>
          </cell>
        </row>
        <row r="51">
          <cell r="B51" t="str">
            <v>Sales Volumes (mn pounds)</v>
          </cell>
        </row>
        <row r="52">
          <cell r="B52" t="str">
            <v>Polyethylene</v>
          </cell>
          <cell r="U52">
            <v>5499</v>
          </cell>
          <cell r="V52">
            <v>5468</v>
          </cell>
          <cell r="W52">
            <v>5503</v>
          </cell>
          <cell r="X52">
            <v>5639</v>
          </cell>
          <cell r="Y52">
            <v>5519.54</v>
          </cell>
          <cell r="Z52">
            <v>5870.0492179803514</v>
          </cell>
          <cell r="AA52">
            <v>6367.196481200318</v>
          </cell>
          <cell r="AB52">
            <v>7056.9734386838118</v>
          </cell>
          <cell r="AC52">
            <v>7037.6920904906865</v>
          </cell>
          <cell r="AD52">
            <v>7037.6920904906865</v>
          </cell>
          <cell r="AE52">
            <v>7037.6920904906865</v>
          </cell>
          <cell r="AF52">
            <v>7056.9734386838118</v>
          </cell>
          <cell r="CU52">
            <v>1236</v>
          </cell>
          <cell r="CV52">
            <v>1342</v>
          </cell>
          <cell r="CW52">
            <v>1505</v>
          </cell>
          <cell r="CX52">
            <v>1416</v>
          </cell>
          <cell r="CY52">
            <v>1339</v>
          </cell>
          <cell r="CZ52">
            <v>1265</v>
          </cell>
          <cell r="DA52">
            <v>1517</v>
          </cell>
          <cell r="DB52">
            <v>1347</v>
          </cell>
          <cell r="DC52">
            <v>1415</v>
          </cell>
          <cell r="DD52">
            <v>1377</v>
          </cell>
          <cell r="DE52">
            <v>1368</v>
          </cell>
          <cell r="DF52">
            <v>1343</v>
          </cell>
          <cell r="DG52">
            <v>1448</v>
          </cell>
          <cell r="DH52">
            <v>1316</v>
          </cell>
          <cell r="DI52">
            <v>1434</v>
          </cell>
          <cell r="DJ52">
            <v>1441</v>
          </cell>
          <cell r="DK52">
            <v>1398</v>
          </cell>
          <cell r="DL52">
            <v>1389</v>
          </cell>
          <cell r="DM52">
            <v>1378</v>
          </cell>
          <cell r="DN52">
            <v>1409</v>
          </cell>
          <cell r="DO52">
            <v>1406</v>
          </cell>
          <cell r="DT52">
            <v>1274</v>
          </cell>
        </row>
        <row r="53">
          <cell r="B53" t="str">
            <v>per day</v>
          </cell>
          <cell r="U53">
            <v>15.065753424657535</v>
          </cell>
          <cell r="V53">
            <v>14.980821917808219</v>
          </cell>
          <cell r="W53">
            <v>15.076712328767123</v>
          </cell>
          <cell r="X53">
            <v>15.407103825136613</v>
          </cell>
          <cell r="Y53">
            <v>15.122027397260274</v>
          </cell>
          <cell r="Z53">
            <v>16.082326624603702</v>
          </cell>
          <cell r="AA53">
            <v>17.444373921096762</v>
          </cell>
          <cell r="AB53">
            <v>19.281348193125169</v>
          </cell>
          <cell r="AC53">
            <v>19.281348193125169</v>
          </cell>
          <cell r="AD53">
            <v>19.281348193125169</v>
          </cell>
          <cell r="AE53">
            <v>19.281348193125169</v>
          </cell>
          <cell r="AF53">
            <v>19.281348193125169</v>
          </cell>
          <cell r="CU53">
            <v>13.733333333333333</v>
          </cell>
          <cell r="CV53">
            <v>14.747252747252746</v>
          </cell>
          <cell r="CW53">
            <v>16.358695652173914</v>
          </cell>
          <cell r="CX53">
            <v>15.391304347826088</v>
          </cell>
          <cell r="CY53">
            <v>14.877777777777778</v>
          </cell>
          <cell r="CZ53">
            <v>13.901098901098901</v>
          </cell>
          <cell r="DA53">
            <v>16.489130434782609</v>
          </cell>
          <cell r="DB53">
            <v>14.641304347826088</v>
          </cell>
          <cell r="DC53">
            <v>15.722222222222221</v>
          </cell>
          <cell r="DD53">
            <v>15.131868131868131</v>
          </cell>
          <cell r="DE53">
            <v>14.869565217391305</v>
          </cell>
          <cell r="DF53">
            <v>14.597826086956522</v>
          </cell>
          <cell r="DG53">
            <v>15.912087912087912</v>
          </cell>
          <cell r="DH53">
            <v>14.461538461538462</v>
          </cell>
          <cell r="DI53">
            <v>15.586956521739131</v>
          </cell>
          <cell r="DJ53">
            <v>15.663043478260869</v>
          </cell>
          <cell r="DK53">
            <v>15.533333333333333</v>
          </cell>
          <cell r="DL53">
            <v>15.263736263736265</v>
          </cell>
          <cell r="DM53">
            <v>14.978260869565217</v>
          </cell>
          <cell r="DN53">
            <v>15.315217391304348</v>
          </cell>
          <cell r="DO53">
            <v>15.622222222222222</v>
          </cell>
          <cell r="DT53">
            <v>14</v>
          </cell>
        </row>
        <row r="54">
          <cell r="B54" t="str">
            <v>growth</v>
          </cell>
          <cell r="V54">
            <v>-5.6373886161120712E-3</v>
          </cell>
          <cell r="W54">
            <v>6.4008778346744677E-3</v>
          </cell>
          <cell r="X54">
            <v>2.1914028016511766E-2</v>
          </cell>
          <cell r="Y54">
            <v>-1.850292119218655E-2</v>
          </cell>
          <cell r="Z54">
            <v>6.3503338680460875E-2</v>
          </cell>
          <cell r="AA54">
            <v>8.4692179700499137E-2</v>
          </cell>
          <cell r="AB54">
            <v>0.10530468335162313</v>
          </cell>
          <cell r="AC54">
            <v>0</v>
          </cell>
          <cell r="AD54">
            <v>0</v>
          </cell>
          <cell r="AE54">
            <v>0</v>
          </cell>
          <cell r="AF54">
            <v>0</v>
          </cell>
          <cell r="CY54">
            <v>8.3333333333333481E-2</v>
          </cell>
          <cell r="CZ54">
            <v>-5.7377049180327822E-2</v>
          </cell>
          <cell r="DA54">
            <v>7.9734219269103068E-3</v>
          </cell>
          <cell r="DB54">
            <v>-4.8728813559322015E-2</v>
          </cell>
          <cell r="DC54">
            <v>5.6758775205377088E-2</v>
          </cell>
          <cell r="DD54">
            <v>8.8537549407114557E-2</v>
          </cell>
          <cell r="DE54">
            <v>-9.822017139090311E-2</v>
          </cell>
          <cell r="DF54">
            <v>-2.9695619896066283E-3</v>
          </cell>
          <cell r="DG54">
            <v>1.2076262959655359E-2</v>
          </cell>
          <cell r="DH54">
            <v>-4.4299201161946189E-2</v>
          </cell>
          <cell r="DI54">
            <v>4.8245614035087758E-2</v>
          </cell>
          <cell r="DJ54">
            <v>7.2970960536113072E-2</v>
          </cell>
          <cell r="DK54">
            <v>-2.3802946593001861E-2</v>
          </cell>
          <cell r="DL54">
            <v>5.5471124620060763E-2</v>
          </cell>
          <cell r="DM54">
            <v>-3.9051603905160492E-2</v>
          </cell>
          <cell r="DN54">
            <v>-2.2206800832755058E-2</v>
          </cell>
          <cell r="DO54">
            <v>5.7224606580830173E-3</v>
          </cell>
          <cell r="DT54">
            <v>-3.1914893617021267E-2</v>
          </cell>
        </row>
        <row r="55">
          <cell r="B55" t="str">
            <v>Polypropylene</v>
          </cell>
          <cell r="U55">
            <v>2416</v>
          </cell>
          <cell r="V55">
            <v>2568</v>
          </cell>
          <cell r="W55">
            <v>2479</v>
          </cell>
          <cell r="X55">
            <v>2630</v>
          </cell>
          <cell r="Y55">
            <v>2555</v>
          </cell>
          <cell r="Z55">
            <v>2555</v>
          </cell>
          <cell r="AA55">
            <v>2555</v>
          </cell>
          <cell r="AB55">
            <v>2562</v>
          </cell>
          <cell r="AC55">
            <v>2555</v>
          </cell>
          <cell r="AD55">
            <v>2555</v>
          </cell>
          <cell r="AE55">
            <v>2555</v>
          </cell>
          <cell r="AF55">
            <v>2562</v>
          </cell>
          <cell r="CU55">
            <v>541</v>
          </cell>
          <cell r="CV55">
            <v>656</v>
          </cell>
          <cell r="CW55">
            <v>606</v>
          </cell>
          <cell r="CX55">
            <v>613</v>
          </cell>
          <cell r="CY55">
            <v>615</v>
          </cell>
          <cell r="CZ55">
            <v>670</v>
          </cell>
          <cell r="DA55">
            <v>672</v>
          </cell>
          <cell r="DB55">
            <v>611</v>
          </cell>
          <cell r="DC55">
            <v>593</v>
          </cell>
          <cell r="DD55">
            <v>611</v>
          </cell>
          <cell r="DE55">
            <v>635</v>
          </cell>
          <cell r="DF55">
            <v>640</v>
          </cell>
          <cell r="DG55">
            <v>650</v>
          </cell>
          <cell r="DH55">
            <v>634</v>
          </cell>
          <cell r="DI55">
            <v>651</v>
          </cell>
          <cell r="DJ55">
            <v>695</v>
          </cell>
          <cell r="DK55">
            <v>648</v>
          </cell>
          <cell r="DL55">
            <v>637</v>
          </cell>
          <cell r="DM55">
            <v>669</v>
          </cell>
          <cell r="DN55">
            <v>642</v>
          </cell>
          <cell r="DO55">
            <v>614</v>
          </cell>
          <cell r="DT55">
            <v>637</v>
          </cell>
        </row>
        <row r="56">
          <cell r="B56" t="str">
            <v>per day</v>
          </cell>
          <cell r="U56">
            <v>6.6191780821917812</v>
          </cell>
          <cell r="V56">
            <v>7.0356164383561648</v>
          </cell>
          <cell r="W56">
            <v>6.7917808219178086</v>
          </cell>
          <cell r="X56">
            <v>7.1857923497267757</v>
          </cell>
          <cell r="Y56">
            <v>7</v>
          </cell>
          <cell r="Z56">
            <v>7</v>
          </cell>
          <cell r="AA56">
            <v>7</v>
          </cell>
          <cell r="AB56">
            <v>7</v>
          </cell>
          <cell r="AC56">
            <v>7</v>
          </cell>
          <cell r="AD56">
            <v>7</v>
          </cell>
          <cell r="AE56">
            <v>7</v>
          </cell>
          <cell r="AF56">
            <v>7</v>
          </cell>
          <cell r="CU56">
            <v>6.0111111111111111</v>
          </cell>
          <cell r="CV56">
            <v>7.2087912087912089</v>
          </cell>
          <cell r="CW56">
            <v>6.5869565217391308</v>
          </cell>
          <cell r="CX56">
            <v>6.6630434782608692</v>
          </cell>
          <cell r="CY56">
            <v>6.833333333333333</v>
          </cell>
          <cell r="CZ56">
            <v>7.3626373626373622</v>
          </cell>
          <cell r="DA56">
            <v>7.3043478260869561</v>
          </cell>
          <cell r="DB56">
            <v>6.6413043478260869</v>
          </cell>
          <cell r="DC56">
            <v>6.5888888888888886</v>
          </cell>
          <cell r="DD56">
            <v>6.7142857142857144</v>
          </cell>
          <cell r="DE56">
            <v>6.9021739130434785</v>
          </cell>
          <cell r="DF56">
            <v>6.9565217391304346</v>
          </cell>
          <cell r="DG56">
            <v>7.1428571428571432</v>
          </cell>
          <cell r="DH56">
            <v>6.9670329670329672</v>
          </cell>
          <cell r="DI56">
            <v>7.0760869565217392</v>
          </cell>
          <cell r="DJ56">
            <v>7.5543478260869561</v>
          </cell>
          <cell r="DK56">
            <v>7.2</v>
          </cell>
          <cell r="DL56">
            <v>7</v>
          </cell>
          <cell r="DM56">
            <v>7.2717391304347823</v>
          </cell>
          <cell r="DN56">
            <v>6.9782608695652177</v>
          </cell>
          <cell r="DO56">
            <v>6.822222222222222</v>
          </cell>
          <cell r="DT56">
            <v>7</v>
          </cell>
        </row>
        <row r="57">
          <cell r="B57" t="str">
            <v>growth</v>
          </cell>
          <cell r="V57">
            <v>6.29139072847682E-2</v>
          </cell>
          <cell r="W57">
            <v>-3.4657320872274133E-2</v>
          </cell>
          <cell r="X57">
            <v>5.8012992194543367E-2</v>
          </cell>
          <cell r="Y57">
            <v>-2.5855513307984745E-2</v>
          </cell>
          <cell r="Z57">
            <v>0</v>
          </cell>
          <cell r="AA57">
            <v>0</v>
          </cell>
          <cell r="AB57">
            <v>0</v>
          </cell>
          <cell r="AC57">
            <v>0</v>
          </cell>
          <cell r="AD57">
            <v>0</v>
          </cell>
          <cell r="AE57">
            <v>0</v>
          </cell>
          <cell r="AF57">
            <v>0</v>
          </cell>
          <cell r="CY57">
            <v>0.13678373382624764</v>
          </cell>
          <cell r="CZ57">
            <v>2.1341463414634054E-2</v>
          </cell>
          <cell r="DA57">
            <v>0.10891089108910879</v>
          </cell>
          <cell r="DB57">
            <v>-3.2626427406198255E-3</v>
          </cell>
          <cell r="DC57">
            <v>-3.5772357723577231E-2</v>
          </cell>
          <cell r="DD57">
            <v>-8.8059701492537279E-2</v>
          </cell>
          <cell r="DE57">
            <v>-5.5059523809523725E-2</v>
          </cell>
          <cell r="DF57">
            <v>4.7463175122749668E-2</v>
          </cell>
          <cell r="DG57">
            <v>8.4076126234642334E-2</v>
          </cell>
          <cell r="DH57">
            <v>3.7643207855973859E-2</v>
          </cell>
          <cell r="DI57">
            <v>2.5196850393700787E-2</v>
          </cell>
          <cell r="DJ57">
            <v>8.59375E-2</v>
          </cell>
          <cell r="DK57">
            <v>8.0000000000000071E-3</v>
          </cell>
          <cell r="DL57">
            <v>4.7318611987381409E-3</v>
          </cell>
          <cell r="DM57">
            <v>2.7649769585253337E-2</v>
          </cell>
          <cell r="DN57">
            <v>-7.6258992805755321E-2</v>
          </cell>
          <cell r="DO57">
            <v>-5.2469135802469147E-2</v>
          </cell>
          <cell r="DT57">
            <v>4.7318611987381409E-3</v>
          </cell>
        </row>
        <row r="59">
          <cell r="CU59">
            <v>0.55319148936170215</v>
          </cell>
          <cell r="CV59">
            <v>0.5933441558441559</v>
          </cell>
          <cell r="CW59">
            <v>0.59493670886075944</v>
          </cell>
          <cell r="CX59">
            <v>0.53729071537290718</v>
          </cell>
          <cell r="CY59">
            <v>0.50876010781671155</v>
          </cell>
          <cell r="CZ59">
            <v>0.5354927636113026</v>
          </cell>
          <cell r="DA59">
            <v>0.51165803108808294</v>
          </cell>
          <cell r="DB59">
            <v>0.4724677090414684</v>
          </cell>
          <cell r="DC59">
            <v>0.53738644304682037</v>
          </cell>
          <cell r="DD59">
            <v>0.39657631954350925</v>
          </cell>
          <cell r="DE59">
            <v>0.60157932519741564</v>
          </cell>
          <cell r="DF59">
            <v>0.54867256637168138</v>
          </cell>
          <cell r="DG59">
            <v>0.36062246278755072</v>
          </cell>
          <cell r="DH59">
            <v>0.42887029288702927</v>
          </cell>
          <cell r="DI59">
            <v>0.44925479063165363</v>
          </cell>
        </row>
        <row r="60">
          <cell r="CU60">
            <v>1222</v>
          </cell>
          <cell r="CV60">
            <v>1232</v>
          </cell>
          <cell r="CW60">
            <v>1343</v>
          </cell>
          <cell r="CX60">
            <v>1314</v>
          </cell>
          <cell r="CY60">
            <v>1484</v>
          </cell>
          <cell r="CZ60">
            <v>1451</v>
          </cell>
          <cell r="DA60">
            <v>1544</v>
          </cell>
          <cell r="DB60">
            <v>1471</v>
          </cell>
          <cell r="DC60">
            <v>1431</v>
          </cell>
          <cell r="DD60">
            <v>1402</v>
          </cell>
          <cell r="DE60">
            <v>1393</v>
          </cell>
          <cell r="DF60">
            <v>1356</v>
          </cell>
          <cell r="DG60">
            <v>1478</v>
          </cell>
          <cell r="DH60">
            <v>1434</v>
          </cell>
          <cell r="DI60">
            <v>1409</v>
          </cell>
        </row>
        <row r="62">
          <cell r="B62" t="str">
            <v>Crude oil - dollars / barrel</v>
          </cell>
          <cell r="CU62">
            <v>43.31</v>
          </cell>
          <cell r="CV62">
            <v>59.79</v>
          </cell>
          <cell r="CW62">
            <v>68.239999999999995</v>
          </cell>
          <cell r="CX62">
            <v>76.13</v>
          </cell>
          <cell r="CY62">
            <v>78.88</v>
          </cell>
          <cell r="CZ62">
            <v>78.05</v>
          </cell>
          <cell r="DA62">
            <v>76.09</v>
          </cell>
          <cell r="DB62">
            <v>85.24</v>
          </cell>
          <cell r="DC62">
            <v>94.6</v>
          </cell>
          <cell r="DD62">
            <v>102.3</v>
          </cell>
          <cell r="DE62">
            <v>89.5</v>
          </cell>
          <cell r="DF62">
            <v>94.1</v>
          </cell>
          <cell r="DG62">
            <v>103.03</v>
          </cell>
          <cell r="DH62">
            <v>93.35</v>
          </cell>
          <cell r="DI62">
            <v>92.768769230769223</v>
          </cell>
          <cell r="DJ62">
            <v>87.91</v>
          </cell>
          <cell r="DK62">
            <v>94.293333333333337</v>
          </cell>
          <cell r="DL62">
            <v>94.083333333333329</v>
          </cell>
          <cell r="DM62">
            <v>105.91333333333334</v>
          </cell>
          <cell r="DN62">
            <v>97.549090909090907</v>
          </cell>
          <cell r="DO62">
            <v>100.92</v>
          </cell>
          <cell r="DP62">
            <v>100.15</v>
          </cell>
          <cell r="DQ62">
            <v>98.706666666666663</v>
          </cell>
          <cell r="DR62">
            <v>98.163333333333341</v>
          </cell>
          <cell r="DT62">
            <v>0</v>
          </cell>
        </row>
        <row r="64">
          <cell r="B64" t="str">
            <v>Crude oil - dollars / mmbtu</v>
          </cell>
          <cell r="CU64">
            <v>7.4672413793103454</v>
          </cell>
          <cell r="CV64">
            <v>10.308620689655173</v>
          </cell>
          <cell r="CW64">
            <v>11.76551724137931</v>
          </cell>
          <cell r="CX64">
            <v>13.125862068965517</v>
          </cell>
          <cell r="CY64">
            <v>13.6</v>
          </cell>
          <cell r="CZ64">
            <v>13.456896551724137</v>
          </cell>
          <cell r="DA64">
            <v>13.11896551724138</v>
          </cell>
          <cell r="DB64">
            <v>14.696551724137931</v>
          </cell>
          <cell r="DC64">
            <v>16.310344827586206</v>
          </cell>
          <cell r="DD64">
            <v>17.637931034482758</v>
          </cell>
          <cell r="DE64">
            <v>15.431034482758621</v>
          </cell>
          <cell r="DF64">
            <v>16.224137931034484</v>
          </cell>
          <cell r="DG64">
            <v>17.763793103448275</v>
          </cell>
          <cell r="DH64">
            <v>16.094827586206897</v>
          </cell>
          <cell r="DI64">
            <v>15.994615384615384</v>
          </cell>
          <cell r="DJ64">
            <v>15.156896551724138</v>
          </cell>
          <cell r="DK64">
            <v>16.257471264367815</v>
          </cell>
          <cell r="DL64">
            <v>16.22126436781609</v>
          </cell>
          <cell r="DM64">
            <v>18.260919540229889</v>
          </cell>
          <cell r="DN64">
            <v>16.818808777429467</v>
          </cell>
          <cell r="DO64">
            <v>17.400000000000002</v>
          </cell>
          <cell r="DP64">
            <v>17.267241379310345</v>
          </cell>
          <cell r="DQ64">
            <v>17.018390804597701</v>
          </cell>
          <cell r="DR64">
            <v>16.924712643678163</v>
          </cell>
          <cell r="DT64">
            <v>0</v>
          </cell>
        </row>
        <row r="66">
          <cell r="B66" t="str">
            <v>Natural gas - dollars / mmbtu</v>
          </cell>
          <cell r="CU66">
            <v>4.22</v>
          </cell>
          <cell r="CV66">
            <v>3.44</v>
          </cell>
          <cell r="CW66">
            <v>3.32</v>
          </cell>
          <cell r="CX66">
            <v>4.16</v>
          </cell>
          <cell r="CY66">
            <v>5.36</v>
          </cell>
          <cell r="CZ66">
            <v>4.04</v>
          </cell>
          <cell r="DA66">
            <v>4.3499999999999996</v>
          </cell>
          <cell r="DB66">
            <v>4.17</v>
          </cell>
          <cell r="DC66">
            <v>4.1900000000000004</v>
          </cell>
          <cell r="DD66">
            <v>4.4000000000000004</v>
          </cell>
          <cell r="DE66">
            <v>4.3</v>
          </cell>
          <cell r="DF66">
            <v>3.6</v>
          </cell>
          <cell r="DG66">
            <v>2.65</v>
          </cell>
          <cell r="DH66">
            <v>2.33</v>
          </cell>
        </row>
        <row r="68">
          <cell r="B68" t="str">
            <v>Gas as % of oil cost</v>
          </cell>
          <cell r="CU68">
            <v>0.56513507273147068</v>
          </cell>
          <cell r="CV68">
            <v>0.33370128784077602</v>
          </cell>
          <cell r="CW68">
            <v>0.28218053927315356</v>
          </cell>
          <cell r="CX68">
            <v>0.31693156442926573</v>
          </cell>
          <cell r="CY68">
            <v>0.39411764705882357</v>
          </cell>
          <cell r="CZ68">
            <v>0.3002178090967329</v>
          </cell>
          <cell r="DA68">
            <v>0.33158102247338672</v>
          </cell>
          <cell r="DB68">
            <v>0.28374002815579541</v>
          </cell>
          <cell r="DC68">
            <v>0.25689217758985206</v>
          </cell>
          <cell r="DD68">
            <v>0.24946236559139787</v>
          </cell>
          <cell r="DE68">
            <v>0.27865921787709497</v>
          </cell>
          <cell r="DF68">
            <v>0.22189160467587671</v>
          </cell>
          <cell r="DG68">
            <v>0.14917985052897215</v>
          </cell>
          <cell r="DH68">
            <v>0.14476700589180505</v>
          </cell>
          <cell r="DI68">
            <v>0</v>
          </cell>
          <cell r="DJ68">
            <v>0</v>
          </cell>
          <cell r="DK68">
            <v>0</v>
          </cell>
          <cell r="DL68">
            <v>0</v>
          </cell>
          <cell r="DM68">
            <v>0</v>
          </cell>
          <cell r="DN68">
            <v>0</v>
          </cell>
          <cell r="DO68">
            <v>0</v>
          </cell>
          <cell r="DP68">
            <v>0</v>
          </cell>
          <cell r="DQ68">
            <v>0</v>
          </cell>
          <cell r="DR68">
            <v>0</v>
          </cell>
          <cell r="DT68" t="e">
            <v>#DIV/0!</v>
          </cell>
        </row>
        <row r="70">
          <cell r="B70" t="str">
            <v>CMAI avg. cost of ethylene (cents/pound)</v>
          </cell>
          <cell r="N70">
            <v>15.280916666666666</v>
          </cell>
          <cell r="O70">
            <v>20.311166666666665</v>
          </cell>
          <cell r="P70">
            <v>23.680916666666668</v>
          </cell>
          <cell r="Q70">
            <v>29.57533333333334</v>
          </cell>
          <cell r="R70">
            <v>31.032083333333336</v>
          </cell>
          <cell r="S70">
            <v>37.932749999999999</v>
          </cell>
          <cell r="T70">
            <v>45.386083333333332</v>
          </cell>
          <cell r="U70">
            <v>26.2</v>
          </cell>
          <cell r="V70">
            <v>30.074999999999999</v>
          </cell>
          <cell r="W70">
            <v>35.575000000000003</v>
          </cell>
          <cell r="X70">
            <v>23.45</v>
          </cell>
          <cell r="Y70">
            <v>35.552999999999997</v>
          </cell>
          <cell r="Z70">
            <v>36.945999999999998</v>
          </cell>
          <cell r="AA70">
            <v>36.945999999999998</v>
          </cell>
          <cell r="AB70">
            <v>36.945999999999998</v>
          </cell>
          <cell r="AC70">
            <v>36.945999999999998</v>
          </cell>
          <cell r="AD70">
            <v>36.945999999999998</v>
          </cell>
          <cell r="AE70">
            <v>36.945999999999998</v>
          </cell>
          <cell r="AF70">
            <v>36.945999999999998</v>
          </cell>
          <cell r="AI70">
            <v>14.565</v>
          </cell>
          <cell r="AJ70">
            <v>13.766</v>
          </cell>
          <cell r="AK70">
            <v>12.359666666666667</v>
          </cell>
          <cell r="AL70">
            <v>11.489666666666666</v>
          </cell>
          <cell r="AM70">
            <v>11.847333333333333</v>
          </cell>
          <cell r="AN70">
            <v>11.576999999999998</v>
          </cell>
          <cell r="AO70">
            <v>10.865333333333334</v>
          </cell>
          <cell r="AP70">
            <v>10.868</v>
          </cell>
          <cell r="AQ70">
            <v>8.9146666666666672</v>
          </cell>
          <cell r="AR70">
            <v>8.7310000000000016</v>
          </cell>
          <cell r="AS70">
            <v>8.3433333333333337</v>
          </cell>
          <cell r="AT70">
            <v>10.996</v>
          </cell>
          <cell r="AU70">
            <v>13.498333333333333</v>
          </cell>
          <cell r="AV70">
            <v>12.98</v>
          </cell>
          <cell r="AW70">
            <v>14.701333333333332</v>
          </cell>
          <cell r="AX70">
            <v>19.001000000000001</v>
          </cell>
          <cell r="AY70">
            <v>14.505000000000001</v>
          </cell>
          <cell r="AZ70">
            <v>11.115333333333332</v>
          </cell>
          <cell r="BA70">
            <v>12.061</v>
          </cell>
          <cell r="BB70">
            <v>13.119</v>
          </cell>
          <cell r="BC70">
            <v>11.620333333333335</v>
          </cell>
          <cell r="BD70">
            <v>11.122</v>
          </cell>
          <cell r="BE70">
            <v>10.563333333333333</v>
          </cell>
          <cell r="BF70">
            <v>10.484666666666667</v>
          </cell>
          <cell r="BG70">
            <v>10.751666666666665</v>
          </cell>
          <cell r="BH70">
            <v>13.998333333333333</v>
          </cell>
          <cell r="BI70">
            <v>17.176666666666666</v>
          </cell>
          <cell r="BJ70">
            <v>17.221666666666664</v>
          </cell>
          <cell r="BK70">
            <v>20.944333333333333</v>
          </cell>
          <cell r="BL70">
            <v>16.888000000000002</v>
          </cell>
          <cell r="BM70">
            <v>20.047666666666668</v>
          </cell>
          <cell r="BN70">
            <v>24.436666666666667</v>
          </cell>
          <cell r="BO70">
            <v>23.170333333333332</v>
          </cell>
          <cell r="BP70">
            <v>19.149000000000001</v>
          </cell>
          <cell r="BQ70">
            <v>16.524999999999999</v>
          </cell>
          <cell r="BR70">
            <v>13.238999999999999</v>
          </cell>
          <cell r="BS70">
            <v>13.580999999999998</v>
          </cell>
          <cell r="BT70">
            <v>14.703999999999999</v>
          </cell>
          <cell r="BU70">
            <v>14.753333333333332</v>
          </cell>
          <cell r="BV70">
            <v>18.085333333333335</v>
          </cell>
          <cell r="BW70">
            <v>22.977999999999998</v>
          </cell>
          <cell r="BX70">
            <v>17.692</v>
          </cell>
          <cell r="BY70">
            <v>19.123999999999999</v>
          </cell>
          <cell r="BZ70">
            <v>21.450666666666667</v>
          </cell>
          <cell r="CA70">
            <v>22.259</v>
          </cell>
          <cell r="CB70">
            <v>20.918000000000003</v>
          </cell>
          <cell r="CC70">
            <v>24.713999999999999</v>
          </cell>
          <cell r="CD70">
            <v>26.832666666666665</v>
          </cell>
          <cell r="CE70">
            <v>23.570666666666668</v>
          </cell>
          <cell r="CF70">
            <v>25.97366666666667</v>
          </cell>
          <cell r="CG70">
            <v>34.118000000000002</v>
          </cell>
          <cell r="CH70">
            <v>34.639000000000003</v>
          </cell>
          <cell r="CI70">
            <v>29.507000000000001</v>
          </cell>
          <cell r="CJ70">
            <v>32.272666666666673</v>
          </cell>
          <cell r="CK70">
            <v>33.624666666666663</v>
          </cell>
          <cell r="CL70">
            <v>28.724</v>
          </cell>
          <cell r="CM70">
            <v>28.888999999999999</v>
          </cell>
          <cell r="CN70">
            <v>33.785666666666671</v>
          </cell>
          <cell r="CO70">
            <v>38.724333333333334</v>
          </cell>
          <cell r="CP70">
            <v>50.331999999999994</v>
          </cell>
          <cell r="CQ70">
            <v>49.678666666666665</v>
          </cell>
          <cell r="CR70">
            <v>55.126666666666665</v>
          </cell>
          <cell r="CS70">
            <v>52.535333333333334</v>
          </cell>
          <cell r="CT70">
            <v>24.203666666666667</v>
          </cell>
          <cell r="CU70">
            <v>23.82</v>
          </cell>
          <cell r="CV70">
            <v>24.63</v>
          </cell>
          <cell r="CW70">
            <v>23.8</v>
          </cell>
          <cell r="CX70">
            <v>32.549999999999997</v>
          </cell>
          <cell r="CY70">
            <v>34.39</v>
          </cell>
          <cell r="CZ70">
            <v>26.75</v>
          </cell>
          <cell r="DA70">
            <v>25.36</v>
          </cell>
          <cell r="DB70">
            <v>33.799999999999997</v>
          </cell>
          <cell r="DC70">
            <v>32.6</v>
          </cell>
          <cell r="DD70">
            <v>33.799999999999997</v>
          </cell>
          <cell r="DE70">
            <v>34.299999999999997</v>
          </cell>
          <cell r="DF70">
            <v>41.6</v>
          </cell>
          <cell r="DG70">
            <v>28.5</v>
          </cell>
          <cell r="DH70">
            <v>18.399999999999999</v>
          </cell>
        </row>
        <row r="71">
          <cell r="B71" t="str">
            <v>Ethylene margin (%)</v>
          </cell>
          <cell r="N71">
            <v>0.25011757104358112</v>
          </cell>
          <cell r="O71">
            <v>0.20279848366406431</v>
          </cell>
          <cell r="P71">
            <v>0.27567635078990421</v>
          </cell>
          <cell r="Q71">
            <v>0.30912340057737853</v>
          </cell>
          <cell r="R71">
            <v>0.31159775280483454</v>
          </cell>
          <cell r="S71">
            <v>0.16992689335986005</v>
          </cell>
          <cell r="T71">
            <v>0.14632185133169481</v>
          </cell>
          <cell r="U71">
            <v>0.22799263351749541</v>
          </cell>
          <cell r="V71">
            <v>0.34455704478587784</v>
          </cell>
          <cell r="W71">
            <v>0.3442396313364055</v>
          </cell>
          <cell r="X71">
            <v>0.53929273084479368</v>
          </cell>
          <cell r="Y71">
            <v>0.25866383085199551</v>
          </cell>
          <cell r="Z71">
            <v>0.29493711952061991</v>
          </cell>
          <cell r="AA71">
            <v>0.29493711952061991</v>
          </cell>
          <cell r="AB71">
            <v>0.29493711952061991</v>
          </cell>
          <cell r="AC71">
            <v>0.29493711952061991</v>
          </cell>
          <cell r="AD71">
            <v>0.29493711952061991</v>
          </cell>
          <cell r="AE71">
            <v>0.29493711952061991</v>
          </cell>
          <cell r="AF71">
            <v>0.29493711952061991</v>
          </cell>
          <cell r="CU71">
            <v>0.24380952380952381</v>
          </cell>
          <cell r="CV71">
            <v>0.21809523809523812</v>
          </cell>
          <cell r="CW71">
            <v>0.26201550387596895</v>
          </cell>
          <cell r="CX71">
            <v>0.19629629629629636</v>
          </cell>
          <cell r="CY71">
            <v>0.34282438371870816</v>
          </cell>
          <cell r="CZ71">
            <v>0.41311978938130756</v>
          </cell>
          <cell r="DA71">
            <v>0.33837725019566917</v>
          </cell>
          <cell r="DB71">
            <v>0.28541226215644822</v>
          </cell>
          <cell r="DC71">
            <v>0.33874239350912771</v>
          </cell>
          <cell r="DD71">
            <v>0.41217391304347833</v>
          </cell>
          <cell r="DE71">
            <v>0.38530465949820791</v>
          </cell>
          <cell r="DF71">
            <v>0.23529411764705876</v>
          </cell>
        </row>
        <row r="73">
          <cell r="B73" t="str">
            <v>CMAI avg. petrochemical prices (cents/pound)</v>
          </cell>
        </row>
        <row r="74">
          <cell r="B74" t="str">
            <v>Polyethylene (high density)</v>
          </cell>
          <cell r="N74">
            <v>38.541666666666671</v>
          </cell>
          <cell r="O74">
            <v>48</v>
          </cell>
          <cell r="P74">
            <v>54.75</v>
          </cell>
          <cell r="Q74">
            <v>67.291666666666657</v>
          </cell>
          <cell r="R74">
            <v>71.416666666666671</v>
          </cell>
          <cell r="S74">
            <v>73.25</v>
          </cell>
          <cell r="T74">
            <v>86.416666666666671</v>
          </cell>
          <cell r="U74">
            <v>66.5</v>
          </cell>
          <cell r="V74">
            <v>82.174999999999997</v>
          </cell>
          <cell r="W74">
            <v>89.424999999999997</v>
          </cell>
          <cell r="X74">
            <v>77.5</v>
          </cell>
          <cell r="Y74">
            <v>86.95</v>
          </cell>
          <cell r="Z74">
            <v>91.593000000000004</v>
          </cell>
          <cell r="AA74">
            <v>91.593000000000004</v>
          </cell>
          <cell r="AB74">
            <v>91.593000000000004</v>
          </cell>
          <cell r="AC74">
            <v>91.593000000000004</v>
          </cell>
          <cell r="AD74">
            <v>91.593000000000004</v>
          </cell>
          <cell r="AE74">
            <v>91.593000000000004</v>
          </cell>
          <cell r="AF74">
            <v>91.593000000000004</v>
          </cell>
          <cell r="AI74">
            <v>29</v>
          </cell>
          <cell r="AJ74">
            <v>27.5</v>
          </cell>
          <cell r="AK74">
            <v>30</v>
          </cell>
          <cell r="AL74">
            <v>28.833333333333332</v>
          </cell>
          <cell r="AM74">
            <v>28</v>
          </cell>
          <cell r="AN74">
            <v>30.666666666666668</v>
          </cell>
          <cell r="AO74">
            <v>33.666666666666664</v>
          </cell>
          <cell r="AP74">
            <v>40.333333333333336</v>
          </cell>
          <cell r="AQ74">
            <v>47.333333333333336</v>
          </cell>
          <cell r="AR74">
            <v>47.666666666666664</v>
          </cell>
          <cell r="AS74">
            <v>42</v>
          </cell>
          <cell r="AT74">
            <v>35.333333333333336</v>
          </cell>
          <cell r="AU74">
            <v>32.333333333333336</v>
          </cell>
          <cell r="AV74">
            <v>36</v>
          </cell>
          <cell r="AW74">
            <v>43</v>
          </cell>
          <cell r="AX74">
            <v>43.333333333333336</v>
          </cell>
          <cell r="AY74">
            <v>42</v>
          </cell>
          <cell r="AZ74">
            <v>45</v>
          </cell>
          <cell r="BA74">
            <v>43.666666666666664</v>
          </cell>
          <cell r="BB74">
            <v>40.333333333333336</v>
          </cell>
          <cell r="BC74">
            <v>38.333333333333336</v>
          </cell>
          <cell r="BD74">
            <v>36</v>
          </cell>
          <cell r="BE74">
            <v>32.166666666666664</v>
          </cell>
          <cell r="BF74">
            <v>29.333333333333332</v>
          </cell>
          <cell r="BG74">
            <v>28</v>
          </cell>
          <cell r="BH74">
            <v>34</v>
          </cell>
          <cell r="BI74">
            <v>40.666666666666664</v>
          </cell>
          <cell r="BJ74">
            <v>42.666666666666664</v>
          </cell>
          <cell r="BK74">
            <v>42.333333333333336</v>
          </cell>
          <cell r="BL74">
            <v>47</v>
          </cell>
          <cell r="BM74">
            <v>46</v>
          </cell>
          <cell r="BN74">
            <v>42</v>
          </cell>
          <cell r="BO74">
            <v>45.333333333333336</v>
          </cell>
          <cell r="BP74">
            <v>46.333333333333336</v>
          </cell>
          <cell r="BQ74">
            <v>38.666666666666664</v>
          </cell>
          <cell r="BR74">
            <v>35</v>
          </cell>
          <cell r="BS74">
            <v>33.333333333333336</v>
          </cell>
          <cell r="BT74">
            <v>38</v>
          </cell>
          <cell r="BU74">
            <v>42</v>
          </cell>
          <cell r="BV74">
            <v>40.833333333333336</v>
          </cell>
          <cell r="BW74">
            <v>46</v>
          </cell>
          <cell r="BX74">
            <v>49</v>
          </cell>
          <cell r="BY74">
            <v>47</v>
          </cell>
          <cell r="BZ74">
            <v>50</v>
          </cell>
          <cell r="CA74">
            <v>51.666666666666664</v>
          </cell>
          <cell r="CB74">
            <v>51.666666666666664</v>
          </cell>
          <cell r="CC74">
            <v>52.666666666666664</v>
          </cell>
          <cell r="CD74">
            <v>63</v>
          </cell>
          <cell r="CE74">
            <v>65</v>
          </cell>
          <cell r="CF74">
            <v>59</v>
          </cell>
          <cell r="CG74">
            <v>62.166666666666664</v>
          </cell>
          <cell r="CH74">
            <v>83</v>
          </cell>
          <cell r="CI74">
            <v>75</v>
          </cell>
          <cell r="CJ74">
            <v>70</v>
          </cell>
          <cell r="CK74">
            <v>75.666666666666671</v>
          </cell>
          <cell r="CL74">
            <v>65</v>
          </cell>
          <cell r="CM74">
            <v>64</v>
          </cell>
          <cell r="CN74">
            <v>69.666666666666671</v>
          </cell>
          <cell r="CO74">
            <v>76</v>
          </cell>
          <cell r="CP74">
            <v>83.333333333333329</v>
          </cell>
          <cell r="CQ74">
            <v>85</v>
          </cell>
          <cell r="CR74">
            <v>91.666666666666671</v>
          </cell>
          <cell r="CS74">
            <v>100.66666666666667</v>
          </cell>
          <cell r="CT74">
            <v>68.333333333333329</v>
          </cell>
          <cell r="CU74">
            <v>59.67</v>
          </cell>
          <cell r="CV74">
            <v>65</v>
          </cell>
          <cell r="CW74">
            <v>69.33</v>
          </cell>
          <cell r="CX74">
            <v>72</v>
          </cell>
          <cell r="CY74">
            <v>83.33</v>
          </cell>
          <cell r="CZ74">
            <v>84</v>
          </cell>
          <cell r="DA74">
            <v>77.67</v>
          </cell>
          <cell r="DB74">
            <v>83.7</v>
          </cell>
          <cell r="DC74">
            <v>87.7</v>
          </cell>
          <cell r="DD74">
            <v>95.3</v>
          </cell>
          <cell r="DE74">
            <v>89</v>
          </cell>
          <cell r="DF74">
            <v>85.7</v>
          </cell>
          <cell r="DG74">
            <v>92</v>
          </cell>
          <cell r="DH74">
            <v>63</v>
          </cell>
        </row>
        <row r="75">
          <cell r="B75" t="str">
            <v>Ethylene</v>
          </cell>
          <cell r="N75">
            <v>20.377750000000002</v>
          </cell>
          <cell r="O75">
            <v>25.478083333333334</v>
          </cell>
          <cell r="P75">
            <v>32.69383333333333</v>
          </cell>
          <cell r="Q75">
            <v>42.808416666666666</v>
          </cell>
          <cell r="R75">
            <v>45.078416666666669</v>
          </cell>
          <cell r="S75">
            <v>45.698083333333329</v>
          </cell>
          <cell r="T75">
            <v>53.165333333333329</v>
          </cell>
          <cell r="U75">
            <v>33.9375</v>
          </cell>
          <cell r="V75">
            <v>45.885000000000005</v>
          </cell>
          <cell r="W75">
            <v>54.25</v>
          </cell>
          <cell r="X75">
            <v>50.9</v>
          </cell>
          <cell r="Y75">
            <v>47.957999999999998</v>
          </cell>
          <cell r="Z75">
            <v>52.401000000000003</v>
          </cell>
          <cell r="AA75">
            <v>52.401000000000003</v>
          </cell>
          <cell r="AB75">
            <v>52.401000000000003</v>
          </cell>
          <cell r="AC75">
            <v>52.401000000000003</v>
          </cell>
          <cell r="AD75">
            <v>52.401000000000003</v>
          </cell>
          <cell r="AE75">
            <v>52.401000000000003</v>
          </cell>
          <cell r="AF75">
            <v>52.401000000000003</v>
          </cell>
          <cell r="AI75">
            <v>18.27</v>
          </cell>
          <cell r="AJ75">
            <v>17.936666666666667</v>
          </cell>
          <cell r="AK75">
            <v>17.649999999999999</v>
          </cell>
          <cell r="AL75">
            <v>17.08666666666667</v>
          </cell>
          <cell r="AM75">
            <v>16.416666666666668</v>
          </cell>
          <cell r="AN75">
            <v>18.085000000000001</v>
          </cell>
          <cell r="AO75">
            <v>21.337333333333333</v>
          </cell>
          <cell r="AP75">
            <v>25.754999999999999</v>
          </cell>
          <cell r="AQ75">
            <v>27.992666666666668</v>
          </cell>
          <cell r="AR75">
            <v>28.026666666666667</v>
          </cell>
          <cell r="AS75">
            <v>24.941333333333333</v>
          </cell>
          <cell r="AT75">
            <v>19.539333333333332</v>
          </cell>
          <cell r="AU75">
            <v>18.324666666666669</v>
          </cell>
          <cell r="AV75">
            <v>21.21466666666667</v>
          </cell>
          <cell r="AW75">
            <v>23.056000000000001</v>
          </cell>
          <cell r="AX75">
            <v>24.093333333333334</v>
          </cell>
          <cell r="AY75">
            <v>25.713000000000005</v>
          </cell>
          <cell r="AZ75">
            <v>25.167999999999996</v>
          </cell>
          <cell r="BA75">
            <v>24.566999999999997</v>
          </cell>
          <cell r="BB75">
            <v>23.358333333333334</v>
          </cell>
          <cell r="BC75">
            <v>20.8</v>
          </cell>
          <cell r="BD75">
            <v>18.033333333333331</v>
          </cell>
          <cell r="BE75">
            <v>16.45</v>
          </cell>
          <cell r="BF75">
            <v>15.95</v>
          </cell>
          <cell r="BG75">
            <v>16.623333333333335</v>
          </cell>
          <cell r="BH75">
            <v>20.333333333333332</v>
          </cell>
          <cell r="BI75">
            <v>24.087666666666667</v>
          </cell>
          <cell r="BJ75">
            <v>26.324999999999999</v>
          </cell>
          <cell r="BK75">
            <v>28.224333333333334</v>
          </cell>
          <cell r="BL75">
            <v>31.072999999999997</v>
          </cell>
          <cell r="BM75">
            <v>29.974</v>
          </cell>
          <cell r="BN75">
            <v>28.468666666666667</v>
          </cell>
          <cell r="BO75">
            <v>31.458333333333332</v>
          </cell>
          <cell r="BP75">
            <v>26.748333333333335</v>
          </cell>
          <cell r="BQ75">
            <v>21.822999999999997</v>
          </cell>
          <cell r="BR75">
            <v>19.422999999999998</v>
          </cell>
          <cell r="BS75">
            <v>17.683333333333334</v>
          </cell>
          <cell r="BT75">
            <v>21.392333333333337</v>
          </cell>
          <cell r="BU75">
            <v>21.018666666666665</v>
          </cell>
          <cell r="BV75">
            <v>21.416666666666668</v>
          </cell>
          <cell r="BW75">
            <v>26.369666666666671</v>
          </cell>
          <cell r="BX75">
            <v>25.73</v>
          </cell>
          <cell r="BY75">
            <v>24.358333333333331</v>
          </cell>
          <cell r="BZ75">
            <v>25.454333333333334</v>
          </cell>
          <cell r="CA75">
            <v>30.216666666666669</v>
          </cell>
          <cell r="CB75">
            <v>30.35</v>
          </cell>
          <cell r="CC75">
            <v>31.362666666666666</v>
          </cell>
          <cell r="CD75">
            <v>38.845999999999997</v>
          </cell>
          <cell r="CE75">
            <v>40.633333333333333</v>
          </cell>
          <cell r="CF75">
            <v>34.654333333333334</v>
          </cell>
          <cell r="CG75">
            <v>40.462666666666671</v>
          </cell>
          <cell r="CH75">
            <v>55.483333333333327</v>
          </cell>
          <cell r="CI75">
            <v>46.287666666666667</v>
          </cell>
          <cell r="CJ75">
            <v>44.616666666666667</v>
          </cell>
          <cell r="CK75">
            <v>49.504333333333335</v>
          </cell>
          <cell r="CL75">
            <v>39.905000000000001</v>
          </cell>
          <cell r="CM75">
            <v>37.276333333333334</v>
          </cell>
          <cell r="CN75">
            <v>41.713666666666661</v>
          </cell>
          <cell r="CO75">
            <v>48.015666666666668</v>
          </cell>
          <cell r="CP75">
            <v>55.786666666666669</v>
          </cell>
          <cell r="CQ75">
            <v>55.837666666666657</v>
          </cell>
          <cell r="CR75">
            <v>61.968999999999994</v>
          </cell>
          <cell r="CS75">
            <v>62.437666666666665</v>
          </cell>
          <cell r="CT75">
            <v>32.417000000000002</v>
          </cell>
          <cell r="CU75">
            <v>31.5</v>
          </cell>
          <cell r="CV75">
            <v>31.5</v>
          </cell>
          <cell r="CW75">
            <v>32.25</v>
          </cell>
          <cell r="CX75">
            <v>40.5</v>
          </cell>
          <cell r="CY75">
            <v>52.33</v>
          </cell>
          <cell r="CZ75">
            <v>45.58</v>
          </cell>
          <cell r="DA75">
            <v>38.33</v>
          </cell>
          <cell r="DB75">
            <v>47.3</v>
          </cell>
          <cell r="DC75">
            <v>49.3</v>
          </cell>
          <cell r="DD75">
            <v>57.5</v>
          </cell>
          <cell r="DE75">
            <v>55.8</v>
          </cell>
          <cell r="DF75">
            <v>54.4</v>
          </cell>
          <cell r="DG75">
            <v>54.9</v>
          </cell>
          <cell r="DH75">
            <v>46.9</v>
          </cell>
        </row>
        <row r="76">
          <cell r="B76" t="str">
            <v>Polypropylene</v>
          </cell>
          <cell r="N76">
            <v>33.75</v>
          </cell>
          <cell r="O76">
            <v>40.666666666666664</v>
          </cell>
          <cell r="P76">
            <v>52.625</v>
          </cell>
          <cell r="Q76">
            <v>65.333333333333343</v>
          </cell>
          <cell r="R76">
            <v>70.25</v>
          </cell>
          <cell r="S76">
            <v>77.083333333333343</v>
          </cell>
          <cell r="T76">
            <v>87.625</v>
          </cell>
          <cell r="U76">
            <v>64.417500000000004</v>
          </cell>
          <cell r="V76">
            <v>86.032499999999999</v>
          </cell>
          <cell r="W76">
            <v>100.47500000000001</v>
          </cell>
          <cell r="X76">
            <v>78.95</v>
          </cell>
          <cell r="Y76">
            <v>78.887</v>
          </cell>
          <cell r="Z76">
            <v>84.432000000000002</v>
          </cell>
          <cell r="AA76">
            <v>84.432000000000002</v>
          </cell>
          <cell r="AB76">
            <v>84.432000000000002</v>
          </cell>
          <cell r="AC76">
            <v>84.432000000000002</v>
          </cell>
          <cell r="AD76">
            <v>84.432000000000002</v>
          </cell>
          <cell r="AE76">
            <v>84.432000000000002</v>
          </cell>
          <cell r="AF76">
            <v>84.432000000000002</v>
          </cell>
          <cell r="AI76">
            <v>26.5</v>
          </cell>
          <cell r="AJ76">
            <v>26.166666666666668</v>
          </cell>
          <cell r="AK76">
            <v>27</v>
          </cell>
          <cell r="AL76">
            <v>27</v>
          </cell>
          <cell r="AM76">
            <v>27</v>
          </cell>
          <cell r="AN76">
            <v>30.166666666666668</v>
          </cell>
          <cell r="AO76">
            <v>33</v>
          </cell>
          <cell r="AP76">
            <v>38</v>
          </cell>
          <cell r="AQ76">
            <v>42.333333333333336</v>
          </cell>
          <cell r="AR76">
            <v>45.666666666666664</v>
          </cell>
          <cell r="AS76">
            <v>43</v>
          </cell>
          <cell r="AT76">
            <v>37</v>
          </cell>
          <cell r="AU76">
            <v>33.666666666666664</v>
          </cell>
          <cell r="AV76">
            <v>37.666666666666664</v>
          </cell>
          <cell r="AW76">
            <v>40.666666666666664</v>
          </cell>
          <cell r="AX76">
            <v>39</v>
          </cell>
          <cell r="AY76">
            <v>37</v>
          </cell>
          <cell r="AZ76">
            <v>38</v>
          </cell>
          <cell r="BA76">
            <v>35</v>
          </cell>
          <cell r="BB76">
            <v>32</v>
          </cell>
          <cell r="BC76">
            <v>29.333333333333332</v>
          </cell>
          <cell r="BD76">
            <v>27</v>
          </cell>
          <cell r="BE76">
            <v>24.333333333333332</v>
          </cell>
          <cell r="BF76">
            <v>23.333333333333332</v>
          </cell>
          <cell r="BG76">
            <v>22</v>
          </cell>
          <cell r="BH76">
            <v>24</v>
          </cell>
          <cell r="BI76">
            <v>26.5</v>
          </cell>
          <cell r="BJ76">
            <v>30.333333333333332</v>
          </cell>
          <cell r="BK76">
            <v>32.5</v>
          </cell>
          <cell r="BL76">
            <v>38.5</v>
          </cell>
          <cell r="BM76">
            <v>38.333333333333336</v>
          </cell>
          <cell r="BN76">
            <v>36.166666666666664</v>
          </cell>
          <cell r="BO76">
            <v>35.166666666666664</v>
          </cell>
          <cell r="BP76">
            <v>32</v>
          </cell>
          <cell r="BQ76">
            <v>28</v>
          </cell>
          <cell r="BR76">
            <v>29.333333333333332</v>
          </cell>
          <cell r="BS76">
            <v>28.666666666666668</v>
          </cell>
          <cell r="BT76">
            <v>33.333333333333336</v>
          </cell>
          <cell r="BU76">
            <v>37</v>
          </cell>
          <cell r="BV76">
            <v>36</v>
          </cell>
          <cell r="BW76">
            <v>39.666666666666664</v>
          </cell>
          <cell r="BX76">
            <v>43.666666666666664</v>
          </cell>
          <cell r="BY76">
            <v>39.666666666666664</v>
          </cell>
          <cell r="BZ76">
            <v>39.666666666666664</v>
          </cell>
          <cell r="CA76">
            <v>46.166666666666664</v>
          </cell>
          <cell r="CB76">
            <v>49.666666666666664</v>
          </cell>
          <cell r="CC76">
            <v>52.833333333333336</v>
          </cell>
          <cell r="CD76">
            <v>61.833333333333336</v>
          </cell>
          <cell r="CE76">
            <v>68.166666666666671</v>
          </cell>
          <cell r="CF76">
            <v>60.166666666666664</v>
          </cell>
          <cell r="CG76">
            <v>60</v>
          </cell>
          <cell r="CH76">
            <v>73</v>
          </cell>
          <cell r="CI76">
            <v>67.666666666666671</v>
          </cell>
          <cell r="CJ76">
            <v>71.166666666666671</v>
          </cell>
          <cell r="CK76">
            <v>74.333333333333329</v>
          </cell>
          <cell r="CL76">
            <v>67.833333333333329</v>
          </cell>
          <cell r="CM76">
            <v>69.666666666666671</v>
          </cell>
          <cell r="CN76">
            <v>76.333333333333329</v>
          </cell>
          <cell r="CO76">
            <v>77.666666666666671</v>
          </cell>
          <cell r="CP76">
            <v>84.666666666666671</v>
          </cell>
          <cell r="CQ76">
            <v>86.833333333333329</v>
          </cell>
          <cell r="CR76">
            <v>95.666666666666671</v>
          </cell>
          <cell r="CS76">
            <v>106</v>
          </cell>
          <cell r="CT76">
            <v>62</v>
          </cell>
          <cell r="CU76">
            <v>51.5</v>
          </cell>
          <cell r="CV76">
            <v>58.5</v>
          </cell>
          <cell r="CW76">
            <v>72.67</v>
          </cell>
          <cell r="CX76">
            <v>75</v>
          </cell>
          <cell r="CY76">
            <v>87.83</v>
          </cell>
          <cell r="CZ76">
            <v>89.83</v>
          </cell>
          <cell r="DA76">
            <v>82.67</v>
          </cell>
          <cell r="DB76">
            <v>83.8</v>
          </cell>
          <cell r="DC76">
            <v>100.8</v>
          </cell>
          <cell r="DD76">
            <v>113.8</v>
          </cell>
          <cell r="DE76">
            <v>103</v>
          </cell>
          <cell r="DF76">
            <v>84.3</v>
          </cell>
          <cell r="DG76">
            <v>93.7</v>
          </cell>
          <cell r="DH76">
            <v>64.2</v>
          </cell>
        </row>
        <row r="77">
          <cell r="B77" t="str">
            <v>Propylene - polymer grade</v>
          </cell>
          <cell r="N77">
            <v>19.5</v>
          </cell>
          <cell r="O77">
            <v>22.916666666666668</v>
          </cell>
          <cell r="P77">
            <v>33.458333333333336</v>
          </cell>
          <cell r="Q77">
            <v>42.25</v>
          </cell>
          <cell r="R77">
            <v>47.333333333333329</v>
          </cell>
          <cell r="S77">
            <v>51.90625</v>
          </cell>
          <cell r="T77">
            <v>61.499999999999993</v>
          </cell>
          <cell r="U77">
            <v>37.917500000000004</v>
          </cell>
          <cell r="V77">
            <v>59.575000000000003</v>
          </cell>
          <cell r="W77">
            <v>73.325000000000003</v>
          </cell>
          <cell r="X77">
            <v>65.7</v>
          </cell>
          <cell r="Y77">
            <v>56.249000000000002</v>
          </cell>
          <cell r="Z77">
            <v>60.246000000000002</v>
          </cell>
          <cell r="AA77">
            <v>60.246000000000002</v>
          </cell>
          <cell r="AB77">
            <v>60.246000000000002</v>
          </cell>
          <cell r="AC77">
            <v>60.246000000000002</v>
          </cell>
          <cell r="AD77">
            <v>60.246000000000002</v>
          </cell>
          <cell r="AE77">
            <v>60.246000000000002</v>
          </cell>
          <cell r="AF77">
            <v>60.246000000000002</v>
          </cell>
          <cell r="AI77">
            <v>13.75</v>
          </cell>
          <cell r="AJ77">
            <v>14.166666666666666</v>
          </cell>
          <cell r="AK77">
            <v>13.833333333333334</v>
          </cell>
          <cell r="AL77">
            <v>13</v>
          </cell>
          <cell r="AM77">
            <v>12.916666666666666</v>
          </cell>
          <cell r="AN77">
            <v>14.416666666666666</v>
          </cell>
          <cell r="AO77">
            <v>16.75</v>
          </cell>
          <cell r="AP77">
            <v>19.75</v>
          </cell>
          <cell r="AQ77">
            <v>22.75</v>
          </cell>
          <cell r="AR77">
            <v>24.75</v>
          </cell>
          <cell r="AS77">
            <v>23.416666666666668</v>
          </cell>
          <cell r="AT77">
            <v>18.916666666666668</v>
          </cell>
          <cell r="AU77">
            <v>16.75</v>
          </cell>
          <cell r="AV77">
            <v>18.583333333333332</v>
          </cell>
          <cell r="AW77">
            <v>19.583333333333332</v>
          </cell>
          <cell r="AX77">
            <v>19.916666666666668</v>
          </cell>
          <cell r="AY77">
            <v>21.083333333333332</v>
          </cell>
          <cell r="AZ77">
            <v>21.25</v>
          </cell>
          <cell r="BA77">
            <v>21</v>
          </cell>
          <cell r="BB77">
            <v>18.75</v>
          </cell>
          <cell r="BC77">
            <v>16.25</v>
          </cell>
          <cell r="BD77">
            <v>14.333333333333334</v>
          </cell>
          <cell r="BE77">
            <v>13.666666666666666</v>
          </cell>
          <cell r="BF77">
            <v>12.75</v>
          </cell>
          <cell r="BG77">
            <v>12.083333333333334</v>
          </cell>
          <cell r="BH77">
            <v>12.666666666666666</v>
          </cell>
          <cell r="BI77">
            <v>15.666666666666666</v>
          </cell>
          <cell r="BJ77">
            <v>19.166666666666668</v>
          </cell>
          <cell r="BK77">
            <v>20.833333333333332</v>
          </cell>
          <cell r="BL77">
            <v>26.166666666666668</v>
          </cell>
          <cell r="BM77">
            <v>25.666666666666668</v>
          </cell>
          <cell r="BN77">
            <v>23.833333333333332</v>
          </cell>
          <cell r="BO77">
            <v>22.5</v>
          </cell>
          <cell r="BP77">
            <v>18.666666666666668</v>
          </cell>
          <cell r="BQ77">
            <v>16.166666666666668</v>
          </cell>
          <cell r="BR77">
            <v>18.333333333333332</v>
          </cell>
          <cell r="BS77">
            <v>16.25</v>
          </cell>
          <cell r="BT77">
            <v>20.416666666666668</v>
          </cell>
          <cell r="BU77">
            <v>21.333333333333332</v>
          </cell>
          <cell r="BV77">
            <v>20</v>
          </cell>
          <cell r="BW77">
            <v>24.166666666666668</v>
          </cell>
          <cell r="BX77">
            <v>25</v>
          </cell>
          <cell r="BY77">
            <v>20.833333333333332</v>
          </cell>
          <cell r="BZ77">
            <v>21.666666666666668</v>
          </cell>
          <cell r="CA77">
            <v>29</v>
          </cell>
          <cell r="CB77">
            <v>32.166666666666664</v>
          </cell>
          <cell r="CC77">
            <v>32.333333333333336</v>
          </cell>
          <cell r="CD77">
            <v>40.333333333333336</v>
          </cell>
          <cell r="CE77">
            <v>45</v>
          </cell>
          <cell r="CF77">
            <v>37.333333333333336</v>
          </cell>
          <cell r="CG77">
            <v>37</v>
          </cell>
          <cell r="CH77">
            <v>49.666666666666664</v>
          </cell>
          <cell r="CI77">
            <v>45</v>
          </cell>
          <cell r="CJ77">
            <v>49.666666666666664</v>
          </cell>
          <cell r="CK77">
            <v>51.166666666666664</v>
          </cell>
          <cell r="CL77">
            <v>43.5</v>
          </cell>
          <cell r="CM77">
            <v>44.625</v>
          </cell>
          <cell r="CN77">
            <v>51.416666666666664</v>
          </cell>
          <cell r="CO77">
            <v>52.333333333333336</v>
          </cell>
          <cell r="CP77">
            <v>59.25</v>
          </cell>
          <cell r="CQ77">
            <v>61.166666666666664</v>
          </cell>
          <cell r="CR77">
            <v>69.833333333333329</v>
          </cell>
          <cell r="CS77">
            <v>78.333333333333329</v>
          </cell>
          <cell r="CT77">
            <v>36.666666666666664</v>
          </cell>
          <cell r="CU77">
            <v>24.83</v>
          </cell>
          <cell r="CV77">
            <v>32</v>
          </cell>
          <cell r="CW77">
            <v>46.17</v>
          </cell>
          <cell r="CX77">
            <v>48.67</v>
          </cell>
          <cell r="CY77">
            <v>61.5</v>
          </cell>
          <cell r="CZ77">
            <v>63.33</v>
          </cell>
          <cell r="DA77">
            <v>56.17</v>
          </cell>
          <cell r="DB77">
            <v>57.3</v>
          </cell>
          <cell r="DC77">
            <v>71.7</v>
          </cell>
          <cell r="DD77">
            <v>87.3</v>
          </cell>
          <cell r="DE77">
            <v>76.5</v>
          </cell>
          <cell r="DF77">
            <v>57.8</v>
          </cell>
          <cell r="DG77">
            <v>67.2</v>
          </cell>
          <cell r="DH77">
            <v>64.2</v>
          </cell>
        </row>
        <row r="80">
          <cell r="B80" t="str">
            <v>O&amp;P Europe, Asia and International</v>
          </cell>
          <cell r="C80">
            <v>1991</v>
          </cell>
          <cell r="D80">
            <v>1992</v>
          </cell>
          <cell r="E80">
            <v>1993</v>
          </cell>
          <cell r="F80">
            <v>1994</v>
          </cell>
          <cell r="G80">
            <v>1995</v>
          </cell>
          <cell r="H80">
            <v>1996</v>
          </cell>
          <cell r="I80">
            <v>1997</v>
          </cell>
          <cell r="J80">
            <v>1998</v>
          </cell>
          <cell r="K80">
            <v>1999</v>
          </cell>
          <cell r="L80">
            <v>2000</v>
          </cell>
          <cell r="M80">
            <v>2001</v>
          </cell>
          <cell r="N80">
            <v>2002</v>
          </cell>
          <cell r="O80">
            <v>2003</v>
          </cell>
          <cell r="P80">
            <v>2004</v>
          </cell>
          <cell r="Q80">
            <v>2005</v>
          </cell>
          <cell r="R80">
            <v>2006</v>
          </cell>
          <cell r="S80">
            <v>2007</v>
          </cell>
          <cell r="T80">
            <v>2008</v>
          </cell>
          <cell r="U80" t="str">
            <v>2009</v>
          </cell>
          <cell r="V80" t="str">
            <v>2010</v>
          </cell>
          <cell r="W80" t="str">
            <v>2011</v>
          </cell>
          <cell r="X80" t="str">
            <v>2012</v>
          </cell>
          <cell r="Y80" t="str">
            <v>2013e</v>
          </cell>
          <cell r="Z80" t="str">
            <v>2014e</v>
          </cell>
          <cell r="AA80" t="str">
            <v>2015e</v>
          </cell>
          <cell r="AB80" t="str">
            <v>2016e</v>
          </cell>
          <cell r="AC80" t="str">
            <v>2017e</v>
          </cell>
          <cell r="AD80" t="str">
            <v>2018e</v>
          </cell>
          <cell r="AE80" t="str">
            <v>2019e</v>
          </cell>
          <cell r="AF80" t="str">
            <v>2020e</v>
          </cell>
          <cell r="AI80" t="str">
            <v>1993q1</v>
          </cell>
          <cell r="AJ80" t="str">
            <v>1993q2</v>
          </cell>
          <cell r="AK80" t="str">
            <v>1993q3</v>
          </cell>
          <cell r="AL80" t="str">
            <v>1993q4</v>
          </cell>
          <cell r="AM80" t="str">
            <v>1994q1</v>
          </cell>
          <cell r="AN80" t="str">
            <v>1994q2</v>
          </cell>
          <cell r="AO80" t="str">
            <v>1994q3</v>
          </cell>
          <cell r="AP80" t="str">
            <v>1994q4</v>
          </cell>
          <cell r="AQ80" t="str">
            <v>1995q1</v>
          </cell>
          <cell r="AR80" t="str">
            <v>1995q2</v>
          </cell>
          <cell r="AS80" t="str">
            <v>1995q3</v>
          </cell>
          <cell r="AT80" t="str">
            <v>1995q4</v>
          </cell>
          <cell r="AU80" t="str">
            <v>1996q1</v>
          </cell>
          <cell r="AV80" t="str">
            <v>1996q2</v>
          </cell>
          <cell r="AW80" t="str">
            <v>1996q3</v>
          </cell>
          <cell r="AX80" t="str">
            <v>1996q4</v>
          </cell>
          <cell r="AY80" t="str">
            <v>1997q1</v>
          </cell>
          <cell r="AZ80" t="str">
            <v>1997q2</v>
          </cell>
          <cell r="BA80" t="str">
            <v>1997q3</v>
          </cell>
          <cell r="BB80" t="str">
            <v>1997q4</v>
          </cell>
          <cell r="BC80" t="str">
            <v>1998q1</v>
          </cell>
          <cell r="BD80" t="str">
            <v>1998q2</v>
          </cell>
          <cell r="BE80" t="str">
            <v>1998q3</v>
          </cell>
          <cell r="BF80" t="str">
            <v>1998q4</v>
          </cell>
          <cell r="BG80" t="str">
            <v>1999q1</v>
          </cell>
          <cell r="BH80" t="str">
            <v>1999q2</v>
          </cell>
          <cell r="BI80" t="str">
            <v>1999q3</v>
          </cell>
          <cell r="BJ80" t="str">
            <v>1999q4</v>
          </cell>
          <cell r="BK80" t="str">
            <v>2000q1</v>
          </cell>
          <cell r="BL80" t="str">
            <v>2000q2</v>
          </cell>
          <cell r="BM80" t="str">
            <v>2000q3</v>
          </cell>
          <cell r="BN80" t="str">
            <v>2000q4</v>
          </cell>
          <cell r="BO80" t="str">
            <v>2001q1</v>
          </cell>
          <cell r="BP80" t="str">
            <v>2001q2</v>
          </cell>
          <cell r="BQ80" t="str">
            <v>2001q3</v>
          </cell>
          <cell r="BR80" t="str">
            <v>2001q4</v>
          </cell>
          <cell r="BS80" t="str">
            <v>2002q1</v>
          </cell>
          <cell r="BT80" t="str">
            <v>2002q2</v>
          </cell>
          <cell r="BU80" t="str">
            <v>2002q3</v>
          </cell>
          <cell r="BV80" t="str">
            <v>2002q4</v>
          </cell>
          <cell r="BW80" t="str">
            <v>2003q1</v>
          </cell>
          <cell r="BX80" t="str">
            <v>2003q2</v>
          </cell>
          <cell r="BY80" t="str">
            <v>2003q3</v>
          </cell>
          <cell r="BZ80" t="str">
            <v>2003q4</v>
          </cell>
          <cell r="CA80" t="str">
            <v>2004q1</v>
          </cell>
          <cell r="CB80" t="str">
            <v>2004q2</v>
          </cell>
          <cell r="CC80" t="str">
            <v>2004q3</v>
          </cell>
          <cell r="CD80" t="str">
            <v>2004q4</v>
          </cell>
          <cell r="CE80" t="str">
            <v>2005q1</v>
          </cell>
          <cell r="CF80" t="str">
            <v>2005q2</v>
          </cell>
          <cell r="CG80" t="str">
            <v>2005q3</v>
          </cell>
          <cell r="CH80" t="str">
            <v>2005q4</v>
          </cell>
          <cell r="CI80" t="str">
            <v>2006q1</v>
          </cell>
          <cell r="CJ80" t="str">
            <v>2006q2</v>
          </cell>
          <cell r="CK80" t="str">
            <v>2006q3</v>
          </cell>
          <cell r="CL80" t="str">
            <v>2006q4</v>
          </cell>
          <cell r="CM80" t="str">
            <v>2007q1</v>
          </cell>
          <cell r="CN80" t="str">
            <v>2007q2</v>
          </cell>
          <cell r="CO80" t="str">
            <v>2007q3</v>
          </cell>
          <cell r="CP80" t="str">
            <v>2007q4</v>
          </cell>
          <cell r="CQ80" t="str">
            <v>2008q1</v>
          </cell>
          <cell r="CR80" t="str">
            <v>2008q2</v>
          </cell>
          <cell r="CS80" t="str">
            <v>2008q3</v>
          </cell>
          <cell r="CT80" t="str">
            <v>2008q4</v>
          </cell>
          <cell r="CU80" t="str">
            <v>2009q1</v>
          </cell>
          <cell r="CV80" t="str">
            <v>2009q2</v>
          </cell>
          <cell r="CW80" t="str">
            <v>2009q3</v>
          </cell>
          <cell r="CX80" t="str">
            <v>2009q4</v>
          </cell>
          <cell r="CY80" t="str">
            <v>2010q1</v>
          </cell>
          <cell r="CZ80" t="str">
            <v>2010q2</v>
          </cell>
          <cell r="DA80" t="str">
            <v>2010q3</v>
          </cell>
          <cell r="DB80" t="str">
            <v>2010q4</v>
          </cell>
          <cell r="DC80" t="str">
            <v>2011q1</v>
          </cell>
          <cell r="DD80" t="str">
            <v>2011q2</v>
          </cell>
          <cell r="DE80" t="str">
            <v>2011q3</v>
          </cell>
          <cell r="DF80" t="str">
            <v>2011q4</v>
          </cell>
          <cell r="DG80" t="str">
            <v>2012q1</v>
          </cell>
          <cell r="DH80" t="str">
            <v>2012q2</v>
          </cell>
          <cell r="DI80" t="str">
            <v>2012q3</v>
          </cell>
          <cell r="DJ80" t="str">
            <v>2012q4e</v>
          </cell>
          <cell r="DK80" t="str">
            <v>2013q1e</v>
          </cell>
          <cell r="DL80" t="str">
            <v>2013q2e</v>
          </cell>
          <cell r="DM80" t="str">
            <v>2013q3e</v>
          </cell>
          <cell r="DN80" t="str">
            <v>2013q4e</v>
          </cell>
          <cell r="DO80" t="str">
            <v>2014q1e</v>
          </cell>
          <cell r="DP80" t="str">
            <v>2014q2e</v>
          </cell>
          <cell r="DQ80" t="str">
            <v>2014q3e</v>
          </cell>
          <cell r="DR80" t="str">
            <v>2014q4e</v>
          </cell>
          <cell r="DT80" t="str">
            <v>2013q2e</v>
          </cell>
        </row>
        <row r="81">
          <cell r="B81" t="str">
            <v>Customers</v>
          </cell>
          <cell r="S81">
            <v>13145</v>
          </cell>
          <cell r="T81">
            <v>13489</v>
          </cell>
          <cell r="CY81">
            <v>2959</v>
          </cell>
        </row>
        <row r="82">
          <cell r="B82" t="str">
            <v>Intersegment</v>
          </cell>
          <cell r="S82">
            <v>0</v>
          </cell>
          <cell r="T82">
            <v>0</v>
          </cell>
          <cell r="CY82">
            <v>160</v>
          </cell>
        </row>
        <row r="83">
          <cell r="B83" t="str">
            <v>Revenue</v>
          </cell>
          <cell r="S83">
            <v>13145</v>
          </cell>
          <cell r="T83">
            <v>13489</v>
          </cell>
          <cell r="U83">
            <v>9401</v>
          </cell>
          <cell r="V83">
            <v>12914</v>
          </cell>
          <cell r="W83">
            <v>15514</v>
          </cell>
          <cell r="X83">
            <v>14489</v>
          </cell>
          <cell r="Y83">
            <v>14685</v>
          </cell>
          <cell r="Z83">
            <v>14472.996244987353</v>
          </cell>
          <cell r="AA83">
            <v>21044.225309315567</v>
          </cell>
          <cell r="AB83">
            <v>20943.950324804347</v>
          </cell>
          <cell r="AC83">
            <v>20729.548553212295</v>
          </cell>
          <cell r="AD83">
            <v>20573.97970853528</v>
          </cell>
          <cell r="AE83">
            <v>20419.578359878356</v>
          </cell>
          <cell r="AF83">
            <v>20322.279795846349</v>
          </cell>
          <cell r="CU83">
            <v>1719</v>
          </cell>
          <cell r="CV83">
            <v>2170</v>
          </cell>
          <cell r="CW83">
            <v>2651</v>
          </cell>
          <cell r="CX83">
            <v>2861</v>
          </cell>
          <cell r="CY83">
            <v>3119</v>
          </cell>
          <cell r="CZ83">
            <v>3206</v>
          </cell>
          <cell r="DA83">
            <v>3247</v>
          </cell>
          <cell r="DB83">
            <v>3342</v>
          </cell>
          <cell r="DC83">
            <v>3998</v>
          </cell>
          <cell r="DD83">
            <v>4264</v>
          </cell>
          <cell r="DE83">
            <v>3918</v>
          </cell>
          <cell r="DF83">
            <v>3334</v>
          </cell>
          <cell r="DG83">
            <v>3866</v>
          </cell>
          <cell r="DH83">
            <v>3575</v>
          </cell>
          <cell r="DI83">
            <v>3448</v>
          </cell>
          <cell r="DJ83">
            <v>3600</v>
          </cell>
          <cell r="DK83">
            <v>3800</v>
          </cell>
          <cell r="DL83">
            <v>3708</v>
          </cell>
          <cell r="DM83">
            <v>3594</v>
          </cell>
          <cell r="DN83">
            <v>3583</v>
          </cell>
          <cell r="DO83">
            <v>3731.2212745230981</v>
          </cell>
          <cell r="DP83">
            <v>3872.704612792134</v>
          </cell>
          <cell r="DQ83">
            <v>3492.7138947742174</v>
          </cell>
          <cell r="DR83">
            <v>3376.3564628979034</v>
          </cell>
          <cell r="DT83">
            <v>3403.7495213982197</v>
          </cell>
        </row>
        <row r="84">
          <cell r="B84" t="str">
            <v>Growth</v>
          </cell>
          <cell r="T84">
            <v>2.6169646253328294E-2</v>
          </cell>
          <cell r="U84">
            <v>-0.30306175402179558</v>
          </cell>
          <cell r="V84">
            <v>0.37368365067546017</v>
          </cell>
          <cell r="W84">
            <v>0.20133188787362544</v>
          </cell>
          <cell r="X84">
            <v>-6.6069356710068305E-2</v>
          </cell>
          <cell r="Y84">
            <v>1.3527503623438575E-2</v>
          </cell>
          <cell r="Z84">
            <v>-1.4436755533717927E-2</v>
          </cell>
          <cell r="AA84">
            <v>0.45403377110694176</v>
          </cell>
          <cell r="AB84">
            <v>-4.7649644041223294E-3</v>
          </cell>
          <cell r="AC84">
            <v>-1.0236930868678162E-2</v>
          </cell>
          <cell r="AD84">
            <v>-7.5046904315196894E-3</v>
          </cell>
          <cell r="AE84">
            <v>-7.5046904315196894E-3</v>
          </cell>
          <cell r="AF84">
            <v>-4.7649644041223294E-3</v>
          </cell>
          <cell r="CY84">
            <v>0.81442699243746364</v>
          </cell>
          <cell r="CZ84">
            <v>0.47741935483870979</v>
          </cell>
          <cell r="DA84">
            <v>0.22482082233119582</v>
          </cell>
          <cell r="DB84">
            <v>0.16812303390422922</v>
          </cell>
          <cell r="DC84">
            <v>0.28182109650529008</v>
          </cell>
          <cell r="DD84">
            <v>0.33000623830318143</v>
          </cell>
          <cell r="DE84">
            <v>0.20665229442562372</v>
          </cell>
          <cell r="DF84">
            <v>-2.3937761819270431E-3</v>
          </cell>
          <cell r="DG84">
            <v>-3.3016508254127053E-2</v>
          </cell>
          <cell r="DH84">
            <v>-0.16158536585365857</v>
          </cell>
          <cell r="DI84">
            <v>-0.11995916283818275</v>
          </cell>
          <cell r="DJ84">
            <v>7.9784043191361675E-2</v>
          </cell>
          <cell r="DK84">
            <v>-1.7071908949818915E-2</v>
          </cell>
          <cell r="DL84">
            <v>3.7202797202797289E-2</v>
          </cell>
          <cell r="DM84">
            <v>4.2343387470997751E-2</v>
          </cell>
          <cell r="DN84">
            <v>-4.7222222222221832E-3</v>
          </cell>
          <cell r="DO84">
            <v>-1.8099664599184662E-2</v>
          </cell>
          <cell r="DP84">
            <v>4.4418719738978929E-2</v>
          </cell>
          <cell r="DQ84">
            <v>-2.8181999228097609E-2</v>
          </cell>
          <cell r="DR84">
            <v>-5.7673328803264479E-2</v>
          </cell>
          <cell r="DT84">
            <v>-4.7902231776721704E-2</v>
          </cell>
        </row>
        <row r="85">
          <cell r="B85" t="str">
            <v>Volume</v>
          </cell>
          <cell r="AA85">
            <v>0.46153846153846145</v>
          </cell>
          <cell r="AB85">
            <v>2.73972602739736E-3</v>
          </cell>
          <cell r="AC85">
            <v>-2.732240437158473E-3</v>
          </cell>
          <cell r="AD85">
            <v>0</v>
          </cell>
          <cell r="AE85">
            <v>0</v>
          </cell>
          <cell r="AF85">
            <v>2.73972602739736E-3</v>
          </cell>
        </row>
        <row r="86">
          <cell r="B86" t="str">
            <v>Price</v>
          </cell>
          <cell r="AA86">
            <v>-7.5046904315196894E-3</v>
          </cell>
          <cell r="AB86">
            <v>-7.5046904315196894E-3</v>
          </cell>
          <cell r="AC86">
            <v>-7.5046904315196894E-3</v>
          </cell>
          <cell r="AD86">
            <v>-7.5046904315196894E-3</v>
          </cell>
          <cell r="AE86">
            <v>-7.5046904315196894E-3</v>
          </cell>
          <cell r="AF86">
            <v>-7.5046904315196894E-3</v>
          </cell>
          <cell r="DJ86">
            <v>0.11033064234158596</v>
          </cell>
          <cell r="DK86">
            <v>5.6154654504127155E-2</v>
          </cell>
          <cell r="DL86">
            <v>-3.3776208903426586E-2</v>
          </cell>
          <cell r="DM86">
            <v>0.12407206101370649</v>
          </cell>
          <cell r="DN86">
            <v>3.6499312091382574E-2</v>
          </cell>
          <cell r="DO86">
            <v>-1.8099664599184662E-2</v>
          </cell>
          <cell r="DP86">
            <v>4.4418719738978929E-2</v>
          </cell>
          <cell r="DQ86">
            <v>-2.8181999228097609E-2</v>
          </cell>
          <cell r="DR86">
            <v>-5.7673328803264479E-2</v>
          </cell>
          <cell r="DT86">
            <v>-4.7902231776721704E-2</v>
          </cell>
        </row>
        <row r="88">
          <cell r="B88" t="str">
            <v>Operating Income</v>
          </cell>
          <cell r="S88">
            <v>934</v>
          </cell>
          <cell r="T88">
            <v>281</v>
          </cell>
          <cell r="U88">
            <v>3</v>
          </cell>
          <cell r="V88">
            <v>487.01332298850571</v>
          </cell>
          <cell r="W88">
            <v>776.78194692528734</v>
          </cell>
          <cell r="X88">
            <v>390.03527565285344</v>
          </cell>
          <cell r="Y88">
            <v>536.76997374722725</v>
          </cell>
          <cell r="Z88">
            <v>570.50175155701277</v>
          </cell>
          <cell r="AA88">
            <v>865.82210687703071</v>
          </cell>
          <cell r="AB88">
            <v>905.30407740537999</v>
          </cell>
          <cell r="AC88">
            <v>916.1247899509857</v>
          </cell>
          <cell r="AD88">
            <v>957.15061635318455</v>
          </cell>
          <cell r="AE88">
            <v>1007.2848817844784</v>
          </cell>
          <cell r="AF88">
            <v>953.38119919761209</v>
          </cell>
          <cell r="CU88">
            <v>-74</v>
          </cell>
          <cell r="CV88">
            <v>2</v>
          </cell>
          <cell r="CW88">
            <v>118</v>
          </cell>
          <cell r="CX88">
            <v>-44</v>
          </cell>
          <cell r="CY88">
            <v>71</v>
          </cell>
          <cell r="CZ88">
            <v>158</v>
          </cell>
          <cell r="DA88">
            <v>231</v>
          </cell>
          <cell r="DB88">
            <v>66</v>
          </cell>
          <cell r="DC88">
            <v>179</v>
          </cell>
          <cell r="DD88">
            <v>207</v>
          </cell>
          <cell r="DE88">
            <v>144</v>
          </cell>
          <cell r="DF88">
            <v>-55</v>
          </cell>
          <cell r="DG88">
            <v>5</v>
          </cell>
          <cell r="DH88">
            <v>203</v>
          </cell>
          <cell r="DI88">
            <v>15</v>
          </cell>
          <cell r="DJ88">
            <v>-94</v>
          </cell>
          <cell r="DK88">
            <v>93</v>
          </cell>
          <cell r="DL88">
            <v>189</v>
          </cell>
          <cell r="DM88">
            <v>78</v>
          </cell>
          <cell r="DN88">
            <v>17</v>
          </cell>
          <cell r="DO88">
            <v>144.71892512191954</v>
          </cell>
          <cell r="DP88">
            <v>142.74114275459576</v>
          </cell>
          <cell r="DQ88">
            <v>142.15462747352112</v>
          </cell>
          <cell r="DR88">
            <v>140.88705620697641</v>
          </cell>
          <cell r="DT88">
            <v>161.17941354767729</v>
          </cell>
        </row>
        <row r="89">
          <cell r="B89" t="str">
            <v>Margin</v>
          </cell>
          <cell r="S89">
            <v>7.1053632559908708E-2</v>
          </cell>
          <cell r="T89">
            <v>2.0831788865001113E-2</v>
          </cell>
          <cell r="U89">
            <v>3.1911498776725878E-4</v>
          </cell>
          <cell r="V89">
            <v>3.7712042975724461E-2</v>
          </cell>
          <cell r="W89">
            <v>5.0069740036437244E-2</v>
          </cell>
          <cell r="X89">
            <v>2.6919406146238764E-2</v>
          </cell>
          <cell r="Y89">
            <v>3.6552262427458446E-2</v>
          </cell>
          <cell r="Z89">
            <v>3.941835829292107E-2</v>
          </cell>
          <cell r="AA89">
            <v>4.1142978377719637E-2</v>
          </cell>
          <cell r="AB89">
            <v>4.3225087118985851E-2</v>
          </cell>
          <cell r="AC89">
            <v>4.4194150567211508E-2</v>
          </cell>
          <cell r="AD89">
            <v>4.6522385552664997E-2</v>
          </cell>
          <cell r="AE89">
            <v>4.9329367337165676E-2</v>
          </cell>
          <cell r="AF89">
            <v>4.6913102701817574E-2</v>
          </cell>
          <cell r="CU89">
            <v>-4.3048283885980219E-2</v>
          </cell>
          <cell r="CV89">
            <v>9.2165898617511521E-4</v>
          </cell>
          <cell r="CW89">
            <v>4.4511505092417955E-2</v>
          </cell>
          <cell r="CX89">
            <v>-1.5379238028661308E-2</v>
          </cell>
          <cell r="CY89">
            <v>2.2763706316126963E-2</v>
          </cell>
          <cell r="CZ89">
            <v>4.9282595134123516E-2</v>
          </cell>
          <cell r="DA89">
            <v>7.1142593162919612E-2</v>
          </cell>
          <cell r="DB89">
            <v>1.9748653500897665E-2</v>
          </cell>
          <cell r="DC89">
            <v>4.477238619309655E-2</v>
          </cell>
          <cell r="DD89">
            <v>4.854596622889306E-2</v>
          </cell>
          <cell r="DE89">
            <v>3.6753445635528334E-2</v>
          </cell>
          <cell r="DF89">
            <v>-1.6496700659868028E-2</v>
          </cell>
          <cell r="DG89">
            <v>1.2933264355923435E-3</v>
          </cell>
          <cell r="DH89">
            <v>5.6783216783216781E-2</v>
          </cell>
          <cell r="DI89">
            <v>4.3503480278422272E-3</v>
          </cell>
          <cell r="DJ89">
            <v>-2.6111111111111113E-2</v>
          </cell>
          <cell r="DK89">
            <v>2.4473684210526314E-2</v>
          </cell>
          <cell r="DL89">
            <v>5.0970873786407765E-2</v>
          </cell>
          <cell r="DM89">
            <v>2.1702838063439065E-2</v>
          </cell>
          <cell r="DN89">
            <v>4.7446274072006694E-3</v>
          </cell>
          <cell r="DO89">
            <v>3.8785940171939183E-2</v>
          </cell>
          <cell r="DP89">
            <v>3.6858257219799309E-2</v>
          </cell>
          <cell r="DQ89">
            <v>4.0700335543146615E-2</v>
          </cell>
          <cell r="DR89">
            <v>4.1727542027968821E-2</v>
          </cell>
          <cell r="DT89">
            <v>4.7353488420460124E-2</v>
          </cell>
        </row>
        <row r="90">
          <cell r="B90" t="str">
            <v>Growth</v>
          </cell>
          <cell r="T90">
            <v>-0.69914346895074941</v>
          </cell>
          <cell r="U90">
            <v>-0.98932384341637014</v>
          </cell>
          <cell r="V90">
            <v>161.33777432950191</v>
          </cell>
          <cell r="W90">
            <v>0.59499116401713037</v>
          </cell>
          <cell r="X90">
            <v>-0.49788318691401312</v>
          </cell>
          <cell r="Y90">
            <v>0.37620878739433139</v>
          </cell>
          <cell r="Z90">
            <v>6.2842147399381654E-2</v>
          </cell>
          <cell r="AA90">
            <v>0.51765021669789779</v>
          </cell>
          <cell r="AB90">
            <v>4.5600557221573412E-2</v>
          </cell>
          <cell r="AC90">
            <v>1.1952572418118423E-2</v>
          </cell>
          <cell r="AD90">
            <v>4.478191928895825E-2</v>
          </cell>
          <cell r="AE90">
            <v>5.2378658671619727E-2</v>
          </cell>
          <cell r="AF90">
            <v>-5.3513840584375805E-2</v>
          </cell>
        </row>
        <row r="91">
          <cell r="DO91" t="str">
            <v xml:space="preserve"> </v>
          </cell>
        </row>
        <row r="92">
          <cell r="B92" t="str">
            <v>Income (loss) from equity investments</v>
          </cell>
          <cell r="S92">
            <v>150</v>
          </cell>
          <cell r="T92">
            <v>34</v>
          </cell>
          <cell r="U92">
            <v>-172</v>
          </cell>
          <cell r="V92">
            <v>77.986677011494265</v>
          </cell>
          <cell r="W92">
            <v>-47.781946925287393</v>
          </cell>
          <cell r="X92">
            <v>-112.03527565285341</v>
          </cell>
          <cell r="Y92">
            <v>15.230026252772717</v>
          </cell>
          <cell r="Z92">
            <v>-6.5929951951386201</v>
          </cell>
          <cell r="AA92">
            <v>11.955851120327614</v>
          </cell>
          <cell r="AB92">
            <v>2.555372524920962</v>
          </cell>
          <cell r="AC92">
            <v>-5.8098005003310274</v>
          </cell>
          <cell r="AD92">
            <v>-12.932810162635764</v>
          </cell>
          <cell r="AE92">
            <v>-26.138076576147682</v>
          </cell>
          <cell r="AF92">
            <v>-45.318605345006674</v>
          </cell>
          <cell r="CU92">
            <v>-11</v>
          </cell>
          <cell r="CY92">
            <v>0</v>
          </cell>
          <cell r="CZ92">
            <v>35</v>
          </cell>
          <cell r="DA92">
            <v>35</v>
          </cell>
          <cell r="DB92">
            <v>7.9866770114942582</v>
          </cell>
          <cell r="DC92">
            <v>24.827930574107686</v>
          </cell>
          <cell r="DD92">
            <v>9.6535073980641073</v>
          </cell>
          <cell r="DE92">
            <v>-32.157171270719921</v>
          </cell>
          <cell r="DF92">
            <v>-50.106213626739262</v>
          </cell>
          <cell r="DG92">
            <v>-43.780407887174832</v>
          </cell>
          <cell r="DH92">
            <v>-17.563930820225856</v>
          </cell>
          <cell r="DI92">
            <v>-31.127674518552119</v>
          </cell>
          <cell r="DJ92">
            <v>-19.563262426900611</v>
          </cell>
          <cell r="DK92">
            <v>4.2183336862270533</v>
          </cell>
          <cell r="DL92">
            <v>7.0725711206896431</v>
          </cell>
          <cell r="DM92">
            <v>8.980942087618466</v>
          </cell>
          <cell r="DN92">
            <v>-5.0418206417624445</v>
          </cell>
          <cell r="DO92">
            <v>-0.92814879878465995</v>
          </cell>
          <cell r="DP92">
            <v>-1.5345487987846393</v>
          </cell>
          <cell r="DQ92">
            <v>-1.8377487987846575</v>
          </cell>
          <cell r="DR92">
            <v>-2.2925487987846633</v>
          </cell>
          <cell r="DT92">
            <v>3.1082457335147824</v>
          </cell>
        </row>
        <row r="94">
          <cell r="B94" t="str">
            <v>D&amp;A</v>
          </cell>
          <cell r="S94">
            <v>-244</v>
          </cell>
          <cell r="T94">
            <v>-295</v>
          </cell>
          <cell r="U94">
            <v>-212</v>
          </cell>
          <cell r="V94">
            <v>-253</v>
          </cell>
          <cell r="W94">
            <v>-262</v>
          </cell>
          <cell r="X94">
            <v>-285</v>
          </cell>
          <cell r="Y94">
            <v>-287</v>
          </cell>
          <cell r="Z94">
            <v>-295.94163347370198</v>
          </cell>
          <cell r="AA94">
            <v>-296.92772078200352</v>
          </cell>
          <cell r="AB94">
            <v>-297.7892974865066</v>
          </cell>
          <cell r="AC94">
            <v>-298.44699402709045</v>
          </cell>
          <cell r="AD94">
            <v>-298.95512910713734</v>
          </cell>
          <cell r="AE94">
            <v>-299.32205642168924</v>
          </cell>
          <cell r="AF94">
            <v>-299.59766344748954</v>
          </cell>
          <cell r="CU94">
            <v>-70</v>
          </cell>
          <cell r="CV94">
            <v>-98</v>
          </cell>
          <cell r="CW94">
            <v>-62</v>
          </cell>
          <cell r="CX94">
            <v>-86</v>
          </cell>
          <cell r="CY94">
            <v>-81</v>
          </cell>
          <cell r="CZ94">
            <v>-59</v>
          </cell>
          <cell r="DA94">
            <v>-60</v>
          </cell>
          <cell r="DB94">
            <v>-53</v>
          </cell>
          <cell r="DC94">
            <v>-57</v>
          </cell>
          <cell r="DD94">
            <v>-66</v>
          </cell>
          <cell r="DE94">
            <v>-69</v>
          </cell>
          <cell r="DF94">
            <v>-70</v>
          </cell>
          <cell r="DG94">
            <v>-69</v>
          </cell>
          <cell r="DH94">
            <v>-69</v>
          </cell>
          <cell r="DI94">
            <v>-63</v>
          </cell>
          <cell r="DJ94">
            <v>-84</v>
          </cell>
          <cell r="DK94">
            <v>-77</v>
          </cell>
          <cell r="DL94">
            <v>-76</v>
          </cell>
          <cell r="DM94">
            <v>-78</v>
          </cell>
          <cell r="DN94">
            <v>-56</v>
          </cell>
          <cell r="DO94">
            <v>-73.985408368425496</v>
          </cell>
          <cell r="DP94">
            <v>-73.985408368425496</v>
          </cell>
          <cell r="DQ94">
            <v>-73.985408368425496</v>
          </cell>
          <cell r="DR94">
            <v>-73.985408368425496</v>
          </cell>
          <cell r="DT94">
            <v>-70</v>
          </cell>
        </row>
        <row r="95">
          <cell r="B95" t="str">
            <v>% of revenue</v>
          </cell>
          <cell r="S95">
            <v>1.8562190947128184E-2</v>
          </cell>
          <cell r="T95">
            <v>2.1869671584253837E-2</v>
          </cell>
          <cell r="U95">
            <v>2.2550792468886287E-2</v>
          </cell>
          <cell r="V95">
            <v>1.9591141396933562E-2</v>
          </cell>
          <cell r="W95">
            <v>1.688797215418332E-2</v>
          </cell>
          <cell r="X95">
            <v>1.9670094554489613E-2</v>
          </cell>
          <cell r="Y95">
            <v>1.9543752128021792E-2</v>
          </cell>
          <cell r="Z95">
            <v>2.0447848425041902E-2</v>
          </cell>
          <cell r="AA95">
            <v>1.4109700709703183E-2</v>
          </cell>
          <cell r="AB95">
            <v>1.4218392083074637E-2</v>
          </cell>
          <cell r="AC95">
            <v>1.4397177693522056E-2</v>
          </cell>
          <cell r="AD95">
            <v>1.453073898887503E-2</v>
          </cell>
          <cell r="AE95">
            <v>1.4658581638973291E-2</v>
          </cell>
          <cell r="AF95">
            <v>1.4742325489914965E-2</v>
          </cell>
          <cell r="CU95">
            <v>4.0721349621873182E-2</v>
          </cell>
          <cell r="CY95">
            <v>2.5969862135299775E-2</v>
          </cell>
          <cell r="DK95">
            <v>6.25</v>
          </cell>
          <cell r="DL95">
            <v>12.5</v>
          </cell>
          <cell r="DM95">
            <v>18.75</v>
          </cell>
          <cell r="DN95">
            <v>25</v>
          </cell>
          <cell r="DO95">
            <v>31.25</v>
          </cell>
          <cell r="DP95">
            <v>37.5</v>
          </cell>
          <cell r="DQ95">
            <v>43.75</v>
          </cell>
          <cell r="DR95">
            <v>50</v>
          </cell>
          <cell r="DT95">
            <v>12.5</v>
          </cell>
        </row>
        <row r="97">
          <cell r="B97" t="str">
            <v>EBITDA</v>
          </cell>
          <cell r="S97">
            <v>1328</v>
          </cell>
          <cell r="T97">
            <v>610</v>
          </cell>
          <cell r="U97">
            <v>43</v>
          </cell>
          <cell r="V97">
            <v>818</v>
          </cell>
          <cell r="W97">
            <v>991</v>
          </cell>
          <cell r="X97">
            <v>563</v>
          </cell>
          <cell r="Y97">
            <v>839</v>
          </cell>
          <cell r="Z97">
            <v>859.85038983557615</v>
          </cell>
          <cell r="AA97">
            <v>1174.7056787793617</v>
          </cell>
          <cell r="AB97">
            <v>1205.6487474168075</v>
          </cell>
          <cell r="AC97">
            <v>1208.7619834777452</v>
          </cell>
          <cell r="AD97">
            <v>1243.1729352976861</v>
          </cell>
          <cell r="AE97">
            <v>1280.46886163002</v>
          </cell>
          <cell r="AF97">
            <v>1207.6602573000951</v>
          </cell>
          <cell r="CU97">
            <v>-15</v>
          </cell>
          <cell r="CV97">
            <v>100</v>
          </cell>
          <cell r="CW97">
            <v>180</v>
          </cell>
          <cell r="CX97">
            <v>42</v>
          </cell>
          <cell r="CY97">
            <v>152</v>
          </cell>
          <cell r="CZ97">
            <v>257</v>
          </cell>
          <cell r="DA97">
            <v>294</v>
          </cell>
          <cell r="DB97">
            <v>115</v>
          </cell>
          <cell r="DC97">
            <v>333</v>
          </cell>
          <cell r="DD97">
            <v>335</v>
          </cell>
          <cell r="DE97">
            <v>261</v>
          </cell>
          <cell r="DF97">
            <v>62</v>
          </cell>
          <cell r="DG97">
            <v>103</v>
          </cell>
          <cell r="DH97">
            <v>335</v>
          </cell>
          <cell r="DI97">
            <v>75</v>
          </cell>
          <cell r="DJ97">
            <v>50</v>
          </cell>
          <cell r="DK97">
            <v>225</v>
          </cell>
          <cell r="DL97">
            <v>295</v>
          </cell>
          <cell r="DM97">
            <v>204</v>
          </cell>
          <cell r="DN97">
            <v>115</v>
          </cell>
          <cell r="DO97">
            <v>217.77618469156036</v>
          </cell>
          <cell r="DP97">
            <v>215.19200232423663</v>
          </cell>
          <cell r="DQ97">
            <v>214.30228704316198</v>
          </cell>
          <cell r="DR97">
            <v>212.57991577661727</v>
          </cell>
          <cell r="DT97">
            <v>234.28765928119208</v>
          </cell>
        </row>
        <row r="98">
          <cell r="B98" t="str">
            <v>Margin</v>
          </cell>
          <cell r="S98">
            <v>0.10102700646633701</v>
          </cell>
          <cell r="T98">
            <v>4.5222032767440135E-2</v>
          </cell>
          <cell r="U98">
            <v>4.5739814913307092E-3</v>
          </cell>
          <cell r="V98">
            <v>6.3342109338702185E-2</v>
          </cell>
          <cell r="W98">
            <v>6.3877787804563615E-2</v>
          </cell>
          <cell r="X98">
            <v>3.8857063979570707E-2</v>
          </cell>
          <cell r="Y98">
            <v>5.7133129043241401E-2</v>
          </cell>
          <cell r="Z98">
            <v>5.94106690336067E-2</v>
          </cell>
          <cell r="AA98">
            <v>5.5820808868614388E-2</v>
          </cell>
          <cell r="AB98">
            <v>5.7565489256768007E-2</v>
          </cell>
          <cell r="AC98">
            <v>5.8311061641061777E-2</v>
          </cell>
          <cell r="AD98">
            <v>6.0424524224739359E-2</v>
          </cell>
          <cell r="AE98">
            <v>6.2707899206477444E-2</v>
          </cell>
          <cell r="AF98">
            <v>5.94254320593956E-2</v>
          </cell>
          <cell r="CU98">
            <v>-8.7260034904013961E-3</v>
          </cell>
          <cell r="CV98">
            <v>4.6082949308755762E-2</v>
          </cell>
          <cell r="CW98">
            <v>6.7898906073179929E-2</v>
          </cell>
          <cell r="CX98">
            <v>1.4680181754631249E-2</v>
          </cell>
          <cell r="CY98">
            <v>4.8733568451426741E-2</v>
          </cell>
          <cell r="CZ98">
            <v>8.0162195882719903E-2</v>
          </cell>
          <cell r="DA98">
            <v>9.0545118570988611E-2</v>
          </cell>
          <cell r="DB98">
            <v>3.4410532615200481E-2</v>
          </cell>
          <cell r="DC98">
            <v>8.3291645822911459E-2</v>
          </cell>
          <cell r="DD98">
            <v>7.8564727954971852E-2</v>
          </cell>
          <cell r="DE98">
            <v>6.6615620214395099E-2</v>
          </cell>
          <cell r="DF98">
            <v>1.859628074385123E-2</v>
          </cell>
          <cell r="DG98">
            <v>2.6642524573202275E-2</v>
          </cell>
          <cell r="DH98">
            <v>9.37062937062937E-2</v>
          </cell>
          <cell r="DI98">
            <v>2.1751740139211138E-2</v>
          </cell>
          <cell r="DJ98">
            <v>1.3888888888888888E-2</v>
          </cell>
          <cell r="DK98">
            <v>5.921052631578947E-2</v>
          </cell>
          <cell r="DL98">
            <v>7.9557713052858678E-2</v>
          </cell>
          <cell r="DM98">
            <v>5.6761268781302172E-2</v>
          </cell>
          <cell r="DN98">
            <v>3.2096008931063354E-2</v>
          </cell>
          <cell r="DO98">
            <v>5.83659259713551E-2</v>
          </cell>
          <cell r="DP98">
            <v>5.5566335117174862E-2</v>
          </cell>
          <cell r="DQ98">
            <v>6.1356954362566052E-2</v>
          </cell>
          <cell r="DR98">
            <v>6.2961336610223143E-2</v>
          </cell>
          <cell r="DT98">
            <v>6.8832226874599597E-2</v>
          </cell>
        </row>
        <row r="99">
          <cell r="B99" t="str">
            <v>Growth</v>
          </cell>
          <cell r="T99">
            <v>-0.5406626506024097</v>
          </cell>
          <cell r="U99">
            <v>-0.92950819672131146</v>
          </cell>
          <cell r="V99">
            <v>18.023255813953487</v>
          </cell>
          <cell r="W99">
            <v>0.21149144254278718</v>
          </cell>
          <cell r="X99">
            <v>-0.43188698284561045</v>
          </cell>
          <cell r="Y99">
            <v>0.49023090586145646</v>
          </cell>
          <cell r="Z99">
            <v>2.4851477753964346E-2</v>
          </cell>
          <cell r="AA99">
            <v>0.36617450275738483</v>
          </cell>
          <cell r="AB99">
            <v>2.634112458671245E-2</v>
          </cell>
          <cell r="AC99">
            <v>2.5822081826136767E-3</v>
          </cell>
          <cell r="AD99">
            <v>2.8467930237958683E-2</v>
          </cell>
          <cell r="AE99">
            <v>3.0000593862191227E-2</v>
          </cell>
          <cell r="AF99">
            <v>-5.6860894092528369E-2</v>
          </cell>
        </row>
        <row r="101">
          <cell r="B101" t="str">
            <v>Capex</v>
          </cell>
          <cell r="S101">
            <v>-333</v>
          </cell>
          <cell r="T101">
            <v>-509</v>
          </cell>
          <cell r="U101">
            <v>-411</v>
          </cell>
          <cell r="V101">
            <v>-199</v>
          </cell>
          <cell r="W101">
            <v>-235</v>
          </cell>
          <cell r="X101">
            <v>-289.78000000000003</v>
          </cell>
          <cell r="Y101">
            <v>-440.55</v>
          </cell>
          <cell r="Z101">
            <v>-361.82490612468382</v>
          </cell>
          <cell r="AA101">
            <v>-315.66337963973348</v>
          </cell>
          <cell r="AB101">
            <v>-314.15925487206522</v>
          </cell>
          <cell r="AC101">
            <v>-310.94322829818441</v>
          </cell>
          <cell r="AD101">
            <v>-308.60969562802921</v>
          </cell>
          <cell r="AE101">
            <v>-306.29367539817531</v>
          </cell>
          <cell r="AF101">
            <v>-304.8341969376952</v>
          </cell>
          <cell r="CU101">
            <v>-117</v>
          </cell>
          <cell r="CV101">
            <v>-104</v>
          </cell>
          <cell r="CW101">
            <v>-54</v>
          </cell>
          <cell r="CX101">
            <v>-136</v>
          </cell>
          <cell r="CY101">
            <v>-59</v>
          </cell>
          <cell r="CZ101">
            <v>-74</v>
          </cell>
          <cell r="DA101">
            <v>-32</v>
          </cell>
          <cell r="DB101">
            <v>-34</v>
          </cell>
          <cell r="DC101">
            <v>-42</v>
          </cell>
          <cell r="DD101">
            <v>-37</v>
          </cell>
          <cell r="DE101">
            <v>-46</v>
          </cell>
          <cell r="DF101">
            <v>-110</v>
          </cell>
          <cell r="DG101">
            <v>-60</v>
          </cell>
          <cell r="DH101">
            <v>-39</v>
          </cell>
          <cell r="DI101">
            <v>-60</v>
          </cell>
          <cell r="DJ101">
            <v>-95</v>
          </cell>
          <cell r="DK101">
            <v>-63</v>
          </cell>
          <cell r="DL101">
            <v>-46</v>
          </cell>
          <cell r="DM101">
            <v>-44</v>
          </cell>
          <cell r="DN101">
            <v>-76</v>
          </cell>
          <cell r="DO101">
            <v>-33</v>
          </cell>
        </row>
        <row r="102">
          <cell r="B102" t="str">
            <v>% of revenue</v>
          </cell>
          <cell r="S102">
            <v>2.5332826169646255E-2</v>
          </cell>
          <cell r="T102">
            <v>3.7734450292831193E-2</v>
          </cell>
          <cell r="U102">
            <v>4.3718753324114457E-2</v>
          </cell>
          <cell r="V102">
            <v>1.5409632956481338E-2</v>
          </cell>
          <cell r="W102">
            <v>1.514760861157664E-2</v>
          </cell>
          <cell r="X102">
            <v>0.02</v>
          </cell>
          <cell r="Y102">
            <v>0.03</v>
          </cell>
          <cell r="Z102">
            <v>2.5000000000000001E-2</v>
          </cell>
          <cell r="AA102">
            <v>1.4999999999999999E-2</v>
          </cell>
          <cell r="AB102">
            <v>1.4999999999999999E-2</v>
          </cell>
          <cell r="AC102">
            <v>1.4999999999999999E-2</v>
          </cell>
          <cell r="AD102">
            <v>1.4999999999999999E-2</v>
          </cell>
          <cell r="AE102">
            <v>1.4999999999999999E-2</v>
          </cell>
          <cell r="AF102">
            <v>1.4999999999999999E-2</v>
          </cell>
          <cell r="CU102">
            <v>6.8062827225130892E-2</v>
          </cell>
          <cell r="CY102">
            <v>1.8916319333119588E-2</v>
          </cell>
          <cell r="CZ102">
            <v>2.3081721771678103E-2</v>
          </cell>
          <cell r="DA102">
            <v>9.85525100092393E-3</v>
          </cell>
          <cell r="DB102">
            <v>1.0173548773189706E-2</v>
          </cell>
          <cell r="DC102">
            <v>1.0505252626313157E-2</v>
          </cell>
          <cell r="DD102">
            <v>8.677298311444653E-3</v>
          </cell>
          <cell r="DE102">
            <v>1.1740684022460439E-2</v>
          </cell>
          <cell r="DF102">
            <v>3.2993401319736056E-2</v>
          </cell>
          <cell r="DG102">
            <v>1.5519917227108122E-2</v>
          </cell>
          <cell r="DH102">
            <v>1.090909090909091E-2</v>
          </cell>
          <cell r="DI102">
            <v>1.7401392111368909E-2</v>
          </cell>
          <cell r="DJ102">
            <v>2.6388888888888889E-2</v>
          </cell>
          <cell r="DK102">
            <v>1.6578947368421054E-2</v>
          </cell>
          <cell r="DL102">
            <v>1.2405609492988134E-2</v>
          </cell>
          <cell r="DM102">
            <v>1.2242626599888704E-2</v>
          </cell>
          <cell r="DN102">
            <v>0</v>
          </cell>
        </row>
        <row r="104">
          <cell r="B104" t="str">
            <v>PP&amp;E, net</v>
          </cell>
          <cell r="S104" t="str">
            <v>ND</v>
          </cell>
          <cell r="T104">
            <v>2964</v>
          </cell>
          <cell r="U104">
            <v>3115</v>
          </cell>
          <cell r="V104">
            <v>3061</v>
          </cell>
          <cell r="W104">
            <v>3034</v>
          </cell>
          <cell r="X104">
            <v>3038.78</v>
          </cell>
          <cell r="Y104">
            <v>3192.3300000000004</v>
          </cell>
          <cell r="Z104">
            <v>3258.2132726509822</v>
          </cell>
          <cell r="AA104">
            <v>3276.9489315087121</v>
          </cell>
          <cell r="AB104">
            <v>3293.3188888942705</v>
          </cell>
          <cell r="AC104">
            <v>3305.8151231653642</v>
          </cell>
          <cell r="AD104">
            <v>3315.4696896862561</v>
          </cell>
          <cell r="AE104">
            <v>3322.4413086627424</v>
          </cell>
          <cell r="AF104">
            <v>3327.677842152948</v>
          </cell>
          <cell r="CU104" t="str">
            <v>ND</v>
          </cell>
          <cell r="CV104" t="str">
            <v>ND</v>
          </cell>
          <cell r="CW104" t="str">
            <v>ND</v>
          </cell>
          <cell r="CX104" t="str">
            <v>ND</v>
          </cell>
          <cell r="CY104" t="str">
            <v>ND</v>
          </cell>
          <cell r="CZ104" t="str">
            <v>ND</v>
          </cell>
        </row>
        <row r="105">
          <cell r="B105" t="str">
            <v>Asset turnover</v>
          </cell>
          <cell r="S105" t="str">
            <v>NM</v>
          </cell>
          <cell r="T105">
            <v>4.5509446693657223</v>
          </cell>
          <cell r="U105">
            <v>3.0179775280898875</v>
          </cell>
          <cell r="V105">
            <v>4.2188827180659914</v>
          </cell>
          <cell r="W105">
            <v>5.1133816743572842</v>
          </cell>
          <cell r="X105">
            <v>4.7680319075418423</v>
          </cell>
          <cell r="Y105">
            <v>4.6000883367321039</v>
          </cell>
          <cell r="Z105">
            <v>4.4420039555027895</v>
          </cell>
          <cell r="AA105">
            <v>6.4218960225378838</v>
          </cell>
          <cell r="AB105">
            <v>6.35952697913085</v>
          </cell>
          <cell r="AC105">
            <v>6.2706315328860445</v>
          </cell>
          <cell r="AD105">
            <v>6.2054494940902938</v>
          </cell>
          <cell r="AE105">
            <v>6.14595607953631</v>
          </cell>
          <cell r="AF105">
            <v>6.1070454412432538</v>
          </cell>
          <cell r="CU105" t="str">
            <v>NM</v>
          </cell>
          <cell r="CV105" t="str">
            <v>NM</v>
          </cell>
          <cell r="CW105" t="str">
            <v>NM</v>
          </cell>
          <cell r="CX105" t="str">
            <v>NM</v>
          </cell>
          <cell r="CY105" t="str">
            <v>NM</v>
          </cell>
          <cell r="CZ105" t="str">
            <v>NM</v>
          </cell>
        </row>
        <row r="107">
          <cell r="B107" t="str">
            <v>Equity and other investments</v>
          </cell>
          <cell r="S107" t="str">
            <v>ND</v>
          </cell>
          <cell r="T107">
            <v>1014</v>
          </cell>
          <cell r="U107">
            <v>869</v>
          </cell>
          <cell r="CU107" t="str">
            <v>ND</v>
          </cell>
          <cell r="CV107" t="str">
            <v>ND</v>
          </cell>
          <cell r="CW107" t="str">
            <v>ND</v>
          </cell>
          <cell r="CX107" t="str">
            <v>ND</v>
          </cell>
          <cell r="CY107" t="str">
            <v>ND</v>
          </cell>
          <cell r="CZ107" t="str">
            <v>ND</v>
          </cell>
        </row>
        <row r="109">
          <cell r="B109" t="str">
            <v>Production Volumes (mn pounds)</v>
          </cell>
          <cell r="DR109" t="str">
            <v xml:space="preserve"> </v>
          </cell>
        </row>
        <row r="110">
          <cell r="B110" t="str">
            <v>Ethylene</v>
          </cell>
          <cell r="U110">
            <v>3503</v>
          </cell>
          <cell r="V110">
            <v>3610</v>
          </cell>
          <cell r="W110">
            <v>3729</v>
          </cell>
          <cell r="X110">
            <v>3562</v>
          </cell>
          <cell r="Y110">
            <v>2887</v>
          </cell>
          <cell r="Z110">
            <v>0</v>
          </cell>
          <cell r="AA110">
            <v>3285</v>
          </cell>
          <cell r="AB110">
            <v>3294</v>
          </cell>
          <cell r="AC110">
            <v>3285</v>
          </cell>
          <cell r="AD110">
            <v>3285</v>
          </cell>
          <cell r="AE110">
            <v>3285</v>
          </cell>
          <cell r="AF110">
            <v>3294</v>
          </cell>
          <cell r="CU110">
            <v>785</v>
          </cell>
          <cell r="CV110">
            <v>926</v>
          </cell>
          <cell r="CW110">
            <v>924</v>
          </cell>
          <cell r="CX110">
            <v>868</v>
          </cell>
          <cell r="CY110">
            <v>861</v>
          </cell>
          <cell r="CZ110">
            <v>842</v>
          </cell>
          <cell r="DA110">
            <v>994</v>
          </cell>
          <cell r="DB110">
            <v>913</v>
          </cell>
          <cell r="DC110">
            <v>997</v>
          </cell>
          <cell r="DD110">
            <v>999</v>
          </cell>
          <cell r="DE110">
            <v>926</v>
          </cell>
          <cell r="DF110">
            <v>807</v>
          </cell>
          <cell r="DG110">
            <v>947</v>
          </cell>
          <cell r="DH110">
            <v>930</v>
          </cell>
          <cell r="DI110">
            <v>802</v>
          </cell>
          <cell r="DJ110">
            <v>883</v>
          </cell>
          <cell r="DK110">
            <v>912</v>
          </cell>
          <cell r="DL110">
            <v>991</v>
          </cell>
          <cell r="DM110">
            <v>984</v>
          </cell>
          <cell r="DN110">
            <v>930</v>
          </cell>
          <cell r="DO110">
            <v>989</v>
          </cell>
          <cell r="DT110">
            <v>819</v>
          </cell>
        </row>
        <row r="111">
          <cell r="B111" t="str">
            <v>per day</v>
          </cell>
          <cell r="U111">
            <v>9.5972602739726032</v>
          </cell>
          <cell r="V111">
            <v>9.8904109589041092</v>
          </cell>
          <cell r="W111">
            <v>10.216438356164383</v>
          </cell>
          <cell r="X111">
            <v>9.7322404371584703</v>
          </cell>
          <cell r="Y111">
            <v>7.9095890410958907</v>
          </cell>
          <cell r="Z111">
            <v>0</v>
          </cell>
          <cell r="AA111">
            <v>9</v>
          </cell>
          <cell r="AB111">
            <v>9</v>
          </cell>
          <cell r="AC111">
            <v>9</v>
          </cell>
          <cell r="AD111">
            <v>9</v>
          </cell>
          <cell r="AE111">
            <v>9</v>
          </cell>
          <cell r="AF111">
            <v>9</v>
          </cell>
          <cell r="CU111">
            <v>8.7222222222222214</v>
          </cell>
          <cell r="CV111">
            <v>10.175824175824175</v>
          </cell>
          <cell r="CW111">
            <v>10.043478260869565</v>
          </cell>
          <cell r="CX111">
            <v>9.4347826086956523</v>
          </cell>
          <cell r="CY111">
            <v>9.5666666666666664</v>
          </cell>
          <cell r="CZ111">
            <v>9.2527472527472536</v>
          </cell>
          <cell r="DA111">
            <v>10.804347826086957</v>
          </cell>
          <cell r="DB111">
            <v>9.9239130434782616</v>
          </cell>
          <cell r="DC111">
            <v>11.077777777777778</v>
          </cell>
          <cell r="DD111">
            <v>10.978021978021978</v>
          </cell>
          <cell r="DE111">
            <v>10.065217391304348</v>
          </cell>
          <cell r="DF111">
            <v>8.7717391304347831</v>
          </cell>
          <cell r="DG111">
            <v>10.406593406593407</v>
          </cell>
          <cell r="DH111">
            <v>10.219780219780219</v>
          </cell>
          <cell r="DI111">
            <v>8.7173913043478262</v>
          </cell>
          <cell r="DJ111">
            <v>9.5978260869565215</v>
          </cell>
          <cell r="DK111">
            <v>10.133333333333333</v>
          </cell>
          <cell r="DL111">
            <v>10.890109890109891</v>
          </cell>
          <cell r="DM111">
            <v>10.695652173913043</v>
          </cell>
          <cell r="DN111">
            <v>10.108695652173912</v>
          </cell>
          <cell r="DO111">
            <v>10.988888888888889</v>
          </cell>
          <cell r="DT111">
            <v>9</v>
          </cell>
        </row>
        <row r="112">
          <cell r="B112" t="str">
            <v>growth</v>
          </cell>
          <cell r="V112">
            <v>3.0545246931201753E-2</v>
          </cell>
          <cell r="W112">
            <v>3.2963988919667564E-2</v>
          </cell>
          <cell r="X112">
            <v>-4.7394003871589763E-2</v>
          </cell>
          <cell r="Y112">
            <v>-0.18727973356510508</v>
          </cell>
          <cell r="Z112">
            <v>-1</v>
          </cell>
          <cell r="AA112" t="str">
            <v>NM</v>
          </cell>
          <cell r="AB112">
            <v>0</v>
          </cell>
          <cell r="AC112">
            <v>0</v>
          </cell>
          <cell r="AD112">
            <v>0</v>
          </cell>
          <cell r="AE112">
            <v>0</v>
          </cell>
          <cell r="AF112">
            <v>0</v>
          </cell>
          <cell r="CY112">
            <v>9.68152866242038E-2</v>
          </cell>
          <cell r="CZ112">
            <v>-9.0712742980561423E-2</v>
          </cell>
          <cell r="DA112">
            <v>7.5757575757575912E-2</v>
          </cell>
          <cell r="DB112">
            <v>5.1843317972350311E-2</v>
          </cell>
          <cell r="DC112">
            <v>0.15795586527293848</v>
          </cell>
          <cell r="DD112">
            <v>0.18646080760094996</v>
          </cell>
          <cell r="DE112">
            <v>-6.8410462776659964E-2</v>
          </cell>
          <cell r="DF112">
            <v>-0.11610076670317637</v>
          </cell>
          <cell r="DG112">
            <v>-6.0588358482039473E-2</v>
          </cell>
          <cell r="DH112">
            <v>-6.9069069069069178E-2</v>
          </cell>
          <cell r="DI112">
            <v>-0.13390928725701945</v>
          </cell>
          <cell r="DJ112">
            <v>9.4175960346964072E-2</v>
          </cell>
          <cell r="DK112">
            <v>-2.625835973248869E-2</v>
          </cell>
          <cell r="DL112">
            <v>6.5591397849462441E-2</v>
          </cell>
          <cell r="DM112">
            <v>0.22693266832917702</v>
          </cell>
          <cell r="DN112">
            <v>5.3227633069082625E-2</v>
          </cell>
          <cell r="DO112">
            <v>8.4429824561403466E-2</v>
          </cell>
          <cell r="DT112">
            <v>-0.11935483870967734</v>
          </cell>
        </row>
        <row r="113">
          <cell r="B113" t="str">
            <v>Propylene</v>
          </cell>
          <cell r="U113">
            <v>2149</v>
          </cell>
          <cell r="V113">
            <v>2233</v>
          </cell>
          <cell r="W113">
            <v>2286</v>
          </cell>
          <cell r="X113">
            <v>2134</v>
          </cell>
          <cell r="Y113">
            <v>1784</v>
          </cell>
          <cell r="Z113">
            <v>0</v>
          </cell>
          <cell r="AA113">
            <v>2190</v>
          </cell>
          <cell r="AB113">
            <v>2196</v>
          </cell>
          <cell r="AC113">
            <v>2190</v>
          </cell>
          <cell r="AD113">
            <v>2190</v>
          </cell>
          <cell r="AE113">
            <v>2190</v>
          </cell>
          <cell r="AF113">
            <v>2196</v>
          </cell>
          <cell r="CU113">
            <v>467</v>
          </cell>
          <cell r="CV113">
            <v>567</v>
          </cell>
          <cell r="CW113">
            <v>586</v>
          </cell>
          <cell r="CX113">
            <v>529</v>
          </cell>
          <cell r="CY113">
            <v>509</v>
          </cell>
          <cell r="CZ113">
            <v>540</v>
          </cell>
          <cell r="DA113">
            <v>624</v>
          </cell>
          <cell r="DB113">
            <v>560</v>
          </cell>
          <cell r="DC113">
            <v>608</v>
          </cell>
          <cell r="DD113">
            <v>631</v>
          </cell>
          <cell r="DE113">
            <v>560</v>
          </cell>
          <cell r="DF113">
            <v>487</v>
          </cell>
          <cell r="DG113">
            <v>577</v>
          </cell>
          <cell r="DH113">
            <v>562</v>
          </cell>
          <cell r="DI113">
            <v>493</v>
          </cell>
          <cell r="DJ113">
            <v>502</v>
          </cell>
          <cell r="DK113">
            <v>577</v>
          </cell>
          <cell r="DL113">
            <v>610</v>
          </cell>
          <cell r="DM113">
            <v>597</v>
          </cell>
          <cell r="DN113">
            <v>568</v>
          </cell>
          <cell r="DO113">
            <v>582</v>
          </cell>
          <cell r="DT113">
            <v>546</v>
          </cell>
        </row>
        <row r="114">
          <cell r="B114" t="str">
            <v>per day</v>
          </cell>
          <cell r="U114">
            <v>5.8876712328767127</v>
          </cell>
          <cell r="V114">
            <v>6.117808219178082</v>
          </cell>
          <cell r="W114">
            <v>6.2630136986301368</v>
          </cell>
          <cell r="X114">
            <v>5.8306010928961749</v>
          </cell>
          <cell r="Y114">
            <v>6</v>
          </cell>
          <cell r="Z114">
            <v>6</v>
          </cell>
          <cell r="AA114">
            <v>6</v>
          </cell>
          <cell r="AB114">
            <v>6</v>
          </cell>
          <cell r="AC114">
            <v>6</v>
          </cell>
          <cell r="AD114">
            <v>6</v>
          </cell>
          <cell r="AE114">
            <v>6</v>
          </cell>
          <cell r="AF114">
            <v>6</v>
          </cell>
          <cell r="CU114">
            <v>5.1888888888888891</v>
          </cell>
          <cell r="CV114">
            <v>6.2307692307692308</v>
          </cell>
          <cell r="CW114">
            <v>6.3695652173913047</v>
          </cell>
          <cell r="CX114">
            <v>5.75</v>
          </cell>
          <cell r="CY114">
            <v>5.6555555555555559</v>
          </cell>
          <cell r="CZ114">
            <v>5.9340659340659343</v>
          </cell>
          <cell r="DA114">
            <v>6.7826086956521738</v>
          </cell>
          <cell r="DB114">
            <v>6.0869565217391308</v>
          </cell>
          <cell r="DC114">
            <v>6.7555555555555555</v>
          </cell>
          <cell r="DD114">
            <v>6.9340659340659343</v>
          </cell>
          <cell r="DE114">
            <v>6.0869565217391308</v>
          </cell>
          <cell r="DF114">
            <v>5.2934782608695654</v>
          </cell>
          <cell r="DG114">
            <v>6.3406593406593403</v>
          </cell>
          <cell r="DH114">
            <v>6.1758241758241761</v>
          </cell>
          <cell r="DI114">
            <v>5.3586956521739131</v>
          </cell>
          <cell r="DJ114">
            <v>5.4565217391304346</v>
          </cell>
          <cell r="DK114">
            <v>6.4111111111111114</v>
          </cell>
          <cell r="DL114">
            <v>6.7032967032967035</v>
          </cell>
          <cell r="DM114">
            <v>6.4891304347826084</v>
          </cell>
          <cell r="DN114">
            <v>6.1739130434782608</v>
          </cell>
          <cell r="DO114">
            <v>6.4666666666666668</v>
          </cell>
          <cell r="DT114">
            <v>6</v>
          </cell>
        </row>
        <row r="115">
          <cell r="B115" t="str">
            <v>growth</v>
          </cell>
          <cell r="V115">
            <v>3.9087947882736174E-2</v>
          </cell>
          <cell r="W115">
            <v>2.3734885803851302E-2</v>
          </cell>
          <cell r="X115">
            <v>-6.9042257695930087E-2</v>
          </cell>
          <cell r="Y115">
            <v>2.9053420805998043E-2</v>
          </cell>
          <cell r="Z115">
            <v>0</v>
          </cell>
          <cell r="AA115">
            <v>0</v>
          </cell>
          <cell r="AB115">
            <v>0</v>
          </cell>
          <cell r="AC115">
            <v>0</v>
          </cell>
          <cell r="AD115">
            <v>0</v>
          </cell>
          <cell r="AE115">
            <v>0</v>
          </cell>
          <cell r="AF115">
            <v>0</v>
          </cell>
          <cell r="CY115">
            <v>8.9935760171306223E-2</v>
          </cell>
          <cell r="CZ115">
            <v>-4.7619047619047561E-2</v>
          </cell>
          <cell r="DA115">
            <v>6.4846416382252414E-2</v>
          </cell>
          <cell r="DB115">
            <v>5.8601134215501061E-2</v>
          </cell>
          <cell r="DC115">
            <v>0.19449901768172873</v>
          </cell>
          <cell r="DD115">
            <v>0.16851851851851851</v>
          </cell>
          <cell r="DE115">
            <v>-0.10256410256410253</v>
          </cell>
          <cell r="DF115">
            <v>-0.13035714285714284</v>
          </cell>
          <cell r="DG115">
            <v>-6.1415558126084457E-2</v>
          </cell>
          <cell r="DH115">
            <v>-0.10935023771790808</v>
          </cell>
          <cell r="DI115">
            <v>-0.11964285714285716</v>
          </cell>
          <cell r="DJ115">
            <v>3.0800821355235986E-2</v>
          </cell>
          <cell r="DK115">
            <v>1.1111111111111294E-2</v>
          </cell>
          <cell r="DL115">
            <v>8.5409252669039093E-2</v>
          </cell>
          <cell r="DM115">
            <v>0.21095334685598366</v>
          </cell>
          <cell r="DN115">
            <v>0.13147410358565748</v>
          </cell>
          <cell r="DO115">
            <v>8.6655112651645716E-3</v>
          </cell>
          <cell r="DT115">
            <v>-2.8469750889679735E-2</v>
          </cell>
        </row>
        <row r="117">
          <cell r="B117" t="str">
            <v>Sales Volumes (mn pounds)</v>
          </cell>
          <cell r="DL117">
            <v>3135</v>
          </cell>
          <cell r="DM117">
            <v>2824</v>
          </cell>
        </row>
        <row r="118">
          <cell r="B118" t="str">
            <v>Polyethylene</v>
          </cell>
          <cell r="U118">
            <v>5027</v>
          </cell>
          <cell r="V118">
            <v>5185</v>
          </cell>
          <cell r="W118">
            <v>5152</v>
          </cell>
          <cell r="X118">
            <v>4963</v>
          </cell>
          <cell r="Y118">
            <v>4984</v>
          </cell>
          <cell r="Z118">
            <v>4927.5</v>
          </cell>
          <cell r="AA118">
            <v>4927.5</v>
          </cell>
          <cell r="AB118">
            <v>4941</v>
          </cell>
          <cell r="AC118">
            <v>4927.5</v>
          </cell>
          <cell r="AD118">
            <v>4927.5</v>
          </cell>
          <cell r="AE118">
            <v>4927.5</v>
          </cell>
          <cell r="AF118">
            <v>4941</v>
          </cell>
          <cell r="CU118">
            <v>1117</v>
          </cell>
          <cell r="CV118">
            <v>1234</v>
          </cell>
          <cell r="CW118">
            <v>1260</v>
          </cell>
          <cell r="CX118">
            <v>1416</v>
          </cell>
          <cell r="CY118">
            <v>1364</v>
          </cell>
          <cell r="CZ118">
            <v>1230</v>
          </cell>
          <cell r="DA118">
            <v>1316</v>
          </cell>
          <cell r="DB118">
            <v>1275</v>
          </cell>
          <cell r="DC118">
            <v>1314</v>
          </cell>
          <cell r="DD118">
            <v>1279</v>
          </cell>
          <cell r="DE118">
            <v>1349</v>
          </cell>
          <cell r="DF118">
            <v>1210</v>
          </cell>
          <cell r="DG118">
            <v>1316</v>
          </cell>
          <cell r="DH118">
            <v>1137</v>
          </cell>
          <cell r="DI118">
            <v>1253</v>
          </cell>
          <cell r="DJ118">
            <v>1257</v>
          </cell>
          <cell r="DK118">
            <v>1216</v>
          </cell>
          <cell r="DL118">
            <v>1314</v>
          </cell>
          <cell r="DM118">
            <v>1212</v>
          </cell>
          <cell r="DN118">
            <v>1242</v>
          </cell>
          <cell r="DO118">
            <v>1215</v>
          </cell>
          <cell r="DP118">
            <v>1228.5</v>
          </cell>
          <cell r="DQ118">
            <v>1242</v>
          </cell>
          <cell r="DR118">
            <v>1242</v>
          </cell>
          <cell r="DT118">
            <v>1228.5</v>
          </cell>
        </row>
        <row r="119">
          <cell r="B119" t="str">
            <v>per day</v>
          </cell>
          <cell r="U119">
            <v>13.772602739726027</v>
          </cell>
          <cell r="V119">
            <v>14.205479452054794</v>
          </cell>
          <cell r="W119">
            <v>14.115068493150686</v>
          </cell>
          <cell r="X119">
            <v>13.560109289617486</v>
          </cell>
          <cell r="Y119">
            <v>13.654794520547945</v>
          </cell>
          <cell r="Z119">
            <v>13.5</v>
          </cell>
          <cell r="AA119">
            <v>13.5</v>
          </cell>
          <cell r="AB119">
            <v>13.5</v>
          </cell>
          <cell r="AC119">
            <v>13.5</v>
          </cell>
          <cell r="AD119">
            <v>13.5</v>
          </cell>
          <cell r="AE119">
            <v>13.5</v>
          </cell>
          <cell r="AF119">
            <v>13.5</v>
          </cell>
          <cell r="CU119">
            <v>12.411111111111111</v>
          </cell>
          <cell r="CV119">
            <v>13.56043956043956</v>
          </cell>
          <cell r="CW119">
            <v>13.695652173913043</v>
          </cell>
          <cell r="CX119">
            <v>15.391304347826088</v>
          </cell>
          <cell r="CY119">
            <v>15.155555555555555</v>
          </cell>
          <cell r="CZ119">
            <v>13.516483516483516</v>
          </cell>
          <cell r="DA119">
            <v>14.304347826086957</v>
          </cell>
          <cell r="DB119">
            <v>13.858695652173912</v>
          </cell>
          <cell r="DC119">
            <v>14.6</v>
          </cell>
          <cell r="DD119">
            <v>14.054945054945055</v>
          </cell>
          <cell r="DE119">
            <v>14.663043478260869</v>
          </cell>
          <cell r="DF119">
            <v>13.152173913043478</v>
          </cell>
          <cell r="DG119">
            <v>14.461538461538462</v>
          </cell>
          <cell r="DH119">
            <v>12.494505494505495</v>
          </cell>
          <cell r="DI119">
            <v>13.619565217391305</v>
          </cell>
          <cell r="DJ119">
            <v>13.663043478260869</v>
          </cell>
          <cell r="DK119">
            <v>13.511111111111111</v>
          </cell>
          <cell r="DL119">
            <v>14.43956043956044</v>
          </cell>
          <cell r="DM119">
            <v>13.173913043478262</v>
          </cell>
          <cell r="DN119">
            <v>13.5</v>
          </cell>
          <cell r="DO119">
            <v>13.5</v>
          </cell>
          <cell r="DP119">
            <v>13.5</v>
          </cell>
          <cell r="DQ119">
            <v>13.5</v>
          </cell>
          <cell r="DR119">
            <v>13.5</v>
          </cell>
          <cell r="DT119">
            <v>13.5</v>
          </cell>
        </row>
        <row r="120">
          <cell r="B120" t="str">
            <v>growth</v>
          </cell>
          <cell r="V120">
            <v>3.1430276506863031E-2</v>
          </cell>
          <cell r="W120">
            <v>-6.3645130183219711E-3</v>
          </cell>
          <cell r="X120">
            <v>-3.9316791399382378E-2</v>
          </cell>
          <cell r="Y120">
            <v>6.9826303688389491E-3</v>
          </cell>
          <cell r="Z120">
            <v>-1.1336276083467101E-2</v>
          </cell>
          <cell r="AA120">
            <v>0</v>
          </cell>
          <cell r="AB120">
            <v>0</v>
          </cell>
          <cell r="AC120">
            <v>0</v>
          </cell>
          <cell r="AD120">
            <v>0</v>
          </cell>
          <cell r="AE120">
            <v>0</v>
          </cell>
          <cell r="AF120">
            <v>0</v>
          </cell>
          <cell r="CY120">
            <v>0.22112802148612354</v>
          </cell>
          <cell r="CZ120">
            <v>-3.2414910858995505E-3</v>
          </cell>
          <cell r="DA120">
            <v>4.4444444444444509E-2</v>
          </cell>
          <cell r="DB120">
            <v>-9.9576271186440746E-2</v>
          </cell>
          <cell r="DC120">
            <v>-3.665689149560114E-2</v>
          </cell>
          <cell r="DD120">
            <v>3.9837398373983701E-2</v>
          </cell>
          <cell r="DE120">
            <v>2.5075987841945313E-2</v>
          </cell>
          <cell r="DF120">
            <v>-5.0980392156862675E-2</v>
          </cell>
          <cell r="DG120">
            <v>-9.4836670179135885E-3</v>
          </cell>
          <cell r="DH120">
            <v>-0.11102423768569192</v>
          </cell>
          <cell r="DI120">
            <v>-7.1163825055596708E-2</v>
          </cell>
          <cell r="DJ120">
            <v>3.8842975206611507E-2</v>
          </cell>
          <cell r="DK120">
            <v>-6.5721040189125279E-2</v>
          </cell>
          <cell r="DL120">
            <v>0.15567282321899745</v>
          </cell>
          <cell r="DM120">
            <v>-3.2721468475658377E-2</v>
          </cell>
          <cell r="DN120">
            <v>-1.1933174224343701E-2</v>
          </cell>
          <cell r="DO120">
            <v>-8.2236842105265495E-4</v>
          </cell>
          <cell r="DP120">
            <v>-6.506849315068497E-2</v>
          </cell>
          <cell r="DQ120">
            <v>2.4752475247524774E-2</v>
          </cell>
          <cell r="DR120">
            <v>0</v>
          </cell>
          <cell r="DT120">
            <v>8.0474934036939283E-2</v>
          </cell>
        </row>
        <row r="121">
          <cell r="B121" t="str">
            <v>Polypropylene</v>
          </cell>
          <cell r="U121">
            <v>6858</v>
          </cell>
          <cell r="V121">
            <v>7074</v>
          </cell>
          <cell r="W121">
            <v>6624</v>
          </cell>
          <cell r="X121">
            <v>6314</v>
          </cell>
          <cell r="Y121">
            <v>6765</v>
          </cell>
          <cell r="Z121">
            <v>6935</v>
          </cell>
          <cell r="AA121">
            <v>6935</v>
          </cell>
          <cell r="AB121">
            <v>6954</v>
          </cell>
          <cell r="AC121">
            <v>6935</v>
          </cell>
          <cell r="AD121">
            <v>6935</v>
          </cell>
          <cell r="AE121">
            <v>6935</v>
          </cell>
          <cell r="AF121">
            <v>6954</v>
          </cell>
          <cell r="CU121">
            <v>1591</v>
          </cell>
          <cell r="CV121">
            <v>1749</v>
          </cell>
          <cell r="CW121">
            <v>1505</v>
          </cell>
          <cell r="CX121">
            <v>2013</v>
          </cell>
          <cell r="CY121">
            <v>1590</v>
          </cell>
          <cell r="CZ121">
            <v>1763</v>
          </cell>
          <cell r="DA121">
            <v>1889</v>
          </cell>
          <cell r="DB121">
            <v>1832</v>
          </cell>
          <cell r="DC121">
            <v>1704</v>
          </cell>
          <cell r="DD121">
            <v>1631</v>
          </cell>
          <cell r="DE121">
            <v>1638</v>
          </cell>
          <cell r="DF121">
            <v>1651</v>
          </cell>
          <cell r="DG121">
            <v>1659</v>
          </cell>
          <cell r="DH121">
            <v>1448</v>
          </cell>
          <cell r="DI121">
            <v>1633</v>
          </cell>
          <cell r="DJ121">
            <v>1574</v>
          </cell>
          <cell r="DK121">
            <v>1584</v>
          </cell>
          <cell r="DL121">
            <v>1821</v>
          </cell>
          <cell r="DM121">
            <v>1612</v>
          </cell>
          <cell r="DN121">
            <v>1748</v>
          </cell>
          <cell r="DO121">
            <v>1710</v>
          </cell>
          <cell r="DP121">
            <v>1729</v>
          </cell>
          <cell r="DQ121">
            <v>1748</v>
          </cell>
          <cell r="DR121">
            <v>1748</v>
          </cell>
          <cell r="DT121">
            <v>1729</v>
          </cell>
        </row>
        <row r="122">
          <cell r="B122" t="str">
            <v>per day</v>
          </cell>
          <cell r="U122">
            <v>18.789041095890411</v>
          </cell>
          <cell r="V122">
            <v>19.38082191780822</v>
          </cell>
          <cell r="W122">
            <v>18.147945205479452</v>
          </cell>
          <cell r="X122">
            <v>17.251366120218581</v>
          </cell>
          <cell r="Y122">
            <v>18.534246575342465</v>
          </cell>
          <cell r="Z122">
            <v>19</v>
          </cell>
          <cell r="AA122">
            <v>19</v>
          </cell>
          <cell r="AB122">
            <v>19</v>
          </cell>
          <cell r="AC122">
            <v>19</v>
          </cell>
          <cell r="AD122">
            <v>19</v>
          </cell>
          <cell r="AE122">
            <v>19</v>
          </cell>
          <cell r="AF122">
            <v>19</v>
          </cell>
          <cell r="CU122">
            <v>17.677777777777777</v>
          </cell>
          <cell r="CV122">
            <v>19.219780219780219</v>
          </cell>
          <cell r="CW122">
            <v>16.358695652173914</v>
          </cell>
          <cell r="CX122">
            <v>21.880434782608695</v>
          </cell>
          <cell r="CY122">
            <v>17.666666666666668</v>
          </cell>
          <cell r="CZ122">
            <v>19.373626373626372</v>
          </cell>
          <cell r="DA122">
            <v>20.532608695652176</v>
          </cell>
          <cell r="DB122">
            <v>19.913043478260871</v>
          </cell>
          <cell r="DC122">
            <v>18.933333333333334</v>
          </cell>
          <cell r="DD122">
            <v>17.923076923076923</v>
          </cell>
          <cell r="DE122">
            <v>17.804347826086957</v>
          </cell>
          <cell r="DF122">
            <v>17.945652173913043</v>
          </cell>
          <cell r="DG122">
            <v>18.23076923076923</v>
          </cell>
          <cell r="DH122">
            <v>15.912087912087912</v>
          </cell>
          <cell r="DI122">
            <v>17.75</v>
          </cell>
          <cell r="DJ122">
            <v>17.108695652173914</v>
          </cell>
          <cell r="DK122">
            <v>17.600000000000001</v>
          </cell>
          <cell r="DL122">
            <v>20.010989010989011</v>
          </cell>
          <cell r="DM122">
            <v>17.521739130434781</v>
          </cell>
          <cell r="DN122">
            <v>19</v>
          </cell>
          <cell r="DO122">
            <v>19</v>
          </cell>
          <cell r="DP122">
            <v>19</v>
          </cell>
          <cell r="DQ122">
            <v>19</v>
          </cell>
          <cell r="DR122">
            <v>19</v>
          </cell>
          <cell r="DT122">
            <v>19</v>
          </cell>
        </row>
        <row r="123">
          <cell r="B123" t="str">
            <v>growth</v>
          </cell>
          <cell r="V123">
            <v>3.1496062992125928E-2</v>
          </cell>
          <cell r="W123">
            <v>-6.3613231552162919E-2</v>
          </cell>
          <cell r="X123">
            <v>-4.9403889812834834E-2</v>
          </cell>
          <cell r="Y123">
            <v>7.4363992172211235E-2</v>
          </cell>
          <cell r="Z123">
            <v>2.512934220251295E-2</v>
          </cell>
          <cell r="AA123">
            <v>0</v>
          </cell>
          <cell r="AB123">
            <v>0</v>
          </cell>
          <cell r="AC123">
            <v>0</v>
          </cell>
          <cell r="AD123">
            <v>0</v>
          </cell>
          <cell r="AE123">
            <v>0</v>
          </cell>
          <cell r="AF123">
            <v>0</v>
          </cell>
          <cell r="CY123">
            <v>-6.2853551225638959E-4</v>
          </cell>
          <cell r="CZ123">
            <v>8.0045740423098088E-3</v>
          </cell>
          <cell r="DA123">
            <v>0.2551495016611296</v>
          </cell>
          <cell r="DB123">
            <v>-8.9915548931942313E-2</v>
          </cell>
          <cell r="DC123">
            <v>7.1698113207547154E-2</v>
          </cell>
          <cell r="DD123">
            <v>-7.4872376630742976E-2</v>
          </cell>
          <cell r="DE123">
            <v>-0.13287453679195349</v>
          </cell>
          <cell r="DF123">
            <v>-9.8799126637554635E-2</v>
          </cell>
          <cell r="DG123">
            <v>-3.7107258938244958E-2</v>
          </cell>
          <cell r="DH123">
            <v>-0.11220110361741265</v>
          </cell>
          <cell r="DI123">
            <v>-3.0525030525030417E-3</v>
          </cell>
          <cell r="DJ123">
            <v>-4.6638400969109539E-2</v>
          </cell>
          <cell r="DK123">
            <v>-3.4599156118143348E-2</v>
          </cell>
          <cell r="DL123">
            <v>0.25759668508287281</v>
          </cell>
          <cell r="DM123">
            <v>-1.2859767299448932E-2</v>
          </cell>
          <cell r="DN123">
            <v>0.11054637865311312</v>
          </cell>
          <cell r="DO123">
            <v>7.9545454545454364E-2</v>
          </cell>
          <cell r="DP123">
            <v>-5.0521691378363487E-2</v>
          </cell>
          <cell r="DQ123">
            <v>8.4367245657568368E-2</v>
          </cell>
          <cell r="DR123">
            <v>0</v>
          </cell>
          <cell r="DT123">
            <v>0.19406077348066297</v>
          </cell>
        </row>
        <row r="129">
          <cell r="B129" t="str">
            <v>Crude oil - dollars / barrel</v>
          </cell>
          <cell r="CU129">
            <v>56.29</v>
          </cell>
          <cell r="CY129">
            <v>77.790000000000006</v>
          </cell>
        </row>
        <row r="131">
          <cell r="B131" t="str">
            <v>CMAI avg. cost of ethylene (cents/pound)</v>
          </cell>
          <cell r="N131">
            <v>14.378507707288847</v>
          </cell>
          <cell r="O131">
            <v>15.917187526029586</v>
          </cell>
          <cell r="P131">
            <v>19.734084164179233</v>
          </cell>
          <cell r="Q131">
            <v>25.240253288035902</v>
          </cell>
          <cell r="R131">
            <v>29.923530253294174</v>
          </cell>
          <cell r="S131">
            <v>37.179424386020315</v>
          </cell>
          <cell r="T131">
            <v>42.735333693225613</v>
          </cell>
          <cell r="U131">
            <v>33.263151727500002</v>
          </cell>
          <cell r="V131">
            <v>39.301013374999997</v>
          </cell>
          <cell r="W131">
            <v>50.396631033333335</v>
          </cell>
          <cell r="Y131">
            <v>40.15467282105633</v>
          </cell>
          <cell r="Z131">
            <v>40.574155045184099</v>
          </cell>
          <cell r="AA131">
            <v>40.574155045184099</v>
          </cell>
          <cell r="AB131">
            <v>40.574155045184099</v>
          </cell>
          <cell r="AC131">
            <v>40.574155045184099</v>
          </cell>
          <cell r="AD131">
            <v>40.574155045184099</v>
          </cell>
          <cell r="AE131">
            <v>40.574155045184099</v>
          </cell>
          <cell r="AF131">
            <v>40.574155045184099</v>
          </cell>
          <cell r="BK131">
            <v>18.403406686749253</v>
          </cell>
          <cell r="BL131">
            <v>13.406814571587164</v>
          </cell>
          <cell r="BM131">
            <v>15.644370614927888</v>
          </cell>
          <cell r="BN131">
            <v>16.624629086556926</v>
          </cell>
          <cell r="BO131">
            <v>15.85034691031762</v>
          </cell>
          <cell r="BP131">
            <v>17.842706037976395</v>
          </cell>
          <cell r="BQ131">
            <v>13.965625252150108</v>
          </cell>
          <cell r="BR131">
            <v>10.328268034069856</v>
          </cell>
          <cell r="BS131">
            <v>15.11584478496067</v>
          </cell>
          <cell r="BT131">
            <v>13.762370510982661</v>
          </cell>
          <cell r="BU131">
            <v>13.649048017115964</v>
          </cell>
          <cell r="BV131">
            <v>14.986767516096098</v>
          </cell>
          <cell r="BW131">
            <v>20.216808504547291</v>
          </cell>
          <cell r="BX131">
            <v>7.3956421621039157</v>
          </cell>
          <cell r="BY131">
            <v>16.708815830499521</v>
          </cell>
          <cell r="BZ131">
            <v>19.347483606967618</v>
          </cell>
          <cell r="CA131">
            <v>19.86250750404318</v>
          </cell>
          <cell r="CB131">
            <v>19.444507014991977</v>
          </cell>
          <cell r="CC131">
            <v>19.265564824876922</v>
          </cell>
          <cell r="CD131">
            <v>20.363757312804854</v>
          </cell>
          <cell r="CE131">
            <v>19.91541149417521</v>
          </cell>
          <cell r="CF131">
            <v>20.484685038748264</v>
          </cell>
          <cell r="CG131">
            <v>32.045544980089751</v>
          </cell>
          <cell r="CH131">
            <v>28.51537163913039</v>
          </cell>
          <cell r="CI131">
            <v>30.911896688543759</v>
          </cell>
          <cell r="CJ131">
            <v>33.948198656632968</v>
          </cell>
          <cell r="CK131">
            <v>31.174965143618699</v>
          </cell>
          <cell r="CL131">
            <v>23.65906052438126</v>
          </cell>
          <cell r="CM131">
            <v>27.830447159856014</v>
          </cell>
          <cell r="CN131">
            <v>35.772259895134951</v>
          </cell>
          <cell r="CO131">
            <v>36.501485229249795</v>
          </cell>
          <cell r="CP131">
            <v>48.613505259840494</v>
          </cell>
          <cell r="CQ131">
            <v>48.466616930565657</v>
          </cell>
          <cell r="CR131">
            <v>61.357787695504406</v>
          </cell>
          <cell r="CS131">
            <v>54.261168743700892</v>
          </cell>
          <cell r="CT131">
            <v>6.8557614031315106</v>
          </cell>
          <cell r="CU131">
            <v>28.82723811</v>
          </cell>
          <cell r="CV131">
            <v>31.7515158</v>
          </cell>
          <cell r="CW131">
            <v>32.607191999999998</v>
          </cell>
          <cell r="CX131">
            <v>39.866661000000001</v>
          </cell>
          <cell r="CY131">
            <v>39.714973899999997</v>
          </cell>
          <cell r="CZ131">
            <v>34.739823300000005</v>
          </cell>
          <cell r="DA131">
            <v>34.264764999999997</v>
          </cell>
          <cell r="DB131">
            <v>48.484491300000002</v>
          </cell>
          <cell r="DC131">
            <v>47.520886600000004</v>
          </cell>
          <cell r="DD131">
            <v>50.97451319999999</v>
          </cell>
          <cell r="DE131">
            <v>52.694493299999991</v>
          </cell>
        </row>
        <row r="132">
          <cell r="B132" t="str">
            <v>Relative to North America</v>
          </cell>
          <cell r="N132">
            <v>0.94094536479304891</v>
          </cell>
          <cell r="O132">
            <v>0.78366682659109954</v>
          </cell>
          <cell r="P132">
            <v>0.83333278191705273</v>
          </cell>
          <cell r="Q132">
            <v>0.85342244510186061</v>
          </cell>
          <cell r="R132">
            <v>0.96427719440775017</v>
          </cell>
          <cell r="S132">
            <v>0.98014049564084638</v>
          </cell>
          <cell r="T132">
            <v>0.94159554106840271</v>
          </cell>
          <cell r="U132">
            <v>1.2695859437977099</v>
          </cell>
          <cell r="V132">
            <v>1.3067668620116375</v>
          </cell>
          <cell r="W132">
            <v>1.416630527992504</v>
          </cell>
          <cell r="Y132">
            <v>1.1294313509705605</v>
          </cell>
          <cell r="Z132">
            <v>1.0982015656683837</v>
          </cell>
          <cell r="AA132">
            <v>1.0982015656683837</v>
          </cell>
          <cell r="AB132">
            <v>1.0982015656683837</v>
          </cell>
          <cell r="AC132">
            <v>1.0982015656683837</v>
          </cell>
          <cell r="AD132">
            <v>1.0982015656683837</v>
          </cell>
          <cell r="AE132">
            <v>1.0982015656683837</v>
          </cell>
          <cell r="AF132">
            <v>1.0982015656683837</v>
          </cell>
          <cell r="BK132">
            <v>0.87868190378062105</v>
          </cell>
          <cell r="BL132">
            <v>0.79386632944026303</v>
          </cell>
          <cell r="BM132">
            <v>0.7803586759021609</v>
          </cell>
          <cell r="BN132">
            <v>0.68031492647211533</v>
          </cell>
          <cell r="BO132">
            <v>0.68407936486243703</v>
          </cell>
          <cell r="BP132">
            <v>0.93178265381881009</v>
          </cell>
          <cell r="BQ132">
            <v>0.84512104400303234</v>
          </cell>
          <cell r="BR132">
            <v>0.78013959015559009</v>
          </cell>
          <cell r="BS132">
            <v>1.113014121563999</v>
          </cell>
          <cell r="BT132">
            <v>0.93596099775453367</v>
          </cell>
          <cell r="BU132">
            <v>0.92515011412896286</v>
          </cell>
          <cell r="BV132">
            <v>0.82866968719198408</v>
          </cell>
          <cell r="BW132">
            <v>0.87983325374476862</v>
          </cell>
          <cell r="BX132">
            <v>0.41802182693329842</v>
          </cell>
          <cell r="BY132">
            <v>0.87370925698073221</v>
          </cell>
          <cell r="BZ132">
            <v>0.9019525550239752</v>
          </cell>
          <cell r="CA132">
            <v>0.89233602156625091</v>
          </cell>
          <cell r="CB132">
            <v>0.92955861052643529</v>
          </cell>
          <cell r="CC132">
            <v>0.77954053673532908</v>
          </cell>
          <cell r="CD132">
            <v>0.75891664312671825</v>
          </cell>
          <cell r="CE132">
            <v>0.84492355586782475</v>
          </cell>
          <cell r="CF132">
            <v>0.78867128394456931</v>
          </cell>
          <cell r="CG132">
            <v>0.93925625711031568</v>
          </cell>
          <cell r="CH132">
            <v>0.82321578680476881</v>
          </cell>
          <cell r="CI132">
            <v>1.0476123187224644</v>
          </cell>
          <cell r="CJ132">
            <v>1.0519179901454159</v>
          </cell>
          <cell r="CK132">
            <v>0.92714570088284498</v>
          </cell>
          <cell r="CL132">
            <v>0.82366872734929886</v>
          </cell>
          <cell r="CM132">
            <v>0.96335792723375735</v>
          </cell>
          <cell r="CN132">
            <v>1.0587998824492126</v>
          </cell>
          <cell r="CO132">
            <v>0.94259815695341764</v>
          </cell>
          <cell r="CP132">
            <v>0.96585681593897521</v>
          </cell>
          <cell r="CQ132">
            <v>0.97560220880657678</v>
          </cell>
          <cell r="CR132">
            <v>1.1130327916707778</v>
          </cell>
          <cell r="CS132">
            <v>1.0328509462273179</v>
          </cell>
          <cell r="CT132">
            <v>0.28325300862671676</v>
          </cell>
          <cell r="CU132">
            <v>1.2102115075566751</v>
          </cell>
          <cell r="CV132">
            <v>1.2891399025578563</v>
          </cell>
          <cell r="CW132">
            <v>1.3700500840336134</v>
          </cell>
          <cell r="CX132">
            <v>1.224782211981567</v>
          </cell>
          <cell r="CY132">
            <v>1.1548407647571968</v>
          </cell>
          <cell r="CZ132">
            <v>1.2986849831775702</v>
          </cell>
          <cell r="DA132">
            <v>1.351134266561514</v>
          </cell>
          <cell r="DB132">
            <v>1.4344524053254439</v>
          </cell>
          <cell r="DC132">
            <v>1.4576959079754601</v>
          </cell>
          <cell r="DD132">
            <v>1.5081216923076921</v>
          </cell>
          <cell r="DE132">
            <v>1.5362826034985422</v>
          </cell>
        </row>
        <row r="134">
          <cell r="B134" t="str">
            <v>CMAI avg. cost of ethylene (€0.01/pound)</v>
          </cell>
          <cell r="N134">
            <v>15.207084727523897</v>
          </cell>
          <cell r="O134">
            <v>14.058710367683972</v>
          </cell>
          <cell r="P134">
            <v>15.861304729560027</v>
          </cell>
          <cell r="Q134">
            <v>20.278324675324825</v>
          </cell>
          <cell r="R134">
            <v>23.813361128195332</v>
          </cell>
          <cell r="S134">
            <v>27.126979567639975</v>
          </cell>
          <cell r="T134">
            <v>29.041695212541359</v>
          </cell>
          <cell r="U134">
            <v>23.863447243713757</v>
          </cell>
          <cell r="V134">
            <v>29.619579751959375</v>
          </cell>
          <cell r="W134">
            <v>36.195927889396337</v>
          </cell>
          <cell r="Y134">
            <v>30.22959420536856</v>
          </cell>
          <cell r="Z134">
            <v>30.545392505313824</v>
          </cell>
          <cell r="AA134">
            <v>30.545392505313824</v>
          </cell>
          <cell r="CU134">
            <v>22.07</v>
          </cell>
          <cell r="CV134">
            <v>23.3</v>
          </cell>
          <cell r="CW134">
            <v>22.8</v>
          </cell>
          <cell r="CX134">
            <v>27</v>
          </cell>
          <cell r="CY134">
            <v>28.7</v>
          </cell>
          <cell r="CZ134">
            <v>27.3</v>
          </cell>
          <cell r="DA134">
            <v>26.5</v>
          </cell>
          <cell r="DB134">
            <v>35.700000000000003</v>
          </cell>
          <cell r="DC134">
            <v>34.700000000000003</v>
          </cell>
          <cell r="DD134">
            <v>35.4</v>
          </cell>
          <cell r="DE134">
            <v>37.299999999999997</v>
          </cell>
        </row>
        <row r="135">
          <cell r="B135" t="str">
            <v>Ethylene margin</v>
          </cell>
          <cell r="N135">
            <v>0.35153030996990875</v>
          </cell>
          <cell r="O135">
            <v>0.4115965660251617</v>
          </cell>
          <cell r="P135">
            <v>0.44538951325137166</v>
          </cell>
          <cell r="Q135">
            <v>0.39484191844432814</v>
          </cell>
          <cell r="R135">
            <v>0.39131043940349969</v>
          </cell>
          <cell r="S135">
            <v>0.33825999704457083</v>
          </cell>
          <cell r="T135">
            <v>0.41913378826296765</v>
          </cell>
          <cell r="U135">
            <v>0.28493678196977285</v>
          </cell>
          <cell r="V135">
            <v>0.31396456857071509</v>
          </cell>
          <cell r="Y135">
            <v>0.33472706548951547</v>
          </cell>
          <cell r="Z135">
            <v>0.37564899627941878</v>
          </cell>
          <cell r="AA135">
            <v>0.37564899627941878</v>
          </cell>
          <cell r="CU135">
            <v>0.18228973693960721</v>
          </cell>
          <cell r="CV135">
            <v>0.25320512820512814</v>
          </cell>
          <cell r="CW135">
            <v>0.38378378378378375</v>
          </cell>
          <cell r="CX135">
            <v>0.29503916449086159</v>
          </cell>
          <cell r="CY135">
            <v>0.31009615384615391</v>
          </cell>
          <cell r="CZ135">
            <v>0.37528604118993136</v>
          </cell>
          <cell r="DA135">
            <v>0.38515081206496521</v>
          </cell>
          <cell r="DB135">
            <v>0.19413092550790056</v>
          </cell>
        </row>
        <row r="137">
          <cell r="B137" t="str">
            <v>CMAI avg. petrochemical prices (cents/pound)</v>
          </cell>
        </row>
        <row r="138">
          <cell r="B138" t="str">
            <v>Ethylene</v>
          </cell>
          <cell r="N138">
            <v>22.17298345373958</v>
          </cell>
          <cell r="O138">
            <v>27.051486458031526</v>
          </cell>
          <cell r="P138">
            <v>35.581880681465563</v>
          </cell>
          <cell r="Q138">
            <v>41.708528824652092</v>
          </cell>
          <cell r="R138">
            <v>49.160577395100837</v>
          </cell>
          <cell r="S138">
            <v>56.184338592153239</v>
          </cell>
          <cell r="T138">
            <v>73.571732749662146</v>
          </cell>
          <cell r="U138">
            <v>46.517777573749996</v>
          </cell>
          <cell r="V138">
            <v>57.28714811874999</v>
          </cell>
          <cell r="Y138">
            <v>60.358193965312303</v>
          </cell>
          <cell r="Z138">
            <v>64.986129282083198</v>
          </cell>
          <cell r="AA138">
            <v>64.986129282083198</v>
          </cell>
          <cell r="AB138">
            <v>0</v>
          </cell>
          <cell r="AC138">
            <v>0</v>
          </cell>
          <cell r="AD138">
            <v>0</v>
          </cell>
          <cell r="AE138">
            <v>0</v>
          </cell>
          <cell r="AF138">
            <v>0</v>
          </cell>
          <cell r="BK138">
            <v>25.966638226727436</v>
          </cell>
          <cell r="BL138">
            <v>29.029117237307485</v>
          </cell>
          <cell r="BM138">
            <v>28.115845060140039</v>
          </cell>
          <cell r="BN138">
            <v>27.795185644969926</v>
          </cell>
          <cell r="BO138">
            <v>27.839945686486697</v>
          </cell>
          <cell r="BP138">
            <v>25.379139038317582</v>
          </cell>
          <cell r="BQ138">
            <v>24.587536891007673</v>
          </cell>
          <cell r="BR138">
            <v>22.458327176194899</v>
          </cell>
          <cell r="BS138">
            <v>18.821842715194492</v>
          </cell>
          <cell r="BT138">
            <v>22.515951505568783</v>
          </cell>
          <cell r="BU138">
            <v>24.102892494135794</v>
          </cell>
          <cell r="BV138">
            <v>23.395140525229664</v>
          </cell>
          <cell r="BW138">
            <v>27.987810448937516</v>
          </cell>
          <cell r="BX138">
            <v>29.662898723229102</v>
          </cell>
          <cell r="BY138">
            <v>22.733986327328889</v>
          </cell>
          <cell r="BZ138">
            <v>27.684921059187896</v>
          </cell>
          <cell r="CA138">
            <v>32.874134258860131</v>
          </cell>
          <cell r="CB138">
            <v>33.188649629295739</v>
          </cell>
          <cell r="CC138">
            <v>35.22082409732328</v>
          </cell>
          <cell r="CD138">
            <v>41.240931293719562</v>
          </cell>
          <cell r="CE138">
            <v>43.991853807614469</v>
          </cell>
          <cell r="CF138">
            <v>42.825662833850451</v>
          </cell>
          <cell r="CG138">
            <v>35.418117954355381</v>
          </cell>
          <cell r="CH138">
            <v>44.502841034988556</v>
          </cell>
          <cell r="CI138">
            <v>42.845049825352874</v>
          </cell>
          <cell r="CJ138">
            <v>49.373038955755604</v>
          </cell>
          <cell r="CK138">
            <v>52.031721419968008</v>
          </cell>
          <cell r="CL138">
            <v>52.66774864171537</v>
          </cell>
          <cell r="CM138">
            <v>50.844752967290155</v>
          </cell>
          <cell r="CN138">
            <v>54.428718507841488</v>
          </cell>
          <cell r="CO138">
            <v>57.676804341234593</v>
          </cell>
          <cell r="CP138">
            <v>62.082082329355764</v>
          </cell>
          <cell r="CQ138">
            <v>69.566905650274066</v>
          </cell>
          <cell r="CR138">
            <v>73.596298127431893</v>
          </cell>
          <cell r="CS138">
            <v>83.753185658595825</v>
          </cell>
          <cell r="CT138">
            <v>67.065243120838502</v>
          </cell>
          <cell r="CU138">
            <v>35.253609269999998</v>
          </cell>
          <cell r="CV138">
            <v>42.517051199999997</v>
          </cell>
          <cell r="CW138">
            <v>52.915179999999999</v>
          </cell>
          <cell r="CX138">
            <v>56.551596899999993</v>
          </cell>
          <cell r="CY138">
            <v>57.565955199999998</v>
          </cell>
          <cell r="CZ138">
            <v>55.609167700000008</v>
          </cell>
          <cell r="DA138">
            <v>55.728731000000003</v>
          </cell>
          <cell r="DB138">
            <v>60.164228699999995</v>
          </cell>
          <cell r="DC138">
            <v>0</v>
          </cell>
          <cell r="DD138">
            <v>0</v>
          </cell>
          <cell r="DE138">
            <v>0</v>
          </cell>
        </row>
        <row r="139">
          <cell r="B139" t="str">
            <v>Polyethylene (high density)</v>
          </cell>
          <cell r="CU139">
            <v>48.9814875</v>
          </cell>
          <cell r="CV139">
            <v>54.372767399999994</v>
          </cell>
          <cell r="CW139">
            <v>67.502608000000009</v>
          </cell>
          <cell r="CX139">
            <v>69.397520999999998</v>
          </cell>
          <cell r="CY139">
            <v>71.1271658</v>
          </cell>
          <cell r="CZ139">
            <v>68.461629799999997</v>
          </cell>
          <cell r="DA139">
            <v>67.753723999999991</v>
          </cell>
          <cell r="DB139">
            <v>71.300722500000006</v>
          </cell>
        </row>
        <row r="140">
          <cell r="B140" t="str">
            <v>Propylene</v>
          </cell>
          <cell r="CU140">
            <v>27.299015699999998</v>
          </cell>
          <cell r="CV140">
            <v>32.569151399999996</v>
          </cell>
          <cell r="CW140">
            <v>45.764479999999999</v>
          </cell>
          <cell r="CX140">
            <v>50.054807699999998</v>
          </cell>
          <cell r="CY140">
            <v>53.871217209999998</v>
          </cell>
          <cell r="CZ140">
            <v>57.390697100000004</v>
          </cell>
          <cell r="DA140">
            <v>55.728731000000003</v>
          </cell>
          <cell r="DB140">
            <v>57.855443400000006</v>
          </cell>
        </row>
        <row r="141">
          <cell r="B141" t="str">
            <v>Polypropylene (homopolymer)</v>
          </cell>
          <cell r="CU141">
            <v>44.827857360000003</v>
          </cell>
          <cell r="CV141">
            <v>48.785590799999994</v>
          </cell>
          <cell r="CW141">
            <v>62.926159999999996</v>
          </cell>
          <cell r="CX141">
            <v>66.739743599999997</v>
          </cell>
          <cell r="CY141">
            <v>71.030300009999991</v>
          </cell>
          <cell r="CZ141">
            <v>76.733016300000003</v>
          </cell>
          <cell r="DA141">
            <v>77.968502999999998</v>
          </cell>
          <cell r="DB141">
            <v>79.992620099999996</v>
          </cell>
        </row>
        <row r="143">
          <cell r="B143" t="str">
            <v>CMAI avg. petrochemical prices (€0.01/pound)</v>
          </cell>
        </row>
        <row r="144">
          <cell r="B144" t="str">
            <v>Ethylene</v>
          </cell>
          <cell r="N144">
            <v>23.450725548665559</v>
          </cell>
          <cell r="O144">
            <v>23.892978109786423</v>
          </cell>
          <cell r="P144">
            <v>28.598998952482852</v>
          </cell>
          <cell r="Q144">
            <v>33.509136361850452</v>
          </cell>
          <cell r="R144">
            <v>39.122341945307625</v>
          </cell>
          <cell r="S144">
            <v>40.993410473126687</v>
          </cell>
          <cell r="T144">
            <v>49.997219025177195</v>
          </cell>
          <cell r="U144">
            <v>33.372500000000002</v>
          </cell>
          <cell r="V144">
            <v>43.174999999999997</v>
          </cell>
          <cell r="Y144">
            <v>45.439386809884041</v>
          </cell>
          <cell r="Z144">
            <v>48.923429806775722</v>
          </cell>
          <cell r="AA144">
            <v>48.923429806775722</v>
          </cell>
          <cell r="AB144">
            <v>48.923429806775722</v>
          </cell>
          <cell r="AC144">
            <v>48.923429806775722</v>
          </cell>
          <cell r="AD144">
            <v>48.923429806775722</v>
          </cell>
          <cell r="AE144">
            <v>48.923429806775722</v>
          </cell>
          <cell r="AF144">
            <v>48.923429806775722</v>
          </cell>
          <cell r="BK144">
            <v>26.30835748206194</v>
          </cell>
          <cell r="BL144">
            <v>31.07107737105591</v>
          </cell>
          <cell r="BM144">
            <v>31.07107737105591</v>
          </cell>
          <cell r="BN144">
            <v>31.978262111816669</v>
          </cell>
          <cell r="BO144">
            <v>30.163892630295159</v>
          </cell>
          <cell r="BP144">
            <v>29.029911704344208</v>
          </cell>
          <cell r="BQ144">
            <v>27.578416119126999</v>
          </cell>
          <cell r="BR144">
            <v>25.083658082034923</v>
          </cell>
          <cell r="BS144">
            <v>21.454919118991892</v>
          </cell>
          <cell r="BT144">
            <v>24.493988000540426</v>
          </cell>
          <cell r="BU144">
            <v>24.493988000540426</v>
          </cell>
          <cell r="BV144">
            <v>23.360007074589483</v>
          </cell>
          <cell r="BW144">
            <v>26.081561296871751</v>
          </cell>
          <cell r="BX144">
            <v>26.081561296871751</v>
          </cell>
          <cell r="BY144">
            <v>20.184860481926833</v>
          </cell>
          <cell r="BZ144">
            <v>23.223929363475367</v>
          </cell>
          <cell r="CA144">
            <v>26.30835748206194</v>
          </cell>
          <cell r="CB144">
            <v>27.533056882088964</v>
          </cell>
          <cell r="CC144">
            <v>28.803115519154019</v>
          </cell>
          <cell r="CD144">
            <v>31.751465926626484</v>
          </cell>
          <cell r="CE144">
            <v>33.56583540814799</v>
          </cell>
          <cell r="CF144">
            <v>34.019427778528375</v>
          </cell>
          <cell r="CG144">
            <v>29.029911704344208</v>
          </cell>
          <cell r="CH144">
            <v>37.421370556381206</v>
          </cell>
          <cell r="CI144">
            <v>35.607001074859696</v>
          </cell>
          <cell r="CJ144">
            <v>39.235740037902723</v>
          </cell>
          <cell r="CK144">
            <v>40.823313334234044</v>
          </cell>
          <cell r="CL144">
            <v>40.823313334234044</v>
          </cell>
          <cell r="CM144">
            <v>38.782147667522345</v>
          </cell>
          <cell r="CN144">
            <v>40.369720963853666</v>
          </cell>
          <cell r="CO144">
            <v>41.957294260184987</v>
          </cell>
          <cell r="CP144">
            <v>42.864479000945749</v>
          </cell>
          <cell r="CQ144">
            <v>46.402499489912699</v>
          </cell>
          <cell r="CR144">
            <v>47.082888045483266</v>
          </cell>
          <cell r="CS144">
            <v>55.701143082710445</v>
          </cell>
          <cell r="CT144">
            <v>50.802345482602362</v>
          </cell>
          <cell r="CU144">
            <v>26.99</v>
          </cell>
          <cell r="CV144">
            <v>31.2</v>
          </cell>
          <cell r="CW144">
            <v>37</v>
          </cell>
          <cell r="CX144">
            <v>38.299999999999997</v>
          </cell>
          <cell r="CY144">
            <v>41.6</v>
          </cell>
          <cell r="CZ144">
            <v>43.7</v>
          </cell>
          <cell r="DA144">
            <v>43.1</v>
          </cell>
          <cell r="DB144">
            <v>44.3</v>
          </cell>
        </row>
        <row r="145">
          <cell r="B145" t="str">
            <v>Polyethylene (high density)</v>
          </cell>
          <cell r="CU145">
            <v>37.5</v>
          </cell>
          <cell r="CV145">
            <v>39.9</v>
          </cell>
          <cell r="CW145">
            <v>47.2</v>
          </cell>
          <cell r="CX145">
            <v>47</v>
          </cell>
          <cell r="CY145">
            <v>51.4</v>
          </cell>
          <cell r="CZ145">
            <v>53.8</v>
          </cell>
          <cell r="DA145">
            <v>52.4</v>
          </cell>
          <cell r="DB145">
            <v>52.5</v>
          </cell>
        </row>
        <row r="146">
          <cell r="B146" t="str">
            <v>Propylene</v>
          </cell>
          <cell r="CU146">
            <v>20.9</v>
          </cell>
          <cell r="CV146">
            <v>23.9</v>
          </cell>
          <cell r="CW146">
            <v>32</v>
          </cell>
          <cell r="CX146">
            <v>33.9</v>
          </cell>
          <cell r="CY146">
            <v>38.93</v>
          </cell>
          <cell r="CZ146">
            <v>45.1</v>
          </cell>
          <cell r="DA146">
            <v>43.1</v>
          </cell>
          <cell r="DB146">
            <v>42.6</v>
          </cell>
        </row>
        <row r="147">
          <cell r="B147" t="str">
            <v>Polypropylene (homopolymer)</v>
          </cell>
          <cell r="CU147">
            <v>34.32</v>
          </cell>
          <cell r="CV147">
            <v>35.799999999999997</v>
          </cell>
          <cell r="CW147">
            <v>44</v>
          </cell>
          <cell r="CX147">
            <v>45.2</v>
          </cell>
          <cell r="CY147">
            <v>51.33</v>
          </cell>
          <cell r="CZ147">
            <v>60.3</v>
          </cell>
          <cell r="DA147">
            <v>60.3</v>
          </cell>
          <cell r="DB147">
            <v>58.9</v>
          </cell>
        </row>
        <row r="149">
          <cell r="B149" t="str">
            <v>O&amp;P Total</v>
          </cell>
          <cell r="C149">
            <v>1991</v>
          </cell>
          <cell r="D149">
            <v>1992</v>
          </cell>
          <cell r="E149">
            <v>1993</v>
          </cell>
          <cell r="F149">
            <v>1994</v>
          </cell>
          <cell r="G149">
            <v>1995</v>
          </cell>
          <cell r="H149">
            <v>1996</v>
          </cell>
          <cell r="I149">
            <v>1997</v>
          </cell>
          <cell r="J149">
            <v>1998</v>
          </cell>
          <cell r="K149">
            <v>1999</v>
          </cell>
          <cell r="L149">
            <v>2000</v>
          </cell>
          <cell r="M149">
            <v>2001</v>
          </cell>
          <cell r="N149">
            <v>2002</v>
          </cell>
          <cell r="O149">
            <v>2003</v>
          </cell>
          <cell r="P149">
            <v>2004</v>
          </cell>
          <cell r="Q149">
            <v>2005</v>
          </cell>
          <cell r="R149">
            <v>2006</v>
          </cell>
          <cell r="S149">
            <v>2007</v>
          </cell>
          <cell r="T149">
            <v>2008</v>
          </cell>
          <cell r="U149" t="str">
            <v>2009</v>
          </cell>
          <cell r="V149" t="str">
            <v>2010</v>
          </cell>
          <cell r="W149" t="str">
            <v>2011</v>
          </cell>
          <cell r="X149" t="str">
            <v>2012</v>
          </cell>
          <cell r="Y149" t="str">
            <v>2013e</v>
          </cell>
          <cell r="Z149" t="str">
            <v>2014e</v>
          </cell>
          <cell r="AA149" t="str">
            <v>2015e</v>
          </cell>
          <cell r="AB149" t="str">
            <v>2016e</v>
          </cell>
          <cell r="AC149" t="str">
            <v>2017e</v>
          </cell>
          <cell r="AD149" t="str">
            <v>2018e</v>
          </cell>
          <cell r="AE149" t="str">
            <v>2019e</v>
          </cell>
          <cell r="AF149" t="str">
            <v>2020e</v>
          </cell>
          <cell r="AI149" t="str">
            <v>1993q1</v>
          </cell>
          <cell r="AJ149" t="str">
            <v>1993q2</v>
          </cell>
          <cell r="AK149" t="str">
            <v>1993q3</v>
          </cell>
          <cell r="AL149" t="str">
            <v>1993q4</v>
          </cell>
          <cell r="AM149" t="str">
            <v>1994q1</v>
          </cell>
          <cell r="AN149" t="str">
            <v>1994q2</v>
          </cell>
          <cell r="AO149" t="str">
            <v>1994q3</v>
          </cell>
          <cell r="AP149" t="str">
            <v>1994q4</v>
          </cell>
          <cell r="AQ149" t="str">
            <v>1995q1</v>
          </cell>
          <cell r="AR149" t="str">
            <v>1995q2</v>
          </cell>
          <cell r="AS149" t="str">
            <v>1995q3</v>
          </cell>
          <cell r="AT149" t="str">
            <v>1995q4</v>
          </cell>
          <cell r="AU149" t="str">
            <v>1996q1</v>
          </cell>
          <cell r="AV149" t="str">
            <v>1996q2</v>
          </cell>
          <cell r="AW149" t="str">
            <v>1996q3</v>
          </cell>
          <cell r="AX149" t="str">
            <v>1996q4</v>
          </cell>
          <cell r="AY149" t="str">
            <v>1997q1</v>
          </cell>
          <cell r="AZ149" t="str">
            <v>1997q2</v>
          </cell>
          <cell r="BA149" t="str">
            <v>1997q3</v>
          </cell>
          <cell r="BB149" t="str">
            <v>1997q4</v>
          </cell>
          <cell r="BC149" t="str">
            <v>1998q1</v>
          </cell>
          <cell r="BD149" t="str">
            <v>1998q2</v>
          </cell>
          <cell r="BE149" t="str">
            <v>1998q3</v>
          </cell>
          <cell r="BF149" t="str">
            <v>1998q4</v>
          </cell>
          <cell r="BG149" t="str">
            <v>1999q1</v>
          </cell>
          <cell r="BH149" t="str">
            <v>1999q2</v>
          </cell>
          <cell r="BI149" t="str">
            <v>1999q3</v>
          </cell>
          <cell r="BJ149" t="str">
            <v>1999q4</v>
          </cell>
          <cell r="BK149" t="str">
            <v>2000q1</v>
          </cell>
          <cell r="BL149" t="str">
            <v>2000q2</v>
          </cell>
          <cell r="BM149" t="str">
            <v>2000q3</v>
          </cell>
          <cell r="BN149" t="str">
            <v>2000q4</v>
          </cell>
          <cell r="BO149" t="str">
            <v>2001q1</v>
          </cell>
          <cell r="BP149" t="str">
            <v>2001q2</v>
          </cell>
          <cell r="BQ149" t="str">
            <v>2001q3</v>
          </cell>
          <cell r="BR149" t="str">
            <v>2001q4</v>
          </cell>
          <cell r="BS149" t="str">
            <v>2002q1</v>
          </cell>
          <cell r="BT149" t="str">
            <v>2002q2</v>
          </cell>
          <cell r="BU149" t="str">
            <v>2002q3</v>
          </cell>
          <cell r="BV149" t="str">
            <v>2002q4</v>
          </cell>
          <cell r="BW149" t="str">
            <v>2003q1</v>
          </cell>
          <cell r="BX149" t="str">
            <v>2003q2</v>
          </cell>
          <cell r="BY149" t="str">
            <v>2003q3</v>
          </cell>
          <cell r="BZ149" t="str">
            <v>2003q4</v>
          </cell>
          <cell r="CA149" t="str">
            <v>2004q1</v>
          </cell>
          <cell r="CB149" t="str">
            <v>2004q2</v>
          </cell>
          <cell r="CC149" t="str">
            <v>2004q3</v>
          </cell>
          <cell r="CD149" t="str">
            <v>2004q4</v>
          </cell>
          <cell r="CE149" t="str">
            <v>2005q1</v>
          </cell>
          <cell r="CF149" t="str">
            <v>2005q2</v>
          </cell>
          <cell r="CG149" t="str">
            <v>2005q3</v>
          </cell>
          <cell r="CH149" t="str">
            <v>2005q4</v>
          </cell>
          <cell r="CI149" t="str">
            <v>2006q1</v>
          </cell>
          <cell r="CJ149" t="str">
            <v>2006q2</v>
          </cell>
          <cell r="CK149" t="str">
            <v>2006q3</v>
          </cell>
          <cell r="CL149" t="str">
            <v>2006q4</v>
          </cell>
          <cell r="CM149" t="str">
            <v>2007q1</v>
          </cell>
          <cell r="CN149" t="str">
            <v>2007q2</v>
          </cell>
          <cell r="CO149" t="str">
            <v>2007q3</v>
          </cell>
          <cell r="CP149" t="str">
            <v>2007q4</v>
          </cell>
          <cell r="CQ149" t="str">
            <v>2008q1</v>
          </cell>
          <cell r="CR149" t="str">
            <v>2008q2</v>
          </cell>
          <cell r="CS149" t="str">
            <v>2008q3</v>
          </cell>
          <cell r="CT149" t="str">
            <v>2008q4</v>
          </cell>
          <cell r="CU149" t="str">
            <v>2009q1</v>
          </cell>
          <cell r="CV149" t="str">
            <v>2009q2</v>
          </cell>
          <cell r="CW149" t="str">
            <v>2009q3</v>
          </cell>
          <cell r="CX149" t="str">
            <v>2009q4</v>
          </cell>
          <cell r="CY149" t="str">
            <v>2010q1</v>
          </cell>
          <cell r="CZ149" t="str">
            <v>2010q2</v>
          </cell>
          <cell r="DA149" t="str">
            <v>2010q3</v>
          </cell>
          <cell r="DB149" t="str">
            <v>2010q4</v>
          </cell>
          <cell r="DC149" t="str">
            <v>2011q1</v>
          </cell>
          <cell r="DD149" t="str">
            <v>2011q2</v>
          </cell>
          <cell r="DE149" t="str">
            <v>2011q3</v>
          </cell>
          <cell r="DF149" t="str">
            <v>2011q4</v>
          </cell>
          <cell r="DG149" t="str">
            <v>2012q1</v>
          </cell>
          <cell r="DH149" t="str">
            <v>2012q2</v>
          </cell>
          <cell r="DI149" t="str">
            <v>2012q3</v>
          </cell>
          <cell r="DJ149" t="str">
            <v>2012q4e</v>
          </cell>
          <cell r="DK149" t="str">
            <v>2013q1e</v>
          </cell>
          <cell r="DL149" t="str">
            <v>2013q2e</v>
          </cell>
          <cell r="DM149" t="str">
            <v>2013q3e</v>
          </cell>
          <cell r="DN149" t="str">
            <v>2013q4e</v>
          </cell>
          <cell r="DO149" t="str">
            <v>2014q1e</v>
          </cell>
          <cell r="DP149" t="str">
            <v>2014q2e</v>
          </cell>
          <cell r="DQ149" t="str">
            <v>2014q3e</v>
          </cell>
          <cell r="DR149" t="str">
            <v>2014q4e</v>
          </cell>
          <cell r="DT149" t="str">
            <v>2013q2e</v>
          </cell>
        </row>
        <row r="151">
          <cell r="B151" t="str">
            <v>Revenue</v>
          </cell>
          <cell r="S151">
            <v>15962</v>
          </cell>
          <cell r="T151">
            <v>29901</v>
          </cell>
          <cell r="U151">
            <v>18015</v>
          </cell>
          <cell r="V151">
            <v>25503</v>
          </cell>
          <cell r="W151">
            <v>30394</v>
          </cell>
          <cell r="X151">
            <v>27423</v>
          </cell>
          <cell r="Y151">
            <v>27774</v>
          </cell>
          <cell r="Z151">
            <v>27916.621971714856</v>
          </cell>
          <cell r="AA151">
            <v>34956.245769623893</v>
          </cell>
          <cell r="AB151">
            <v>35890.113226718488</v>
          </cell>
          <cell r="AC151">
            <v>35522.708618747536</v>
          </cell>
          <cell r="AD151">
            <v>35256.121687274761</v>
          </cell>
          <cell r="AE151">
            <v>34991.535408195778</v>
          </cell>
          <cell r="AF151">
            <v>34824.80198753014</v>
          </cell>
          <cell r="CU151">
            <v>3297</v>
          </cell>
          <cell r="CV151">
            <v>4207</v>
          </cell>
          <cell r="CW151">
            <v>5055</v>
          </cell>
          <cell r="CX151">
            <v>5456</v>
          </cell>
          <cell r="CY151">
            <v>6139</v>
          </cell>
          <cell r="CZ151">
            <v>6373</v>
          </cell>
          <cell r="DA151">
            <v>6494</v>
          </cell>
          <cell r="DB151">
            <v>6497</v>
          </cell>
          <cell r="DC151">
            <v>7570</v>
          </cell>
          <cell r="DD151">
            <v>8274</v>
          </cell>
          <cell r="DE151">
            <v>7793</v>
          </cell>
          <cell r="DF151">
            <v>6757</v>
          </cell>
          <cell r="DG151">
            <v>7215</v>
          </cell>
          <cell r="DH151">
            <v>6858</v>
          </cell>
          <cell r="DI151">
            <v>6665</v>
          </cell>
          <cell r="DJ151">
            <v>6685</v>
          </cell>
          <cell r="DK151">
            <v>7044</v>
          </cell>
          <cell r="DL151">
            <v>6959</v>
          </cell>
          <cell r="DM151">
            <v>6909</v>
          </cell>
          <cell r="DN151">
            <v>6862</v>
          </cell>
          <cell r="DO151">
            <v>7289.4308164789345</v>
          </cell>
          <cell r="DP151">
            <v>7273.2248426701826</v>
          </cell>
          <cell r="DQ151">
            <v>6839.8914947742169</v>
          </cell>
          <cell r="DR151">
            <v>6514.0748177915211</v>
          </cell>
          <cell r="DT151">
            <v>6823.5411880648862</v>
          </cell>
        </row>
        <row r="152">
          <cell r="B152" t="str">
            <v>Growth</v>
          </cell>
          <cell r="T152">
            <v>0.8732614960531262</v>
          </cell>
          <cell r="U152">
            <v>-0.39751178890338112</v>
          </cell>
          <cell r="V152">
            <v>0.41565362198168199</v>
          </cell>
          <cell r="W152">
            <v>0.1917813590557973</v>
          </cell>
          <cell r="X152">
            <v>-9.774955583338818E-2</v>
          </cell>
          <cell r="Y152">
            <v>1.279947489333777E-2</v>
          </cell>
          <cell r="Z152">
            <v>5.1350893538868458E-3</v>
          </cell>
          <cell r="AA152">
            <v>0.25216603230296242</v>
          </cell>
          <cell r="AB152">
            <v>2.6715324730497869E-2</v>
          </cell>
          <cell r="AC152">
            <v>-1.0236930868678273E-2</v>
          </cell>
          <cell r="AD152">
            <v>-7.5046904315196894E-3</v>
          </cell>
          <cell r="AE152">
            <v>-7.5046904315196894E-3</v>
          </cell>
          <cell r="AF152">
            <v>-4.7649644041223294E-3</v>
          </cell>
          <cell r="CY152">
            <v>0.86199575371549897</v>
          </cell>
          <cell r="CZ152">
            <v>0.51485619206085098</v>
          </cell>
          <cell r="DA152">
            <v>0.28466864490603361</v>
          </cell>
          <cell r="DB152">
            <v>0.19079912023460421</v>
          </cell>
          <cell r="DC152">
            <v>0.23309985339631867</v>
          </cell>
          <cell r="DD152">
            <v>0.29828965950101982</v>
          </cell>
          <cell r="DE152">
            <v>0.20003079765937781</v>
          </cell>
          <cell r="DF152">
            <v>4.0018470063106104E-2</v>
          </cell>
          <cell r="DG152">
            <v>-4.6895640686922091E-2</v>
          </cell>
          <cell r="DH152">
            <v>-0.17113850616388693</v>
          </cell>
          <cell r="DI152">
            <v>-0.14474528422943667</v>
          </cell>
          <cell r="DJ152">
            <v>-1.0655616397809653E-2</v>
          </cell>
          <cell r="DK152">
            <v>-2.3700623700623646E-2</v>
          </cell>
          <cell r="DL152">
            <v>1.4727325750947706E-2</v>
          </cell>
          <cell r="DM152">
            <v>3.6609152288072044E-2</v>
          </cell>
          <cell r="DN152">
            <v>2.6477187733732199E-2</v>
          </cell>
          <cell r="DO152">
            <v>3.4842534991330831E-2</v>
          </cell>
          <cell r="DP152">
            <v>4.5153735115703864E-2</v>
          </cell>
          <cell r="DQ152">
            <v>-1.0002678423184697E-2</v>
          </cell>
          <cell r="DR152">
            <v>-5.0703174323590616E-2</v>
          </cell>
          <cell r="DT152">
            <v>-5.0246153302877516E-3</v>
          </cell>
        </row>
        <row r="154">
          <cell r="B154" t="str">
            <v>Operating Income</v>
          </cell>
          <cell r="S154">
            <v>995</v>
          </cell>
          <cell r="T154">
            <v>-443</v>
          </cell>
          <cell r="U154">
            <v>219</v>
          </cell>
          <cell r="V154">
            <v>1885.0133229885057</v>
          </cell>
          <cell r="W154">
            <v>2662.7819469252872</v>
          </cell>
          <cell r="X154">
            <v>3039.0352756528537</v>
          </cell>
          <cell r="Y154">
            <v>3806.7699737472271</v>
          </cell>
          <cell r="Z154">
            <v>3895.8960643640648</v>
          </cell>
          <cell r="AA154">
            <v>4091.5398709590418</v>
          </cell>
          <cell r="AB154">
            <v>4255.2990264437703</v>
          </cell>
          <cell r="AC154">
            <v>4094.8134154817731</v>
          </cell>
          <cell r="AD154">
            <v>3837.6274859175469</v>
          </cell>
          <cell r="AE154">
            <v>2140.1618089300791</v>
          </cell>
          <cell r="AF154">
            <v>1856.9119338863482</v>
          </cell>
          <cell r="CU154">
            <v>-175</v>
          </cell>
          <cell r="CV154">
            <v>71</v>
          </cell>
          <cell r="CW154">
            <v>250</v>
          </cell>
          <cell r="CX154">
            <v>25</v>
          </cell>
          <cell r="CY154">
            <v>216</v>
          </cell>
          <cell r="CZ154">
            <v>482</v>
          </cell>
          <cell r="DA154">
            <v>679</v>
          </cell>
          <cell r="DB154">
            <v>512</v>
          </cell>
          <cell r="DC154">
            <v>600</v>
          </cell>
          <cell r="DD154">
            <v>716</v>
          </cell>
          <cell r="DE154">
            <v>743</v>
          </cell>
          <cell r="DF154">
            <v>273</v>
          </cell>
          <cell r="DG154">
            <v>524</v>
          </cell>
          <cell r="DH154">
            <v>903</v>
          </cell>
          <cell r="DI154">
            <v>753</v>
          </cell>
          <cell r="DJ154">
            <v>599</v>
          </cell>
          <cell r="DK154">
            <v>914</v>
          </cell>
          <cell r="DL154">
            <v>1061</v>
          </cell>
          <cell r="DM154">
            <v>837</v>
          </cell>
          <cell r="DN154">
            <v>818</v>
          </cell>
          <cell r="DO154">
            <v>942.34308282262987</v>
          </cell>
          <cell r="DP154">
            <v>862.7069212222068</v>
          </cell>
          <cell r="DQ154">
            <v>1054.7984511465916</v>
          </cell>
          <cell r="DR154">
            <v>1036.0476091726366</v>
          </cell>
          <cell r="DT154">
            <v>987.03080732111164</v>
          </cell>
        </row>
        <row r="155">
          <cell r="B155" t="str">
            <v>Margin</v>
          </cell>
          <cell r="S155">
            <v>6.2335546923944371E-2</v>
          </cell>
          <cell r="T155">
            <v>-1.4815558008093374E-2</v>
          </cell>
          <cell r="U155">
            <v>1.215653621981682E-2</v>
          </cell>
          <cell r="V155">
            <v>7.3913395404011512E-2</v>
          </cell>
          <cell r="W155">
            <v>8.7608802623060048E-2</v>
          </cell>
          <cell r="X155">
            <v>0.11082067154041694</v>
          </cell>
          <cell r="Y155">
            <v>0.13706235953579704</v>
          </cell>
          <cell r="Z155">
            <v>0.13955470931659961</v>
          </cell>
          <cell r="AA155">
            <v>0.11704746264584534</v>
          </cell>
          <cell r="AB155">
            <v>0.11856465872824001</v>
          </cell>
          <cell r="AC155">
            <v>0.11527311893442399</v>
          </cell>
          <cell r="AD155">
            <v>0.10884996143244788</v>
          </cell>
          <cell r="AE155">
            <v>6.116227207420017E-2</v>
          </cell>
          <cell r="AF155">
            <v>5.3321536029157041E-2</v>
          </cell>
          <cell r="CU155">
            <v>-5.3078556263269641E-2</v>
          </cell>
          <cell r="CV155">
            <v>1.6876634181126695E-2</v>
          </cell>
          <cell r="CW155">
            <v>4.9455984174085067E-2</v>
          </cell>
          <cell r="CX155">
            <v>4.5821114369501469E-3</v>
          </cell>
          <cell r="CY155">
            <v>3.5184883531519794E-2</v>
          </cell>
          <cell r="CZ155">
            <v>7.5631570688843561E-2</v>
          </cell>
          <cell r="DA155">
            <v>0.10455805358792732</v>
          </cell>
          <cell r="DB155">
            <v>7.8805602585808834E-2</v>
          </cell>
          <cell r="DC155">
            <v>7.9260237780713338E-2</v>
          </cell>
          <cell r="DD155">
            <v>8.6536137297558616E-2</v>
          </cell>
          <cell r="DE155">
            <v>9.5341973566020782E-2</v>
          </cell>
          <cell r="DF155">
            <v>4.0402545508361698E-2</v>
          </cell>
          <cell r="DG155">
            <v>7.2626472626472621E-2</v>
          </cell>
          <cell r="DH155">
            <v>0.13167104111986003</v>
          </cell>
          <cell r="DI155">
            <v>0.11297824456114028</v>
          </cell>
          <cell r="DJ155">
            <v>8.9603590127150343E-2</v>
          </cell>
          <cell r="DK155">
            <v>0.12975582055650198</v>
          </cell>
          <cell r="DL155">
            <v>0.15246443454519326</v>
          </cell>
          <cell r="DM155">
            <v>0.12114633087277464</v>
          </cell>
          <cell r="DN155">
            <v>0.11920722821334888</v>
          </cell>
          <cell r="DO155">
            <v>0.1292752625750026</v>
          </cell>
          <cell r="DP155">
            <v>0.11861408658246368</v>
          </cell>
          <cell r="DQ155">
            <v>0.15421274620401126</v>
          </cell>
          <cell r="DR155">
            <v>0.15904754522360395</v>
          </cell>
          <cell r="DT155">
            <v>0.14465081694641715</v>
          </cell>
        </row>
        <row r="157">
          <cell r="B157" t="str">
            <v>Income (loss) from equity investments</v>
          </cell>
          <cell r="S157">
            <v>162</v>
          </cell>
          <cell r="T157">
            <v>40</v>
          </cell>
          <cell r="U157">
            <v>-165</v>
          </cell>
          <cell r="V157">
            <v>87.986677011494265</v>
          </cell>
          <cell r="W157">
            <v>-37.781946925287393</v>
          </cell>
          <cell r="X157">
            <v>-102.03527565285341</v>
          </cell>
          <cell r="Y157">
            <v>25.230026252772717</v>
          </cell>
          <cell r="Z157">
            <v>3.4070048048613799</v>
          </cell>
          <cell r="AA157">
            <v>21.955851120327615</v>
          </cell>
          <cell r="AB157">
            <v>12.555372524920962</v>
          </cell>
          <cell r="AC157">
            <v>4.1901994996689726</v>
          </cell>
          <cell r="AD157">
            <v>-2.9328101626357643</v>
          </cell>
          <cell r="AE157">
            <v>-16.138076576147682</v>
          </cell>
          <cell r="AF157">
            <v>-35.318605345006674</v>
          </cell>
          <cell r="CU157">
            <v>-13</v>
          </cell>
          <cell r="CV157">
            <v>0</v>
          </cell>
          <cell r="CW157">
            <v>0</v>
          </cell>
          <cell r="CX157">
            <v>0</v>
          </cell>
          <cell r="CY157">
            <v>10</v>
          </cell>
          <cell r="CZ157">
            <v>33</v>
          </cell>
          <cell r="DA157">
            <v>37</v>
          </cell>
          <cell r="DB157">
            <v>7.9866770114942582</v>
          </cell>
          <cell r="DC157">
            <v>27.327930574107686</v>
          </cell>
          <cell r="DD157">
            <v>12.153507398064107</v>
          </cell>
          <cell r="DE157">
            <v>-29.657171270719921</v>
          </cell>
          <cell r="DF157">
            <v>-47.606213626739262</v>
          </cell>
          <cell r="DG157">
            <v>-41.280407887174832</v>
          </cell>
          <cell r="DH157">
            <v>-15.063930820225856</v>
          </cell>
          <cell r="DI157">
            <v>-28.627674518552119</v>
          </cell>
          <cell r="DJ157">
            <v>-17.063262426900611</v>
          </cell>
          <cell r="DK157">
            <v>6.7183336862270533</v>
          </cell>
          <cell r="DL157">
            <v>9.5725711206896431</v>
          </cell>
          <cell r="DM157">
            <v>11.480942087618466</v>
          </cell>
          <cell r="DN157">
            <v>-2.5418206417624445</v>
          </cell>
          <cell r="DO157">
            <v>1.5718512012153401</v>
          </cell>
          <cell r="DP157">
            <v>0.96545120121536065</v>
          </cell>
          <cell r="DQ157">
            <v>0.66225120121534253</v>
          </cell>
          <cell r="DR157">
            <v>0.20745120121533667</v>
          </cell>
          <cell r="DT157">
            <v>5.6082457335147824</v>
          </cell>
        </row>
        <row r="159">
          <cell r="B159" t="str">
            <v>D&amp;A</v>
          </cell>
          <cell r="S159">
            <v>-322</v>
          </cell>
          <cell r="T159">
            <v>-853</v>
          </cell>
          <cell r="U159">
            <v>-749</v>
          </cell>
          <cell r="V159">
            <v>-564</v>
          </cell>
          <cell r="W159">
            <v>-508</v>
          </cell>
          <cell r="X159">
            <v>-560</v>
          </cell>
          <cell r="Y159">
            <v>-580</v>
          </cell>
          <cell r="Z159">
            <v>-594.33357921648826</v>
          </cell>
          <cell r="AA159">
            <v>-606.81208969795887</v>
          </cell>
          <cell r="AB159">
            <v>-607.12561085857828</v>
          </cell>
          <cell r="AC159">
            <v>-607.10965179609377</v>
          </cell>
          <cell r="AD159">
            <v>-606.86679596642989</v>
          </cell>
          <cell r="AE159">
            <v>-606.41009698633457</v>
          </cell>
          <cell r="AF159">
            <v>-602.20819362766542</v>
          </cell>
          <cell r="CU159">
            <v>-191</v>
          </cell>
          <cell r="CV159">
            <v>-236</v>
          </cell>
          <cell r="CW159">
            <v>-197</v>
          </cell>
          <cell r="CX159">
            <v>-206</v>
          </cell>
          <cell r="CY159">
            <v>-200</v>
          </cell>
          <cell r="CZ159">
            <v>-151</v>
          </cell>
          <cell r="DA159">
            <v>-102</v>
          </cell>
          <cell r="DB159">
            <v>-111</v>
          </cell>
          <cell r="DC159">
            <v>-115</v>
          </cell>
          <cell r="DD159">
            <v>-125</v>
          </cell>
          <cell r="DE159">
            <v>-133</v>
          </cell>
          <cell r="DF159">
            <v>-135</v>
          </cell>
          <cell r="DG159">
            <v>-134</v>
          </cell>
          <cell r="DH159">
            <v>-134</v>
          </cell>
          <cell r="DI159">
            <v>-132</v>
          </cell>
          <cell r="DJ159">
            <v>-160</v>
          </cell>
          <cell r="DK159">
            <v>-152</v>
          </cell>
          <cell r="DL159">
            <v>-145</v>
          </cell>
          <cell r="DM159">
            <v>-151</v>
          </cell>
          <cell r="DN159">
            <v>-132</v>
          </cell>
          <cell r="DO159">
            <v>-148.58339480412207</v>
          </cell>
          <cell r="DP159">
            <v>-148.58339480412207</v>
          </cell>
          <cell r="DQ159">
            <v>-148.58339480412207</v>
          </cell>
          <cell r="DR159">
            <v>-148.58339480412207</v>
          </cell>
          <cell r="DT159">
            <v>-145</v>
          </cell>
        </row>
        <row r="160">
          <cell r="B160" t="str">
            <v>% of revenue</v>
          </cell>
          <cell r="S160">
            <v>2.0172910662824207E-2</v>
          </cell>
          <cell r="T160">
            <v>2.8527473997525168E-2</v>
          </cell>
          <cell r="U160">
            <v>4.1576464057729669E-2</v>
          </cell>
          <cell r="V160">
            <v>2.2115045288789555E-2</v>
          </cell>
          <cell r="W160">
            <v>1.671382509705863E-2</v>
          </cell>
          <cell r="X160">
            <v>2.042081464464136E-2</v>
          </cell>
          <cell r="Y160">
            <v>2.0882840066249009E-2</v>
          </cell>
          <cell r="Z160">
            <v>2.1289595131483586E-2</v>
          </cell>
          <cell r="AA160">
            <v>1.7359189361955553E-2</v>
          </cell>
          <cell r="AB160">
            <v>1.6916235594559285E-2</v>
          </cell>
          <cell r="AC160">
            <v>1.7090747733006045E-2</v>
          </cell>
          <cell r="AD160">
            <v>1.721309000886137E-2</v>
          </cell>
          <cell r="AE160">
            <v>1.7330194000126677E-2</v>
          </cell>
          <cell r="AF160">
            <v>1.7292508765543033E-2</v>
          </cell>
          <cell r="CU160">
            <v>5.7931452835911432E-2</v>
          </cell>
          <cell r="CV160">
            <v>5.6096981221773236E-2</v>
          </cell>
          <cell r="CW160">
            <v>3.8971315529179033E-2</v>
          </cell>
          <cell r="CX160">
            <v>3.7756598240469209E-2</v>
          </cell>
          <cell r="CY160">
            <v>3.2578595862518323E-2</v>
          </cell>
          <cell r="CZ160">
            <v>2.3693707829907422E-2</v>
          </cell>
          <cell r="DA160">
            <v>1.5706806282722512E-2</v>
          </cell>
          <cell r="DB160">
            <v>1.7084808373095273E-2</v>
          </cell>
          <cell r="DC160">
            <v>1.5191545574636724E-2</v>
          </cell>
          <cell r="DD160">
            <v>1.5107565868987189E-2</v>
          </cell>
          <cell r="DE160">
            <v>1.7066598229180035E-2</v>
          </cell>
          <cell r="DF160">
            <v>1.9979280745893148E-2</v>
          </cell>
          <cell r="DG160">
            <v>1.8572418572418571E-2</v>
          </cell>
          <cell r="DH160">
            <v>1.9539224263633713E-2</v>
          </cell>
          <cell r="DI160">
            <v>1.9804951237809454E-2</v>
          </cell>
          <cell r="DJ160">
            <v>2.3934181002243829E-2</v>
          </cell>
          <cell r="DK160">
            <v>2.1578648495173196E-2</v>
          </cell>
          <cell r="DL160">
            <v>2.0836327058485416E-2</v>
          </cell>
          <cell r="DM160">
            <v>2.1855550730930672E-2</v>
          </cell>
          <cell r="DN160">
            <v>1.9236374234916934E-2</v>
          </cell>
          <cell r="DO160">
            <v>2.038340146781081E-2</v>
          </cell>
          <cell r="DP160">
            <v>2.042881913019114E-2</v>
          </cell>
          <cell r="DQ160">
            <v>2.1723063138887815E-2</v>
          </cell>
          <cell r="DR160">
            <v>2.2809592913840153E-2</v>
          </cell>
          <cell r="DT160">
            <v>2.1249963326025016E-2</v>
          </cell>
        </row>
        <row r="162">
          <cell r="B162" t="str">
            <v>EBITDA</v>
          </cell>
          <cell r="S162">
            <v>1479</v>
          </cell>
          <cell r="T162">
            <v>450</v>
          </cell>
          <cell r="U162">
            <v>724</v>
          </cell>
          <cell r="V162">
            <v>2537</v>
          </cell>
          <cell r="W162">
            <v>3133</v>
          </cell>
          <cell r="X162">
            <v>3497</v>
          </cell>
          <cell r="Y162">
            <v>4412</v>
          </cell>
          <cell r="Z162">
            <v>4493.6366483854144</v>
          </cell>
          <cell r="AA162">
            <v>4720.3078117773275</v>
          </cell>
          <cell r="AB162">
            <v>4874.9800098272699</v>
          </cell>
          <cell r="AC162">
            <v>4706.1132667775355</v>
          </cell>
          <cell r="AD162">
            <v>4441.5614717213411</v>
          </cell>
          <cell r="AE162">
            <v>2730.4338293402661</v>
          </cell>
          <cell r="AF162">
            <v>2423.8015221690071</v>
          </cell>
          <cell r="CU162">
            <v>3</v>
          </cell>
          <cell r="CV162">
            <v>307</v>
          </cell>
          <cell r="CW162">
            <v>447</v>
          </cell>
          <cell r="CX162">
            <v>231</v>
          </cell>
          <cell r="CY162">
            <v>426</v>
          </cell>
          <cell r="CZ162">
            <v>842</v>
          </cell>
          <cell r="DA162">
            <v>812</v>
          </cell>
          <cell r="DB162">
            <v>457</v>
          </cell>
          <cell r="DC162">
            <v>817</v>
          </cell>
          <cell r="DD162">
            <v>913</v>
          </cell>
          <cell r="DE162">
            <v>934</v>
          </cell>
          <cell r="DF162">
            <v>469</v>
          </cell>
          <cell r="DG162">
            <v>701</v>
          </cell>
          <cell r="DH162">
            <v>1153</v>
          </cell>
          <cell r="DI162">
            <v>824</v>
          </cell>
          <cell r="DJ162">
            <v>819</v>
          </cell>
          <cell r="DK162">
            <v>1123</v>
          </cell>
          <cell r="DL162">
            <v>1246</v>
          </cell>
          <cell r="DM162">
            <v>1045</v>
          </cell>
          <cell r="DN162">
            <v>998</v>
          </cell>
          <cell r="DO162">
            <v>1092.4983288279673</v>
          </cell>
          <cell r="DP162">
            <v>1012.2557672275443</v>
          </cell>
          <cell r="DQ162">
            <v>1204.044097151929</v>
          </cell>
          <cell r="DR162">
            <v>1184.8384551779741</v>
          </cell>
          <cell r="DT162">
            <v>1137.6390530546264</v>
          </cell>
        </row>
        <row r="163">
          <cell r="B163" t="str">
            <v>Margin</v>
          </cell>
          <cell r="S163">
            <v>9.2657561709059019E-2</v>
          </cell>
          <cell r="T163">
            <v>1.5049663890839771E-2</v>
          </cell>
          <cell r="U163">
            <v>4.0188731612545103E-2</v>
          </cell>
          <cell r="V163">
            <v>9.9478492726345916E-2</v>
          </cell>
          <cell r="W163">
            <v>0.10307955517536356</v>
          </cell>
          <cell r="X163">
            <v>0.12752069430769791</v>
          </cell>
          <cell r="Y163">
            <v>0.15885360409015625</v>
          </cell>
          <cell r="Z163">
            <v>0.16096634660663353</v>
          </cell>
          <cell r="AA163">
            <v>0.13503474723476047</v>
          </cell>
          <cell r="AB163">
            <v>0.13583072248983818</v>
          </cell>
          <cell r="AC163">
            <v>0.13248182500063713</v>
          </cell>
          <cell r="AD163">
            <v>0.12597986559946736</v>
          </cell>
          <cell r="AE163">
            <v>7.8031266633150922E-2</v>
          </cell>
          <cell r="AF163">
            <v>6.9599865148893242E-2</v>
          </cell>
          <cell r="CU163">
            <v>9.099181073703367E-4</v>
          </cell>
          <cell r="CV163">
            <v>7.2973615402899927E-2</v>
          </cell>
          <cell r="CW163">
            <v>8.8427299703264101E-2</v>
          </cell>
          <cell r="CX163">
            <v>4.2338709677419352E-2</v>
          </cell>
          <cell r="CY163">
            <v>6.9392409187164036E-2</v>
          </cell>
          <cell r="CZ163">
            <v>0.13211988074690098</v>
          </cell>
          <cell r="DA163">
            <v>0.12503849707422235</v>
          </cell>
          <cell r="DB163">
            <v>7.0340156995536404E-2</v>
          </cell>
          <cell r="DC163">
            <v>0.10792602377807134</v>
          </cell>
          <cell r="DD163">
            <v>0.11034566110708242</v>
          </cell>
          <cell r="DE163">
            <v>0.11985114846657256</v>
          </cell>
          <cell r="DF163">
            <v>6.9409501257954712E-2</v>
          </cell>
          <cell r="DG163">
            <v>9.7158697158697155E-2</v>
          </cell>
          <cell r="DH163">
            <v>0.16812481773111695</v>
          </cell>
          <cell r="DI163">
            <v>0.12363090772693174</v>
          </cell>
          <cell r="DJ163">
            <v>0.1225130890052356</v>
          </cell>
          <cell r="DK163">
            <v>0.15942646223736515</v>
          </cell>
          <cell r="DL163">
            <v>0.17904871389567467</v>
          </cell>
          <cell r="DM163">
            <v>0.15125199015776522</v>
          </cell>
          <cell r="DN163">
            <v>0.14543864762459924</v>
          </cell>
          <cell r="DO163">
            <v>0.14987429832768268</v>
          </cell>
          <cell r="DP163">
            <v>0.13917564617126835</v>
          </cell>
          <cell r="DQ163">
            <v>0.1760326312298722</v>
          </cell>
          <cell r="DR163">
            <v>0.18188898474759491</v>
          </cell>
          <cell r="DT163">
            <v>0.16672267693561821</v>
          </cell>
        </row>
        <row r="165">
          <cell r="B165" t="str">
            <v>Capex</v>
          </cell>
          <cell r="S165">
            <v>-375</v>
          </cell>
          <cell r="T165">
            <v>-710</v>
          </cell>
          <cell r="U165">
            <v>-553</v>
          </cell>
          <cell r="V165">
            <v>-397</v>
          </cell>
          <cell r="W165">
            <v>-660</v>
          </cell>
          <cell r="X165">
            <v>-757.78</v>
          </cell>
          <cell r="Y165">
            <v>-964.11000000000013</v>
          </cell>
          <cell r="Z165">
            <v>-966.78806382742141</v>
          </cell>
          <cell r="AA165">
            <v>-843.90378884589995</v>
          </cell>
          <cell r="AB165">
            <v>-613.08251291034799</v>
          </cell>
          <cell r="AC165">
            <v>-606.80642960888929</v>
          </cell>
          <cell r="AD165">
            <v>-602.25253520281876</v>
          </cell>
          <cell r="AE165">
            <v>-597.73281636452373</v>
          </cell>
          <cell r="AF165">
            <v>-522.37202981295206</v>
          </cell>
          <cell r="CU165">
            <v>-151</v>
          </cell>
          <cell r="CV165">
            <v>-133</v>
          </cell>
          <cell r="CW165">
            <v>-80</v>
          </cell>
          <cell r="CX165">
            <v>-189</v>
          </cell>
          <cell r="CY165">
            <v>-89</v>
          </cell>
          <cell r="CZ165">
            <v>-146</v>
          </cell>
          <cell r="DA165">
            <v>-72</v>
          </cell>
          <cell r="DB165">
            <v>-90</v>
          </cell>
          <cell r="DC165">
            <v>-108</v>
          </cell>
          <cell r="DD165">
            <v>-175</v>
          </cell>
          <cell r="DE165">
            <v>-195</v>
          </cell>
          <cell r="DF165">
            <v>-182</v>
          </cell>
          <cell r="DG165">
            <v>-162</v>
          </cell>
          <cell r="DH165">
            <v>-174</v>
          </cell>
          <cell r="DI165">
            <v>-186</v>
          </cell>
          <cell r="DJ165">
            <v>-200</v>
          </cell>
          <cell r="DK165">
            <v>-185</v>
          </cell>
          <cell r="DL165">
            <v>-168</v>
          </cell>
          <cell r="DM165">
            <v>-262</v>
          </cell>
          <cell r="DN165">
            <v>-133.34391752581442</v>
          </cell>
          <cell r="DO165">
            <v>-152.4597287139319</v>
          </cell>
          <cell r="DP165">
            <v>-152.4597287139319</v>
          </cell>
          <cell r="DQ165">
            <v>-152.4597287139319</v>
          </cell>
          <cell r="DR165">
            <v>-152.4597287139319</v>
          </cell>
          <cell r="DT165">
            <v>0</v>
          </cell>
        </row>
        <row r="166">
          <cell r="B166" t="str">
            <v>% of revenue</v>
          </cell>
          <cell r="S166">
            <v>2.349329657937602E-2</v>
          </cell>
          <cell r="T166">
            <v>2.3745025249991638E-2</v>
          </cell>
          <cell r="U166">
            <v>3.0696641687482654E-2</v>
          </cell>
          <cell r="V166">
            <v>1.556679606320825E-2</v>
          </cell>
          <cell r="W166">
            <v>2.1714812133973811E-2</v>
          </cell>
          <cell r="X166">
            <v>2.7633008788243443E-2</v>
          </cell>
          <cell r="Y166">
            <v>3.4712680924605749E-2</v>
          </cell>
          <cell r="Z166">
            <v>3.4631269671773747E-2</v>
          </cell>
          <cell r="AA166">
            <v>2.4141716888237217E-2</v>
          </cell>
          <cell r="AB166">
            <v>1.7082211723253554E-2</v>
          </cell>
          <cell r="AC166">
            <v>1.7082211723253554E-2</v>
          </cell>
          <cell r="AD166">
            <v>1.7082211723253554E-2</v>
          </cell>
          <cell r="AE166">
            <v>1.7082211723253554E-2</v>
          </cell>
          <cell r="AF166">
            <v>1.4999999999999999E-2</v>
          </cell>
          <cell r="CU166">
            <v>4.5799211404306948E-2</v>
          </cell>
          <cell r="CV166">
            <v>3.1613976705490848E-2</v>
          </cell>
          <cell r="CW166">
            <v>1.582591493570722E-2</v>
          </cell>
          <cell r="CX166">
            <v>3.4640762463343105E-2</v>
          </cell>
          <cell r="CY166">
            <v>1.4497475158820656E-2</v>
          </cell>
          <cell r="CZ166">
            <v>2.2909147967989957E-2</v>
          </cell>
          <cell r="DA166">
            <v>1.108715737603942E-2</v>
          </cell>
          <cell r="DB166">
            <v>1.3852547329536708E-2</v>
          </cell>
          <cell r="DC166">
            <v>1.4266842800528402E-2</v>
          </cell>
          <cell r="DD166">
            <v>2.1150592216582064E-2</v>
          </cell>
          <cell r="DE166">
            <v>2.5022456050301553E-2</v>
          </cell>
          <cell r="DF166">
            <v>2.69350303389078E-2</v>
          </cell>
          <cell r="DG166">
            <v>2.2453222453222454E-2</v>
          </cell>
          <cell r="DH166">
            <v>2.5371828521434821E-2</v>
          </cell>
          <cell r="DI166">
            <v>2.7906976744186046E-2</v>
          </cell>
          <cell r="DJ166">
            <v>2.9917726252804786E-2</v>
          </cell>
          <cell r="DK166">
            <v>2.6263486655309483E-2</v>
          </cell>
          <cell r="DL166">
            <v>2.4141399626383103E-2</v>
          </cell>
          <cell r="DM166">
            <v>3.7921551599363147E-2</v>
          </cell>
          <cell r="DN166">
            <v>1.9432223480882312E-2</v>
          </cell>
          <cell r="DO166">
            <v>2.0915176033946586E-2</v>
          </cell>
          <cell r="DP166">
            <v>2.0961778579907081E-2</v>
          </cell>
          <cell r="DQ166">
            <v>2.2289787612919516E-2</v>
          </cell>
          <cell r="DR166">
            <v>2.3404663437012932E-2</v>
          </cell>
          <cell r="DT166">
            <v>0</v>
          </cell>
        </row>
        <row r="168">
          <cell r="B168" t="str">
            <v>PP&amp;E, net</v>
          </cell>
          <cell r="S168" t="str">
            <v>ND</v>
          </cell>
          <cell r="T168">
            <v>8008</v>
          </cell>
          <cell r="U168">
            <v>7285</v>
          </cell>
          <cell r="V168">
            <v>7118</v>
          </cell>
          <cell r="W168">
            <v>7270</v>
          </cell>
          <cell r="X168">
            <v>7467.7800000000007</v>
          </cell>
          <cell r="Y168">
            <v>7851.8900000000012</v>
          </cell>
          <cell r="Z168">
            <v>8224.3444846109342</v>
          </cell>
          <cell r="AA168">
            <v>8461.4361837588749</v>
          </cell>
          <cell r="AB168">
            <v>8467.3930858106451</v>
          </cell>
          <cell r="AC168">
            <v>8467.0898636234415</v>
          </cell>
          <cell r="AD168">
            <v>8462.4756028598313</v>
          </cell>
          <cell r="AE168">
            <v>8453.798322238019</v>
          </cell>
          <cell r="AF168">
            <v>8373.9621584233064</v>
          </cell>
          <cell r="CU168" t="str">
            <v>ND</v>
          </cell>
          <cell r="CV168" t="str">
            <v>ND</v>
          </cell>
          <cell r="CW168" t="str">
            <v>ND</v>
          </cell>
          <cell r="CX168" t="str">
            <v>ND</v>
          </cell>
          <cell r="CY168" t="str">
            <v>ND</v>
          </cell>
          <cell r="CZ168" t="str">
            <v>ND</v>
          </cell>
          <cell r="DA168" t="str">
            <v>ND</v>
          </cell>
          <cell r="DB168" t="str">
            <v>ND</v>
          </cell>
          <cell r="DC168" t="str">
            <v>ND</v>
          </cell>
          <cell r="DD168" t="str">
            <v>ND</v>
          </cell>
          <cell r="DE168" t="str">
            <v>ND</v>
          </cell>
          <cell r="DF168" t="str">
            <v>ND</v>
          </cell>
          <cell r="DG168" t="str">
            <v>ND</v>
          </cell>
          <cell r="DH168" t="str">
            <v>ND</v>
          </cell>
          <cell r="DI168" t="str">
            <v>ND</v>
          </cell>
          <cell r="DJ168" t="str">
            <v>ND</v>
          </cell>
          <cell r="DK168" t="str">
            <v>ND</v>
          </cell>
          <cell r="DL168" t="str">
            <v>ND</v>
          </cell>
          <cell r="DM168" t="str">
            <v>ND</v>
          </cell>
          <cell r="DN168" t="str">
            <v>ND</v>
          </cell>
          <cell r="DO168" t="str">
            <v>ND</v>
          </cell>
          <cell r="DP168" t="str">
            <v>ND</v>
          </cell>
          <cell r="DQ168" t="str">
            <v>ND</v>
          </cell>
          <cell r="DR168" t="str">
            <v>ND</v>
          </cell>
          <cell r="DT168" t="str">
            <v>ND</v>
          </cell>
        </row>
        <row r="169">
          <cell r="B169" t="str">
            <v>Asset turnover</v>
          </cell>
          <cell r="T169">
            <v>3.7338911088911089</v>
          </cell>
          <cell r="U169">
            <v>2.4728894989704875</v>
          </cell>
          <cell r="V169">
            <v>3.5828884518123068</v>
          </cell>
          <cell r="W169">
            <v>4.1807427785419531</v>
          </cell>
          <cell r="X169">
            <v>3.6721756666639882</v>
          </cell>
          <cell r="Y169">
            <v>3.5372375313459554</v>
          </cell>
          <cell r="Z169">
            <v>3.3943886985706069</v>
          </cell>
          <cell r="AA169">
            <v>4.1312426177390451</v>
          </cell>
          <cell r="AB169">
            <v>4.2386260875099628</v>
          </cell>
          <cell r="AC169">
            <v>4.1953858044381027</v>
          </cell>
          <cell r="AD169">
            <v>4.1661711468166853</v>
          </cell>
          <cell r="AE169">
            <v>4.1391495366229982</v>
          </cell>
          <cell r="AF169">
            <v>4.1587006638787027</v>
          </cell>
          <cell r="CU169" t="str">
            <v>NM</v>
          </cell>
          <cell r="CV169" t="str">
            <v>NM</v>
          </cell>
          <cell r="CW169" t="str">
            <v>NM</v>
          </cell>
          <cell r="CX169" t="str">
            <v>NM</v>
          </cell>
          <cell r="CY169" t="str">
            <v>NM</v>
          </cell>
          <cell r="CZ169" t="str">
            <v>NM</v>
          </cell>
          <cell r="DA169" t="str">
            <v>NM</v>
          </cell>
          <cell r="DB169" t="str">
            <v>NM</v>
          </cell>
          <cell r="DC169" t="str">
            <v>NM</v>
          </cell>
          <cell r="DD169" t="str">
            <v>NM</v>
          </cell>
          <cell r="DE169" t="str">
            <v>NM</v>
          </cell>
          <cell r="DF169" t="str">
            <v>NM</v>
          </cell>
          <cell r="DG169" t="str">
            <v>NM</v>
          </cell>
          <cell r="DH169" t="str">
            <v>NM</v>
          </cell>
          <cell r="DI169" t="str">
            <v>NM</v>
          </cell>
          <cell r="DJ169" t="str">
            <v>NM</v>
          </cell>
          <cell r="DK169" t="str">
            <v>NM</v>
          </cell>
          <cell r="DL169" t="str">
            <v>NM</v>
          </cell>
          <cell r="DM169" t="str">
            <v>NM</v>
          </cell>
          <cell r="DN169" t="str">
            <v>NM</v>
          </cell>
          <cell r="DO169" t="str">
            <v>NM</v>
          </cell>
          <cell r="DP169" t="str">
            <v>NM</v>
          </cell>
          <cell r="DQ169" t="str">
            <v>NM</v>
          </cell>
          <cell r="DR169" t="str">
            <v>NM</v>
          </cell>
          <cell r="DT169" t="str">
            <v>NM</v>
          </cell>
        </row>
        <row r="171">
          <cell r="B171" t="str">
            <v>Equity and other investments</v>
          </cell>
          <cell r="S171" t="str">
            <v>ND</v>
          </cell>
          <cell r="T171">
            <v>1101</v>
          </cell>
          <cell r="U171">
            <v>986</v>
          </cell>
          <cell r="V171">
            <v>0</v>
          </cell>
          <cell r="W171">
            <v>0</v>
          </cell>
          <cell r="X171">
            <v>0</v>
          </cell>
          <cell r="Y171">
            <v>0</v>
          </cell>
          <cell r="Z171">
            <v>0</v>
          </cell>
          <cell r="AA171">
            <v>0</v>
          </cell>
          <cell r="AB171">
            <v>0</v>
          </cell>
          <cell r="AC171">
            <v>0</v>
          </cell>
          <cell r="AD171">
            <v>0</v>
          </cell>
          <cell r="AE171">
            <v>0</v>
          </cell>
          <cell r="AF171">
            <v>0</v>
          </cell>
          <cell r="CU171" t="str">
            <v>ND</v>
          </cell>
          <cell r="CV171" t="str">
            <v>ND</v>
          </cell>
          <cell r="CW171" t="str">
            <v>ND</v>
          </cell>
          <cell r="CX171" t="str">
            <v>ND</v>
          </cell>
          <cell r="CY171" t="str">
            <v>ND</v>
          </cell>
          <cell r="CZ171" t="str">
            <v>ND</v>
          </cell>
          <cell r="DA171" t="str">
            <v>ND</v>
          </cell>
          <cell r="DB171" t="str">
            <v>ND</v>
          </cell>
          <cell r="DC171" t="str">
            <v>ND</v>
          </cell>
          <cell r="DD171" t="str">
            <v>ND</v>
          </cell>
          <cell r="DE171" t="str">
            <v>ND</v>
          </cell>
          <cell r="DF171" t="str">
            <v>ND</v>
          </cell>
          <cell r="DG171" t="str">
            <v>ND</v>
          </cell>
          <cell r="DH171" t="str">
            <v>ND</v>
          </cell>
          <cell r="DI171" t="str">
            <v>ND</v>
          </cell>
          <cell r="DJ171" t="str">
            <v>ND</v>
          </cell>
          <cell r="DK171" t="str">
            <v>ND</v>
          </cell>
          <cell r="DL171" t="str">
            <v>ND</v>
          </cell>
          <cell r="DM171" t="str">
            <v>ND</v>
          </cell>
          <cell r="DN171" t="str">
            <v>ND</v>
          </cell>
          <cell r="DO171" t="str">
            <v>ND</v>
          </cell>
          <cell r="DP171" t="str">
            <v>ND</v>
          </cell>
          <cell r="DQ171" t="str">
            <v>ND</v>
          </cell>
          <cell r="DR171" t="str">
            <v>ND</v>
          </cell>
          <cell r="DT171" t="str">
            <v>ND</v>
          </cell>
        </row>
        <row r="173">
          <cell r="B173" t="str">
            <v>Intermediates &amp; Derivatives (restated)</v>
          </cell>
          <cell r="C173">
            <v>1991</v>
          </cell>
          <cell r="D173">
            <v>1992</v>
          </cell>
          <cell r="E173">
            <v>1993</v>
          </cell>
          <cell r="F173">
            <v>1994</v>
          </cell>
          <cell r="G173">
            <v>1995</v>
          </cell>
          <cell r="H173">
            <v>1996</v>
          </cell>
          <cell r="I173">
            <v>1997</v>
          </cell>
          <cell r="J173">
            <v>1998</v>
          </cell>
          <cell r="K173">
            <v>1999</v>
          </cell>
          <cell r="L173">
            <v>2000</v>
          </cell>
          <cell r="M173">
            <v>2001</v>
          </cell>
          <cell r="N173">
            <v>2002</v>
          </cell>
          <cell r="O173">
            <v>2003</v>
          </cell>
          <cell r="P173">
            <v>2004</v>
          </cell>
          <cell r="Q173">
            <v>2005</v>
          </cell>
          <cell r="R173">
            <v>2006</v>
          </cell>
          <cell r="S173">
            <v>2007</v>
          </cell>
          <cell r="T173">
            <v>2008</v>
          </cell>
          <cell r="U173" t="str">
            <v>2009</v>
          </cell>
          <cell r="V173" t="str">
            <v>2010</v>
          </cell>
          <cell r="W173" t="str">
            <v>2011</v>
          </cell>
          <cell r="X173" t="str">
            <v>2012</v>
          </cell>
          <cell r="Y173" t="str">
            <v>2013e</v>
          </cell>
          <cell r="Z173" t="str">
            <v>2014e</v>
          </cell>
          <cell r="AA173" t="str">
            <v>2015e</v>
          </cell>
          <cell r="AB173" t="str">
            <v>2016e</v>
          </cell>
          <cell r="AC173" t="str">
            <v>2017e</v>
          </cell>
          <cell r="AD173" t="str">
            <v>2018e</v>
          </cell>
          <cell r="AE173" t="str">
            <v>2019e</v>
          </cell>
          <cell r="AF173" t="str">
            <v>2020e</v>
          </cell>
          <cell r="AI173" t="str">
            <v>1993q1</v>
          </cell>
          <cell r="AJ173" t="str">
            <v>1993q2</v>
          </cell>
          <cell r="AK173" t="str">
            <v>1993q3</v>
          </cell>
          <cell r="AL173" t="str">
            <v>1993q4</v>
          </cell>
          <cell r="AM173" t="str">
            <v>1994q1</v>
          </cell>
          <cell r="AN173" t="str">
            <v>1994q2</v>
          </cell>
          <cell r="AO173" t="str">
            <v>1994q3</v>
          </cell>
          <cell r="AP173" t="str">
            <v>1994q4</v>
          </cell>
          <cell r="AQ173" t="str">
            <v>1995q1</v>
          </cell>
          <cell r="AR173" t="str">
            <v>1995q2</v>
          </cell>
          <cell r="AS173" t="str">
            <v>1995q3</v>
          </cell>
          <cell r="AT173" t="str">
            <v>1995q4</v>
          </cell>
          <cell r="AU173" t="str">
            <v>1996q1</v>
          </cell>
          <cell r="AV173" t="str">
            <v>1996q2</v>
          </cell>
          <cell r="AW173" t="str">
            <v>1996q3</v>
          </cell>
          <cell r="AX173" t="str">
            <v>1996q4</v>
          </cell>
          <cell r="AY173" t="str">
            <v>1997q1</v>
          </cell>
          <cell r="AZ173" t="str">
            <v>1997q2</v>
          </cell>
          <cell r="BA173" t="str">
            <v>1997q3</v>
          </cell>
          <cell r="BB173" t="str">
            <v>1997q4</v>
          </cell>
          <cell r="BC173" t="str">
            <v>1998q1</v>
          </cell>
          <cell r="BD173" t="str">
            <v>1998q2</v>
          </cell>
          <cell r="BE173" t="str">
            <v>1998q3</v>
          </cell>
          <cell r="BF173" t="str">
            <v>1998q4</v>
          </cell>
          <cell r="BG173" t="str">
            <v>1999q1</v>
          </cell>
          <cell r="BH173" t="str">
            <v>1999q2</v>
          </cell>
          <cell r="BI173" t="str">
            <v>1999q3</v>
          </cell>
          <cell r="BJ173" t="str">
            <v>1999q4</v>
          </cell>
          <cell r="BK173" t="str">
            <v>2000q1</v>
          </cell>
          <cell r="BL173" t="str">
            <v>2000q2</v>
          </cell>
          <cell r="BM173" t="str">
            <v>2000q3</v>
          </cell>
          <cell r="BN173" t="str">
            <v>2000q4</v>
          </cell>
          <cell r="BO173" t="str">
            <v>2001q1</v>
          </cell>
          <cell r="BP173" t="str">
            <v>2001q2</v>
          </cell>
          <cell r="BQ173" t="str">
            <v>2001q3</v>
          </cell>
          <cell r="BR173" t="str">
            <v>2001q4</v>
          </cell>
          <cell r="BS173" t="str">
            <v>2002q1</v>
          </cell>
          <cell r="BT173" t="str">
            <v>2002q2</v>
          </cell>
          <cell r="BU173" t="str">
            <v>2002q3</v>
          </cell>
          <cell r="BV173" t="str">
            <v>2002q4</v>
          </cell>
          <cell r="BW173" t="str">
            <v>2003q1</v>
          </cell>
          <cell r="BX173" t="str">
            <v>2003q2</v>
          </cell>
          <cell r="BY173" t="str">
            <v>2003q3</v>
          </cell>
          <cell r="BZ173" t="str">
            <v>2003q4</v>
          </cell>
          <cell r="CA173" t="str">
            <v>2004q1</v>
          </cell>
          <cell r="CB173" t="str">
            <v>2004q2</v>
          </cell>
          <cell r="CC173" t="str">
            <v>2004q3</v>
          </cell>
          <cell r="CD173" t="str">
            <v>2004q4</v>
          </cell>
          <cell r="CE173" t="str">
            <v>2005q1</v>
          </cell>
          <cell r="CF173" t="str">
            <v>2005q2</v>
          </cell>
          <cell r="CG173" t="str">
            <v>2005q3</v>
          </cell>
          <cell r="CH173" t="str">
            <v>2005q4</v>
          </cell>
          <cell r="CI173" t="str">
            <v>2006q1</v>
          </cell>
          <cell r="CJ173" t="str">
            <v>2006q2</v>
          </cell>
          <cell r="CK173" t="str">
            <v>2006q3</v>
          </cell>
          <cell r="CL173" t="str">
            <v>2006q4</v>
          </cell>
          <cell r="CM173" t="str">
            <v>2007q1</v>
          </cell>
          <cell r="CN173" t="str">
            <v>2007q2</v>
          </cell>
          <cell r="CO173" t="str">
            <v>2007q3</v>
          </cell>
          <cell r="CP173" t="str">
            <v>2007q4</v>
          </cell>
          <cell r="CQ173" t="str">
            <v>2008q1</v>
          </cell>
          <cell r="CR173" t="str">
            <v>2008q2</v>
          </cell>
          <cell r="CS173" t="str">
            <v>2008q3</v>
          </cell>
          <cell r="CT173" t="str">
            <v>2008q4</v>
          </cell>
          <cell r="CU173" t="str">
            <v>2009q1</v>
          </cell>
          <cell r="CV173" t="str">
            <v>2009q2</v>
          </cell>
          <cell r="CW173" t="str">
            <v>2009q3</v>
          </cell>
          <cell r="CX173" t="str">
            <v>2009q4</v>
          </cell>
          <cell r="CY173" t="str">
            <v>2010q1</v>
          </cell>
          <cell r="CZ173" t="str">
            <v>2010q2</v>
          </cell>
          <cell r="DA173" t="str">
            <v>2010q3</v>
          </cell>
          <cell r="DB173" t="str">
            <v>2010q4</v>
          </cell>
          <cell r="DC173" t="str">
            <v>2011q1</v>
          </cell>
          <cell r="DD173" t="str">
            <v>2011q2</v>
          </cell>
          <cell r="DE173" t="str">
            <v>2011q3</v>
          </cell>
          <cell r="DF173" t="str">
            <v>2011q4</v>
          </cell>
          <cell r="DG173" t="str">
            <v>2012q1</v>
          </cell>
          <cell r="DH173" t="str">
            <v>2012q2</v>
          </cell>
          <cell r="DI173" t="str">
            <v>2012q3</v>
          </cell>
          <cell r="DJ173" t="str">
            <v>2012q4e</v>
          </cell>
          <cell r="DK173" t="str">
            <v>2013q1e</v>
          </cell>
          <cell r="DL173" t="str">
            <v>2013q2e</v>
          </cell>
          <cell r="DM173" t="str">
            <v>2013q3e</v>
          </cell>
          <cell r="DN173" t="str">
            <v>2013q4e</v>
          </cell>
          <cell r="DO173" t="str">
            <v>2014q1e</v>
          </cell>
          <cell r="DP173" t="str">
            <v>2014q2e</v>
          </cell>
          <cell r="DQ173" t="str">
            <v>2014q3e</v>
          </cell>
          <cell r="DR173" t="str">
            <v>2014q4e</v>
          </cell>
          <cell r="DT173" t="str">
            <v>2013q2e</v>
          </cell>
        </row>
        <row r="175">
          <cell r="B175" t="str">
            <v>OxyFuels Revenue</v>
          </cell>
          <cell r="V175">
            <v>-5574</v>
          </cell>
          <cell r="W175">
            <v>3114</v>
          </cell>
          <cell r="X175">
            <v>3204.7697342390888</v>
          </cell>
          <cell r="Y175">
            <v>3147.9491198205933</v>
          </cell>
          <cell r="Z175">
            <v>3131.3526507510314</v>
          </cell>
          <cell r="AA175">
            <v>2945.4293224360381</v>
          </cell>
          <cell r="AB175">
            <v>2821.737878679699</v>
          </cell>
          <cell r="AC175">
            <v>2744.5425281648436</v>
          </cell>
          <cell r="AD175">
            <v>2682.8436656549084</v>
          </cell>
          <cell r="AE175">
            <v>2652.0177112341912</v>
          </cell>
          <cell r="AF175">
            <v>2621.2036269379441</v>
          </cell>
          <cell r="DC175">
            <v>693</v>
          </cell>
          <cell r="DD175">
            <v>779</v>
          </cell>
          <cell r="DE175">
            <v>894</v>
          </cell>
          <cell r="DF175">
            <v>748</v>
          </cell>
          <cell r="DG175">
            <v>786</v>
          </cell>
          <cell r="DH175">
            <v>696.40649452269167</v>
          </cell>
          <cell r="DI175">
            <v>938.86021505376345</v>
          </cell>
          <cell r="DJ175">
            <v>783.50302466263383</v>
          </cell>
          <cell r="DK175">
            <v>721.79154929577464</v>
          </cell>
          <cell r="DL175">
            <v>675.68192488262912</v>
          </cell>
          <cell r="DM175">
            <v>872.99402628434893</v>
          </cell>
          <cell r="DN175">
            <v>877.48161935784094</v>
          </cell>
          <cell r="DO175">
            <v>706.4074186861269</v>
          </cell>
          <cell r="DP175">
            <v>713.65923149329365</v>
          </cell>
          <cell r="DQ175">
            <v>853.23819223769863</v>
          </cell>
          <cell r="DR175">
            <v>858.04780833391203</v>
          </cell>
          <cell r="DT175">
            <v>660.52311672436383</v>
          </cell>
        </row>
        <row r="176">
          <cell r="B176" t="str">
            <v>Oxyfuels EBITDA</v>
          </cell>
          <cell r="V176">
            <v>-828</v>
          </cell>
          <cell r="W176">
            <v>373</v>
          </cell>
          <cell r="X176">
            <v>491.29333333333335</v>
          </cell>
          <cell r="Y176">
            <v>272.79666666666668</v>
          </cell>
          <cell r="Z176">
            <v>230.06886666666665</v>
          </cell>
          <cell r="AA176">
            <v>190.00000000000006</v>
          </cell>
          <cell r="AB176">
            <v>150.66666666666671</v>
          </cell>
          <cell r="AC176">
            <v>150.66666666666671</v>
          </cell>
          <cell r="AD176">
            <v>150.66666666666671</v>
          </cell>
          <cell r="AE176">
            <v>150.66666666666671</v>
          </cell>
          <cell r="AF176">
            <v>150.66666666666671</v>
          </cell>
          <cell r="DC176">
            <v>50</v>
          </cell>
          <cell r="DD176">
            <v>142</v>
          </cell>
          <cell r="DE176">
            <v>118</v>
          </cell>
          <cell r="DF176">
            <v>63</v>
          </cell>
          <cell r="DG176">
            <v>136</v>
          </cell>
          <cell r="DH176">
            <v>130.1</v>
          </cell>
          <cell r="DI176">
            <v>184.97</v>
          </cell>
          <cell r="DJ176">
            <v>40.223333333333301</v>
          </cell>
          <cell r="DK176">
            <v>96.47</v>
          </cell>
          <cell r="DL176">
            <v>64.02000000000001</v>
          </cell>
          <cell r="DM176">
            <v>60.873333333333328</v>
          </cell>
          <cell r="DN176">
            <v>51.433333333333337</v>
          </cell>
          <cell r="DO176">
            <v>84.091799999999992</v>
          </cell>
          <cell r="DP176">
            <v>53.588800000000006</v>
          </cell>
          <cell r="DQ176">
            <v>50.630933333333331</v>
          </cell>
          <cell r="DR176">
            <v>41.757333333333328</v>
          </cell>
          <cell r="DT176">
            <v>67.166666666666657</v>
          </cell>
        </row>
        <row r="178">
          <cell r="B178" t="str">
            <v>Methanol Revenue</v>
          </cell>
          <cell r="Y178">
            <v>0</v>
          </cell>
          <cell r="Z178">
            <v>333.56162495655781</v>
          </cell>
          <cell r="AA178">
            <v>314.43264288019606</v>
          </cell>
          <cell r="AB178">
            <v>301.67998816262156</v>
          </cell>
          <cell r="AC178">
            <v>293.70957896413756</v>
          </cell>
          <cell r="AD178">
            <v>287.3332516053502</v>
          </cell>
          <cell r="AE178">
            <v>284.1450879259566</v>
          </cell>
          <cell r="AF178">
            <v>280.95692424656295</v>
          </cell>
          <cell r="DO178">
            <v>75.775944476130036</v>
          </cell>
          <cell r="DP178">
            <v>89.431609291443863</v>
          </cell>
          <cell r="DQ178">
            <v>82.604093686242408</v>
          </cell>
          <cell r="DR178">
            <v>85.749977502741501</v>
          </cell>
        </row>
        <row r="179">
          <cell r="B179" t="str">
            <v>Price (c/gal)</v>
          </cell>
          <cell r="U179">
            <v>76.102621981013527</v>
          </cell>
          <cell r="V179">
            <v>110.82198624877844</v>
          </cell>
          <cell r="W179">
            <v>131.14925834147704</v>
          </cell>
          <cell r="X179">
            <v>130.93510836939831</v>
          </cell>
          <cell r="Y179">
            <v>138.375</v>
          </cell>
          <cell r="Z179">
            <v>133.18249998265463</v>
          </cell>
          <cell r="AA179">
            <v>125.54479389045939</v>
          </cell>
          <cell r="AB179">
            <v>120.4529898289959</v>
          </cell>
          <cell r="AC179">
            <v>117.27061229058121</v>
          </cell>
          <cell r="AD179">
            <v>114.72471025984946</v>
          </cell>
          <cell r="AE179">
            <v>113.45175924448358</v>
          </cell>
          <cell r="AF179">
            <v>112.17880822911771</v>
          </cell>
          <cell r="AM179">
            <v>50.549706826748562</v>
          </cell>
          <cell r="AN179">
            <v>60.636636185955609</v>
          </cell>
          <cell r="AO179">
            <v>90.245417422867519</v>
          </cell>
          <cell r="AP179">
            <v>137.88027013821022</v>
          </cell>
          <cell r="AQ179">
            <v>131.0533749825492</v>
          </cell>
          <cell r="AR179">
            <v>50.818180231746467</v>
          </cell>
          <cell r="AS179">
            <v>43.377631578947359</v>
          </cell>
          <cell r="AT179">
            <v>34.134475778305188</v>
          </cell>
          <cell r="AU179">
            <v>38.468403601842809</v>
          </cell>
          <cell r="AV179">
            <v>38.468403601842809</v>
          </cell>
          <cell r="AW179">
            <v>45.372005444646092</v>
          </cell>
          <cell r="AX179">
            <v>46.939013481980808</v>
          </cell>
          <cell r="AY179">
            <v>53.640347096188748</v>
          </cell>
          <cell r="AZ179">
            <v>58.297082228116714</v>
          </cell>
          <cell r="BA179">
            <v>58.335435571687832</v>
          </cell>
          <cell r="BB179">
            <v>58.335435571687832</v>
          </cell>
          <cell r="BC179">
            <v>52.965967471729726</v>
          </cell>
          <cell r="BD179">
            <v>33.444115594024865</v>
          </cell>
          <cell r="BE179">
            <v>32.523635348317747</v>
          </cell>
          <cell r="BF179">
            <v>32.408575317604353</v>
          </cell>
          <cell r="BG179">
            <v>28.34312089906464</v>
          </cell>
          <cell r="BH179">
            <v>30.030668016194323</v>
          </cell>
          <cell r="BI179">
            <v>36.243909674717287</v>
          </cell>
          <cell r="BJ179">
            <v>38.368684908557867</v>
          </cell>
          <cell r="BK179">
            <v>35.829693564149096</v>
          </cell>
          <cell r="BL179">
            <v>41.153137651821858</v>
          </cell>
          <cell r="BM179">
            <v>59.378646516822556</v>
          </cell>
          <cell r="BN179">
            <v>68.598790311322063</v>
          </cell>
          <cell r="BO179">
            <v>75.563757503839156</v>
          </cell>
          <cell r="BP179">
            <v>78.754755688957133</v>
          </cell>
          <cell r="BQ179">
            <v>59.831215970961892</v>
          </cell>
          <cell r="BR179">
            <v>39.304506491693438</v>
          </cell>
          <cell r="BS179">
            <v>36.81153915957001</v>
          </cell>
          <cell r="BT179">
            <v>41.60570710596118</v>
          </cell>
          <cell r="BU179">
            <v>58.135998185117955</v>
          </cell>
          <cell r="BV179">
            <v>61.170295566502453</v>
          </cell>
          <cell r="BW179">
            <v>68.473502722323047</v>
          </cell>
          <cell r="BX179">
            <v>81.286076364651677</v>
          </cell>
          <cell r="BY179">
            <v>77.253496240601521</v>
          </cell>
          <cell r="BZ179">
            <v>68.959311740890698</v>
          </cell>
          <cell r="CA179">
            <v>71.567339103727491</v>
          </cell>
          <cell r="CB179">
            <v>75.195565405556337</v>
          </cell>
          <cell r="CC179">
            <v>83.119366187351659</v>
          </cell>
          <cell r="CD179">
            <v>88.059276839313142</v>
          </cell>
          <cell r="CE179">
            <v>94.234165154264971</v>
          </cell>
          <cell r="CF179">
            <v>94.732758620689665</v>
          </cell>
          <cell r="CG179">
            <v>91.779551165712633</v>
          </cell>
          <cell r="CH179">
            <v>94.924525338545308</v>
          </cell>
          <cell r="CI179">
            <v>104.51286123132766</v>
          </cell>
          <cell r="CJ179">
            <v>103.63073432919165</v>
          </cell>
          <cell r="CK179">
            <v>113.4491902834008</v>
          </cell>
          <cell r="CL179">
            <v>168.40953162082928</v>
          </cell>
          <cell r="CM179">
            <v>166.84471520312712</v>
          </cell>
          <cell r="CN179">
            <v>104.53587323747033</v>
          </cell>
          <cell r="CO179">
            <v>93.428744939271269</v>
          </cell>
          <cell r="CP179">
            <v>189.23539717995251</v>
          </cell>
          <cell r="CQ179">
            <v>228.77769440178702</v>
          </cell>
          <cell r="CR179">
            <v>158.43766229233557</v>
          </cell>
          <cell r="CS179">
            <v>156.05975499092557</v>
          </cell>
          <cell r="CT179">
            <v>141.56219112103864</v>
          </cell>
          <cell r="CU179">
            <v>71.452279073014083</v>
          </cell>
          <cell r="CV179">
            <v>59.831215970961892</v>
          </cell>
          <cell r="CW179">
            <v>72.717939410861362</v>
          </cell>
          <cell r="CX179">
            <v>100.4090534692168</v>
          </cell>
          <cell r="CY179">
            <v>108.69337568058077</v>
          </cell>
          <cell r="CZ179">
            <v>104.62792126204106</v>
          </cell>
          <cell r="DA179">
            <v>105.47169482060588</v>
          </cell>
          <cell r="DB179">
            <v>124.49495323188611</v>
          </cell>
          <cell r="DC179">
            <v>128.67546768113917</v>
          </cell>
          <cell r="DD179">
            <v>126.64274047186932</v>
          </cell>
          <cell r="DE179">
            <v>133.08610219181909</v>
          </cell>
          <cell r="DF179">
            <v>136.19272302108055</v>
          </cell>
          <cell r="DG179">
            <v>133.66140234538602</v>
          </cell>
          <cell r="DH179">
            <v>134.35176252966633</v>
          </cell>
          <cell r="DI179">
            <v>132.12726860254085</v>
          </cell>
          <cell r="DJ179">
            <v>123.6</v>
          </cell>
          <cell r="DK179">
            <v>128</v>
          </cell>
          <cell r="DL179">
            <v>140.6</v>
          </cell>
          <cell r="DM179">
            <v>139.80000000000001</v>
          </cell>
          <cell r="DN179">
            <v>145.1</v>
          </cell>
          <cell r="DO179">
            <v>121.021472121587</v>
          </cell>
          <cell r="DP179">
            <v>142.83088235294119</v>
          </cell>
          <cell r="DQ179">
            <v>131.92668320125827</v>
          </cell>
          <cell r="DR179">
            <v>136.95096225483215</v>
          </cell>
          <cell r="DT179">
            <v>132.12726860254085</v>
          </cell>
        </row>
        <row r="180">
          <cell r="B180" t="str">
            <v>Methanol EBITDA</v>
          </cell>
          <cell r="Y180">
            <v>0</v>
          </cell>
          <cell r="Z180">
            <v>246.50894994786938</v>
          </cell>
          <cell r="AA180">
            <v>212.49917145623527</v>
          </cell>
          <cell r="AB180">
            <v>189.15598579514588</v>
          </cell>
          <cell r="AC180">
            <v>173.56149475696506</v>
          </cell>
          <cell r="AD180">
            <v>157.86990192642023</v>
          </cell>
          <cell r="AE180">
            <v>143.99410551114792</v>
          </cell>
          <cell r="AF180">
            <v>128.10830909587551</v>
          </cell>
          <cell r="DO180">
            <v>53.24363337135604</v>
          </cell>
          <cell r="DP180">
            <v>69.63043114973263</v>
          </cell>
          <cell r="DQ180">
            <v>60.934912423490886</v>
          </cell>
          <cell r="DR180">
            <v>62.699973003289799</v>
          </cell>
        </row>
        <row r="182">
          <cell r="B182" t="str">
            <v>Other Derivatives Revenue</v>
          </cell>
          <cell r="V182">
            <v>5574</v>
          </cell>
          <cell r="W182">
            <v>6443</v>
          </cell>
          <cell r="X182">
            <v>6453.2302657609107</v>
          </cell>
          <cell r="Y182">
            <v>6324.0508801794067</v>
          </cell>
          <cell r="Z182">
            <v>5971.7341314972273</v>
          </cell>
          <cell r="AA182">
            <v>5616.4876586821929</v>
          </cell>
          <cell r="AB182">
            <v>5681.8550500841075</v>
          </cell>
          <cell r="AC182">
            <v>5526.4143922257408</v>
          </cell>
          <cell r="AD182">
            <v>5402.1774827008385</v>
          </cell>
          <cell r="AE182">
            <v>5340.1063009222653</v>
          </cell>
          <cell r="AF182">
            <v>5278.0590208417107</v>
          </cell>
          <cell r="CV182">
            <v>810</v>
          </cell>
          <cell r="CW182">
            <v>1051</v>
          </cell>
          <cell r="CX182">
            <v>1156</v>
          </cell>
          <cell r="CY182">
            <v>1316</v>
          </cell>
          <cell r="CZ182">
            <v>1444</v>
          </cell>
          <cell r="DA182">
            <v>1453</v>
          </cell>
          <cell r="DB182">
            <v>1361</v>
          </cell>
          <cell r="DC182">
            <v>1648</v>
          </cell>
          <cell r="DD182">
            <v>1777</v>
          </cell>
          <cell r="DE182">
            <v>1617</v>
          </cell>
          <cell r="DF182">
            <v>1401</v>
          </cell>
          <cell r="DG182">
            <v>1699</v>
          </cell>
          <cell r="DH182">
            <v>1588.5935054773083</v>
          </cell>
          <cell r="DI182">
            <v>1698.1397849462364</v>
          </cell>
          <cell r="DJ182">
            <v>1467.4969753373662</v>
          </cell>
          <cell r="DK182">
            <v>1560.2084507042255</v>
          </cell>
          <cell r="DL182">
            <v>1541.3180751173709</v>
          </cell>
          <cell r="DM182">
            <v>1579.0059737156512</v>
          </cell>
          <cell r="DN182">
            <v>1643.5183806421592</v>
          </cell>
          <cell r="DO182">
            <v>1451.1785139815413</v>
          </cell>
          <cell r="DP182">
            <v>1538.5176260918458</v>
          </cell>
          <cell r="DQ182">
            <v>1460.6690124081188</v>
          </cell>
          <cell r="DR182">
            <v>1521.3689790157216</v>
          </cell>
          <cell r="DT182">
            <v>1506.7388683173231</v>
          </cell>
        </row>
        <row r="183">
          <cell r="B183" t="str">
            <v>EBITDA</v>
          </cell>
          <cell r="V183">
            <v>828</v>
          </cell>
          <cell r="W183">
            <v>1013</v>
          </cell>
          <cell r="X183">
            <v>1143.7066666666667</v>
          </cell>
          <cell r="Y183">
            <v>1141.5397881881279</v>
          </cell>
          <cell r="Z183">
            <v>938.72436499776143</v>
          </cell>
          <cell r="AA183">
            <v>877.82342534333418</v>
          </cell>
          <cell r="AB183">
            <v>888.03995761639726</v>
          </cell>
          <cell r="AC183">
            <v>863.74551258046392</v>
          </cell>
          <cell r="AD183">
            <v>844.32802676000927</v>
          </cell>
          <cell r="AE183">
            <v>834.62667233439299</v>
          </cell>
          <cell r="AF183">
            <v>824.92905360120608</v>
          </cell>
          <cell r="CV183">
            <v>109</v>
          </cell>
          <cell r="CW183">
            <v>141</v>
          </cell>
          <cell r="CX183">
            <v>129</v>
          </cell>
          <cell r="CY183">
            <v>191</v>
          </cell>
          <cell r="CZ183">
            <v>209</v>
          </cell>
          <cell r="DA183">
            <v>243</v>
          </cell>
          <cell r="DB183">
            <v>211</v>
          </cell>
          <cell r="DC183">
            <v>270</v>
          </cell>
          <cell r="DD183">
            <v>273</v>
          </cell>
          <cell r="DE183">
            <v>297</v>
          </cell>
          <cell r="DF183">
            <v>173</v>
          </cell>
          <cell r="DG183">
            <v>282</v>
          </cell>
          <cell r="DH183">
            <v>306.89999999999998</v>
          </cell>
          <cell r="DI183">
            <v>290.02999999999997</v>
          </cell>
          <cell r="DJ183">
            <v>264.7766666666667</v>
          </cell>
          <cell r="DK183">
            <v>276.52999999999997</v>
          </cell>
          <cell r="DL183">
            <v>292.85043427230045</v>
          </cell>
          <cell r="DM183">
            <v>276.32604540023891</v>
          </cell>
          <cell r="DN183">
            <v>295.83330851558861</v>
          </cell>
          <cell r="DO183">
            <v>232.18856223704663</v>
          </cell>
          <cell r="DP183">
            <v>240.46110212657717</v>
          </cell>
          <cell r="DQ183">
            <v>228.29382946882629</v>
          </cell>
          <cell r="DR183">
            <v>237.78087116531137</v>
          </cell>
          <cell r="DT183">
            <v>286.28038498029139</v>
          </cell>
        </row>
        <row r="184">
          <cell r="B184" t="str">
            <v>Margin</v>
          </cell>
          <cell r="V184">
            <v>0.14854682454251883</v>
          </cell>
          <cell r="W184">
            <v>0.15722489523513891</v>
          </cell>
          <cell r="X184">
            <v>0.17723010330731015</v>
          </cell>
          <cell r="Y184">
            <v>0.18050768563009151</v>
          </cell>
          <cell r="Z184">
            <v>0.15719460115388717</v>
          </cell>
          <cell r="AA184">
            <v>0.15629401837754586</v>
          </cell>
          <cell r="AB184">
            <v>0.15629401837754586</v>
          </cell>
          <cell r="AC184">
            <v>0.15629401837754586</v>
          </cell>
          <cell r="AD184">
            <v>0.15629401837754586</v>
          </cell>
          <cell r="AE184">
            <v>0.15629401837754586</v>
          </cell>
          <cell r="AF184">
            <v>0.15629401837754586</v>
          </cell>
          <cell r="CV184">
            <v>0.13456790123456791</v>
          </cell>
          <cell r="CW184">
            <v>0.13415794481446242</v>
          </cell>
          <cell r="CX184">
            <v>0.11159169550173011</v>
          </cell>
          <cell r="CY184">
            <v>0.14513677811550152</v>
          </cell>
          <cell r="CZ184">
            <v>0.14473684210526316</v>
          </cell>
          <cell r="DA184">
            <v>0.1672401927047488</v>
          </cell>
          <cell r="DB184">
            <v>0.1550330639235856</v>
          </cell>
          <cell r="DC184">
            <v>0.16383495145631069</v>
          </cell>
          <cell r="DD184">
            <v>0.15362971299943726</v>
          </cell>
          <cell r="DE184">
            <v>0.18367346938775511</v>
          </cell>
          <cell r="DF184">
            <v>0.12348322626695217</v>
          </cell>
          <cell r="DG184">
            <v>0.16597998822836962</v>
          </cell>
          <cell r="DH184">
            <v>0.19318976122075288</v>
          </cell>
          <cell r="DI184">
            <v>0.17079277134372209</v>
          </cell>
          <cell r="DJ184">
            <v>0.18042740197525559</v>
          </cell>
          <cell r="DK184">
            <v>0.1772391374211463</v>
          </cell>
          <cell r="DL184">
            <v>0.19</v>
          </cell>
          <cell r="DM184">
            <v>0.17499999999999999</v>
          </cell>
          <cell r="DN184">
            <v>0.18</v>
          </cell>
          <cell r="DO184">
            <v>0.16</v>
          </cell>
          <cell r="DP184">
            <v>0.15629401837754586</v>
          </cell>
          <cell r="DQ184">
            <v>0.15629401837754586</v>
          </cell>
          <cell r="DR184">
            <v>0.15629401837754586</v>
          </cell>
          <cell r="DT184">
            <v>0.19</v>
          </cell>
        </row>
        <row r="186">
          <cell r="B186" t="str">
            <v>Revenue</v>
          </cell>
          <cell r="W186">
            <v>9557</v>
          </cell>
          <cell r="X186">
            <v>9658</v>
          </cell>
          <cell r="Y186">
            <v>9472</v>
          </cell>
          <cell r="Z186">
            <v>9436.6484072048152</v>
          </cell>
          <cell r="AA186">
            <v>8876.349623998427</v>
          </cell>
          <cell r="AB186">
            <v>8503.5929287638064</v>
          </cell>
          <cell r="AC186">
            <v>8270.9569203905849</v>
          </cell>
          <cell r="AD186">
            <v>8085.0211483557468</v>
          </cell>
          <cell r="AE186">
            <v>7992.124012156456</v>
          </cell>
          <cell r="AF186">
            <v>7899.2626477796548</v>
          </cell>
          <cell r="DC186">
            <v>2341</v>
          </cell>
          <cell r="DD186">
            <v>2556</v>
          </cell>
          <cell r="DE186">
            <v>2511</v>
          </cell>
          <cell r="DF186">
            <v>2149</v>
          </cell>
          <cell r="DG186">
            <v>2485</v>
          </cell>
          <cell r="DH186">
            <v>2285</v>
          </cell>
          <cell r="DI186">
            <v>2637</v>
          </cell>
          <cell r="DJ186">
            <v>2251</v>
          </cell>
          <cell r="DK186">
            <v>2282</v>
          </cell>
          <cell r="DL186">
            <v>2217</v>
          </cell>
          <cell r="DM186">
            <v>2452</v>
          </cell>
          <cell r="DN186">
            <v>2521</v>
          </cell>
          <cell r="DO186">
            <v>2233.3618771437982</v>
          </cell>
          <cell r="DP186">
            <v>2341.6084668765834</v>
          </cell>
          <cell r="DQ186">
            <v>2396.5112983320596</v>
          </cell>
          <cell r="DR186">
            <v>2465.1667648523753</v>
          </cell>
          <cell r="DT186">
            <v>2167.2619850416868</v>
          </cell>
        </row>
        <row r="187">
          <cell r="B187" t="str">
            <v>Growth</v>
          </cell>
          <cell r="X187">
            <v>1.0568169927801518E-2</v>
          </cell>
          <cell r="Y187">
            <v>-1.9258645682335929E-2</v>
          </cell>
          <cell r="Z187">
            <v>-3.7322205231402616E-3</v>
          </cell>
          <cell r="AA187">
            <v>-5.9374765173894013E-2</v>
          </cell>
          <cell r="AB187">
            <v>-4.1994368296041647E-2</v>
          </cell>
          <cell r="AC187">
            <v>-2.7357378266111405E-2</v>
          </cell>
          <cell r="AD187">
            <v>-2.2480563473429093E-2</v>
          </cell>
          <cell r="AE187">
            <v>-1.1490030080896375E-2</v>
          </cell>
          <cell r="AF187">
            <v>-1.1619109542789139E-2</v>
          </cell>
          <cell r="DG187">
            <v>6.1512174284493737E-2</v>
          </cell>
          <cell r="DH187">
            <v>-0.1060250391236307</v>
          </cell>
          <cell r="DI187">
            <v>5.017921146953408E-2</v>
          </cell>
          <cell r="DJ187">
            <v>4.7463936714751132E-2</v>
          </cell>
          <cell r="DK187">
            <v>-8.1690140845070425E-2</v>
          </cell>
          <cell r="DL187">
            <v>-2.9759299781181636E-2</v>
          </cell>
          <cell r="DM187">
            <v>-7.01554797117937E-2</v>
          </cell>
          <cell r="DN187">
            <v>0.11994669035984007</v>
          </cell>
          <cell r="DO187">
            <v>-2.1313813696845665E-2</v>
          </cell>
          <cell r="DP187">
            <v>5.6205893945233801E-2</v>
          </cell>
          <cell r="DQ187">
            <v>-2.2629976210416194E-2</v>
          </cell>
          <cell r="DR187">
            <v>-2.2147257099414758E-2</v>
          </cell>
          <cell r="DT187">
            <v>-5.1526483570377701E-2</v>
          </cell>
        </row>
        <row r="189">
          <cell r="B189" t="str">
            <v xml:space="preserve">   Base Growth</v>
          </cell>
          <cell r="AA189">
            <v>-5.9374765173894013E-2</v>
          </cell>
          <cell r="AB189">
            <v>-4.1994368296041647E-2</v>
          </cell>
          <cell r="AC189">
            <v>-2.7357378266111405E-2</v>
          </cell>
          <cell r="AD189">
            <v>-2.2480563473429093E-2</v>
          </cell>
          <cell r="AE189">
            <v>-1.1490030080896375E-2</v>
          </cell>
          <cell r="AF189">
            <v>-1.1619109542789139E-2</v>
          </cell>
          <cell r="DI189">
            <v>6.0551989904610998E-3</v>
          </cell>
          <cell r="DJ189">
            <v>0.10645849200304638</v>
          </cell>
          <cell r="DK189">
            <v>-4.4495103005741221E-2</v>
          </cell>
          <cell r="DL189">
            <v>-4.9534085335949052E-2</v>
          </cell>
          <cell r="DM189">
            <v>1.6689753575632293E-2</v>
          </cell>
          <cell r="DN189">
            <v>-1.3841230356046785E-2</v>
          </cell>
          <cell r="DO189">
            <v>-2.1313813696845665E-2</v>
          </cell>
          <cell r="DP189">
            <v>5.6205893945233801E-2</v>
          </cell>
          <cell r="DQ189">
            <v>-2.2629976210416194E-2</v>
          </cell>
          <cell r="DR189">
            <v>-2.2147257099414758E-2</v>
          </cell>
          <cell r="DT189">
            <v>-5.1526483570377701E-2</v>
          </cell>
        </row>
        <row r="190">
          <cell r="B190" t="str">
            <v>Revenue</v>
          </cell>
          <cell r="AA190">
            <v>8876.349623998427</v>
          </cell>
          <cell r="AB190">
            <v>8503.5929287638064</v>
          </cell>
          <cell r="AC190">
            <v>8270.9569203905849</v>
          </cell>
          <cell r="AD190">
            <v>8085.0211483557468</v>
          </cell>
          <cell r="AE190">
            <v>7992.124012156456</v>
          </cell>
          <cell r="AF190">
            <v>7899.2626477796548</v>
          </cell>
          <cell r="DI190">
            <v>2526.204604665048</v>
          </cell>
          <cell r="DJ190">
            <v>2377.7792993145467</v>
          </cell>
          <cell r="DK190">
            <v>2374.4296690307328</v>
          </cell>
          <cell r="DL190">
            <v>2171.8146150073562</v>
          </cell>
          <cell r="DM190">
            <v>2681.0108801789424</v>
          </cell>
          <cell r="DN190">
            <v>2219.8433904685385</v>
          </cell>
          <cell r="DO190">
            <v>2233.3618771437982</v>
          </cell>
          <cell r="DP190">
            <v>2341.6084668765834</v>
          </cell>
          <cell r="DQ190">
            <v>2396.5112983320596</v>
          </cell>
          <cell r="DR190">
            <v>2465.1667648523753</v>
          </cell>
          <cell r="DT190">
            <v>2167.2619850416868</v>
          </cell>
        </row>
        <row r="192">
          <cell r="B192" t="str">
            <v xml:space="preserve">   Bull</v>
          </cell>
          <cell r="AA192">
            <v>-4.4609112650400906E-2</v>
          </cell>
          <cell r="AB192">
            <v>-3.112800093384005E-2</v>
          </cell>
          <cell r="AC192">
            <v>-2.0080052475870525E-2</v>
          </cell>
          <cell r="AD192">
            <v>-1.6393218671876042E-2</v>
          </cell>
          <cell r="AE192">
            <v>-8.3332175942000264E-3</v>
          </cell>
          <cell r="AF192">
            <v>-8.4032436520496967E-3</v>
          </cell>
          <cell r="DI192">
            <v>-0.41492248062015491</v>
          </cell>
          <cell r="DJ192">
            <v>-0.55393492546882517</v>
          </cell>
          <cell r="DK192">
            <v>-0.51453692848769039</v>
          </cell>
          <cell r="DL192">
            <v>-0.15092977071673586</v>
          </cell>
          <cell r="DM192">
            <v>-0.17290493540907603</v>
          </cell>
          <cell r="DN192">
            <v>2.6949335249732975E-3</v>
          </cell>
          <cell r="DO192">
            <v>0.4619657087659983</v>
          </cell>
          <cell r="DP192">
            <v>0.10036147140123308</v>
          </cell>
          <cell r="DQ192">
            <v>5.6067280736884273E-2</v>
          </cell>
          <cell r="DR192">
            <v>7.4359433793226959E-2</v>
          </cell>
          <cell r="DT192">
            <v>-9.9476439790576077E-2</v>
          </cell>
        </row>
        <row r="193">
          <cell r="B193" t="str">
            <v>Revenue</v>
          </cell>
          <cell r="AA193">
            <v>9015.6878953655887</v>
          </cell>
          <cell r="AB193">
            <v>8600.0466046135134</v>
          </cell>
          <cell r="AC193">
            <v>8332.8403365207869</v>
          </cell>
          <cell r="AD193">
            <v>8135.3693149689552</v>
          </cell>
          <cell r="AE193">
            <v>8017.6469078727896</v>
          </cell>
          <cell r="AF193">
            <v>7924.964246784908</v>
          </cell>
          <cell r="DI193">
            <v>1469.1296511627911</v>
          </cell>
          <cell r="DJ193">
            <v>958.59384516749469</v>
          </cell>
          <cell r="DK193">
            <v>1206.3757327080893</v>
          </cell>
          <cell r="DL193">
            <v>1940.1254739122585</v>
          </cell>
          <cell r="DM193">
            <v>2181.0496853262666</v>
          </cell>
          <cell r="DN193">
            <v>2257.0662953647147</v>
          </cell>
          <cell r="DO193">
            <v>3336.205747404008</v>
          </cell>
          <cell r="DP193">
            <v>2439.5013820965337</v>
          </cell>
          <cell r="DQ193">
            <v>2589.4769723668401</v>
          </cell>
          <cell r="DR193">
            <v>2708.4601325927251</v>
          </cell>
          <cell r="DT193">
            <v>2057.6963350785336</v>
          </cell>
        </row>
        <row r="195">
          <cell r="B195" t="str">
            <v xml:space="preserve">   Bear</v>
          </cell>
          <cell r="AA195">
            <v>-8.0535111071340593E-2</v>
          </cell>
          <cell r="AB195">
            <v>-5.8392739836013674E-2</v>
          </cell>
          <cell r="AC195">
            <v>-3.8758688405984287E-2</v>
          </cell>
          <cell r="AD195">
            <v>-3.2257197387167036E-2</v>
          </cell>
          <cell r="AE195">
            <v>-1.6666203716563466E-2</v>
          </cell>
          <cell r="AF195">
            <v>-1.6948673766277733E-2</v>
          </cell>
          <cell r="DI195">
            <v>-0.23889835660474823</v>
          </cell>
          <cell r="DJ195">
            <v>-0.16030706048887744</v>
          </cell>
          <cell r="DK195">
            <v>2.8406424755986759E-2</v>
          </cell>
          <cell r="DL195">
            <v>-3.5101380976013563E-2</v>
          </cell>
          <cell r="DM195">
            <v>3.0615149607946313E-2</v>
          </cell>
          <cell r="DN195">
            <v>-2.7394723984247138E-2</v>
          </cell>
          <cell r="DO195">
            <v>-5.2806165342573208E-2</v>
          </cell>
          <cell r="DP195">
            <v>-0.14105733083623828</v>
          </cell>
          <cell r="DQ195">
            <v>-7.6596231257897496E-2</v>
          </cell>
          <cell r="DR195">
            <v>-6.4585605455904638E-3</v>
          </cell>
          <cell r="DT195">
            <v>-9.2535926257970358E-2</v>
          </cell>
        </row>
        <row r="196">
          <cell r="B196" t="str">
            <v>Revenue</v>
          </cell>
          <cell r="AA196">
            <v>8676.6668795893856</v>
          </cell>
          <cell r="AB196">
            <v>8358.0352497107888</v>
          </cell>
          <cell r="AC196">
            <v>8174.0048201065183</v>
          </cell>
          <cell r="AD196">
            <v>8004.1590304287902</v>
          </cell>
          <cell r="AE196">
            <v>7950.2745388445264</v>
          </cell>
          <cell r="AF196">
            <v>7856.6681095747817</v>
          </cell>
          <cell r="DI196">
            <v>1911.1262265654773</v>
          </cell>
          <cell r="DJ196">
            <v>1804.5001270094024</v>
          </cell>
          <cell r="DK196">
            <v>2555.5899655186272</v>
          </cell>
          <cell r="DL196">
            <v>2204.7933444698092</v>
          </cell>
          <cell r="DM196">
            <v>2717.7321495161545</v>
          </cell>
          <cell r="DN196">
            <v>2189.3344763114596</v>
          </cell>
          <cell r="DO196">
            <v>2161.4963306882478</v>
          </cell>
          <cell r="DP196">
            <v>1904.2758975360598</v>
          </cell>
          <cell r="DQ196">
            <v>2264.1860409556352</v>
          </cell>
          <cell r="DR196">
            <v>2504.7179688645665</v>
          </cell>
          <cell r="DT196">
            <v>2073.5554085005379</v>
          </cell>
        </row>
        <row r="197">
          <cell r="DN197" t="str">
            <v xml:space="preserve"> </v>
          </cell>
        </row>
        <row r="198">
          <cell r="B198" t="str">
            <v>Operating Income</v>
          </cell>
          <cell r="W198">
            <v>1150</v>
          </cell>
          <cell r="X198">
            <v>1430</v>
          </cell>
          <cell r="Y198">
            <v>1300</v>
          </cell>
          <cell r="Z198">
            <v>1214.2354284786375</v>
          </cell>
          <cell r="AA198">
            <v>1082.1519191045936</v>
          </cell>
          <cell r="AB198">
            <v>1032.7227715714102</v>
          </cell>
          <cell r="AC198">
            <v>995.88760973234287</v>
          </cell>
          <cell r="AD198">
            <v>963.81906843366426</v>
          </cell>
          <cell r="AE198">
            <v>943.20010092962991</v>
          </cell>
          <cell r="AF198">
            <v>920.49660597446473</v>
          </cell>
          <cell r="DC198">
            <v>275</v>
          </cell>
          <cell r="DD198">
            <v>323</v>
          </cell>
          <cell r="DE198">
            <v>366</v>
          </cell>
          <cell r="DF198">
            <v>186</v>
          </cell>
          <cell r="DG198">
            <v>370</v>
          </cell>
          <cell r="DH198">
            <v>390</v>
          </cell>
          <cell r="DI198">
            <v>424</v>
          </cell>
          <cell r="DJ198">
            <v>246</v>
          </cell>
          <cell r="DK198">
            <v>323</v>
          </cell>
          <cell r="DL198">
            <v>285</v>
          </cell>
          <cell r="DM198">
            <v>371</v>
          </cell>
          <cell r="DN198">
            <v>321</v>
          </cell>
          <cell r="DO198">
            <v>319.25730732498761</v>
          </cell>
          <cell r="DP198">
            <v>313.41364499289477</v>
          </cell>
          <cell r="DQ198">
            <v>289.59298694223548</v>
          </cell>
          <cell r="DR198">
            <v>291.97148921851948</v>
          </cell>
          <cell r="DT198">
            <v>302.44705164695802</v>
          </cell>
        </row>
        <row r="199">
          <cell r="B199" t="str">
            <v>Margin</v>
          </cell>
          <cell r="W199">
            <v>0.12033064769279063</v>
          </cell>
          <cell r="X199">
            <v>0.1480637813211845</v>
          </cell>
          <cell r="Y199">
            <v>0.13724662162162163</v>
          </cell>
          <cell r="Z199">
            <v>0.12867231839978027</v>
          </cell>
          <cell r="AA199">
            <v>0.12191407109278883</v>
          </cell>
          <cell r="AB199">
            <v>0.12144546196210504</v>
          </cell>
          <cell r="AC199">
            <v>0.12040778586056441</v>
          </cell>
          <cell r="AD199">
            <v>0.11921045730717432</v>
          </cell>
          <cell r="AE199">
            <v>0.1180161993851661</v>
          </cell>
          <cell r="AF199">
            <v>0.11652943407739459</v>
          </cell>
          <cell r="DC199">
            <v>0.11747116616830415</v>
          </cell>
          <cell r="DD199">
            <v>0.12636932707355242</v>
          </cell>
          <cell r="DE199">
            <v>0.14575866188769415</v>
          </cell>
          <cell r="DF199">
            <v>8.6551884597487208E-2</v>
          </cell>
          <cell r="DG199">
            <v>0.1488933601609658</v>
          </cell>
          <cell r="DH199">
            <v>0.17067833698030635</v>
          </cell>
          <cell r="DI199">
            <v>0.1607887751232461</v>
          </cell>
          <cell r="DJ199">
            <v>0.10928476232785429</v>
          </cell>
          <cell r="DK199">
            <v>0.14154250657318143</v>
          </cell>
          <cell r="DL199">
            <v>0.12855209742895804</v>
          </cell>
          <cell r="DM199">
            <v>0.15130505709624797</v>
          </cell>
          <cell r="DN199">
            <v>0.12733042443474812</v>
          </cell>
          <cell r="DO199">
            <v>0.14294920612385459</v>
          </cell>
          <cell r="DP199">
            <v>0.13384545257087743</v>
          </cell>
          <cell r="DQ199">
            <v>0.12083939981580241</v>
          </cell>
          <cell r="DR199">
            <v>0.11843883885721783</v>
          </cell>
          <cell r="DT199">
            <v>0.139552603116019</v>
          </cell>
        </row>
        <row r="201">
          <cell r="B201" t="str">
            <v>Income (loss) from equity investments</v>
          </cell>
          <cell r="W201">
            <v>50</v>
          </cell>
          <cell r="X201">
            <v>11</v>
          </cell>
          <cell r="Y201">
            <v>-7</v>
          </cell>
          <cell r="Z201">
            <v>-10</v>
          </cell>
          <cell r="AA201">
            <v>-10</v>
          </cell>
          <cell r="AB201">
            <v>-10</v>
          </cell>
          <cell r="AC201">
            <v>-10</v>
          </cell>
          <cell r="AD201">
            <v>-10</v>
          </cell>
          <cell r="AE201">
            <v>-10</v>
          </cell>
          <cell r="AF201">
            <v>-10</v>
          </cell>
          <cell r="DC201">
            <v>1</v>
          </cell>
          <cell r="DD201">
            <v>44</v>
          </cell>
          <cell r="DE201">
            <v>3</v>
          </cell>
          <cell r="DF201">
            <v>2</v>
          </cell>
          <cell r="DG201">
            <v>1</v>
          </cell>
          <cell r="DH201">
            <v>-1</v>
          </cell>
          <cell r="DI201">
            <v>2</v>
          </cell>
          <cell r="DJ201">
            <v>9</v>
          </cell>
          <cell r="DK201">
            <v>2</v>
          </cell>
          <cell r="DL201">
            <v>-3</v>
          </cell>
          <cell r="DM201">
            <v>-3</v>
          </cell>
          <cell r="DN201">
            <v>-3</v>
          </cell>
          <cell r="DO201">
            <v>-2.5</v>
          </cell>
          <cell r="DP201">
            <v>-2.5</v>
          </cell>
          <cell r="DQ201">
            <v>-2.5</v>
          </cell>
          <cell r="DR201">
            <v>-2.5</v>
          </cell>
          <cell r="DT201">
            <v>-3</v>
          </cell>
        </row>
        <row r="203">
          <cell r="B203" t="str">
            <v>D&amp;A</v>
          </cell>
          <cell r="W203">
            <v>-186</v>
          </cell>
          <cell r="X203">
            <v>-189</v>
          </cell>
          <cell r="Y203">
            <v>-204</v>
          </cell>
          <cell r="Z203">
            <v>-191.06675313366009</v>
          </cell>
          <cell r="AA203">
            <v>-188.17067769497589</v>
          </cell>
          <cell r="AB203">
            <v>-185.13983850679995</v>
          </cell>
          <cell r="AC203">
            <v>-182.08606427175289</v>
          </cell>
          <cell r="AD203">
            <v>-179.04552691943204</v>
          </cell>
          <cell r="AE203">
            <v>-176.08734358257777</v>
          </cell>
          <cell r="AF203">
            <v>-173.20742338928363</v>
          </cell>
          <cell r="DC203">
            <v>-44</v>
          </cell>
          <cell r="DD203">
            <v>-48</v>
          </cell>
          <cell r="DE203">
            <v>-46</v>
          </cell>
          <cell r="DF203">
            <v>-48</v>
          </cell>
          <cell r="DG203">
            <v>-47</v>
          </cell>
          <cell r="DH203">
            <v>-48</v>
          </cell>
          <cell r="DI203">
            <v>-49</v>
          </cell>
          <cell r="DJ203">
            <v>-50</v>
          </cell>
          <cell r="DK203">
            <v>-48</v>
          </cell>
          <cell r="DL203">
            <v>-50</v>
          </cell>
          <cell r="DM203">
            <v>-50</v>
          </cell>
          <cell r="DN203">
            <v>-56</v>
          </cell>
          <cell r="DO203">
            <v>-47.766688283415021</v>
          </cell>
          <cell r="DP203">
            <v>-47.766688283415021</v>
          </cell>
          <cell r="DQ203">
            <v>-47.766688283415021</v>
          </cell>
          <cell r="DR203">
            <v>-47.766688283415021</v>
          </cell>
          <cell r="DT203">
            <v>-48</v>
          </cell>
        </row>
        <row r="204">
          <cell r="B204" t="str">
            <v>% of revenue</v>
          </cell>
          <cell r="W204">
            <v>1.9462174322486137E-2</v>
          </cell>
          <cell r="X204">
            <v>1.9569268999792919E-2</v>
          </cell>
          <cell r="Y204">
            <v>2.1537162162162161E-2</v>
          </cell>
          <cell r="Z204">
            <v>2.0247310791804213E-2</v>
          </cell>
          <cell r="AA204">
            <v>2.1199106126490411E-2</v>
          </cell>
          <cell r="AB204">
            <v>2.1771954520606891E-2</v>
          </cell>
          <cell r="AC204">
            <v>2.2015114577957941E-2</v>
          </cell>
          <cell r="AD204">
            <v>2.2145338105373363E-2</v>
          </cell>
          <cell r="AE204">
            <v>2.2032609017920559E-2</v>
          </cell>
          <cell r="AF204">
            <v>2.1927036878305245E-2</v>
          </cell>
        </row>
        <row r="205">
          <cell r="DM205" t="str">
            <v xml:space="preserve"> </v>
          </cell>
          <cell r="DO205" t="str">
            <v xml:space="preserve"> </v>
          </cell>
        </row>
        <row r="206">
          <cell r="B206" t="str">
            <v>EBITDA</v>
          </cell>
          <cell r="W206">
            <v>1386</v>
          </cell>
          <cell r="X206">
            <v>1635</v>
          </cell>
          <cell r="Y206">
            <v>1492</v>
          </cell>
          <cell r="Z206">
            <v>1415.3021816122973</v>
          </cell>
          <cell r="AA206">
            <v>1280.3225967995695</v>
          </cell>
          <cell r="AB206">
            <v>1227.8626100782101</v>
          </cell>
          <cell r="AC206">
            <v>1187.9736740040958</v>
          </cell>
          <cell r="AD206">
            <v>1152.8645953530963</v>
          </cell>
          <cell r="AE206">
            <v>1129.2874445122077</v>
          </cell>
          <cell r="AF206">
            <v>1103.7040293637483</v>
          </cell>
          <cell r="DC206">
            <v>320</v>
          </cell>
          <cell r="DD206">
            <v>415</v>
          </cell>
          <cell r="DE206">
            <v>415</v>
          </cell>
          <cell r="DF206">
            <v>236</v>
          </cell>
          <cell r="DG206">
            <v>418</v>
          </cell>
          <cell r="DH206">
            <v>437</v>
          </cell>
          <cell r="DI206">
            <v>475</v>
          </cell>
          <cell r="DJ206">
            <v>305</v>
          </cell>
          <cell r="DK206">
            <v>373</v>
          </cell>
          <cell r="DL206">
            <v>338</v>
          </cell>
          <cell r="DM206">
            <v>427</v>
          </cell>
          <cell r="DN206">
            <v>354</v>
          </cell>
          <cell r="DO206">
            <v>369.52399560840263</v>
          </cell>
          <cell r="DP206">
            <v>363.6803332763098</v>
          </cell>
          <cell r="DQ206">
            <v>339.85967522565051</v>
          </cell>
          <cell r="DR206">
            <v>342.2381775019345</v>
          </cell>
          <cell r="DT206">
            <v>353.44705164695802</v>
          </cell>
        </row>
        <row r="207">
          <cell r="B207" t="str">
            <v>Margin</v>
          </cell>
          <cell r="W207">
            <v>0.14502458930626766</v>
          </cell>
          <cell r="X207">
            <v>0.16928970801408158</v>
          </cell>
          <cell r="Y207">
            <v>0.15751689189189189</v>
          </cell>
          <cell r="Z207">
            <v>0.14997932746246262</v>
          </cell>
          <cell r="AA207">
            <v>0.14423976646188452</v>
          </cell>
          <cell r="AB207">
            <v>0.14439338998988374</v>
          </cell>
          <cell r="AC207">
            <v>0.1436319503823501</v>
          </cell>
          <cell r="AD207">
            <v>0.14259265055695677</v>
          </cell>
          <cell r="AE207">
            <v>0.14130004023892773</v>
          </cell>
          <cell r="AF207">
            <v>0.13972241189802448</v>
          </cell>
          <cell r="DC207">
            <v>0.13669372063220847</v>
          </cell>
          <cell r="DD207">
            <v>0.16236306729264477</v>
          </cell>
          <cell r="DE207">
            <v>0.16527279968140182</v>
          </cell>
          <cell r="DF207">
            <v>0.10981852024197301</v>
          </cell>
          <cell r="DG207">
            <v>0.16820925553319921</v>
          </cell>
          <cell r="DH207">
            <v>0.1912472647702407</v>
          </cell>
          <cell r="DI207">
            <v>0.18012893439514599</v>
          </cell>
          <cell r="DJ207">
            <v>0.13549533540648601</v>
          </cell>
          <cell r="DK207">
            <v>0.16345311130587203</v>
          </cell>
          <cell r="DL207">
            <v>0.15245827695083447</v>
          </cell>
          <cell r="DM207">
            <v>0.17414355628058728</v>
          </cell>
          <cell r="DN207">
            <v>0.14042046806822689</v>
          </cell>
          <cell r="DO207">
            <v>0.16545639082949667</v>
          </cell>
          <cell r="DP207">
            <v>0.15531218750733955</v>
          </cell>
          <cell r="DQ207">
            <v>0.14181434298356463</v>
          </cell>
          <cell r="DR207">
            <v>0.1388296249898652</v>
          </cell>
          <cell r="DT207">
            <v>0.16308459894854824</v>
          </cell>
        </row>
        <row r="209">
          <cell r="B209" t="str">
            <v>Base</v>
          </cell>
        </row>
        <row r="210">
          <cell r="B210" t="str">
            <v>EBITDA</v>
          </cell>
          <cell r="AA210">
            <v>1280.3225967995695</v>
          </cell>
          <cell r="AB210">
            <v>1227.8626100782099</v>
          </cell>
          <cell r="AC210">
            <v>1187.9736740040958</v>
          </cell>
          <cell r="AD210">
            <v>1152.8645953530963</v>
          </cell>
          <cell r="AE210">
            <v>1129.2874445122077</v>
          </cell>
          <cell r="AF210">
            <v>1103.7040293637483</v>
          </cell>
          <cell r="DL210">
            <v>356.87043427230049</v>
          </cell>
          <cell r="DM210">
            <v>337.19937873357225</v>
          </cell>
          <cell r="DN210">
            <v>347.26664184892195</v>
          </cell>
          <cell r="DO210">
            <v>369.52399560840263</v>
          </cell>
          <cell r="DP210">
            <v>363.6803332763098</v>
          </cell>
          <cell r="DQ210">
            <v>339.85967522565051</v>
          </cell>
          <cell r="DR210">
            <v>342.2381775019345</v>
          </cell>
          <cell r="DT210">
            <v>353.44705164695802</v>
          </cell>
        </row>
        <row r="211">
          <cell r="B211" t="str">
            <v>Margin</v>
          </cell>
          <cell r="AA211">
            <v>0.14423976646188452</v>
          </cell>
          <cell r="AB211">
            <v>0.14439338998988374</v>
          </cell>
          <cell r="AC211">
            <v>0.1436319503823501</v>
          </cell>
          <cell r="AD211">
            <v>0.14259265055695677</v>
          </cell>
          <cell r="AE211">
            <v>0.14130004023892773</v>
          </cell>
          <cell r="AF211">
            <v>0.13972241189802448</v>
          </cell>
          <cell r="DL211">
            <v>0.16096997486346437</v>
          </cell>
          <cell r="DM211">
            <v>0.13752013814582881</v>
          </cell>
          <cell r="DN211">
            <v>0.13774956043194048</v>
          </cell>
          <cell r="DO211">
            <v>0.16545639082949667</v>
          </cell>
          <cell r="DP211">
            <v>0.15531218750733955</v>
          </cell>
          <cell r="DQ211">
            <v>0.14181434298356463</v>
          </cell>
          <cell r="DR211">
            <v>0.1388296249898652</v>
          </cell>
          <cell r="DT211">
            <v>0.16308459894854824</v>
          </cell>
        </row>
        <row r="213">
          <cell r="B213" t="str">
            <v>Bull</v>
          </cell>
        </row>
        <row r="214">
          <cell r="B214" t="str">
            <v>EBITDA</v>
          </cell>
          <cell r="AA214">
            <v>1546.6130855195224</v>
          </cell>
          <cell r="AB214">
            <v>1482.9703979411242</v>
          </cell>
          <cell r="AC214">
            <v>1240.6435380585876</v>
          </cell>
          <cell r="AD214">
            <v>1212.753172253362</v>
          </cell>
          <cell r="AE214">
            <v>1198.8186018234683</v>
          </cell>
          <cell r="AF214">
            <v>1340.681908797138</v>
          </cell>
          <cell r="DL214">
            <v>414.75138243605937</v>
          </cell>
          <cell r="DM214">
            <v>449.12331301804653</v>
          </cell>
          <cell r="DN214">
            <v>372.37775297884571</v>
          </cell>
          <cell r="DO214">
            <v>436.52485192271655</v>
          </cell>
          <cell r="DP214">
            <v>433.92858728260734</v>
          </cell>
          <cell r="DQ214">
            <v>411.75501417561225</v>
          </cell>
          <cell r="DR214">
            <v>416.19318044750571</v>
          </cell>
          <cell r="DT214">
            <v>418.46491119820865</v>
          </cell>
        </row>
        <row r="215">
          <cell r="B215" t="str">
            <v>Margin</v>
          </cell>
          <cell r="AA215">
            <v>0.17423976646188452</v>
          </cell>
          <cell r="AB215">
            <v>0.17439338998988374</v>
          </cell>
          <cell r="AC215">
            <v>0.15</v>
          </cell>
          <cell r="AD215">
            <v>0.15</v>
          </cell>
          <cell r="AE215">
            <v>0.15</v>
          </cell>
          <cell r="AF215">
            <v>0.16972241189802448</v>
          </cell>
          <cell r="DL215">
            <v>0.19096997486346437</v>
          </cell>
          <cell r="DM215">
            <v>0.16752013814582881</v>
          </cell>
          <cell r="DN215">
            <v>0.16774956043194048</v>
          </cell>
          <cell r="DO215">
            <v>0.19545639082949667</v>
          </cell>
          <cell r="DP215">
            <v>0.18531218750733955</v>
          </cell>
          <cell r="DQ215">
            <v>0.17181434298356463</v>
          </cell>
          <cell r="DR215">
            <v>0.1688296249898652</v>
          </cell>
          <cell r="DT215">
            <v>0.19308459894854824</v>
          </cell>
        </row>
        <row r="217">
          <cell r="B217" t="str">
            <v>Bear</v>
          </cell>
        </row>
        <row r="218">
          <cell r="B218" t="str">
            <v>EBITDA</v>
          </cell>
          <cell r="AA218">
            <v>1014.0321080796168</v>
          </cell>
          <cell r="AB218">
            <v>972.7548222152958</v>
          </cell>
          <cell r="AC218">
            <v>939.84496639237818</v>
          </cell>
          <cell r="AD218">
            <v>910.31396090242401</v>
          </cell>
          <cell r="AE218">
            <v>889.52372414751403</v>
          </cell>
          <cell r="AF218">
            <v>866.7261499303587</v>
          </cell>
          <cell r="DL218">
            <v>284.44250553561801</v>
          </cell>
          <cell r="DM218">
            <v>288.26266020730998</v>
          </cell>
          <cell r="DN218">
            <v>239.18714955073344</v>
          </cell>
          <cell r="DO218">
            <v>302.52313929408865</v>
          </cell>
          <cell r="DP218">
            <v>293.43207927001231</v>
          </cell>
          <cell r="DQ218">
            <v>267.96433627568871</v>
          </cell>
          <cell r="DR218">
            <v>268.28317455636324</v>
          </cell>
          <cell r="DT218">
            <v>288.42919209570744</v>
          </cell>
        </row>
        <row r="219">
          <cell r="B219" t="str">
            <v>Margin</v>
          </cell>
          <cell r="AA219">
            <v>0.11423976646188452</v>
          </cell>
          <cell r="AB219">
            <v>0.11439338998988374</v>
          </cell>
          <cell r="AC219">
            <v>0.11363195038235011</v>
          </cell>
          <cell r="AD219">
            <v>0.11259265055695677</v>
          </cell>
          <cell r="AE219">
            <v>0.11130004023892773</v>
          </cell>
          <cell r="AF219">
            <v>0.10972241189802448</v>
          </cell>
          <cell r="DL219">
            <v>0.13096997486346437</v>
          </cell>
          <cell r="DM219">
            <v>0.10752013814582881</v>
          </cell>
          <cell r="DN219">
            <v>0.10774956043194048</v>
          </cell>
          <cell r="DO219">
            <v>0.13545639082949668</v>
          </cell>
          <cell r="DP219">
            <v>0.12531218750733955</v>
          </cell>
          <cell r="DQ219">
            <v>0.11181434298356463</v>
          </cell>
          <cell r="DR219">
            <v>0.1088296249898652</v>
          </cell>
          <cell r="DT219">
            <v>0.13308459894854824</v>
          </cell>
        </row>
        <row r="221">
          <cell r="B221" t="str">
            <v>Growth</v>
          </cell>
          <cell r="X221">
            <v>0.17965367965367962</v>
          </cell>
          <cell r="Y221">
            <v>-8.7461773700305834E-2</v>
          </cell>
          <cell r="Z221">
            <v>-5.1406044495779235E-2</v>
          </cell>
          <cell r="AA221">
            <v>-9.5371565568393657E-2</v>
          </cell>
          <cell r="AB221">
            <v>-4.0974037990498591E-2</v>
          </cell>
          <cell r="AC221">
            <v>-3.2486481587360672E-2</v>
          </cell>
          <cell r="AD221">
            <v>-2.9553751416614649E-2</v>
          </cell>
          <cell r="AE221">
            <v>-2.0450928006569113E-2</v>
          </cell>
          <cell r="AF221">
            <v>-2.2654475858013279E-2</v>
          </cell>
        </row>
        <row r="223">
          <cell r="B223" t="str">
            <v>Capex</v>
          </cell>
          <cell r="V223">
            <v>-79</v>
          </cell>
          <cell r="W223">
            <v>-101</v>
          </cell>
          <cell r="X223">
            <v>-289.74</v>
          </cell>
          <cell r="Y223">
            <v>-331.52000000000004</v>
          </cell>
          <cell r="Z223">
            <v>-141.54972610807224</v>
          </cell>
          <cell r="AA223">
            <v>-133.1452443599764</v>
          </cell>
          <cell r="AB223">
            <v>-127.5538939314571</v>
          </cell>
          <cell r="AC223">
            <v>-124.06435380585877</v>
          </cell>
          <cell r="AD223">
            <v>-121.2753172253362</v>
          </cell>
          <cell r="AE223">
            <v>-119.88186018234684</v>
          </cell>
          <cell r="AF223">
            <v>-118.48893971669482</v>
          </cell>
          <cell r="DC223">
            <v>-5</v>
          </cell>
          <cell r="DD223">
            <v>-15</v>
          </cell>
          <cell r="DE223">
            <v>-26</v>
          </cell>
          <cell r="DF223">
            <v>-55</v>
          </cell>
          <cell r="DG223">
            <v>-18</v>
          </cell>
          <cell r="DH223">
            <v>-24</v>
          </cell>
          <cell r="DI223">
            <v>-44</v>
          </cell>
          <cell r="DJ223">
            <v>-73</v>
          </cell>
          <cell r="DK223">
            <v>-106</v>
          </cell>
          <cell r="DL223">
            <v>-141</v>
          </cell>
          <cell r="DM223">
            <v>-119</v>
          </cell>
          <cell r="DN223">
            <v>-77</v>
          </cell>
          <cell r="DO223">
            <v>-45</v>
          </cell>
        </row>
        <row r="224">
          <cell r="B224" t="str">
            <v>% of revenue</v>
          </cell>
          <cell r="W224">
            <v>1.0568169927801612E-2</v>
          </cell>
          <cell r="X224">
            <v>0.03</v>
          </cell>
          <cell r="Y224">
            <v>3.5000000000000003E-2</v>
          </cell>
          <cell r="Z224">
            <v>1.4999999999999999E-2</v>
          </cell>
          <cell r="AA224">
            <v>1.4999999999999999E-2</v>
          </cell>
          <cell r="AB224">
            <v>1.4999999999999999E-2</v>
          </cell>
          <cell r="AC224">
            <v>1.4999999999999999E-2</v>
          </cell>
          <cell r="AD224">
            <v>1.4999999999999999E-2</v>
          </cell>
          <cell r="AE224">
            <v>1.4999999999999999E-2</v>
          </cell>
          <cell r="AF224">
            <v>1.4999999999999999E-2</v>
          </cell>
          <cell r="DC224">
            <v>2.1358393848782574E-3</v>
          </cell>
          <cell r="DD224">
            <v>5.8685446009389668E-3</v>
          </cell>
          <cell r="DE224">
            <v>1.0354440461967344E-2</v>
          </cell>
          <cell r="DF224">
            <v>2.5593299208934387E-2</v>
          </cell>
          <cell r="DG224">
            <v>7.2434607645875254E-3</v>
          </cell>
          <cell r="DH224">
            <v>1.050328227571116E-2</v>
          </cell>
          <cell r="DI224">
            <v>1.6685627607129314E-2</v>
          </cell>
          <cell r="DJ224">
            <v>3.2430031097290091E-2</v>
          </cell>
          <cell r="DK224">
            <v>4.6450482033304118E-2</v>
          </cell>
          <cell r="DL224">
            <v>6.359945872801083E-2</v>
          </cell>
          <cell r="DM224">
            <v>4.8531810766721042E-2</v>
          </cell>
          <cell r="DN224">
            <v>0</v>
          </cell>
        </row>
        <row r="226">
          <cell r="B226" t="str">
            <v>PP&amp;E, net</v>
          </cell>
          <cell r="U226">
            <v>2583</v>
          </cell>
          <cell r="V226">
            <v>2662</v>
          </cell>
          <cell r="W226">
            <v>2577</v>
          </cell>
          <cell r="X226">
            <v>2677.74</v>
          </cell>
          <cell r="Y226">
            <v>2805.2599999999998</v>
          </cell>
          <cell r="Z226">
            <v>2755.7429729744122</v>
          </cell>
          <cell r="AA226">
            <v>2700.7175396394127</v>
          </cell>
          <cell r="AB226">
            <v>2643.1315950640696</v>
          </cell>
          <cell r="AC226">
            <v>2585.1098845981755</v>
          </cell>
          <cell r="AD226">
            <v>2527.3396749040794</v>
          </cell>
          <cell r="AE226">
            <v>2471.1341915038483</v>
          </cell>
          <cell r="AF226">
            <v>2416.4157078312596</v>
          </cell>
        </row>
        <row r="227">
          <cell r="B227" t="str">
            <v>Asset turnover</v>
          </cell>
          <cell r="W227">
            <v>3.7085758634070625</v>
          </cell>
          <cell r="X227">
            <v>3.6067728756339306</v>
          </cell>
          <cell r="Y227">
            <v>3.3765141199033248</v>
          </cell>
          <cell r="Z227">
            <v>3.4243572422210935</v>
          </cell>
          <cell r="AA227">
            <v>3.28666344914528</v>
          </cell>
          <cell r="AB227">
            <v>3.2172416025913679</v>
          </cell>
          <cell r="AC227">
            <v>3.1994604831570657</v>
          </cell>
          <cell r="AD227">
            <v>3.199024345100189</v>
          </cell>
          <cell r="AE227">
            <v>3.2341926390054603</v>
          </cell>
          <cell r="AF227">
            <v>3.2689998753853766</v>
          </cell>
        </row>
        <row r="229">
          <cell r="B229" t="str">
            <v>Market margins (cents/gal)</v>
          </cell>
          <cell r="DO229" t="str">
            <v xml:space="preserve"> </v>
          </cell>
        </row>
        <row r="230">
          <cell r="B230" t="str">
            <v xml:space="preserve">MTBE - NWE </v>
          </cell>
          <cell r="U230">
            <v>67.849999999999994</v>
          </cell>
          <cell r="V230">
            <v>41.7</v>
          </cell>
          <cell r="W230">
            <v>83.174999999999997</v>
          </cell>
          <cell r="X230">
            <v>118.3</v>
          </cell>
          <cell r="Y230">
            <v>90.525000000000006</v>
          </cell>
          <cell r="Z230">
            <v>85.093499999999992</v>
          </cell>
          <cell r="AA230">
            <v>80</v>
          </cell>
          <cell r="AB230">
            <v>75</v>
          </cell>
          <cell r="AC230">
            <v>75</v>
          </cell>
          <cell r="AD230">
            <v>75</v>
          </cell>
          <cell r="AE230">
            <v>75</v>
          </cell>
          <cell r="AF230">
            <v>75</v>
          </cell>
          <cell r="CU230">
            <v>38.4</v>
          </cell>
          <cell r="CV230">
            <v>94.4</v>
          </cell>
          <cell r="CW230">
            <v>69</v>
          </cell>
          <cell r="CX230">
            <v>69.599999999999994</v>
          </cell>
          <cell r="CY230">
            <v>48.2</v>
          </cell>
          <cell r="CZ230">
            <v>56</v>
          </cell>
          <cell r="DA230">
            <v>44.2</v>
          </cell>
          <cell r="DB230">
            <v>18.399999999999999</v>
          </cell>
          <cell r="DC230">
            <v>58.9</v>
          </cell>
          <cell r="DD230">
            <v>92.7</v>
          </cell>
          <cell r="DE230">
            <v>94.1</v>
          </cell>
          <cell r="DF230">
            <v>87</v>
          </cell>
          <cell r="DG230">
            <v>125</v>
          </cell>
          <cell r="DH230">
            <v>122</v>
          </cell>
          <cell r="DI230">
            <v>149.9</v>
          </cell>
          <cell r="DJ230">
            <v>76.3</v>
          </cell>
          <cell r="DK230">
            <v>104.9</v>
          </cell>
          <cell r="DL230">
            <v>88.4</v>
          </cell>
          <cell r="DM230">
            <v>86.8</v>
          </cell>
          <cell r="DN230">
            <v>82</v>
          </cell>
          <cell r="DO230">
            <v>98.605999999999995</v>
          </cell>
          <cell r="DP230">
            <v>83.096000000000004</v>
          </cell>
          <cell r="DQ230">
            <v>81.591999999999999</v>
          </cell>
          <cell r="DR230">
            <v>77.08</v>
          </cell>
          <cell r="DT230">
            <v>90</v>
          </cell>
        </row>
        <row r="231">
          <cell r="B231" t="str">
            <v xml:space="preserve">ETBE - NWE </v>
          </cell>
          <cell r="U231">
            <v>68.62</v>
          </cell>
          <cell r="V231">
            <v>55.333333333333336</v>
          </cell>
          <cell r="CU231">
            <v>46.38</v>
          </cell>
          <cell r="CV231">
            <v>101.2</v>
          </cell>
          <cell r="CW231">
            <v>70.099999999999994</v>
          </cell>
          <cell r="CX231">
            <v>56.8</v>
          </cell>
          <cell r="CY231">
            <v>49.1</v>
          </cell>
          <cell r="CZ231">
            <v>71.7</v>
          </cell>
          <cell r="DA231">
            <v>45.2</v>
          </cell>
        </row>
        <row r="232">
          <cell r="DT232" t="str">
            <v xml:space="preserve"> </v>
          </cell>
        </row>
        <row r="233">
          <cell r="DO233" t="str">
            <v xml:space="preserve"> </v>
          </cell>
        </row>
        <row r="234">
          <cell r="B234" t="str">
            <v>Equity and other investments</v>
          </cell>
        </row>
        <row r="236">
          <cell r="B236" t="str">
            <v>Sales volumes (mn pounds)</v>
          </cell>
        </row>
        <row r="237">
          <cell r="B237" t="str">
            <v>PO and derivatives</v>
          </cell>
          <cell r="CU237">
            <v>681</v>
          </cell>
          <cell r="CV237">
            <v>576</v>
          </cell>
          <cell r="CW237">
            <v>737</v>
          </cell>
          <cell r="CX237">
            <v>701</v>
          </cell>
          <cell r="CY237">
            <v>869</v>
          </cell>
          <cell r="CZ237">
            <v>781</v>
          </cell>
          <cell r="DA237">
            <v>872</v>
          </cell>
          <cell r="DB237">
            <v>860</v>
          </cell>
          <cell r="DC237">
            <v>838</v>
          </cell>
          <cell r="DD237">
            <v>791</v>
          </cell>
          <cell r="DE237">
            <v>758</v>
          </cell>
          <cell r="DF237">
            <v>716</v>
          </cell>
          <cell r="DG237">
            <v>828</v>
          </cell>
          <cell r="DH237">
            <v>800</v>
          </cell>
          <cell r="DI237">
            <v>833</v>
          </cell>
          <cell r="DJ237">
            <v>663</v>
          </cell>
          <cell r="DK237">
            <v>683</v>
          </cell>
          <cell r="DL237">
            <v>665</v>
          </cell>
          <cell r="DM237">
            <v>665</v>
          </cell>
          <cell r="DN237">
            <v>729</v>
          </cell>
          <cell r="DO237">
            <v>772</v>
          </cell>
          <cell r="DT237">
            <v>800</v>
          </cell>
        </row>
        <row r="238">
          <cell r="B238" t="str">
            <v>EO and derivatives</v>
          </cell>
          <cell r="CU238">
            <v>224</v>
          </cell>
          <cell r="CV238">
            <v>275</v>
          </cell>
          <cell r="CW238">
            <v>299</v>
          </cell>
          <cell r="CX238">
            <v>265</v>
          </cell>
          <cell r="CY238">
            <v>265</v>
          </cell>
          <cell r="CZ238">
            <v>250</v>
          </cell>
          <cell r="DA238">
            <v>206</v>
          </cell>
          <cell r="DB238">
            <v>251</v>
          </cell>
          <cell r="DC238">
            <v>288</v>
          </cell>
          <cell r="DD238">
            <v>277</v>
          </cell>
          <cell r="DE238">
            <v>281</v>
          </cell>
          <cell r="DF238">
            <v>254</v>
          </cell>
          <cell r="DG238">
            <v>312</v>
          </cell>
          <cell r="DH238">
            <v>275</v>
          </cell>
          <cell r="DI238">
            <v>311</v>
          </cell>
          <cell r="DJ238">
            <v>260</v>
          </cell>
          <cell r="DK238">
            <v>260</v>
          </cell>
          <cell r="DL238">
            <v>277</v>
          </cell>
          <cell r="DM238">
            <v>294</v>
          </cell>
          <cell r="DN238">
            <v>346</v>
          </cell>
          <cell r="DO238">
            <v>262</v>
          </cell>
          <cell r="DT238">
            <v>275</v>
          </cell>
        </row>
        <row r="239">
          <cell r="B239" t="str">
            <v>Styrene</v>
          </cell>
          <cell r="CU239">
            <v>394</v>
          </cell>
          <cell r="CV239">
            <v>514</v>
          </cell>
          <cell r="CW239">
            <v>666</v>
          </cell>
          <cell r="CX239">
            <v>717</v>
          </cell>
          <cell r="CY239">
            <v>589</v>
          </cell>
          <cell r="CZ239">
            <v>780</v>
          </cell>
          <cell r="DA239">
            <v>827</v>
          </cell>
          <cell r="DB239">
            <v>685</v>
          </cell>
          <cell r="DC239">
            <v>852</v>
          </cell>
          <cell r="DD239">
            <v>817</v>
          </cell>
          <cell r="DE239">
            <v>714</v>
          </cell>
          <cell r="DF239">
            <v>682</v>
          </cell>
          <cell r="DG239">
            <v>704</v>
          </cell>
          <cell r="DH239">
            <v>678</v>
          </cell>
          <cell r="DI239">
            <v>798</v>
          </cell>
          <cell r="DJ239">
            <v>794</v>
          </cell>
          <cell r="DK239">
            <v>703</v>
          </cell>
          <cell r="DL239">
            <v>589</v>
          </cell>
          <cell r="DM239">
            <v>756</v>
          </cell>
          <cell r="DN239">
            <v>832</v>
          </cell>
          <cell r="DO239">
            <v>683</v>
          </cell>
          <cell r="DT239">
            <v>678</v>
          </cell>
        </row>
        <row r="240">
          <cell r="B240" t="str">
            <v>Acetyls</v>
          </cell>
          <cell r="CU240">
            <v>290</v>
          </cell>
          <cell r="CV240">
            <v>464</v>
          </cell>
          <cell r="CW240">
            <v>495</v>
          </cell>
          <cell r="CX240">
            <v>433</v>
          </cell>
          <cell r="CY240">
            <v>379</v>
          </cell>
          <cell r="CZ240">
            <v>439</v>
          </cell>
          <cell r="DA240">
            <v>405</v>
          </cell>
          <cell r="DB240">
            <v>484</v>
          </cell>
          <cell r="DC240">
            <v>439</v>
          </cell>
          <cell r="DD240">
            <v>471</v>
          </cell>
          <cell r="DE240">
            <v>411</v>
          </cell>
          <cell r="DF240">
            <v>370</v>
          </cell>
          <cell r="DG240">
            <v>489</v>
          </cell>
          <cell r="DH240">
            <v>444</v>
          </cell>
          <cell r="DI240">
            <v>499</v>
          </cell>
          <cell r="DJ240">
            <v>44</v>
          </cell>
          <cell r="DK240">
            <v>431</v>
          </cell>
          <cell r="DL240">
            <v>470</v>
          </cell>
          <cell r="DM240">
            <v>506</v>
          </cell>
          <cell r="DN240">
            <v>510</v>
          </cell>
          <cell r="DO240">
            <v>683</v>
          </cell>
          <cell r="DT240">
            <v>444</v>
          </cell>
        </row>
        <row r="241">
          <cell r="B241" t="str">
            <v>C4 chemicals</v>
          </cell>
          <cell r="CU241">
            <v>290</v>
          </cell>
          <cell r="CV241">
            <v>274</v>
          </cell>
          <cell r="CW241">
            <v>386</v>
          </cell>
          <cell r="CX241">
            <v>431</v>
          </cell>
          <cell r="CY241">
            <v>472</v>
          </cell>
          <cell r="CZ241">
            <v>470</v>
          </cell>
          <cell r="DA241">
            <v>454</v>
          </cell>
          <cell r="DB241">
            <v>425</v>
          </cell>
          <cell r="DC241">
            <v>485</v>
          </cell>
          <cell r="DD241">
            <v>459</v>
          </cell>
          <cell r="DE241">
            <v>433</v>
          </cell>
          <cell r="DF241">
            <v>418</v>
          </cell>
          <cell r="DG241">
            <v>462</v>
          </cell>
          <cell r="DH241">
            <v>448</v>
          </cell>
          <cell r="DI241">
            <v>441</v>
          </cell>
          <cell r="DJ241">
            <v>399</v>
          </cell>
          <cell r="DK241">
            <v>434</v>
          </cell>
          <cell r="DL241">
            <v>357</v>
          </cell>
          <cell r="DM241">
            <v>425</v>
          </cell>
          <cell r="DN241">
            <v>442</v>
          </cell>
          <cell r="DO241">
            <v>416</v>
          </cell>
          <cell r="DT241">
            <v>448</v>
          </cell>
        </row>
        <row r="242">
          <cell r="B242" t="str">
            <v>Gasoline blending - MTBE/ETBE (gal)</v>
          </cell>
          <cell r="U242">
            <v>207.75</v>
          </cell>
          <cell r="V242">
            <v>222.75</v>
          </cell>
          <cell r="CU242">
            <v>205</v>
          </cell>
          <cell r="CV242">
            <v>220</v>
          </cell>
          <cell r="CW242">
            <v>243</v>
          </cell>
          <cell r="CX242">
            <v>163</v>
          </cell>
          <cell r="CY242">
            <v>189</v>
          </cell>
          <cell r="CZ242">
            <v>236</v>
          </cell>
          <cell r="DA242">
            <v>248</v>
          </cell>
          <cell r="DB242">
            <v>218</v>
          </cell>
          <cell r="DC242">
            <v>196</v>
          </cell>
          <cell r="DD242">
            <v>206</v>
          </cell>
          <cell r="DE242">
            <v>264</v>
          </cell>
          <cell r="DF242">
            <v>210</v>
          </cell>
          <cell r="DG242">
            <v>205</v>
          </cell>
          <cell r="DH242">
            <v>189</v>
          </cell>
          <cell r="DI242">
            <v>256</v>
          </cell>
          <cell r="DJ242">
            <v>199</v>
          </cell>
          <cell r="DK242">
            <v>185</v>
          </cell>
          <cell r="DL242">
            <v>235</v>
          </cell>
          <cell r="DM242">
            <v>241</v>
          </cell>
          <cell r="DN242">
            <v>222</v>
          </cell>
          <cell r="DO242">
            <v>188</v>
          </cell>
        </row>
        <row r="244">
          <cell r="B244" t="str">
            <v>Selling Prices (cents/pound)</v>
          </cell>
        </row>
        <row r="245">
          <cell r="B245" t="str">
            <v>PO and derivatives</v>
          </cell>
        </row>
        <row r="246">
          <cell r="B246" t="str">
            <v>EO and derivatives</v>
          </cell>
        </row>
        <row r="247">
          <cell r="B247" t="str">
            <v>Styrene</v>
          </cell>
          <cell r="CY247">
            <v>225.13333333333333</v>
          </cell>
          <cell r="CZ247">
            <v>270.7</v>
          </cell>
          <cell r="DA247">
            <v>223.30333333333331</v>
          </cell>
          <cell r="DB247">
            <v>263.84999999999997</v>
          </cell>
          <cell r="DC247">
            <v>257.24</v>
          </cell>
          <cell r="DD247">
            <v>269.15666666666669</v>
          </cell>
          <cell r="DE247">
            <v>250.50333333333333</v>
          </cell>
          <cell r="DF247">
            <v>265.58666666666664</v>
          </cell>
          <cell r="DG247">
            <v>256.23</v>
          </cell>
          <cell r="DH247">
            <v>241.34333333333333</v>
          </cell>
          <cell r="DI247">
            <v>268.78000000000003</v>
          </cell>
          <cell r="DJ247">
            <v>251.66666666666666</v>
          </cell>
          <cell r="DK247">
            <v>251.66666666666666</v>
          </cell>
          <cell r="DL247">
            <v>251.66666666666666</v>
          </cell>
          <cell r="DM247">
            <v>251.66666666666666</v>
          </cell>
          <cell r="DN247">
            <v>251.66666666666666</v>
          </cell>
          <cell r="DO247">
            <v>251.66666666666666</v>
          </cell>
          <cell r="DP247">
            <v>251.66666666666666</v>
          </cell>
          <cell r="DQ247">
            <v>251.66666666666666</v>
          </cell>
          <cell r="DR247">
            <v>251.66666666666666</v>
          </cell>
          <cell r="DT247">
            <v>251.66666666666666</v>
          </cell>
        </row>
        <row r="248">
          <cell r="B248" t="str">
            <v>Acetyls</v>
          </cell>
        </row>
        <row r="249">
          <cell r="B249" t="str">
            <v>C4 chemicals</v>
          </cell>
        </row>
        <row r="255">
          <cell r="B255" t="str">
            <v>Refining (restated)</v>
          </cell>
          <cell r="C255">
            <v>1991</v>
          </cell>
          <cell r="D255">
            <v>1992</v>
          </cell>
          <cell r="E255">
            <v>1993</v>
          </cell>
          <cell r="F255">
            <v>1994</v>
          </cell>
          <cell r="G255">
            <v>1995</v>
          </cell>
          <cell r="H255">
            <v>1996</v>
          </cell>
          <cell r="I255">
            <v>1997</v>
          </cell>
          <cell r="J255">
            <v>1998</v>
          </cell>
          <cell r="K255">
            <v>1999</v>
          </cell>
          <cell r="L255">
            <v>2000</v>
          </cell>
          <cell r="M255">
            <v>2001</v>
          </cell>
          <cell r="N255">
            <v>2002</v>
          </cell>
          <cell r="O255">
            <v>2003</v>
          </cell>
          <cell r="P255">
            <v>2004</v>
          </cell>
          <cell r="Q255">
            <v>2005</v>
          </cell>
          <cell r="R255">
            <v>2006</v>
          </cell>
          <cell r="S255">
            <v>2007</v>
          </cell>
          <cell r="T255">
            <v>2008</v>
          </cell>
          <cell r="U255" t="str">
            <v>2009</v>
          </cell>
          <cell r="V255" t="str">
            <v>2010</v>
          </cell>
          <cell r="W255" t="str">
            <v>2011</v>
          </cell>
          <cell r="X255" t="str">
            <v>2012</v>
          </cell>
          <cell r="Y255" t="str">
            <v>2013e</v>
          </cell>
          <cell r="Z255" t="str">
            <v>2014e</v>
          </cell>
          <cell r="AA255" t="str">
            <v>2015e</v>
          </cell>
          <cell r="AB255" t="str">
            <v>2016e</v>
          </cell>
          <cell r="AC255" t="str">
            <v>2017e</v>
          </cell>
          <cell r="AD255" t="str">
            <v>2018e</v>
          </cell>
          <cell r="AE255" t="str">
            <v>2019e</v>
          </cell>
          <cell r="AF255" t="str">
            <v>2020e</v>
          </cell>
          <cell r="AI255" t="str">
            <v>1993q1</v>
          </cell>
          <cell r="AJ255" t="str">
            <v>1993q2</v>
          </cell>
          <cell r="AK255" t="str">
            <v>1993q3</v>
          </cell>
          <cell r="AL255" t="str">
            <v>1993q4</v>
          </cell>
          <cell r="AM255" t="str">
            <v>1994q1</v>
          </cell>
          <cell r="AN255" t="str">
            <v>1994q2</v>
          </cell>
          <cell r="AO255" t="str">
            <v>1994q3</v>
          </cell>
          <cell r="AP255" t="str">
            <v>1994q4</v>
          </cell>
          <cell r="AQ255" t="str">
            <v>1995q1</v>
          </cell>
          <cell r="AR255" t="str">
            <v>1995q2</v>
          </cell>
          <cell r="AS255" t="str">
            <v>1995q3</v>
          </cell>
          <cell r="AT255" t="str">
            <v>1995q4</v>
          </cell>
          <cell r="AU255" t="str">
            <v>1996q1</v>
          </cell>
          <cell r="AV255" t="str">
            <v>1996q2</v>
          </cell>
          <cell r="AW255" t="str">
            <v>1996q3</v>
          </cell>
          <cell r="AX255" t="str">
            <v>1996q4</v>
          </cell>
          <cell r="AY255" t="str">
            <v>1997q1</v>
          </cell>
          <cell r="AZ255" t="str">
            <v>1997q2</v>
          </cell>
          <cell r="BA255" t="str">
            <v>1997q3</v>
          </cell>
          <cell r="BB255" t="str">
            <v>1997q4</v>
          </cell>
          <cell r="BC255" t="str">
            <v>1998q1</v>
          </cell>
          <cell r="BD255" t="str">
            <v>1998q2</v>
          </cell>
          <cell r="BE255" t="str">
            <v>1998q3</v>
          </cell>
          <cell r="BF255" t="str">
            <v>1998q4</v>
          </cell>
          <cell r="BG255" t="str">
            <v>1999q1</v>
          </cell>
          <cell r="BH255" t="str">
            <v>1999q2</v>
          </cell>
          <cell r="BI255" t="str">
            <v>1999q3</v>
          </cell>
          <cell r="BJ255" t="str">
            <v>1999q4</v>
          </cell>
          <cell r="BK255" t="str">
            <v>2000q1</v>
          </cell>
          <cell r="BL255" t="str">
            <v>2000q2</v>
          </cell>
          <cell r="BM255" t="str">
            <v>2000q3</v>
          </cell>
          <cell r="BN255" t="str">
            <v>2000q4</v>
          </cell>
          <cell r="BO255" t="str">
            <v>2001q1</v>
          </cell>
          <cell r="BP255" t="str">
            <v>2001q2</v>
          </cell>
          <cell r="BQ255" t="str">
            <v>2001q3</v>
          </cell>
          <cell r="BR255" t="str">
            <v>2001q4</v>
          </cell>
          <cell r="BS255" t="str">
            <v>2002q1</v>
          </cell>
          <cell r="BT255" t="str">
            <v>2002q2</v>
          </cell>
          <cell r="BU255" t="str">
            <v>2002q3</v>
          </cell>
          <cell r="BV255" t="str">
            <v>2002q4</v>
          </cell>
          <cell r="BW255" t="str">
            <v>2003q1</v>
          </cell>
          <cell r="BX255" t="str">
            <v>2003q2</v>
          </cell>
          <cell r="BY255" t="str">
            <v>2003q3</v>
          </cell>
          <cell r="BZ255" t="str">
            <v>2003q4</v>
          </cell>
          <cell r="CA255" t="str">
            <v>2004q1</v>
          </cell>
          <cell r="CB255" t="str">
            <v>2004q2</v>
          </cell>
          <cell r="CC255" t="str">
            <v>2004q3</v>
          </cell>
          <cell r="CD255" t="str">
            <v>2004q4</v>
          </cell>
          <cell r="CE255" t="str">
            <v>2005q1</v>
          </cell>
          <cell r="CF255" t="str">
            <v>2005q2</v>
          </cell>
          <cell r="CG255" t="str">
            <v>2005q3</v>
          </cell>
          <cell r="CH255" t="str">
            <v>2005q4</v>
          </cell>
          <cell r="CI255" t="str">
            <v>2006q1</v>
          </cell>
          <cell r="CJ255" t="str">
            <v>2006q2</v>
          </cell>
          <cell r="CK255" t="str">
            <v>2006q3</v>
          </cell>
          <cell r="CL255" t="str">
            <v>2006q4</v>
          </cell>
          <cell r="CM255" t="str">
            <v>2007q1</v>
          </cell>
          <cell r="CN255" t="str">
            <v>2007q2</v>
          </cell>
          <cell r="CO255" t="str">
            <v>2007q3</v>
          </cell>
          <cell r="CP255" t="str">
            <v>2007q4</v>
          </cell>
          <cell r="CQ255" t="str">
            <v>2008q1</v>
          </cell>
          <cell r="CR255" t="str">
            <v>2008q2</v>
          </cell>
          <cell r="CS255" t="str">
            <v>2008q3</v>
          </cell>
          <cell r="CT255" t="str">
            <v>2008q4</v>
          </cell>
          <cell r="CU255" t="str">
            <v>2009q1</v>
          </cell>
          <cell r="CV255" t="str">
            <v>2009q2</v>
          </cell>
          <cell r="CW255" t="str">
            <v>2009q3</v>
          </cell>
          <cell r="CX255" t="str">
            <v>2009q4</v>
          </cell>
          <cell r="CY255" t="str">
            <v>2010q1</v>
          </cell>
          <cell r="CZ255" t="str">
            <v>2010q2</v>
          </cell>
          <cell r="DA255" t="str">
            <v>2010q3</v>
          </cell>
          <cell r="DB255" t="str">
            <v>2010q4</v>
          </cell>
          <cell r="DC255" t="str">
            <v>2011q1</v>
          </cell>
          <cell r="DD255" t="str">
            <v>2011q2</v>
          </cell>
          <cell r="DE255" t="str">
            <v>2011q3</v>
          </cell>
          <cell r="DF255" t="str">
            <v>2011q4</v>
          </cell>
          <cell r="DG255" t="str">
            <v>2012q1</v>
          </cell>
          <cell r="DH255" t="str">
            <v>2012q2</v>
          </cell>
          <cell r="DI255" t="str">
            <v>2012q3</v>
          </cell>
          <cell r="DJ255" t="str">
            <v>2012q4e</v>
          </cell>
          <cell r="DK255" t="str">
            <v>2013q1e</v>
          </cell>
          <cell r="DL255" t="str">
            <v>2013q2e</v>
          </cell>
          <cell r="DM255" t="str">
            <v>2013q3e</v>
          </cell>
          <cell r="DN255" t="str">
            <v>2013q4e</v>
          </cell>
          <cell r="DO255" t="str">
            <v>2014q1e</v>
          </cell>
          <cell r="DP255" t="str">
            <v>2014q2e</v>
          </cell>
          <cell r="DQ255" t="str">
            <v>2014q3e</v>
          </cell>
          <cell r="DR255" t="str">
            <v>2014q4e</v>
          </cell>
          <cell r="DT255" t="str">
            <v>2013q2e</v>
          </cell>
        </row>
        <row r="257">
          <cell r="B257" t="str">
            <v>Customers</v>
          </cell>
        </row>
        <row r="258">
          <cell r="B258" t="str">
            <v>Intersegment</v>
          </cell>
        </row>
        <row r="259">
          <cell r="B259" t="str">
            <v>Revenue</v>
          </cell>
          <cell r="W259">
            <v>13706</v>
          </cell>
          <cell r="X259">
            <v>13291</v>
          </cell>
          <cell r="Y259">
            <v>11698</v>
          </cell>
          <cell r="Z259">
            <v>12383.437521853613</v>
          </cell>
          <cell r="AA259">
            <v>11673.276230277779</v>
          </cell>
          <cell r="AB259">
            <v>11199.835369227223</v>
          </cell>
          <cell r="AC259">
            <v>10903.934831070625</v>
          </cell>
          <cell r="AD259">
            <v>10667.214400545347</v>
          </cell>
          <cell r="AE259">
            <v>10548.854185282707</v>
          </cell>
          <cell r="AF259">
            <v>10430.493970020068</v>
          </cell>
          <cell r="DC259">
            <v>2867</v>
          </cell>
          <cell r="DD259">
            <v>3996</v>
          </cell>
          <cell r="DE259">
            <v>3955</v>
          </cell>
          <cell r="DF259">
            <v>2888</v>
          </cell>
          <cell r="DG259">
            <v>3203</v>
          </cell>
          <cell r="DH259">
            <v>3496</v>
          </cell>
          <cell r="DI259">
            <v>3272</v>
          </cell>
          <cell r="DJ259">
            <v>3320</v>
          </cell>
          <cell r="DK259">
            <v>2468</v>
          </cell>
          <cell r="DL259">
            <v>3077</v>
          </cell>
          <cell r="DM259">
            <v>3177</v>
          </cell>
          <cell r="DN259">
            <v>2976</v>
          </cell>
          <cell r="DO259">
            <v>3503.2487275524418</v>
          </cell>
          <cell r="DP259">
            <v>3009.7091608738829</v>
          </cell>
          <cell r="DQ259">
            <v>3061.6163414191519</v>
          </cell>
          <cell r="DR259">
            <v>2808.8632920081359</v>
          </cell>
          <cell r="DT259">
            <v>3315.8634134379595</v>
          </cell>
        </row>
        <row r="260">
          <cell r="B260" t="str">
            <v>Growth</v>
          </cell>
          <cell r="X260">
            <v>-3.0278710053990965E-2</v>
          </cell>
          <cell r="Y260">
            <v>-0.11985554134376641</v>
          </cell>
          <cell r="Z260">
            <v>5.8594419717354462E-2</v>
          </cell>
          <cell r="AA260">
            <v>-5.7347670250896043E-2</v>
          </cell>
          <cell r="AB260">
            <v>-4.0557667934093766E-2</v>
          </cell>
          <cell r="AC260">
            <v>-2.6420079260237816E-2</v>
          </cell>
          <cell r="AD260">
            <v>-2.170963364993217E-2</v>
          </cell>
          <cell r="AE260">
            <v>-1.1095700416088761E-2</v>
          </cell>
          <cell r="AF260">
            <v>-1.1220196353436185E-2</v>
          </cell>
          <cell r="DG260">
            <v>0.11719567492152083</v>
          </cell>
          <cell r="DH260">
            <v>-0.12512512512512508</v>
          </cell>
          <cell r="DI260">
            <v>-0.17269279393173198</v>
          </cell>
          <cell r="DJ260">
            <v>0.14958448753462594</v>
          </cell>
          <cell r="DK260">
            <v>-0.22947236965344986</v>
          </cell>
          <cell r="DL260">
            <v>-0.11985125858123569</v>
          </cell>
          <cell r="DM260">
            <v>-2.9034229828850844E-2</v>
          </cell>
          <cell r="DN260">
            <v>-0.10361445783132528</v>
          </cell>
          <cell r="DO260">
            <v>0.41946869025625677</v>
          </cell>
          <cell r="DP260">
            <v>-2.1868975991588324E-2</v>
          </cell>
          <cell r="DQ260">
            <v>-3.6318432036779424E-2</v>
          </cell>
          <cell r="DR260">
            <v>-5.6161528223072632E-2</v>
          </cell>
          <cell r="DT260">
            <v>-5.1526483570377701E-2</v>
          </cell>
        </row>
        <row r="261">
          <cell r="B261" t="str">
            <v>Volume</v>
          </cell>
          <cell r="AA261">
            <v>0</v>
          </cell>
          <cell r="AB261">
            <v>0</v>
          </cell>
          <cell r="AC261">
            <v>0</v>
          </cell>
          <cell r="AD261">
            <v>0</v>
          </cell>
          <cell r="AE261">
            <v>0</v>
          </cell>
          <cell r="AF261">
            <v>0</v>
          </cell>
          <cell r="DC261">
            <v>-1.9011406844106515E-2</v>
          </cell>
          <cell r="DD261">
            <v>0.39153439153439162</v>
          </cell>
          <cell r="DE261">
            <v>3.0651340996168619E-2</v>
          </cell>
          <cell r="DF261">
            <v>0.12446351931330479</v>
          </cell>
          <cell r="DG261">
            <v>3.8759689922480689E-3</v>
          </cell>
          <cell r="DH261">
            <v>1.5209125475285079E-2</v>
          </cell>
          <cell r="DI261">
            <v>-0.10780669144981414</v>
          </cell>
          <cell r="DJ261">
            <v>-2.6717557251908386E-2</v>
          </cell>
          <cell r="DK261">
            <v>-0.33204633204633205</v>
          </cell>
          <cell r="DL261">
            <v>-7.4906367041198685E-3</v>
          </cell>
          <cell r="DM261">
            <v>4.1666666666666741E-2</v>
          </cell>
          <cell r="DN261">
            <v>-1.9607843137254943E-2</v>
          </cell>
          <cell r="DO261">
            <v>0.47398843930635848</v>
          </cell>
          <cell r="DP261">
            <v>-3.7735849056603765E-2</v>
          </cell>
          <cell r="DQ261">
            <v>2.0000000000000018E-2</v>
          </cell>
          <cell r="DR261">
            <v>0</v>
          </cell>
        </row>
        <row r="262">
          <cell r="B262" t="str">
            <v>Price</v>
          </cell>
          <cell r="AA262">
            <v>-5.7347670250896043E-2</v>
          </cell>
          <cell r="AB262">
            <v>-4.0557667934093766E-2</v>
          </cell>
          <cell r="AC262">
            <v>-2.6420079260237816E-2</v>
          </cell>
          <cell r="AD262">
            <v>-2.170963364993217E-2</v>
          </cell>
          <cell r="AE262">
            <v>-1.1095700416088761E-2</v>
          </cell>
          <cell r="AF262">
            <v>-1.1220196353436185E-2</v>
          </cell>
          <cell r="DJ262">
            <v>6.4584920030463788E-3</v>
          </cell>
          <cell r="DK262">
            <v>-4.4495103005741221E-2</v>
          </cell>
          <cell r="DL262">
            <v>-4.9534085335949052E-2</v>
          </cell>
          <cell r="DM262">
            <v>1.6689753575632293E-2</v>
          </cell>
          <cell r="DN262">
            <v>-1.3841230356046785E-2</v>
          </cell>
          <cell r="DO262">
            <v>-5.4519749050101596E-2</v>
          </cell>
          <cell r="DP262">
            <v>1.5866873065015552E-2</v>
          </cell>
          <cell r="DQ262">
            <v>-5.6318432036779331E-2</v>
          </cell>
          <cell r="DR262">
            <v>-5.6161528223072632E-2</v>
          </cell>
          <cell r="DT262">
            <v>-5.1526483570377701E-2</v>
          </cell>
        </row>
        <row r="264">
          <cell r="B264" t="str">
            <v>Operating Income</v>
          </cell>
          <cell r="W264">
            <v>824</v>
          </cell>
          <cell r="X264">
            <v>256</v>
          </cell>
          <cell r="Y264">
            <v>22</v>
          </cell>
          <cell r="Z264">
            <v>63.779212546342109</v>
          </cell>
          <cell r="AA264">
            <v>116.85116077510142</v>
          </cell>
          <cell r="AB264">
            <v>115.27443188057936</v>
          </cell>
          <cell r="AC264">
            <v>125.69749301713122</v>
          </cell>
          <cell r="AD264">
            <v>108.80375536593385</v>
          </cell>
          <cell r="AE264">
            <v>109.54636410683548</v>
          </cell>
          <cell r="AF264">
            <v>111.02586304523118</v>
          </cell>
          <cell r="DC264">
            <v>158</v>
          </cell>
          <cell r="DD264">
            <v>258</v>
          </cell>
          <cell r="DE264">
            <v>390</v>
          </cell>
          <cell r="DF264">
            <v>3</v>
          </cell>
          <cell r="DG264">
            <v>10</v>
          </cell>
          <cell r="DH264">
            <v>124</v>
          </cell>
          <cell r="DI264">
            <v>114</v>
          </cell>
          <cell r="DJ264">
            <v>86</v>
          </cell>
          <cell r="DK264">
            <v>-17</v>
          </cell>
          <cell r="DL264">
            <v>-16</v>
          </cell>
          <cell r="DM264">
            <v>-37</v>
          </cell>
          <cell r="DN264">
            <v>92</v>
          </cell>
          <cell r="DO264">
            <v>5.1123456365855233</v>
          </cell>
          <cell r="DP264">
            <v>5.790135636585525</v>
          </cell>
          <cell r="DQ264">
            <v>27.25348563658553</v>
          </cell>
          <cell r="DR264">
            <v>25.62324563658553</v>
          </cell>
          <cell r="DT264">
            <v>23.842659999999995</v>
          </cell>
        </row>
        <row r="265">
          <cell r="B265" t="str">
            <v>Margin</v>
          </cell>
          <cell r="W265">
            <v>6.0119655625273605E-2</v>
          </cell>
          <cell r="X265">
            <v>1.9261154164472199E-2</v>
          </cell>
          <cell r="Y265">
            <v>1.8806633612583347E-3</v>
          </cell>
          <cell r="Z265">
            <v>5.1503641403114475E-3</v>
          </cell>
          <cell r="AA265">
            <v>1.0010142694303467E-2</v>
          </cell>
          <cell r="AB265">
            <v>1.029251128077369E-2</v>
          </cell>
          <cell r="AC265">
            <v>1.1527718659777551E-2</v>
          </cell>
          <cell r="AD265">
            <v>1.0199828303851417E-2</v>
          </cell>
          <cell r="AE265">
            <v>1.0384669479996196E-2</v>
          </cell>
          <cell r="AF265">
            <v>1.0644353312925367E-2</v>
          </cell>
          <cell r="DC265">
            <v>5.5109870945238927E-2</v>
          </cell>
          <cell r="DD265">
            <v>6.4564564564564567E-2</v>
          </cell>
          <cell r="DE265">
            <v>9.8609355246523395E-2</v>
          </cell>
          <cell r="DF265">
            <v>1.0387811634349031E-3</v>
          </cell>
          <cell r="DG265">
            <v>3.1220730565095223E-3</v>
          </cell>
          <cell r="DH265">
            <v>3.5469107551487411E-2</v>
          </cell>
          <cell r="DI265">
            <v>3.4841075794621028E-2</v>
          </cell>
          <cell r="DJ265">
            <v>2.5903614457831327E-2</v>
          </cell>
          <cell r="DK265">
            <v>-6.8881685575364667E-3</v>
          </cell>
          <cell r="DL265">
            <v>-5.1998700032499191E-3</v>
          </cell>
          <cell r="DM265">
            <v>-1.1646207113629211E-2</v>
          </cell>
          <cell r="DN265">
            <v>3.0913978494623656E-2</v>
          </cell>
          <cell r="DO265">
            <v>1.4593156336225328E-3</v>
          </cell>
          <cell r="DP265">
            <v>1.9238189895080535E-3</v>
          </cell>
          <cell r="DQ265">
            <v>8.90166585142824E-3</v>
          </cell>
          <cell r="DR265">
            <v>9.1222829211694192E-3</v>
          </cell>
          <cell r="DT265">
            <v>7.1904831493886552E-3</v>
          </cell>
        </row>
        <row r="267">
          <cell r="B267" t="str">
            <v>D&amp;A</v>
          </cell>
          <cell r="W267">
            <v>-153</v>
          </cell>
          <cell r="X267">
            <v>-148</v>
          </cell>
          <cell r="Y267">
            <v>-160</v>
          </cell>
          <cell r="Z267">
            <v>-148.55501745365788</v>
          </cell>
          <cell r="AA267">
            <v>-148.42306422489858</v>
          </cell>
          <cell r="AB267">
            <v>-148.00180811942067</v>
          </cell>
          <cell r="AC267">
            <v>-147.41667698286878</v>
          </cell>
          <cell r="AD267">
            <v>-146.71285213406617</v>
          </cell>
          <cell r="AE267">
            <v>-145.97024339316454</v>
          </cell>
          <cell r="AF267">
            <v>-145.19078995476883</v>
          </cell>
          <cell r="DC267">
            <v>-32</v>
          </cell>
          <cell r="DD267">
            <v>-35</v>
          </cell>
          <cell r="DE267">
            <v>-37</v>
          </cell>
          <cell r="DF267">
            <v>-49</v>
          </cell>
          <cell r="DG267">
            <v>-38</v>
          </cell>
          <cell r="DH267">
            <v>-37</v>
          </cell>
          <cell r="DI267">
            <v>-36</v>
          </cell>
          <cell r="DJ267">
            <v>-37</v>
          </cell>
          <cell r="DK267">
            <v>-36</v>
          </cell>
          <cell r="DL267">
            <v>-37</v>
          </cell>
          <cell r="DM267">
            <v>-45</v>
          </cell>
          <cell r="DN267">
            <v>-42</v>
          </cell>
          <cell r="DO267">
            <v>-37.138754363414471</v>
          </cell>
          <cell r="DP267">
            <v>-37.138754363414471</v>
          </cell>
          <cell r="DQ267">
            <v>-37.138754363414471</v>
          </cell>
          <cell r="DR267">
            <v>-37.138754363414471</v>
          </cell>
          <cell r="DT267">
            <v>-38</v>
          </cell>
        </row>
        <row r="268">
          <cell r="B268" t="str">
            <v>% of revenue</v>
          </cell>
          <cell r="W268">
            <v>1.1162994309061725E-2</v>
          </cell>
          <cell r="X268">
            <v>1.113535475133549E-2</v>
          </cell>
          <cell r="Y268">
            <v>1.3677551718242434E-2</v>
          </cell>
          <cell r="Z268">
            <v>1.1996266561001024E-2</v>
          </cell>
          <cell r="AA268">
            <v>1.2714773581723652E-2</v>
          </cell>
          <cell r="AB268">
            <v>1.3214641397861248E-2</v>
          </cell>
          <cell r="AC268">
            <v>1.3519585293449005E-2</v>
          </cell>
          <cell r="AD268">
            <v>1.3753623638291705E-2</v>
          </cell>
          <cell r="AE268">
            <v>1.383754489628037E-2</v>
          </cell>
          <cell r="AF268">
            <v>1.3919838348220576E-2</v>
          </cell>
          <cell r="DC268">
            <v>1.1161492849668643E-2</v>
          </cell>
          <cell r="DD268">
            <v>8.7587587587587591E-3</v>
          </cell>
          <cell r="DE268">
            <v>9.3552465233881169E-3</v>
          </cell>
          <cell r="DF268">
            <v>1.6966759002770084E-2</v>
          </cell>
          <cell r="DG268">
            <v>1.1863877614736186E-2</v>
          </cell>
          <cell r="DH268">
            <v>1.0583524027459955E-2</v>
          </cell>
          <cell r="DI268">
            <v>1.1002444987775062E-2</v>
          </cell>
          <cell r="DJ268">
            <v>1.1144578313253013E-2</v>
          </cell>
          <cell r="DK268">
            <v>1.4586709886547812E-2</v>
          </cell>
          <cell r="DL268">
            <v>1.2024699382515438E-2</v>
          </cell>
          <cell r="DM268">
            <v>1.4164305949008499E-2</v>
          </cell>
          <cell r="DN268">
            <v>1.4112903225806451E-2</v>
          </cell>
          <cell r="DO268">
            <v>1.0601232527774757E-2</v>
          </cell>
          <cell r="DP268">
            <v>1.2339648909009886E-2</v>
          </cell>
          <cell r="DQ268">
            <v>1.2130440336688147E-2</v>
          </cell>
          <cell r="DR268">
            <v>1.3221987153694091E-2</v>
          </cell>
          <cell r="DT268">
            <v>1.1460061909064213E-2</v>
          </cell>
        </row>
        <row r="270">
          <cell r="B270" t="str">
            <v>EBITDA</v>
          </cell>
          <cell r="W270">
            <v>977</v>
          </cell>
          <cell r="X270">
            <v>404</v>
          </cell>
          <cell r="Y270">
            <v>182</v>
          </cell>
          <cell r="Z270">
            <v>212.33422999999999</v>
          </cell>
          <cell r="AA270">
            <v>265.274225</v>
          </cell>
          <cell r="AB270">
            <v>263.27624000000003</v>
          </cell>
          <cell r="AC270">
            <v>273.11417</v>
          </cell>
          <cell r="AD270">
            <v>255.51660750000002</v>
          </cell>
          <cell r="AE270">
            <v>255.51660750000002</v>
          </cell>
          <cell r="AF270">
            <v>256.21665300000001</v>
          </cell>
          <cell r="DC270">
            <v>190</v>
          </cell>
          <cell r="DD270">
            <v>293</v>
          </cell>
          <cell r="DE270">
            <v>427</v>
          </cell>
          <cell r="DF270">
            <v>67</v>
          </cell>
          <cell r="DG270">
            <v>48</v>
          </cell>
          <cell r="DH270">
            <v>108</v>
          </cell>
          <cell r="DI270">
            <v>126</v>
          </cell>
          <cell r="DJ270">
            <v>122</v>
          </cell>
          <cell r="DK270">
            <v>20</v>
          </cell>
          <cell r="DL270">
            <v>20</v>
          </cell>
          <cell r="DM270">
            <v>8</v>
          </cell>
          <cell r="DN270">
            <v>134</v>
          </cell>
          <cell r="DO270">
            <v>42.251099999999994</v>
          </cell>
          <cell r="DP270">
            <v>42.928889999999996</v>
          </cell>
          <cell r="DQ270">
            <v>64.392240000000001</v>
          </cell>
          <cell r="DR270">
            <v>62.762</v>
          </cell>
          <cell r="DT270">
            <v>61.842659999999995</v>
          </cell>
        </row>
        <row r="271">
          <cell r="B271" t="str">
            <v>Margin</v>
          </cell>
          <cell r="W271">
            <v>4.712294409877972E-2</v>
          </cell>
          <cell r="X271">
            <v>2.4832750276579513E-2</v>
          </cell>
          <cell r="Y271">
            <v>1.1421820653370459E-2</v>
          </cell>
          <cell r="Z271">
            <v>1.3891882434450865E-2</v>
          </cell>
          <cell r="AA271">
            <v>1.8411306030819419E-2</v>
          </cell>
          <cell r="AB271">
            <v>1.9045059467880602E-2</v>
          </cell>
          <cell r="AC271">
            <v>2.0292861488615713E-2</v>
          </cell>
          <cell r="AD271">
            <v>1.9406642860398827E-2</v>
          </cell>
          <cell r="AE271">
            <v>1.9624389203853509E-2</v>
          </cell>
          <cell r="AF271">
            <v>1.9901452862563701E-2</v>
          </cell>
          <cell r="DC271">
            <v>4.025423728813559E-2</v>
          </cell>
          <cell r="DD271">
            <v>5.0231441796674096E-2</v>
          </cell>
          <cell r="DE271">
            <v>7.2755154200034075E-2</v>
          </cell>
          <cell r="DF271">
            <v>1.5541637671073997E-2</v>
          </cell>
          <cell r="DG271">
            <v>1.1264961276695611E-2</v>
          </cell>
          <cell r="DH271">
            <v>3.0892448512585814E-2</v>
          </cell>
          <cell r="DI271">
            <v>2.632105520816402E-2</v>
          </cell>
          <cell r="DJ271">
            <v>3.2753469614929386E-2</v>
          </cell>
          <cell r="DK271">
            <v>4.912307493195444E-3</v>
          </cell>
          <cell r="DL271">
            <v>6.0189678665637037E-3</v>
          </cell>
          <cell r="DM271">
            <v>1.6437444191577941E-3</v>
          </cell>
          <cell r="DN271">
            <v>3.6480051155380826E-2</v>
          </cell>
          <cell r="DO271">
            <v>1.0975924400178097E-2</v>
          </cell>
          <cell r="DP271">
            <v>1.2717592054048162E-2</v>
          </cell>
          <cell r="DQ271">
            <v>1.4020140470359713E-2</v>
          </cell>
          <cell r="DR271">
            <v>1.8102966144129415E-2</v>
          </cell>
          <cell r="DT271">
            <v>1.8650545058452869E-2</v>
          </cell>
        </row>
        <row r="272">
          <cell r="B272" t="str">
            <v>Growth</v>
          </cell>
          <cell r="X272">
            <v>-0.58648925281473896</v>
          </cell>
          <cell r="Y272">
            <v>-0.54950495049504955</v>
          </cell>
          <cell r="Z272">
            <v>0.16667159340659343</v>
          </cell>
          <cell r="AA272">
            <v>0.24932388433084962</v>
          </cell>
          <cell r="AB272">
            <v>-7.5317720747274386E-3</v>
          </cell>
          <cell r="AC272">
            <v>3.7367329463532162E-2</v>
          </cell>
          <cell r="AD272">
            <v>-6.4432989690721532E-2</v>
          </cell>
          <cell r="AE272">
            <v>0</v>
          </cell>
          <cell r="AF272">
            <v>2.739726027397138E-3</v>
          </cell>
        </row>
        <row r="273">
          <cell r="DO273" t="str">
            <v xml:space="preserve"> </v>
          </cell>
        </row>
        <row r="274">
          <cell r="B274" t="str">
            <v>Capex</v>
          </cell>
          <cell r="W274">
            <v>-224</v>
          </cell>
          <cell r="X274">
            <v>-166.13750000000002</v>
          </cell>
          <cell r="Y274">
            <v>-146.22499999999999</v>
          </cell>
          <cell r="Z274">
            <v>-154.79296902317017</v>
          </cell>
          <cell r="AA274">
            <v>-145.91595287847224</v>
          </cell>
          <cell r="AB274">
            <v>-139.99794211534029</v>
          </cell>
          <cell r="AC274">
            <v>-136.29918538838282</v>
          </cell>
          <cell r="AD274">
            <v>-133.34018000681684</v>
          </cell>
          <cell r="AE274">
            <v>-131.86067731603384</v>
          </cell>
          <cell r="AF274">
            <v>-130.38117462525085</v>
          </cell>
          <cell r="DC274">
            <v>-96</v>
          </cell>
          <cell r="DD274">
            <v>-49</v>
          </cell>
          <cell r="DE274">
            <v>-45</v>
          </cell>
          <cell r="DF274">
            <v>-34</v>
          </cell>
          <cell r="DG274">
            <v>-38</v>
          </cell>
          <cell r="DH274">
            <v>-27</v>
          </cell>
          <cell r="DI274">
            <v>-24</v>
          </cell>
          <cell r="DJ274">
            <v>-47</v>
          </cell>
          <cell r="DK274">
            <v>-93</v>
          </cell>
          <cell r="DL274">
            <v>-67</v>
          </cell>
          <cell r="DM274">
            <v>-36</v>
          </cell>
          <cell r="DN274">
            <v>0</v>
          </cell>
          <cell r="DO274">
            <v>-32</v>
          </cell>
        </row>
        <row r="275">
          <cell r="B275" t="str">
            <v>% of revenue</v>
          </cell>
          <cell r="W275">
            <v>1.634320735444331E-2</v>
          </cell>
          <cell r="X275">
            <v>1.2500000000000001E-2</v>
          </cell>
          <cell r="Y275">
            <v>1.2500000000000001E-2</v>
          </cell>
          <cell r="Z275">
            <v>1.2500000000000001E-2</v>
          </cell>
          <cell r="AA275">
            <v>1.2500000000000001E-2</v>
          </cell>
          <cell r="AB275">
            <v>1.2500000000000001E-2</v>
          </cell>
          <cell r="AC275">
            <v>1.2500000000000001E-2</v>
          </cell>
          <cell r="AD275">
            <v>1.2500000000000001E-2</v>
          </cell>
          <cell r="AE275">
            <v>1.2500000000000001E-2</v>
          </cell>
          <cell r="AF275">
            <v>1.2500000000000001E-2</v>
          </cell>
          <cell r="DC275">
            <v>3.3484478549005929E-2</v>
          </cell>
          <cell r="DD275">
            <v>1.2262262262262262E-2</v>
          </cell>
          <cell r="DE275">
            <v>1.1378002528445006E-2</v>
          </cell>
          <cell r="DF275">
            <v>1.1772853185595568E-2</v>
          </cell>
          <cell r="DG275">
            <v>1.1863877614736186E-2</v>
          </cell>
          <cell r="DH275">
            <v>7.7231121281464534E-3</v>
          </cell>
          <cell r="DI275">
            <v>7.3349633251833741E-3</v>
          </cell>
          <cell r="DJ275">
            <v>1.4156626506024096E-2</v>
          </cell>
          <cell r="DK275">
            <v>3.7682333873581851E-2</v>
          </cell>
          <cell r="DL275">
            <v>2.1774455638609035E-2</v>
          </cell>
          <cell r="DM275">
            <v>1.1331444759206799E-2</v>
          </cell>
          <cell r="DN275">
            <v>0</v>
          </cell>
        </row>
        <row r="276">
          <cell r="DM276" t="str">
            <v xml:space="preserve"> </v>
          </cell>
        </row>
        <row r="277">
          <cell r="B277" t="str">
            <v>PP&amp;E, net</v>
          </cell>
          <cell r="W277">
            <v>3500</v>
          </cell>
          <cell r="X277">
            <v>3518.1374999999998</v>
          </cell>
          <cell r="Y277">
            <v>3504.3624999999997</v>
          </cell>
          <cell r="Z277">
            <v>3510.6004515695122</v>
          </cell>
          <cell r="AA277">
            <v>3508.0933402230858</v>
          </cell>
          <cell r="AB277">
            <v>3500.0894742190053</v>
          </cell>
          <cell r="AC277">
            <v>3488.9719826245191</v>
          </cell>
          <cell r="AD277">
            <v>3475.5993104972699</v>
          </cell>
          <cell r="AE277">
            <v>3461.4897444201388</v>
          </cell>
          <cell r="AF277">
            <v>3446.680129090621</v>
          </cell>
          <cell r="DO277">
            <v>58</v>
          </cell>
        </row>
        <row r="278">
          <cell r="B278" t="str">
            <v>Asset turnover</v>
          </cell>
          <cell r="W278">
            <v>3.9159999999999999</v>
          </cell>
          <cell r="X278">
            <v>3.7778512067819978</v>
          </cell>
          <cell r="Y278">
            <v>3.3381249799357233</v>
          </cell>
          <cell r="Z278">
            <v>3.5274414427643714</v>
          </cell>
          <cell r="AA278">
            <v>3.3275272628679415</v>
          </cell>
          <cell r="AB278">
            <v>3.1998711609297659</v>
          </cell>
          <cell r="AC278">
            <v>3.1252572062411139</v>
          </cell>
          <cell r="AD278">
            <v>3.0691726656543556</v>
          </cell>
          <cell r="AE278">
            <v>3.0474896545012959</v>
          </cell>
          <cell r="AF278">
            <v>3.0262436835912796</v>
          </cell>
        </row>
        <row r="280">
          <cell r="B280" t="str">
            <v>Crude processing rates (mn gal)</v>
          </cell>
        </row>
        <row r="281">
          <cell r="B281" t="str">
            <v>Houston refining</v>
          </cell>
          <cell r="U281">
            <v>932.80950000000007</v>
          </cell>
          <cell r="V281">
            <v>906.32849999999996</v>
          </cell>
          <cell r="W281">
            <v>1008.0524999999999</v>
          </cell>
          <cell r="X281">
            <v>980.76300000000003</v>
          </cell>
          <cell r="Y281">
            <v>899.6925</v>
          </cell>
          <cell r="Z281">
            <v>972.45749999999998</v>
          </cell>
          <cell r="AA281">
            <v>972.49687500000005</v>
          </cell>
          <cell r="AB281">
            <v>975.16125</v>
          </cell>
          <cell r="AC281">
            <v>972.49687500000005</v>
          </cell>
          <cell r="AD281">
            <v>972.49687500000005</v>
          </cell>
          <cell r="AE281">
            <v>972.49687500000005</v>
          </cell>
          <cell r="AF281">
            <v>975.16125</v>
          </cell>
          <cell r="CU281">
            <v>1016.82</v>
          </cell>
          <cell r="CV281">
            <v>882.88199999999995</v>
          </cell>
          <cell r="CW281">
            <v>1012.3680000000001</v>
          </cell>
          <cell r="CX281">
            <v>819.16800000000001</v>
          </cell>
          <cell r="CY281">
            <v>994.14</v>
          </cell>
          <cell r="CZ281">
            <v>722.35799999999995</v>
          </cell>
          <cell r="DA281">
            <v>1008.504</v>
          </cell>
          <cell r="DB281">
            <v>900.31200000000001</v>
          </cell>
          <cell r="DC281">
            <v>975.24</v>
          </cell>
          <cell r="DD281">
            <v>1005.186</v>
          </cell>
          <cell r="DE281">
            <v>1039.4159999999999</v>
          </cell>
          <cell r="DF281">
            <v>1012.3680000000001</v>
          </cell>
          <cell r="DG281">
            <v>989.89800000000002</v>
          </cell>
          <cell r="DH281">
            <v>1020.474</v>
          </cell>
          <cell r="DI281">
            <v>927.36</v>
          </cell>
          <cell r="DJ281">
            <v>985.32</v>
          </cell>
          <cell r="DK281">
            <v>653.94000000000005</v>
          </cell>
          <cell r="DL281">
            <v>1012.83</v>
          </cell>
          <cell r="DM281">
            <v>966</v>
          </cell>
          <cell r="DN281">
            <v>966</v>
          </cell>
          <cell r="DO281">
            <v>963.9</v>
          </cell>
          <cell r="DP281">
            <v>974.61</v>
          </cell>
          <cell r="DQ281">
            <v>985.32</v>
          </cell>
          <cell r="DR281">
            <v>966</v>
          </cell>
          <cell r="DT281">
            <v>1020.474</v>
          </cell>
        </row>
        <row r="283">
          <cell r="B283" t="str">
            <v>Houston Crude processing rates (000 bbl/day)</v>
          </cell>
        </row>
        <row r="284">
          <cell r="B284" t="str">
            <v xml:space="preserve">  Thousands of barrels per day</v>
          </cell>
          <cell r="U284">
            <v>243.5</v>
          </cell>
          <cell r="V284">
            <v>236.5</v>
          </cell>
          <cell r="W284">
            <v>263</v>
          </cell>
          <cell r="X284">
            <v>255.25</v>
          </cell>
          <cell r="Y284">
            <v>234.5</v>
          </cell>
          <cell r="Z284">
            <v>253.75</v>
          </cell>
          <cell r="AA284">
            <v>253.75</v>
          </cell>
          <cell r="AB284">
            <v>253.75</v>
          </cell>
          <cell r="AC284">
            <v>253.75</v>
          </cell>
          <cell r="AD284">
            <v>253.75</v>
          </cell>
          <cell r="AE284">
            <v>253.75</v>
          </cell>
          <cell r="AF284">
            <v>253.75</v>
          </cell>
          <cell r="CU284">
            <v>269</v>
          </cell>
          <cell r="CV284">
            <v>231</v>
          </cell>
          <cell r="CW284">
            <v>262</v>
          </cell>
          <cell r="CX284">
            <v>212</v>
          </cell>
          <cell r="CY284">
            <v>263</v>
          </cell>
          <cell r="CZ284">
            <v>189</v>
          </cell>
          <cell r="DA284">
            <v>261</v>
          </cell>
          <cell r="DB284">
            <v>233</v>
          </cell>
          <cell r="DC284">
            <v>258</v>
          </cell>
          <cell r="DD284">
            <v>263</v>
          </cell>
          <cell r="DE284">
            <v>269</v>
          </cell>
          <cell r="DF284">
            <v>262</v>
          </cell>
          <cell r="DG284">
            <v>259</v>
          </cell>
          <cell r="DH284">
            <v>267</v>
          </cell>
          <cell r="DI284">
            <v>240</v>
          </cell>
          <cell r="DJ284">
            <v>255</v>
          </cell>
          <cell r="DK284">
            <v>173</v>
          </cell>
          <cell r="DL284">
            <v>265</v>
          </cell>
          <cell r="DM284">
            <v>250</v>
          </cell>
          <cell r="DN284">
            <v>250</v>
          </cell>
          <cell r="DO284">
            <v>255</v>
          </cell>
          <cell r="DP284">
            <v>255</v>
          </cell>
          <cell r="DQ284">
            <v>255</v>
          </cell>
          <cell r="DR284">
            <v>250</v>
          </cell>
          <cell r="DT284">
            <v>267</v>
          </cell>
        </row>
        <row r="285">
          <cell r="B285" t="str">
            <v xml:space="preserve">  Millions of barrels processed</v>
          </cell>
          <cell r="V285">
            <v>21.579250000000002</v>
          </cell>
          <cell r="W285">
            <v>96.004999999999995</v>
          </cell>
          <cell r="X285">
            <v>93.406000000000006</v>
          </cell>
          <cell r="Y285">
            <v>85.685000000000002</v>
          </cell>
          <cell r="Z285">
            <v>92.615000000000009</v>
          </cell>
          <cell r="AA285">
            <v>92.618750000000006</v>
          </cell>
          <cell r="AB285">
            <v>92.872500000000002</v>
          </cell>
          <cell r="AC285">
            <v>92.618750000000006</v>
          </cell>
          <cell r="AD285">
            <v>92.618750000000006</v>
          </cell>
          <cell r="AE285">
            <v>92.618750000000006</v>
          </cell>
          <cell r="AF285">
            <v>92.872500000000002</v>
          </cell>
          <cell r="CU285">
            <v>24.21</v>
          </cell>
          <cell r="CV285">
            <v>21.021000000000001</v>
          </cell>
          <cell r="CW285">
            <v>24.103999999999999</v>
          </cell>
          <cell r="CX285">
            <v>19.504000000000001</v>
          </cell>
          <cell r="CY285">
            <v>23.67</v>
          </cell>
          <cell r="CZ285">
            <v>17.199000000000002</v>
          </cell>
          <cell r="DA285">
            <v>24.012</v>
          </cell>
          <cell r="DB285">
            <v>21.436</v>
          </cell>
          <cell r="DC285">
            <v>23.22</v>
          </cell>
          <cell r="DD285">
            <v>23.933</v>
          </cell>
          <cell r="DE285">
            <v>24.748000000000001</v>
          </cell>
          <cell r="DF285">
            <v>24.103999999999999</v>
          </cell>
          <cell r="DG285">
            <v>23.568999999999999</v>
          </cell>
          <cell r="DH285">
            <v>24.297000000000001</v>
          </cell>
          <cell r="DI285">
            <v>22.08</v>
          </cell>
          <cell r="DJ285">
            <v>23.46</v>
          </cell>
          <cell r="DK285">
            <v>15.57</v>
          </cell>
          <cell r="DL285">
            <v>24.114999999999998</v>
          </cell>
          <cell r="DM285">
            <v>23</v>
          </cell>
          <cell r="DN285">
            <v>23</v>
          </cell>
          <cell r="DO285">
            <v>22.95</v>
          </cell>
          <cell r="DP285">
            <v>23.204999999999998</v>
          </cell>
          <cell r="DQ285">
            <v>23.46</v>
          </cell>
          <cell r="DR285">
            <v>23</v>
          </cell>
          <cell r="DT285">
            <v>24.297000000000001</v>
          </cell>
        </row>
        <row r="287">
          <cell r="B287" t="str">
            <v>EBITDA $/bbl</v>
          </cell>
          <cell r="W287">
            <v>10.176553304515391</v>
          </cell>
          <cell r="X287">
            <v>4.3252039483544955</v>
          </cell>
          <cell r="Y287">
            <v>2.1240590535099493</v>
          </cell>
          <cell r="Z287">
            <v>2.2926548615235109</v>
          </cell>
          <cell r="AA287">
            <v>3.4039999999999999</v>
          </cell>
          <cell r="AB287">
            <v>3.1040000000000001</v>
          </cell>
          <cell r="AC287">
            <v>2.9487999999999999</v>
          </cell>
          <cell r="AD287">
            <v>2.7587999999999999</v>
          </cell>
          <cell r="AE287">
            <v>2.7587999999999999</v>
          </cell>
          <cell r="AF287">
            <v>2.7587999999999999</v>
          </cell>
          <cell r="DC287">
            <v>8.1826012058570203</v>
          </cell>
          <cell r="DD287">
            <v>12.242510341369657</v>
          </cell>
          <cell r="DE287">
            <v>17.253919508647162</v>
          </cell>
          <cell r="DF287">
            <v>2.7796216395618987</v>
          </cell>
          <cell r="DG287">
            <v>2.0365734651448939</v>
          </cell>
          <cell r="DH287">
            <v>4.4449932090381523</v>
          </cell>
          <cell r="DI287">
            <v>5.7065217391304355</v>
          </cell>
          <cell r="DJ287">
            <v>5.2003410059676041</v>
          </cell>
          <cell r="DK287">
            <v>1.2845215157353886</v>
          </cell>
          <cell r="DL287">
            <v>0.82935931992535772</v>
          </cell>
          <cell r="DM287">
            <v>0.34782608695652173</v>
          </cell>
          <cell r="DN287">
            <v>3.6106445454545444</v>
          </cell>
          <cell r="DO287">
            <v>2.6579999999999999</v>
          </cell>
          <cell r="DP287">
            <v>2.6579999999999999</v>
          </cell>
          <cell r="DQ287">
            <v>3.544</v>
          </cell>
          <cell r="DR287">
            <v>3.544</v>
          </cell>
          <cell r="DT287">
            <v>3.78</v>
          </cell>
        </row>
        <row r="288">
          <cell r="B288" t="str">
            <v xml:space="preserve">  Capture Rate (%)</v>
          </cell>
          <cell r="W288">
            <v>0.47393425565329556</v>
          </cell>
          <cell r="X288">
            <v>0.18342680018466903</v>
          </cell>
          <cell r="Y288">
            <v>9.8922715268749378E-2</v>
          </cell>
          <cell r="Z288">
            <v>0.12938232852841486</v>
          </cell>
          <cell r="AA288">
            <v>0.2</v>
          </cell>
          <cell r="AB288">
            <v>0.2</v>
          </cell>
          <cell r="AC288">
            <v>0.19</v>
          </cell>
          <cell r="AD288">
            <v>0.19</v>
          </cell>
          <cell r="AE288">
            <v>0.19</v>
          </cell>
          <cell r="AF288">
            <v>0.19</v>
          </cell>
          <cell r="DC288">
            <v>0.34279854234842982</v>
          </cell>
          <cell r="DD288">
            <v>0.47488403186073147</v>
          </cell>
          <cell r="DE288">
            <v>0.73327324728632215</v>
          </cell>
          <cell r="DF288">
            <v>0.21869564434003921</v>
          </cell>
          <cell r="DG288">
            <v>0.10107064343150839</v>
          </cell>
          <cell r="DH288">
            <v>0.19192544080475618</v>
          </cell>
          <cell r="DI288">
            <v>0.2141283954645567</v>
          </cell>
          <cell r="DJ288">
            <v>0.21347869482625634</v>
          </cell>
          <cell r="DK288">
            <v>6.1255198652140616E-2</v>
          </cell>
          <cell r="DL288">
            <v>4.4435652307532998E-2</v>
          </cell>
          <cell r="DM288">
            <v>1.5680290098671314E-2</v>
          </cell>
          <cell r="DN288">
            <v>0.15</v>
          </cell>
          <cell r="DO288">
            <v>0.15</v>
          </cell>
          <cell r="DP288">
            <v>0.15</v>
          </cell>
          <cell r="DQ288">
            <v>0.2</v>
          </cell>
          <cell r="DR288">
            <v>0.2</v>
          </cell>
          <cell r="DT288">
            <v>0.21</v>
          </cell>
        </row>
        <row r="289">
          <cell r="DM289" t="str">
            <v xml:space="preserve"> </v>
          </cell>
        </row>
        <row r="290">
          <cell r="B290" t="str">
            <v>Operating + D&amp;A costs</v>
          </cell>
          <cell r="DC290">
            <v>2677</v>
          </cell>
          <cell r="DD290">
            <v>3703</v>
          </cell>
          <cell r="DE290">
            <v>3528</v>
          </cell>
          <cell r="DF290">
            <v>2821</v>
          </cell>
          <cell r="DG290">
            <v>3155</v>
          </cell>
          <cell r="DH290">
            <v>3388</v>
          </cell>
          <cell r="DI290">
            <v>3146</v>
          </cell>
          <cell r="DJ290">
            <v>3198</v>
          </cell>
          <cell r="DK290">
            <v>2448</v>
          </cell>
          <cell r="DL290">
            <v>3057</v>
          </cell>
          <cell r="DM290">
            <v>3169</v>
          </cell>
          <cell r="DN290">
            <v>2842</v>
          </cell>
          <cell r="DO290">
            <v>3460.9976275524418</v>
          </cell>
          <cell r="DP290">
            <v>2966.7802708738827</v>
          </cell>
          <cell r="DQ290">
            <v>2997.2241014191518</v>
          </cell>
          <cell r="DR290">
            <v>2746.1012920081357</v>
          </cell>
          <cell r="DT290">
            <v>3254.0207534379597</v>
          </cell>
        </row>
        <row r="291">
          <cell r="B291" t="str">
            <v>Operating + D&amp;A costs $/bbl</v>
          </cell>
          <cell r="W291">
            <v>11.295946695484613</v>
          </cell>
          <cell r="X291">
            <v>19.254796051645503</v>
          </cell>
          <cell r="Y291">
            <v>19.347845025744128</v>
          </cell>
          <cell r="Z291">
            <v>15.427345138476488</v>
          </cell>
          <cell r="AA291">
            <v>13.616</v>
          </cell>
          <cell r="AB291">
            <v>12.416</v>
          </cell>
          <cell r="AC291">
            <v>12.571199999999999</v>
          </cell>
          <cell r="AD291">
            <v>11.761199999999999</v>
          </cell>
          <cell r="AE291">
            <v>11.761199999999999</v>
          </cell>
          <cell r="AF291">
            <v>11.761199999999999</v>
          </cell>
          <cell r="DC291">
            <v>115.28854435831181</v>
          </cell>
          <cell r="DD291">
            <v>154.7236033928049</v>
          </cell>
          <cell r="DE291">
            <v>142.55697430095361</v>
          </cell>
          <cell r="DF291">
            <v>117.03451709259875</v>
          </cell>
          <cell r="DG291">
            <v>133.86227671941958</v>
          </cell>
          <cell r="DH291">
            <v>139.44108326130797</v>
          </cell>
          <cell r="DI291">
            <v>142.48188405797103</v>
          </cell>
          <cell r="DJ291">
            <v>136.31713554987212</v>
          </cell>
          <cell r="DK291">
            <v>157.22543352601156</v>
          </cell>
          <cell r="DL291">
            <v>126.76757205059093</v>
          </cell>
          <cell r="DM291">
            <v>137.78260869565219</v>
          </cell>
          <cell r="DN291">
            <v>123.56521739130434</v>
          </cell>
          <cell r="DO291">
            <v>150.80599684324366</v>
          </cell>
          <cell r="DP291">
            <v>127.85090587691803</v>
          </cell>
          <cell r="DQ291">
            <v>127.75891310397066</v>
          </cell>
          <cell r="DR291">
            <v>119.39570834817981</v>
          </cell>
          <cell r="DT291">
            <v>133.92685325093467</v>
          </cell>
        </row>
        <row r="292">
          <cell r="B292" t="str">
            <v>Operating + D&amp;A costs $/bbl less Brent</v>
          </cell>
          <cell r="DC292">
            <v>10.028544358311805</v>
          </cell>
          <cell r="DD292">
            <v>37.563603392804907</v>
          </cell>
          <cell r="DE292">
            <v>29.176974300953617</v>
          </cell>
          <cell r="DF292">
            <v>7.6178504259320761</v>
          </cell>
          <cell r="DG292">
            <v>15.422276719419585</v>
          </cell>
          <cell r="DH292">
            <v>30.694416594641297</v>
          </cell>
          <cell r="DI292">
            <v>34.084345596432556</v>
          </cell>
          <cell r="DJ292">
            <v>26.193802216538785</v>
          </cell>
          <cell r="DK292">
            <v>44.055433526011555</v>
          </cell>
          <cell r="DL292">
            <v>23.407572050590929</v>
          </cell>
          <cell r="DM292">
            <v>27.575942028985523</v>
          </cell>
          <cell r="DN292">
            <v>14.966126482213397</v>
          </cell>
          <cell r="DO292">
            <v>43.805996843243662</v>
          </cell>
          <cell r="DP292">
            <v>22.850905876918034</v>
          </cell>
          <cell r="DQ292">
            <v>23.758913103970656</v>
          </cell>
          <cell r="DR292">
            <v>16.895708348179809</v>
          </cell>
          <cell r="DT292">
            <v>30.783519917601339</v>
          </cell>
        </row>
        <row r="294">
          <cell r="B294" t="str">
            <v>Variable margin $/bbl</v>
          </cell>
          <cell r="DC294">
            <v>11.935</v>
          </cell>
          <cell r="DD294">
            <v>12.89</v>
          </cell>
          <cell r="DE294">
            <v>11.765000000000001</v>
          </cell>
          <cell r="DF294">
            <v>6.3550000000000004</v>
          </cell>
          <cell r="DG294">
            <v>10.074999999999999</v>
          </cell>
          <cell r="DH294">
            <v>11.579999999999998</v>
          </cell>
          <cell r="DI294">
            <v>13.324999999999999</v>
          </cell>
          <cell r="DJ294">
            <v>12.18</v>
          </cell>
          <cell r="DK294">
            <v>10.484999999999999</v>
          </cell>
          <cell r="DL294">
            <v>9.3321384615384595</v>
          </cell>
          <cell r="DM294">
            <v>11.091187878787878</v>
          </cell>
          <cell r="DN294">
            <v>12.035481818181815</v>
          </cell>
          <cell r="DO294">
            <v>8.86</v>
          </cell>
          <cell r="DP294">
            <v>8.86</v>
          </cell>
          <cell r="DQ294">
            <v>8.86</v>
          </cell>
          <cell r="DR294">
            <v>8.86</v>
          </cell>
          <cell r="DT294">
            <v>9</v>
          </cell>
        </row>
        <row r="295">
          <cell r="B295" t="str">
            <v>(-) Fixed Costs $/bbl</v>
          </cell>
          <cell r="DC295">
            <v>7</v>
          </cell>
          <cell r="DD295">
            <v>7</v>
          </cell>
          <cell r="DE295">
            <v>7</v>
          </cell>
          <cell r="DF295">
            <v>7</v>
          </cell>
          <cell r="DG295">
            <v>7</v>
          </cell>
          <cell r="DH295">
            <v>7</v>
          </cell>
          <cell r="DI295">
            <v>7</v>
          </cell>
          <cell r="DJ295">
            <v>7</v>
          </cell>
          <cell r="DK295">
            <v>7</v>
          </cell>
          <cell r="DL295">
            <v>7</v>
          </cell>
          <cell r="DM295">
            <v>7</v>
          </cell>
          <cell r="DN295">
            <v>7</v>
          </cell>
          <cell r="DO295">
            <v>7</v>
          </cell>
          <cell r="DP295">
            <v>7</v>
          </cell>
          <cell r="DQ295">
            <v>7</v>
          </cell>
          <cell r="DR295">
            <v>7</v>
          </cell>
          <cell r="DT295">
            <v>7</v>
          </cell>
        </row>
        <row r="296">
          <cell r="B296" t="str">
            <v>EBITDA $/bbl</v>
          </cell>
          <cell r="DC296">
            <v>4.9350000000000005</v>
          </cell>
          <cell r="DD296">
            <v>5.8900000000000006</v>
          </cell>
          <cell r="DE296">
            <v>4.7650000000000006</v>
          </cell>
          <cell r="DF296">
            <v>-0.64499999999999957</v>
          </cell>
          <cell r="DG296">
            <v>3.0749999999999993</v>
          </cell>
          <cell r="DH296">
            <v>4.5799999999999983</v>
          </cell>
          <cell r="DI296">
            <v>6.3249999999999993</v>
          </cell>
          <cell r="DJ296">
            <v>5.18</v>
          </cell>
          <cell r="DK296">
            <v>3.4849999999999994</v>
          </cell>
          <cell r="DL296">
            <v>2.3321384615384595</v>
          </cell>
          <cell r="DM296">
            <v>4.0911878787878777</v>
          </cell>
          <cell r="DN296">
            <v>5.0354818181818146</v>
          </cell>
          <cell r="DO296">
            <v>1.8599999999999994</v>
          </cell>
          <cell r="DP296">
            <v>1.8599999999999994</v>
          </cell>
          <cell r="DQ296">
            <v>1.8599999999999994</v>
          </cell>
          <cell r="DR296">
            <v>1.8599999999999994</v>
          </cell>
          <cell r="DT296">
            <v>2</v>
          </cell>
        </row>
        <row r="297">
          <cell r="B297" t="str">
            <v>(x) Production (millions)</v>
          </cell>
          <cell r="DC297">
            <v>23.22</v>
          </cell>
          <cell r="DD297">
            <v>23.933</v>
          </cell>
          <cell r="DE297">
            <v>24.748000000000001</v>
          </cell>
          <cell r="DF297">
            <v>24.103999999999999</v>
          </cell>
          <cell r="DG297">
            <v>23.568999999999999</v>
          </cell>
          <cell r="DH297">
            <v>24.297000000000001</v>
          </cell>
          <cell r="DI297">
            <v>22.08</v>
          </cell>
          <cell r="DJ297">
            <v>23.46</v>
          </cell>
          <cell r="DK297">
            <v>15.57</v>
          </cell>
          <cell r="DL297">
            <v>24.114999999999998</v>
          </cell>
          <cell r="DM297">
            <v>23</v>
          </cell>
          <cell r="DN297">
            <v>23</v>
          </cell>
          <cell r="DO297">
            <v>22.95</v>
          </cell>
          <cell r="DP297">
            <v>23.204999999999998</v>
          </cell>
          <cell r="DQ297">
            <v>23.46</v>
          </cell>
          <cell r="DR297">
            <v>23</v>
          </cell>
          <cell r="DT297">
            <v>24.297000000000001</v>
          </cell>
        </row>
        <row r="298">
          <cell r="B298" t="str">
            <v>Implied EBITDA</v>
          </cell>
          <cell r="DC298">
            <v>114.59070000000001</v>
          </cell>
          <cell r="DD298">
            <v>140.96537000000001</v>
          </cell>
          <cell r="DE298">
            <v>117.92422000000002</v>
          </cell>
          <cell r="DF298">
            <v>-15.547079999999989</v>
          </cell>
          <cell r="DG298">
            <v>72.474674999999976</v>
          </cell>
          <cell r="DH298">
            <v>111.28025999999996</v>
          </cell>
          <cell r="DI298">
            <v>139.65599999999998</v>
          </cell>
          <cell r="DJ298">
            <v>121.5228</v>
          </cell>
          <cell r="DK298">
            <v>54.261449999999989</v>
          </cell>
          <cell r="DL298">
            <v>56.239518999999945</v>
          </cell>
          <cell r="DM298">
            <v>94.097321212121187</v>
          </cell>
          <cell r="DN298">
            <v>115.81608181818174</v>
          </cell>
          <cell r="DO298">
            <v>42.686999999999983</v>
          </cell>
          <cell r="DP298">
            <v>43.161299999999983</v>
          </cell>
          <cell r="DQ298">
            <v>43.63559999999999</v>
          </cell>
          <cell r="DR298">
            <v>42.779999999999987</v>
          </cell>
          <cell r="DT298">
            <v>48.594000000000001</v>
          </cell>
        </row>
        <row r="300">
          <cell r="B300" t="str">
            <v>Implied (-) Reported EBITDA</v>
          </cell>
          <cell r="DC300">
            <v>-75.409299999999988</v>
          </cell>
          <cell r="DD300">
            <v>-152.03462999999999</v>
          </cell>
          <cell r="DE300">
            <v>-309.07578000000001</v>
          </cell>
          <cell r="DF300">
            <v>-82.547079999999994</v>
          </cell>
          <cell r="DG300">
            <v>24.474674999999976</v>
          </cell>
          <cell r="DH300">
            <v>3.2802599999999558</v>
          </cell>
          <cell r="DI300">
            <v>13.655999999999977</v>
          </cell>
          <cell r="DJ300">
            <v>-0.47719999999999629</v>
          </cell>
          <cell r="DK300">
            <v>34.261449999999989</v>
          </cell>
          <cell r="DL300">
            <v>36.239518999999945</v>
          </cell>
          <cell r="DM300">
            <v>86.097321212121187</v>
          </cell>
          <cell r="DN300">
            <v>-18.183918181818257</v>
          </cell>
          <cell r="DO300">
            <v>0.43589999999998952</v>
          </cell>
          <cell r="DP300">
            <v>0.23240999999998735</v>
          </cell>
          <cell r="DQ300">
            <v>-20.756640000000012</v>
          </cell>
          <cell r="DR300">
            <v>-19.982000000000014</v>
          </cell>
          <cell r="DT300">
            <v>-13.248659999999994</v>
          </cell>
        </row>
        <row r="302">
          <cell r="AB302" t="str">
            <v xml:space="preserve"> </v>
          </cell>
          <cell r="DO302" t="str">
            <v xml:space="preserve"> </v>
          </cell>
        </row>
        <row r="303">
          <cell r="B303" t="str">
            <v>Market margins ($/bbl)</v>
          </cell>
          <cell r="AA303" t="str">
            <v xml:space="preserve"> </v>
          </cell>
          <cell r="DO303" t="str">
            <v xml:space="preserve"> </v>
          </cell>
        </row>
        <row r="304">
          <cell r="B304" t="str">
            <v>Gulf Coast 2-1-1 LLS</v>
          </cell>
          <cell r="N304">
            <v>3.0929999999999978</v>
          </cell>
          <cell r="O304">
            <v>4.3613749999999989</v>
          </cell>
          <cell r="P304">
            <v>6.5571249999999992</v>
          </cell>
          <cell r="Q304">
            <v>11.735124999999995</v>
          </cell>
          <cell r="R304">
            <v>11.781674999999998</v>
          </cell>
          <cell r="S304">
            <v>12.501225</v>
          </cell>
          <cell r="T304">
            <v>10.378974999999995</v>
          </cell>
          <cell r="U304">
            <v>4.8502499999999964</v>
          </cell>
          <cell r="V304">
            <v>5.6070249999999948</v>
          </cell>
          <cell r="W304">
            <v>7.77</v>
          </cell>
          <cell r="X304">
            <v>11.5</v>
          </cell>
          <cell r="Y304">
            <v>11.424017132867132</v>
          </cell>
          <cell r="Z304">
            <v>6.52</v>
          </cell>
          <cell r="AA304">
            <v>6.52</v>
          </cell>
          <cell r="AB304">
            <v>6.52</v>
          </cell>
          <cell r="AC304">
            <v>6.52</v>
          </cell>
          <cell r="AD304">
            <v>6.52</v>
          </cell>
          <cell r="AE304">
            <v>6.52</v>
          </cell>
          <cell r="AF304">
            <v>6.52</v>
          </cell>
          <cell r="BS304">
            <v>2.2954999999999988</v>
          </cell>
          <cell r="BT304">
            <v>3.2202999999999964</v>
          </cell>
          <cell r="BU304">
            <v>3.0140999999999973</v>
          </cell>
          <cell r="BV304">
            <v>3.8420999999999985</v>
          </cell>
          <cell r="BW304">
            <v>5.5152999999999999</v>
          </cell>
          <cell r="BX304">
            <v>3.6413999999999991</v>
          </cell>
          <cell r="BY304">
            <v>4.8421999999999947</v>
          </cell>
          <cell r="BZ304">
            <v>3.4466000000000001</v>
          </cell>
          <cell r="CA304">
            <v>6.0279999999999987</v>
          </cell>
          <cell r="CB304">
            <v>8.2902999999999984</v>
          </cell>
          <cell r="CC304">
            <v>6.5156999999999989</v>
          </cell>
          <cell r="CD304">
            <v>5.3945000000000007</v>
          </cell>
          <cell r="CE304">
            <v>7.2902999999999984</v>
          </cell>
          <cell r="CF304">
            <v>10.19809999999999</v>
          </cell>
          <cell r="CG304">
            <v>16.749499999999998</v>
          </cell>
          <cell r="CH304">
            <v>12.702599999999997</v>
          </cell>
          <cell r="CI304">
            <v>9.4604999999999961</v>
          </cell>
          <cell r="CJ304">
            <v>16.818499999999993</v>
          </cell>
          <cell r="CK304">
            <v>12.479100000000003</v>
          </cell>
          <cell r="CL304">
            <v>8.3686000000000007</v>
          </cell>
          <cell r="CM304">
            <v>10.894799999999996</v>
          </cell>
          <cell r="CN304">
            <v>19.328299999999999</v>
          </cell>
          <cell r="CO304">
            <v>11.983499999999999</v>
          </cell>
          <cell r="CP304">
            <v>7.7983000000000047</v>
          </cell>
          <cell r="CQ304">
            <v>9.3831999999999951</v>
          </cell>
          <cell r="CR304">
            <v>13.358999999999995</v>
          </cell>
          <cell r="CS304">
            <v>12.681299999999993</v>
          </cell>
          <cell r="CT304">
            <v>6.0923999999999978</v>
          </cell>
          <cell r="CU304">
            <v>5.7738000000000049</v>
          </cell>
          <cell r="CV304">
            <v>5.8675999999999959</v>
          </cell>
          <cell r="CW304">
            <v>4.4265999999999934</v>
          </cell>
          <cell r="CX304">
            <v>3.3329999999999913</v>
          </cell>
          <cell r="CY304">
            <v>6.0678999999999945</v>
          </cell>
          <cell r="CZ304">
            <v>5.96159999999999</v>
          </cell>
          <cell r="DA304">
            <v>5.1341999999999999</v>
          </cell>
          <cell r="DB304">
            <v>5.2643999999999949</v>
          </cell>
          <cell r="DC304">
            <v>6</v>
          </cell>
          <cell r="DD304">
            <v>10.28</v>
          </cell>
          <cell r="DE304">
            <v>9.5399999999999991</v>
          </cell>
          <cell r="DF304">
            <v>5.26</v>
          </cell>
          <cell r="DG304">
            <v>9.34</v>
          </cell>
          <cell r="DH304">
            <v>14.04</v>
          </cell>
          <cell r="DI304">
            <v>14.71</v>
          </cell>
          <cell r="DJ304">
            <v>7.91</v>
          </cell>
          <cell r="DK304">
            <v>9.8000000000000007</v>
          </cell>
          <cell r="DL304">
            <v>11.902123076923075</v>
          </cell>
          <cell r="DM304">
            <v>11.54358787878788</v>
          </cell>
          <cell r="DN304">
            <v>12.450357575757568</v>
          </cell>
          <cell r="DO304">
            <v>6.52</v>
          </cell>
          <cell r="DP304">
            <v>6.52</v>
          </cell>
          <cell r="DQ304">
            <v>6.52</v>
          </cell>
          <cell r="DR304">
            <v>6.52</v>
          </cell>
          <cell r="DT304">
            <v>12</v>
          </cell>
        </row>
        <row r="305">
          <cell r="B305" t="str">
            <v>LLS Less Maya</v>
          </cell>
          <cell r="N305">
            <v>5.3849999999999998</v>
          </cell>
          <cell r="O305">
            <v>6.9249999999999998</v>
          </cell>
          <cell r="P305">
            <v>11.387499999999999</v>
          </cell>
          <cell r="Q305">
            <v>15.797499999999999</v>
          </cell>
          <cell r="R305">
            <v>16.3</v>
          </cell>
          <cell r="S305">
            <v>15.6325</v>
          </cell>
          <cell r="T305">
            <v>18.392500000000002</v>
          </cell>
          <cell r="U305">
            <v>7.8650000000000038</v>
          </cell>
          <cell r="V305">
            <v>12.508668774801587</v>
          </cell>
          <cell r="W305">
            <v>13.702500000000002</v>
          </cell>
          <cell r="X305">
            <v>12.079999999999998</v>
          </cell>
          <cell r="Y305">
            <v>10.047886946386946</v>
          </cell>
          <cell r="Z305">
            <v>11.2</v>
          </cell>
          <cell r="AA305">
            <v>10.5</v>
          </cell>
          <cell r="AB305">
            <v>9</v>
          </cell>
          <cell r="AC305">
            <v>9</v>
          </cell>
          <cell r="AD305">
            <v>8</v>
          </cell>
          <cell r="AE305">
            <v>8</v>
          </cell>
          <cell r="AF305">
            <v>8</v>
          </cell>
          <cell r="BS305">
            <v>6.05</v>
          </cell>
          <cell r="BT305">
            <v>4.3600000000000003</v>
          </cell>
          <cell r="BU305">
            <v>4.87</v>
          </cell>
          <cell r="BV305">
            <v>6.26</v>
          </cell>
          <cell r="BW305">
            <v>7.71</v>
          </cell>
          <cell r="BX305">
            <v>6.94</v>
          </cell>
          <cell r="BY305">
            <v>5.94</v>
          </cell>
          <cell r="BZ305">
            <v>7.11</v>
          </cell>
          <cell r="CA305">
            <v>9.4700000000000006</v>
          </cell>
          <cell r="CB305">
            <v>8.2899999999999991</v>
          </cell>
          <cell r="CC305">
            <v>11.83</v>
          </cell>
          <cell r="CD305">
            <v>15.96</v>
          </cell>
          <cell r="CE305">
            <v>17.14</v>
          </cell>
          <cell r="CF305">
            <v>13.54</v>
          </cell>
          <cell r="CG305">
            <v>16.18</v>
          </cell>
          <cell r="CH305">
            <v>16.329999999999998</v>
          </cell>
          <cell r="CI305">
            <v>16.23</v>
          </cell>
          <cell r="CJ305">
            <v>17.45</v>
          </cell>
          <cell r="CK305">
            <v>16.36</v>
          </cell>
          <cell r="CL305">
            <v>15.16</v>
          </cell>
          <cell r="CM305">
            <v>16.12</v>
          </cell>
          <cell r="CN305">
            <v>15.41</v>
          </cell>
          <cell r="CO305">
            <v>14.19</v>
          </cell>
          <cell r="CP305">
            <v>16.809999999999999</v>
          </cell>
          <cell r="CQ305">
            <v>19.559999999999999</v>
          </cell>
          <cell r="CR305">
            <v>24.39</v>
          </cell>
          <cell r="CS305">
            <v>14.86</v>
          </cell>
          <cell r="CT305">
            <v>14.76</v>
          </cell>
          <cell r="CU305">
            <v>9.1999999999999993</v>
          </cell>
          <cell r="CV305">
            <v>6.49</v>
          </cell>
          <cell r="CW305">
            <v>7.3300000000000054</v>
          </cell>
          <cell r="CX305">
            <v>8.4400000000000119</v>
          </cell>
          <cell r="CY305">
            <v>10.210000000000001</v>
          </cell>
          <cell r="CZ305">
            <v>14.115714285714279</v>
          </cell>
          <cell r="DA305">
            <v>12.16546875</v>
          </cell>
          <cell r="DB305">
            <v>13.543492063492065</v>
          </cell>
          <cell r="DC305">
            <v>17.87</v>
          </cell>
          <cell r="DD305">
            <v>15.5</v>
          </cell>
          <cell r="DE305">
            <v>13.99</v>
          </cell>
          <cell r="DF305">
            <v>7.45</v>
          </cell>
          <cell r="DG305">
            <v>10.81</v>
          </cell>
          <cell r="DH305">
            <v>9.1199999999999992</v>
          </cell>
          <cell r="DI305">
            <v>11.94</v>
          </cell>
          <cell r="DJ305">
            <v>16.45</v>
          </cell>
          <cell r="DK305">
            <v>11.17</v>
          </cell>
          <cell r="DL305">
            <v>6.7621538461538444</v>
          </cell>
          <cell r="DM305">
            <v>10.638787878787877</v>
          </cell>
          <cell r="DN305">
            <v>11.620606060606059</v>
          </cell>
          <cell r="DO305">
            <v>11.2</v>
          </cell>
          <cell r="DP305">
            <v>11.2</v>
          </cell>
          <cell r="DQ305">
            <v>11.2</v>
          </cell>
          <cell r="DR305">
            <v>11.2</v>
          </cell>
          <cell r="DT305">
            <v>6</v>
          </cell>
        </row>
        <row r="306">
          <cell r="B306" t="str">
            <v>Total</v>
          </cell>
          <cell r="N306" t="e">
            <v>#REF!</v>
          </cell>
          <cell r="O306" t="e">
            <v>#REF!</v>
          </cell>
          <cell r="P306" t="e">
            <v>#REF!</v>
          </cell>
          <cell r="Q306" t="e">
            <v>#REF!</v>
          </cell>
          <cell r="R306">
            <v>28.081674999999997</v>
          </cell>
          <cell r="S306">
            <v>28.133724999999998</v>
          </cell>
          <cell r="T306">
            <v>28.771474999999995</v>
          </cell>
          <cell r="U306">
            <v>12.715250000000001</v>
          </cell>
          <cell r="V306">
            <v>18.115693774801581</v>
          </cell>
          <cell r="W306">
            <v>21.472500000000004</v>
          </cell>
          <cell r="X306">
            <v>23.58</v>
          </cell>
          <cell r="Y306">
            <v>21.471904079254077</v>
          </cell>
          <cell r="Z306">
            <v>17.72</v>
          </cell>
          <cell r="AA306">
            <v>17.02</v>
          </cell>
          <cell r="AB306">
            <v>15.52</v>
          </cell>
          <cell r="AC306">
            <v>15.52</v>
          </cell>
          <cell r="AD306">
            <v>14.52</v>
          </cell>
          <cell r="AE306">
            <v>14.52</v>
          </cell>
          <cell r="AF306">
            <v>14.52</v>
          </cell>
          <cell r="BS306">
            <v>8.3454999999999977</v>
          </cell>
          <cell r="BT306">
            <v>7.5802999999999967</v>
          </cell>
          <cell r="BU306">
            <v>7.8840999999999974</v>
          </cell>
          <cell r="BV306">
            <v>10.102099999999998</v>
          </cell>
          <cell r="BW306">
            <v>13.225300000000001</v>
          </cell>
          <cell r="BX306">
            <v>10.581399999999999</v>
          </cell>
          <cell r="BY306">
            <v>10.782199999999996</v>
          </cell>
          <cell r="BZ306">
            <v>10.5566</v>
          </cell>
          <cell r="CA306">
            <v>15.497999999999999</v>
          </cell>
          <cell r="CB306">
            <v>16.580299999999998</v>
          </cell>
          <cell r="CC306">
            <v>18.345700000000001</v>
          </cell>
          <cell r="CD306">
            <v>21.354500000000002</v>
          </cell>
          <cell r="CE306">
            <v>24.430299999999999</v>
          </cell>
          <cell r="CF306">
            <v>23.738099999999989</v>
          </cell>
          <cell r="CG306">
            <v>32.929499999999997</v>
          </cell>
          <cell r="CH306">
            <v>29.032599999999995</v>
          </cell>
          <cell r="CI306">
            <v>25.690499999999997</v>
          </cell>
          <cell r="CJ306">
            <v>34.268499999999989</v>
          </cell>
          <cell r="CK306">
            <v>28.839100000000002</v>
          </cell>
          <cell r="CL306">
            <v>23.528600000000001</v>
          </cell>
          <cell r="CM306">
            <v>27.014799999999997</v>
          </cell>
          <cell r="CN306">
            <v>34.738299999999995</v>
          </cell>
          <cell r="CO306">
            <v>26.173499999999997</v>
          </cell>
          <cell r="CP306">
            <v>24.608300000000003</v>
          </cell>
          <cell r="CQ306">
            <v>28.943199999999994</v>
          </cell>
          <cell r="CR306">
            <v>37.748999999999995</v>
          </cell>
          <cell r="CS306">
            <v>27.541299999999993</v>
          </cell>
          <cell r="CT306">
            <v>20.852399999999996</v>
          </cell>
          <cell r="CU306">
            <v>14.973800000000004</v>
          </cell>
          <cell r="CV306">
            <v>12.357599999999996</v>
          </cell>
          <cell r="CW306">
            <v>11.756599999999999</v>
          </cell>
          <cell r="CX306">
            <v>11.773000000000003</v>
          </cell>
          <cell r="CY306">
            <v>16.277899999999995</v>
          </cell>
          <cell r="CZ306">
            <v>20.077314285714269</v>
          </cell>
          <cell r="DA306">
            <v>17.299668750000002</v>
          </cell>
          <cell r="DB306">
            <v>18.807892063492062</v>
          </cell>
          <cell r="DC306">
            <v>23.87</v>
          </cell>
          <cell r="DD306">
            <v>25.78</v>
          </cell>
          <cell r="DE306">
            <v>23.53</v>
          </cell>
          <cell r="DF306">
            <v>12.71</v>
          </cell>
          <cell r="DG306">
            <v>20.149999999999999</v>
          </cell>
          <cell r="DH306">
            <v>23.159999999999997</v>
          </cell>
          <cell r="DI306">
            <v>26.65</v>
          </cell>
          <cell r="DJ306">
            <v>24.36</v>
          </cell>
          <cell r="DK306">
            <v>20.97</v>
          </cell>
          <cell r="DL306">
            <v>18.664276923076919</v>
          </cell>
          <cell r="DM306">
            <v>22.182375757575755</v>
          </cell>
          <cell r="DN306">
            <v>24.070963636363629</v>
          </cell>
          <cell r="DO306">
            <v>17.72</v>
          </cell>
          <cell r="DP306">
            <v>17.72</v>
          </cell>
          <cell r="DQ306">
            <v>17.72</v>
          </cell>
          <cell r="DR306">
            <v>17.72</v>
          </cell>
          <cell r="DT306">
            <v>18</v>
          </cell>
        </row>
        <row r="308">
          <cell r="B308" t="str">
            <v>WTI 2-1-1</v>
          </cell>
          <cell r="N308">
            <v>3.2104999999999975</v>
          </cell>
          <cell r="O308">
            <v>4.4988749999999982</v>
          </cell>
          <cell r="P308">
            <v>6.6071249999999981</v>
          </cell>
          <cell r="Q308">
            <v>12.020124999999998</v>
          </cell>
          <cell r="R308">
            <v>13.049175000000002</v>
          </cell>
          <cell r="S308">
            <v>15.528724999999994</v>
          </cell>
          <cell r="T308">
            <v>13.133975</v>
          </cell>
          <cell r="U308">
            <v>7.3327500000000017</v>
          </cell>
          <cell r="V308">
            <v>8.8479363653273779</v>
          </cell>
          <cell r="W308">
            <v>24.640573565238427</v>
          </cell>
          <cell r="X308">
            <v>22.333076023090808</v>
          </cell>
          <cell r="Y308">
            <v>9.8975000000000009</v>
          </cell>
          <cell r="Z308">
            <v>10.164999999999999</v>
          </cell>
          <cell r="AA308">
            <v>8.0250000000000004</v>
          </cell>
          <cell r="AB308">
            <v>8.0250000000000004</v>
          </cell>
          <cell r="AC308">
            <v>8.0250000000000004</v>
          </cell>
          <cell r="AD308">
            <v>8.0250000000000004</v>
          </cell>
          <cell r="AE308">
            <v>8.0250000000000004</v>
          </cell>
          <cell r="AF308">
            <v>8.0250000000000004</v>
          </cell>
          <cell r="BS308">
            <v>2.6354999999999986</v>
          </cell>
          <cell r="BT308">
            <v>3.2202999999999964</v>
          </cell>
          <cell r="BU308">
            <v>2.8740999999999968</v>
          </cell>
          <cell r="BV308">
            <v>4.1120999999999981</v>
          </cell>
          <cell r="BW308">
            <v>5.8752999999999993</v>
          </cell>
          <cell r="BX308">
            <v>3.5013999999999985</v>
          </cell>
          <cell r="BY308">
            <v>4.8221999999999952</v>
          </cell>
          <cell r="BZ308">
            <v>3.7966000000000015</v>
          </cell>
          <cell r="CA308">
            <v>6.2879999999999967</v>
          </cell>
          <cell r="CB308">
            <v>8.0102999999999973</v>
          </cell>
          <cell r="CC308">
            <v>6.7557000000000009</v>
          </cell>
          <cell r="CD308">
            <v>5.3744999999999976</v>
          </cell>
          <cell r="CE308">
            <v>6.9702999999999982</v>
          </cell>
          <cell r="CF308">
            <v>10.538099999999993</v>
          </cell>
          <cell r="CG308">
            <v>17.529499999999999</v>
          </cell>
          <cell r="CH308">
            <v>13.0426</v>
          </cell>
          <cell r="CI308">
            <v>10.240500000000004</v>
          </cell>
          <cell r="CJ308">
            <v>18.078499999999998</v>
          </cell>
          <cell r="CK308">
            <v>13.759100000000004</v>
          </cell>
          <cell r="CL308">
            <v>10.118600000000001</v>
          </cell>
          <cell r="CM308">
            <v>13.734799999999993</v>
          </cell>
          <cell r="CN308">
            <v>24.908299999999997</v>
          </cell>
          <cell r="CO308">
            <v>13.963499999999989</v>
          </cell>
          <cell r="CP308">
            <v>9.5082999999999984</v>
          </cell>
          <cell r="CQ308">
            <v>12.203200000000002</v>
          </cell>
          <cell r="CR308">
            <v>16.668999999999997</v>
          </cell>
          <cell r="CS308">
            <v>16.081299999999999</v>
          </cell>
          <cell r="CT308">
            <v>7.5823999999999998</v>
          </cell>
          <cell r="CU308">
            <v>10.1938</v>
          </cell>
          <cell r="CV308">
            <v>7.5275999999999996</v>
          </cell>
          <cell r="CW308">
            <v>6.6166000000000054</v>
          </cell>
          <cell r="CX308">
            <v>4.9930000000000021</v>
          </cell>
          <cell r="CY308">
            <v>7.2179000000000002</v>
          </cell>
          <cell r="CZ308">
            <v>10.138209523809522</v>
          </cell>
          <cell r="DA308">
            <v>8.6381046874999967</v>
          </cell>
          <cell r="DB308">
            <v>9.397531249999993</v>
          </cell>
          <cell r="DC308">
            <v>19.566175806451604</v>
          </cell>
          <cell r="DD308">
            <v>24.272795652173915</v>
          </cell>
          <cell r="DE308">
            <v>32.6618421875</v>
          </cell>
          <cell r="DF308">
            <v>22.061480614828184</v>
          </cell>
          <cell r="DG308">
            <v>22.061480614828184</v>
          </cell>
          <cell r="DH308">
            <v>22.604671431353431</v>
          </cell>
          <cell r="DI308">
            <v>22.604671431353431</v>
          </cell>
          <cell r="DJ308">
            <v>22.061480614828184</v>
          </cell>
          <cell r="DK308">
            <v>9.8975000000000009</v>
          </cell>
          <cell r="DL308">
            <v>9.8975000000000009</v>
          </cell>
          <cell r="DM308">
            <v>9.8975000000000009</v>
          </cell>
          <cell r="DN308">
            <v>9.8975000000000009</v>
          </cell>
          <cell r="DO308">
            <v>10.164999999999999</v>
          </cell>
          <cell r="DP308">
            <v>10.164999999999999</v>
          </cell>
          <cell r="DQ308">
            <v>10.164999999999999</v>
          </cell>
          <cell r="DR308">
            <v>10.164999999999999</v>
          </cell>
          <cell r="DT308">
            <v>22.061480614828184</v>
          </cell>
        </row>
        <row r="309">
          <cell r="B309" t="str">
            <v>WTI Maya</v>
          </cell>
          <cell r="N309">
            <v>5.2675000000000001</v>
          </cell>
          <cell r="O309">
            <v>6.7874999999999996</v>
          </cell>
          <cell r="P309">
            <v>11.3375</v>
          </cell>
          <cell r="Q309">
            <v>15.512500000000001</v>
          </cell>
          <cell r="R309">
            <v>15.032499999999999</v>
          </cell>
          <cell r="S309">
            <v>12.605</v>
          </cell>
          <cell r="T309">
            <v>15.637499999999999</v>
          </cell>
          <cell r="U309">
            <v>5.3824999999999985</v>
          </cell>
          <cell r="V309">
            <v>9.2753025793650785</v>
          </cell>
          <cell r="W309">
            <v>-2.5626420300129968</v>
          </cell>
          <cell r="X309">
            <v>1.8236538461538458</v>
          </cell>
          <cell r="Y309">
            <v>9</v>
          </cell>
          <cell r="Z309">
            <v>9</v>
          </cell>
          <cell r="AA309">
            <v>8</v>
          </cell>
          <cell r="AB309">
            <v>8</v>
          </cell>
          <cell r="AC309">
            <v>8</v>
          </cell>
          <cell r="AD309">
            <v>8</v>
          </cell>
          <cell r="AE309">
            <v>8</v>
          </cell>
          <cell r="AF309">
            <v>8</v>
          </cell>
          <cell r="BS309">
            <v>5.71</v>
          </cell>
          <cell r="BT309">
            <v>4.3600000000000003</v>
          </cell>
          <cell r="BU309">
            <v>5.01</v>
          </cell>
          <cell r="BV309">
            <v>5.99</v>
          </cell>
          <cell r="BW309">
            <v>7.35</v>
          </cell>
          <cell r="BX309">
            <v>7.08</v>
          </cell>
          <cell r="BY309">
            <v>5.96</v>
          </cell>
          <cell r="BZ309">
            <v>6.76</v>
          </cell>
          <cell r="CA309">
            <v>9.2100000000000009</v>
          </cell>
          <cell r="CB309">
            <v>8.57</v>
          </cell>
          <cell r="CC309">
            <v>11.59</v>
          </cell>
          <cell r="CD309">
            <v>15.98</v>
          </cell>
          <cell r="CE309">
            <v>17.46</v>
          </cell>
          <cell r="CF309">
            <v>13.2</v>
          </cell>
          <cell r="CG309">
            <v>15.4</v>
          </cell>
          <cell r="CH309">
            <v>15.99</v>
          </cell>
          <cell r="CI309">
            <v>15.45</v>
          </cell>
          <cell r="CJ309">
            <v>16.190000000000001</v>
          </cell>
          <cell r="CK309">
            <v>15.08</v>
          </cell>
          <cell r="CL309">
            <v>13.41</v>
          </cell>
          <cell r="CM309">
            <v>13.28</v>
          </cell>
          <cell r="CN309">
            <v>9.83</v>
          </cell>
          <cell r="CO309">
            <v>12.21</v>
          </cell>
          <cell r="CP309">
            <v>15.1</v>
          </cell>
          <cell r="CQ309">
            <v>16.739999999999998</v>
          </cell>
          <cell r="CR309">
            <v>21.08</v>
          </cell>
          <cell r="CS309">
            <v>11.46</v>
          </cell>
          <cell r="CT309">
            <v>13.27</v>
          </cell>
          <cell r="CU309">
            <v>4.78</v>
          </cell>
          <cell r="CV309">
            <v>4.83</v>
          </cell>
          <cell r="CW309">
            <v>5.1399999999999935</v>
          </cell>
          <cell r="CX309">
            <v>6.78</v>
          </cell>
          <cell r="CY309">
            <v>9.06</v>
          </cell>
          <cell r="CZ309">
            <v>9.9406349206349152</v>
          </cell>
          <cell r="DA309">
            <v>8.6637500000000003</v>
          </cell>
          <cell r="DB309">
            <v>9.4368253968253981</v>
          </cell>
          <cell r="DC309">
            <v>4.8245161290322596</v>
          </cell>
          <cell r="DD309">
            <v>-0.79523809523809497</v>
          </cell>
          <cell r="DE309">
            <v>-4.6012307692307699</v>
          </cell>
          <cell r="DF309">
            <v>-9.678615384615382</v>
          </cell>
          <cell r="DG309">
            <v>-4.4121538461538465</v>
          </cell>
          <cell r="DH309">
            <v>-4.293230769230771</v>
          </cell>
          <cell r="DI309">
            <v>8</v>
          </cell>
          <cell r="DJ309">
            <v>8</v>
          </cell>
          <cell r="DK309">
            <v>9</v>
          </cell>
          <cell r="DL309">
            <v>9</v>
          </cell>
          <cell r="DM309">
            <v>9</v>
          </cell>
          <cell r="DN309">
            <v>9</v>
          </cell>
          <cell r="DO309">
            <v>9</v>
          </cell>
          <cell r="DP309">
            <v>9</v>
          </cell>
          <cell r="DQ309">
            <v>9</v>
          </cell>
          <cell r="DR309">
            <v>9</v>
          </cell>
          <cell r="DT309">
            <v>8</v>
          </cell>
        </row>
        <row r="310">
          <cell r="B310" t="str">
            <v>Total</v>
          </cell>
          <cell r="N310">
            <v>8.477999999999998</v>
          </cell>
          <cell r="O310">
            <v>11.286374999999998</v>
          </cell>
          <cell r="P310">
            <v>17.944624999999998</v>
          </cell>
          <cell r="Q310">
            <v>27.532624999999999</v>
          </cell>
          <cell r="R310">
            <v>28.081675000000001</v>
          </cell>
          <cell r="S310">
            <v>28.133724999999995</v>
          </cell>
          <cell r="T310">
            <v>28.771474999999999</v>
          </cell>
          <cell r="U310">
            <v>12.715250000000001</v>
          </cell>
          <cell r="V310">
            <v>18.123238944692456</v>
          </cell>
          <cell r="W310">
            <v>22.077931535225432</v>
          </cell>
          <cell r="X310">
            <v>24.156729869244653</v>
          </cell>
          <cell r="Y310">
            <v>18.897500000000001</v>
          </cell>
          <cell r="Z310">
            <v>19.164999999999999</v>
          </cell>
          <cell r="AA310">
            <v>16.024999999999999</v>
          </cell>
          <cell r="AB310">
            <v>16.024999999999999</v>
          </cell>
          <cell r="AC310">
            <v>16.024999999999999</v>
          </cell>
          <cell r="AD310">
            <v>16.024999999999999</v>
          </cell>
          <cell r="AE310">
            <v>16.024999999999999</v>
          </cell>
          <cell r="AF310">
            <v>16.024999999999999</v>
          </cell>
          <cell r="BS310">
            <v>8.3454999999999977</v>
          </cell>
          <cell r="BT310">
            <v>7.5802999999999967</v>
          </cell>
          <cell r="BU310">
            <v>7.8840999999999966</v>
          </cell>
          <cell r="BV310">
            <v>10.102099999999998</v>
          </cell>
          <cell r="BW310">
            <v>13.225299999999999</v>
          </cell>
          <cell r="BX310">
            <v>10.581399999999999</v>
          </cell>
          <cell r="BY310">
            <v>10.782199999999996</v>
          </cell>
          <cell r="BZ310">
            <v>10.556600000000001</v>
          </cell>
          <cell r="CA310">
            <v>15.497999999999998</v>
          </cell>
          <cell r="CB310">
            <v>16.580299999999998</v>
          </cell>
          <cell r="CC310">
            <v>18.345700000000001</v>
          </cell>
          <cell r="CD310">
            <v>21.354499999999998</v>
          </cell>
          <cell r="CE310">
            <v>24.430299999999999</v>
          </cell>
          <cell r="CF310">
            <v>23.738099999999992</v>
          </cell>
          <cell r="CG310">
            <v>32.929499999999997</v>
          </cell>
          <cell r="CH310">
            <v>29.032600000000002</v>
          </cell>
          <cell r="CI310">
            <v>25.690500000000004</v>
          </cell>
          <cell r="CJ310">
            <v>34.268500000000003</v>
          </cell>
          <cell r="CK310">
            <v>28.839100000000002</v>
          </cell>
          <cell r="CL310">
            <v>23.528600000000001</v>
          </cell>
          <cell r="CM310">
            <v>27.014799999999994</v>
          </cell>
          <cell r="CN310">
            <v>34.738299999999995</v>
          </cell>
          <cell r="CO310">
            <v>26.17349999999999</v>
          </cell>
          <cell r="CP310">
            <v>24.6083</v>
          </cell>
          <cell r="CQ310">
            <v>28.943200000000001</v>
          </cell>
          <cell r="CR310">
            <v>37.748999999999995</v>
          </cell>
          <cell r="CS310">
            <v>27.5413</v>
          </cell>
          <cell r="CT310">
            <v>20.852399999999999</v>
          </cell>
          <cell r="CU310">
            <v>14.973800000000001</v>
          </cell>
          <cell r="CV310">
            <v>12.3576</v>
          </cell>
          <cell r="CW310">
            <v>11.756599999999999</v>
          </cell>
          <cell r="CX310">
            <v>11.773000000000003</v>
          </cell>
          <cell r="CY310">
            <v>16.277900000000002</v>
          </cell>
          <cell r="CZ310">
            <v>20.078844444444435</v>
          </cell>
          <cell r="DA310">
            <v>17.301854687499997</v>
          </cell>
          <cell r="DB310">
            <v>18.834356646825391</v>
          </cell>
          <cell r="DC310">
            <v>24.390691935483865</v>
          </cell>
          <cell r="DD310">
            <v>23.477557556935821</v>
          </cell>
          <cell r="DE310">
            <v>28.060611418269229</v>
          </cell>
          <cell r="DF310">
            <v>12.382865230212802</v>
          </cell>
          <cell r="DG310">
            <v>17.649326768674339</v>
          </cell>
          <cell r="DH310">
            <v>18.31144066212266</v>
          </cell>
          <cell r="DI310">
            <v>30.604671431353431</v>
          </cell>
          <cell r="DJ310">
            <v>30.061480614828184</v>
          </cell>
          <cell r="DK310">
            <v>18.897500000000001</v>
          </cell>
          <cell r="DL310">
            <v>18.897500000000001</v>
          </cell>
          <cell r="DM310">
            <v>18.897500000000001</v>
          </cell>
          <cell r="DN310">
            <v>18.897500000000001</v>
          </cell>
          <cell r="DO310">
            <v>19.164999999999999</v>
          </cell>
          <cell r="DP310">
            <v>19.164999999999999</v>
          </cell>
          <cell r="DQ310">
            <v>19.164999999999999</v>
          </cell>
          <cell r="DR310">
            <v>19.164999999999999</v>
          </cell>
          <cell r="DT310">
            <v>30.061480614828184</v>
          </cell>
        </row>
        <row r="311">
          <cell r="B311" t="str">
            <v>BEAR CASE REFINING</v>
          </cell>
          <cell r="DC311">
            <v>21.390691935483865</v>
          </cell>
          <cell r="DD311">
            <v>20.477557556935821</v>
          </cell>
          <cell r="DE311">
            <v>25.060611418269229</v>
          </cell>
          <cell r="DF311">
            <v>9.3828652302128024</v>
          </cell>
          <cell r="DG311">
            <v>14.649326768674339</v>
          </cell>
          <cell r="DH311">
            <v>15.31144066212266</v>
          </cell>
          <cell r="DI311">
            <v>27.604671431353431</v>
          </cell>
          <cell r="DJ311">
            <v>27.061480614828184</v>
          </cell>
          <cell r="DK311">
            <v>15.897500000000001</v>
          </cell>
          <cell r="DL311">
            <v>15.897500000000001</v>
          </cell>
          <cell r="DM311">
            <v>15.897500000000001</v>
          </cell>
          <cell r="DN311">
            <v>15.897500000000001</v>
          </cell>
          <cell r="DO311">
            <v>16.164999999999999</v>
          </cell>
          <cell r="DP311">
            <v>16.164999999999999</v>
          </cell>
          <cell r="DQ311">
            <v>16.164999999999999</v>
          </cell>
          <cell r="DR311">
            <v>16.164999999999999</v>
          </cell>
          <cell r="DT311">
            <v>27.061480614828184</v>
          </cell>
        </row>
        <row r="312">
          <cell r="DP312" t="str">
            <v>four rows above</v>
          </cell>
        </row>
        <row r="315">
          <cell r="DO315" t="str">
            <v xml:space="preserve"> </v>
          </cell>
        </row>
        <row r="316">
          <cell r="DN316" t="str">
            <v xml:space="preserve"> </v>
          </cell>
        </row>
        <row r="318">
          <cell r="B318" t="str">
            <v>Technology</v>
          </cell>
          <cell r="C318">
            <v>1991</v>
          </cell>
          <cell r="D318">
            <v>1992</v>
          </cell>
          <cell r="E318">
            <v>1993</v>
          </cell>
          <cell r="F318">
            <v>1994</v>
          </cell>
          <cell r="G318">
            <v>1995</v>
          </cell>
          <cell r="H318">
            <v>1996</v>
          </cell>
          <cell r="I318">
            <v>1997</v>
          </cell>
          <cell r="J318">
            <v>1998</v>
          </cell>
          <cell r="K318">
            <v>1999</v>
          </cell>
          <cell r="L318">
            <v>2000</v>
          </cell>
          <cell r="M318">
            <v>2001</v>
          </cell>
          <cell r="N318">
            <v>2002</v>
          </cell>
          <cell r="O318">
            <v>2003</v>
          </cell>
          <cell r="P318">
            <v>2004</v>
          </cell>
          <cell r="Q318">
            <v>2005</v>
          </cell>
          <cell r="R318">
            <v>2006</v>
          </cell>
          <cell r="S318">
            <v>2007</v>
          </cell>
          <cell r="T318">
            <v>2008</v>
          </cell>
          <cell r="U318" t="str">
            <v>2009</v>
          </cell>
          <cell r="V318" t="str">
            <v>2010</v>
          </cell>
          <cell r="W318" t="str">
            <v>2011</v>
          </cell>
          <cell r="X318" t="str">
            <v>2012</v>
          </cell>
          <cell r="Y318" t="str">
            <v>2013e</v>
          </cell>
          <cell r="Z318" t="str">
            <v>2014e</v>
          </cell>
          <cell r="AA318" t="str">
            <v>2015e</v>
          </cell>
          <cell r="AB318" t="str">
            <v>2016e</v>
          </cell>
          <cell r="AC318" t="str">
            <v>2017e</v>
          </cell>
          <cell r="AD318" t="str">
            <v>2018e</v>
          </cell>
          <cell r="AE318" t="str">
            <v>2019e</v>
          </cell>
          <cell r="AF318" t="str">
            <v>2020e</v>
          </cell>
          <cell r="AI318" t="str">
            <v>1993q1</v>
          </cell>
          <cell r="AJ318" t="str">
            <v>1993q2</v>
          </cell>
          <cell r="AK318" t="str">
            <v>1993q3</v>
          </cell>
          <cell r="AL318" t="str">
            <v>1993q4</v>
          </cell>
          <cell r="AM318" t="str">
            <v>1994q1</v>
          </cell>
          <cell r="AN318" t="str">
            <v>1994q2</v>
          </cell>
          <cell r="AO318" t="str">
            <v>1994q3</v>
          </cell>
          <cell r="AP318" t="str">
            <v>1994q4</v>
          </cell>
          <cell r="AQ318" t="str">
            <v>1995q1</v>
          </cell>
          <cell r="AR318" t="str">
            <v>1995q2</v>
          </cell>
          <cell r="AS318" t="str">
            <v>1995q3</v>
          </cell>
          <cell r="AT318" t="str">
            <v>1995q4</v>
          </cell>
          <cell r="AU318" t="str">
            <v>1996q1</v>
          </cell>
          <cell r="AV318" t="str">
            <v>1996q2</v>
          </cell>
          <cell r="AW318" t="str">
            <v>1996q3</v>
          </cell>
          <cell r="AX318" t="str">
            <v>1996q4</v>
          </cell>
          <cell r="AY318" t="str">
            <v>1997q1</v>
          </cell>
          <cell r="AZ318" t="str">
            <v>1997q2</v>
          </cell>
          <cell r="BA318" t="str">
            <v>1997q3</v>
          </cell>
          <cell r="BB318" t="str">
            <v>1997q4</v>
          </cell>
          <cell r="BC318" t="str">
            <v>1998q1</v>
          </cell>
          <cell r="BD318" t="str">
            <v>1998q2</v>
          </cell>
          <cell r="BE318" t="str">
            <v>1998q3</v>
          </cell>
          <cell r="BF318" t="str">
            <v>1998q4</v>
          </cell>
          <cell r="BG318" t="str">
            <v>1999q1</v>
          </cell>
          <cell r="BH318" t="str">
            <v>1999q2</v>
          </cell>
          <cell r="BI318" t="str">
            <v>1999q3</v>
          </cell>
          <cell r="BJ318" t="str">
            <v>1999q4</v>
          </cell>
          <cell r="BK318" t="str">
            <v>2000q1</v>
          </cell>
          <cell r="BL318" t="str">
            <v>2000q2</v>
          </cell>
          <cell r="BM318" t="str">
            <v>2000q3</v>
          </cell>
          <cell r="BN318" t="str">
            <v>2000q4</v>
          </cell>
          <cell r="BO318" t="str">
            <v>2001q1</v>
          </cell>
          <cell r="BP318" t="str">
            <v>2001q2</v>
          </cell>
          <cell r="BQ318" t="str">
            <v>2001q3</v>
          </cell>
          <cell r="BR318" t="str">
            <v>2001q4</v>
          </cell>
          <cell r="BS318" t="str">
            <v>2002q1</v>
          </cell>
          <cell r="BT318" t="str">
            <v>2002q2</v>
          </cell>
          <cell r="BU318" t="str">
            <v>2002q3</v>
          </cell>
          <cell r="BV318" t="str">
            <v>2002q4</v>
          </cell>
          <cell r="BW318" t="str">
            <v>2003q1</v>
          </cell>
          <cell r="BX318" t="str">
            <v>2003q2</v>
          </cell>
          <cell r="BY318" t="str">
            <v>2003q3</v>
          </cell>
          <cell r="BZ318" t="str">
            <v>2003q4</v>
          </cell>
          <cell r="CA318" t="str">
            <v>2004q1</v>
          </cell>
          <cell r="CB318" t="str">
            <v>2004q2</v>
          </cell>
          <cell r="CC318" t="str">
            <v>2004q3</v>
          </cell>
          <cell r="CD318" t="str">
            <v>2004q4</v>
          </cell>
          <cell r="CE318" t="str">
            <v>2005q1</v>
          </cell>
          <cell r="CF318" t="str">
            <v>2005q2</v>
          </cell>
          <cell r="CG318" t="str">
            <v>2005q3</v>
          </cell>
          <cell r="CH318" t="str">
            <v>2005q4</v>
          </cell>
          <cell r="CI318" t="str">
            <v>2006q1</v>
          </cell>
          <cell r="CJ318" t="str">
            <v>2006q2</v>
          </cell>
          <cell r="CK318" t="str">
            <v>2006q3</v>
          </cell>
          <cell r="CL318" t="str">
            <v>2006q4</v>
          </cell>
          <cell r="CM318" t="str">
            <v>2007q1</v>
          </cell>
          <cell r="CN318" t="str">
            <v>2007q2</v>
          </cell>
          <cell r="CO318" t="str">
            <v>2007q3</v>
          </cell>
          <cell r="CP318" t="str">
            <v>2007q4</v>
          </cell>
          <cell r="CQ318" t="str">
            <v>2008q1</v>
          </cell>
          <cell r="CR318" t="str">
            <v>2008q2</v>
          </cell>
          <cell r="CS318" t="str">
            <v>2008q3</v>
          </cell>
          <cell r="CT318" t="str">
            <v>2008q4</v>
          </cell>
          <cell r="CU318" t="str">
            <v>2009q1</v>
          </cell>
          <cell r="CV318" t="str">
            <v>2009q2</v>
          </cell>
          <cell r="CW318" t="str">
            <v>2009q3</v>
          </cell>
          <cell r="CX318" t="str">
            <v>2009q4</v>
          </cell>
          <cell r="CY318" t="str">
            <v>2010q1</v>
          </cell>
          <cell r="CZ318" t="str">
            <v>2010q2</v>
          </cell>
          <cell r="DA318" t="str">
            <v>2010q3</v>
          </cell>
          <cell r="DB318" t="str">
            <v>2010q4</v>
          </cell>
          <cell r="DC318" t="str">
            <v>2011q1</v>
          </cell>
          <cell r="DD318" t="str">
            <v>2011q2</v>
          </cell>
          <cell r="DE318" t="str">
            <v>2011q3</v>
          </cell>
          <cell r="DF318" t="str">
            <v>2011q4</v>
          </cell>
          <cell r="DG318" t="str">
            <v>2012q1</v>
          </cell>
          <cell r="DH318" t="str">
            <v>2012q2</v>
          </cell>
          <cell r="DI318" t="str">
            <v>2012q3</v>
          </cell>
          <cell r="DJ318" t="str">
            <v>2012q4e</v>
          </cell>
          <cell r="DK318" t="str">
            <v>2013q1e</v>
          </cell>
          <cell r="DL318" t="str">
            <v>2013q2e</v>
          </cell>
          <cell r="DM318" t="str">
            <v>2013q3e</v>
          </cell>
          <cell r="DN318" t="str">
            <v>2013q4e</v>
          </cell>
          <cell r="DO318" t="str">
            <v>2014q1e</v>
          </cell>
          <cell r="DP318" t="str">
            <v>2014q2e</v>
          </cell>
          <cell r="DQ318" t="str">
            <v>2014q3e</v>
          </cell>
          <cell r="DR318" t="str">
            <v>2014q4e</v>
          </cell>
          <cell r="DT318" t="str">
            <v>2013q2e</v>
          </cell>
        </row>
        <row r="320">
          <cell r="B320" t="str">
            <v>Customers</v>
          </cell>
          <cell r="S320">
            <v>363</v>
          </cell>
          <cell r="T320">
            <v>434</v>
          </cell>
          <cell r="U320">
            <v>436</v>
          </cell>
          <cell r="CY320">
            <v>82</v>
          </cell>
        </row>
        <row r="321">
          <cell r="B321" t="str">
            <v>Intersegment</v>
          </cell>
          <cell r="S321">
            <v>134</v>
          </cell>
          <cell r="T321">
            <v>149</v>
          </cell>
          <cell r="U321">
            <v>87</v>
          </cell>
          <cell r="CY321">
            <v>28</v>
          </cell>
        </row>
        <row r="322">
          <cell r="B322" t="str">
            <v>Revenue</v>
          </cell>
          <cell r="S322">
            <v>497</v>
          </cell>
          <cell r="T322">
            <v>583</v>
          </cell>
          <cell r="U322">
            <v>523</v>
          </cell>
          <cell r="V322">
            <v>510</v>
          </cell>
          <cell r="W322">
            <v>506</v>
          </cell>
          <cell r="X322">
            <v>498</v>
          </cell>
          <cell r="Y322">
            <v>532</v>
          </cell>
          <cell r="Z322">
            <v>576.72</v>
          </cell>
          <cell r="AA322">
            <v>605.55600000000004</v>
          </cell>
          <cell r="AB322">
            <v>635.83380000000011</v>
          </cell>
          <cell r="AC322">
            <v>667.62549000000013</v>
          </cell>
          <cell r="AD322">
            <v>701.00676450000014</v>
          </cell>
          <cell r="AE322">
            <v>736.05710272500016</v>
          </cell>
          <cell r="AF322">
            <v>772.85995786125022</v>
          </cell>
          <cell r="CU322">
            <v>116</v>
          </cell>
          <cell r="CV322">
            <v>150</v>
          </cell>
          <cell r="CW322">
            <v>135</v>
          </cell>
          <cell r="CX322">
            <v>142</v>
          </cell>
          <cell r="CY322">
            <v>110</v>
          </cell>
          <cell r="CZ322">
            <v>110</v>
          </cell>
          <cell r="DA322">
            <v>157</v>
          </cell>
          <cell r="DB322">
            <v>133</v>
          </cell>
          <cell r="DC322">
            <v>139</v>
          </cell>
          <cell r="DD322">
            <v>126</v>
          </cell>
          <cell r="DE322">
            <v>129</v>
          </cell>
          <cell r="DF322">
            <v>112</v>
          </cell>
          <cell r="DG322">
            <v>119</v>
          </cell>
          <cell r="DH322">
            <v>115</v>
          </cell>
          <cell r="DI322">
            <v>124</v>
          </cell>
          <cell r="DJ322">
            <v>140</v>
          </cell>
          <cell r="DK322">
            <v>134</v>
          </cell>
          <cell r="DL322">
            <v>132</v>
          </cell>
          <cell r="DM322">
            <v>124</v>
          </cell>
          <cell r="DN322">
            <v>142</v>
          </cell>
          <cell r="DO322">
            <v>144.18</v>
          </cell>
          <cell r="DP322">
            <v>144.18</v>
          </cell>
          <cell r="DQ322">
            <v>144.18</v>
          </cell>
          <cell r="DR322">
            <v>144.18</v>
          </cell>
          <cell r="DT322">
            <v>134</v>
          </cell>
        </row>
        <row r="323">
          <cell r="B323" t="str">
            <v>Growth</v>
          </cell>
          <cell r="T323">
            <v>0.17303822937625757</v>
          </cell>
          <cell r="U323">
            <v>-0.10291595197255576</v>
          </cell>
          <cell r="V323">
            <v>-2.4856596558317401E-2</v>
          </cell>
          <cell r="W323">
            <v>-7.8431372549019329E-3</v>
          </cell>
          <cell r="X323">
            <v>-1.5810276679841917E-2</v>
          </cell>
          <cell r="Y323">
            <v>6.8273092369477872E-2</v>
          </cell>
          <cell r="Z323">
            <v>8.4060150375939946E-2</v>
          </cell>
          <cell r="AA323">
            <v>0.05</v>
          </cell>
          <cell r="AB323">
            <v>0.05</v>
          </cell>
          <cell r="AC323">
            <v>0.05</v>
          </cell>
          <cell r="AD323">
            <v>0.05</v>
          </cell>
          <cell r="AE323">
            <v>0.05</v>
          </cell>
          <cell r="AF323">
            <v>0.05</v>
          </cell>
          <cell r="CY323">
            <v>-5.1724137931034475E-2</v>
          </cell>
          <cell r="CZ323">
            <v>-0.26666666666666672</v>
          </cell>
          <cell r="DA323">
            <v>0.16296296296296298</v>
          </cell>
          <cell r="DB323">
            <v>-6.3380281690140872E-2</v>
          </cell>
          <cell r="DC323">
            <v>0.26363636363636367</v>
          </cell>
          <cell r="DD323">
            <v>0.1454545454545455</v>
          </cell>
          <cell r="DE323">
            <v>-0.17834394904458595</v>
          </cell>
          <cell r="DF323">
            <v>-0.15789473684210531</v>
          </cell>
          <cell r="DG323">
            <v>-0.14388489208633093</v>
          </cell>
          <cell r="DH323">
            <v>-8.7301587301587324E-2</v>
          </cell>
          <cell r="DI323">
            <v>-3.8759689922480578E-2</v>
          </cell>
          <cell r="DJ323">
            <v>0.25</v>
          </cell>
          <cell r="DK323">
            <v>0.12605042016806722</v>
          </cell>
          <cell r="DL323">
            <v>0.14782608695652177</v>
          </cell>
          <cell r="DM323">
            <v>0</v>
          </cell>
          <cell r="DN323">
            <v>1.4285714285714235E-2</v>
          </cell>
          <cell r="DO323">
            <v>7.5970149253731467E-2</v>
          </cell>
          <cell r="DP323">
            <v>9.2272727272727284E-2</v>
          </cell>
          <cell r="DQ323">
            <v>0.16274193548387106</v>
          </cell>
          <cell r="DR323">
            <v>1.5352112676056295E-2</v>
          </cell>
          <cell r="DT323">
            <v>0.16521739130434776</v>
          </cell>
        </row>
        <row r="325">
          <cell r="B325" t="str">
            <v>Operating Income</v>
          </cell>
          <cell r="S325">
            <v>152</v>
          </cell>
          <cell r="T325">
            <v>202</v>
          </cell>
          <cell r="U325">
            <v>211</v>
          </cell>
          <cell r="V325">
            <v>108</v>
          </cell>
          <cell r="W325">
            <v>107</v>
          </cell>
          <cell r="X325">
            <v>122</v>
          </cell>
          <cell r="Y325">
            <v>157</v>
          </cell>
          <cell r="Z325">
            <v>180.36</v>
          </cell>
          <cell r="AA325">
            <v>189.37800000000001</v>
          </cell>
          <cell r="AB325">
            <v>198.84690000000003</v>
          </cell>
          <cell r="AC325">
            <v>208.78924500000002</v>
          </cell>
          <cell r="AD325">
            <v>219.22870725000004</v>
          </cell>
          <cell r="AE325">
            <v>230.19014261250004</v>
          </cell>
          <cell r="AF325">
            <v>241.69964974312506</v>
          </cell>
          <cell r="CU325">
            <v>50</v>
          </cell>
          <cell r="CV325">
            <v>67</v>
          </cell>
          <cell r="CW325">
            <v>31</v>
          </cell>
          <cell r="CX325">
            <v>62</v>
          </cell>
          <cell r="CY325">
            <v>31</v>
          </cell>
          <cell r="CZ325">
            <v>31</v>
          </cell>
          <cell r="DA325">
            <v>38</v>
          </cell>
          <cell r="DB325">
            <v>8</v>
          </cell>
          <cell r="DC325">
            <v>66</v>
          </cell>
          <cell r="DD325">
            <v>23</v>
          </cell>
          <cell r="DE325">
            <v>7</v>
          </cell>
          <cell r="DF325">
            <v>11</v>
          </cell>
          <cell r="DG325">
            <v>38</v>
          </cell>
          <cell r="DH325">
            <v>30</v>
          </cell>
          <cell r="DI325">
            <v>31</v>
          </cell>
          <cell r="DJ325">
            <v>23</v>
          </cell>
          <cell r="DK325">
            <v>50</v>
          </cell>
          <cell r="DL325">
            <v>39</v>
          </cell>
          <cell r="DM325">
            <v>35</v>
          </cell>
          <cell r="DN325">
            <v>33</v>
          </cell>
          <cell r="DO325">
            <v>45.09</v>
          </cell>
          <cell r="DP325">
            <v>45.09</v>
          </cell>
          <cell r="DQ325">
            <v>45.09</v>
          </cell>
          <cell r="DR325">
            <v>45.09</v>
          </cell>
          <cell r="DT325">
            <v>39</v>
          </cell>
        </row>
        <row r="326">
          <cell r="B326" t="str">
            <v>Margin</v>
          </cell>
          <cell r="S326">
            <v>0.30583501006036218</v>
          </cell>
          <cell r="T326">
            <v>0.346483704974271</v>
          </cell>
          <cell r="U326">
            <v>0.40344168260038243</v>
          </cell>
          <cell r="V326">
            <v>0.21176470588235294</v>
          </cell>
          <cell r="W326">
            <v>0.21146245059288538</v>
          </cell>
          <cell r="X326">
            <v>0.24497991967871485</v>
          </cell>
          <cell r="Y326">
            <v>0.29511278195488722</v>
          </cell>
          <cell r="Z326">
            <v>0.31273408239700373</v>
          </cell>
          <cell r="AA326">
            <v>0.31273408239700373</v>
          </cell>
          <cell r="AB326">
            <v>0.31273408239700373</v>
          </cell>
          <cell r="AC326">
            <v>0.31273408239700373</v>
          </cell>
          <cell r="AD326">
            <v>0.31273408239700373</v>
          </cell>
          <cell r="AE326">
            <v>0.31273408239700373</v>
          </cell>
          <cell r="AF326">
            <v>0.31273408239700373</v>
          </cell>
          <cell r="CU326">
            <v>0.43103448275862066</v>
          </cell>
          <cell r="CV326">
            <v>0.44666666666666666</v>
          </cell>
          <cell r="CW326">
            <v>0.22962962962962963</v>
          </cell>
          <cell r="CX326">
            <v>0.43661971830985913</v>
          </cell>
          <cell r="CY326">
            <v>0.2818181818181818</v>
          </cell>
          <cell r="CZ326">
            <v>0.2818181818181818</v>
          </cell>
          <cell r="DA326">
            <v>0.24203821656050956</v>
          </cell>
          <cell r="DB326">
            <v>6.0150375939849621E-2</v>
          </cell>
          <cell r="DC326">
            <v>0.47482014388489208</v>
          </cell>
          <cell r="DD326">
            <v>0.18253968253968253</v>
          </cell>
          <cell r="DE326">
            <v>5.4263565891472867E-2</v>
          </cell>
          <cell r="DF326">
            <v>9.8214285714285712E-2</v>
          </cell>
          <cell r="DG326">
            <v>0.31932773109243695</v>
          </cell>
          <cell r="DH326">
            <v>0.2608695652173913</v>
          </cell>
          <cell r="DI326">
            <v>0.25</v>
          </cell>
          <cell r="DJ326">
            <v>0.16428571428571428</v>
          </cell>
          <cell r="DK326">
            <v>0.37313432835820898</v>
          </cell>
          <cell r="DL326">
            <v>0.29545454545454547</v>
          </cell>
          <cell r="DM326">
            <v>0.28225806451612906</v>
          </cell>
          <cell r="DN326">
            <v>0.23239436619718309</v>
          </cell>
          <cell r="DO326">
            <v>0.31273408239700373</v>
          </cell>
          <cell r="DP326">
            <v>0.31273408239700373</v>
          </cell>
          <cell r="DQ326">
            <v>0.31273408239700373</v>
          </cell>
          <cell r="DR326">
            <v>0.31273408239700373</v>
          </cell>
          <cell r="DT326">
            <v>0.29104477611940299</v>
          </cell>
        </row>
        <row r="328">
          <cell r="B328" t="str">
            <v>D&amp;A</v>
          </cell>
          <cell r="S328">
            <v>-117</v>
          </cell>
          <cell r="T328">
            <v>-97</v>
          </cell>
          <cell r="U328">
            <v>-100</v>
          </cell>
          <cell r="V328">
            <v>-101</v>
          </cell>
          <cell r="W328">
            <v>-84</v>
          </cell>
          <cell r="X328">
            <v>-91</v>
          </cell>
          <cell r="Y328">
            <v>-75</v>
          </cell>
          <cell r="Z328">
            <v>-72.505159999999989</v>
          </cell>
          <cell r="AA328">
            <v>-70.69656999999998</v>
          </cell>
          <cell r="AB328">
            <v>-69.069242899999978</v>
          </cell>
          <cell r="AC328">
            <v>-67.618657224999978</v>
          </cell>
          <cell r="AD328">
            <v>-66.340744657249971</v>
          </cell>
          <cell r="AE328">
            <v>-65.231878732562464</v>
          </cell>
          <cell r="AF328">
            <v>-64.288864669518091</v>
          </cell>
          <cell r="CU328">
            <v>-16</v>
          </cell>
          <cell r="CV328">
            <v>-31</v>
          </cell>
          <cell r="CW328">
            <v>-35</v>
          </cell>
          <cell r="CX328">
            <v>-18</v>
          </cell>
          <cell r="CY328">
            <v>-17</v>
          </cell>
          <cell r="CZ328">
            <v>-12</v>
          </cell>
          <cell r="DA328">
            <v>-40</v>
          </cell>
          <cell r="DB328">
            <v>-32</v>
          </cell>
          <cell r="DC328">
            <v>-24</v>
          </cell>
          <cell r="DD328">
            <v>-16</v>
          </cell>
          <cell r="DE328">
            <v>-21</v>
          </cell>
          <cell r="DF328">
            <v>-23</v>
          </cell>
          <cell r="DG328">
            <v>-18</v>
          </cell>
          <cell r="DH328">
            <v>-37</v>
          </cell>
          <cell r="DI328">
            <v>-18</v>
          </cell>
          <cell r="DJ328">
            <v>-18</v>
          </cell>
          <cell r="DK328">
            <v>-17</v>
          </cell>
          <cell r="DL328">
            <v>-20</v>
          </cell>
          <cell r="DM328">
            <v>-16</v>
          </cell>
          <cell r="DN328">
            <v>-22</v>
          </cell>
          <cell r="DO328">
            <v>-18.126289999999997</v>
          </cell>
          <cell r="DP328">
            <v>-18.126289999999997</v>
          </cell>
          <cell r="DQ328">
            <v>-18.126289999999997</v>
          </cell>
          <cell r="DR328">
            <v>-18.126289999999997</v>
          </cell>
          <cell r="DT328">
            <v>-18.75</v>
          </cell>
        </row>
        <row r="329">
          <cell r="B329" t="str">
            <v>% of revenue</v>
          </cell>
          <cell r="S329">
            <v>0.23541247484909456</v>
          </cell>
          <cell r="T329">
            <v>0.16638078902229847</v>
          </cell>
          <cell r="U329">
            <v>0.19120458891013384</v>
          </cell>
          <cell r="V329">
            <v>0.1980392156862745</v>
          </cell>
          <cell r="W329">
            <v>0.16600790513833993</v>
          </cell>
          <cell r="X329">
            <v>0.18273092369477911</v>
          </cell>
          <cell r="Y329">
            <v>0.14097744360902256</v>
          </cell>
          <cell r="Z329">
            <v>0.12571986405881536</v>
          </cell>
          <cell r="AA329">
            <v>0.11674654367226149</v>
          </cell>
          <cell r="AB329">
            <v>0.10862782522728419</v>
          </cell>
          <cell r="AC329">
            <v>0.10128231806278093</v>
          </cell>
          <cell r="AD329">
            <v>9.4636383009182728E-2</v>
          </cell>
          <cell r="AE329">
            <v>8.8623394151165311E-2</v>
          </cell>
          <cell r="AF329">
            <v>8.318307089867337E-2</v>
          </cell>
          <cell r="CU329" t="str">
            <v>NM</v>
          </cell>
          <cell r="CY329" t="str">
            <v>NM</v>
          </cell>
        </row>
        <row r="331">
          <cell r="B331" t="str">
            <v>EBITDA</v>
          </cell>
          <cell r="S331">
            <v>269</v>
          </cell>
          <cell r="T331">
            <v>299</v>
          </cell>
          <cell r="U331">
            <v>311</v>
          </cell>
          <cell r="V331">
            <v>209</v>
          </cell>
          <cell r="W331">
            <v>191</v>
          </cell>
          <cell r="X331">
            <v>213</v>
          </cell>
          <cell r="Y331">
            <v>232</v>
          </cell>
          <cell r="Z331">
            <v>252.86516</v>
          </cell>
          <cell r="AA331">
            <v>260.07456999999999</v>
          </cell>
          <cell r="AB331">
            <v>267.91614290000001</v>
          </cell>
          <cell r="AC331">
            <v>276.40790222499999</v>
          </cell>
          <cell r="AD331">
            <v>285.56945190725003</v>
          </cell>
          <cell r="AE331">
            <v>295.42202134506249</v>
          </cell>
          <cell r="AF331">
            <v>305.98851441264316</v>
          </cell>
          <cell r="CU331">
            <v>66</v>
          </cell>
          <cell r="CV331">
            <v>98</v>
          </cell>
          <cell r="CW331">
            <v>66</v>
          </cell>
          <cell r="CX331">
            <v>80</v>
          </cell>
          <cell r="CY331">
            <v>48</v>
          </cell>
          <cell r="CZ331">
            <v>43</v>
          </cell>
          <cell r="DA331">
            <v>78</v>
          </cell>
          <cell r="DB331">
            <v>44</v>
          </cell>
          <cell r="DC331">
            <v>91</v>
          </cell>
          <cell r="DD331">
            <v>42</v>
          </cell>
          <cell r="DE331">
            <v>45</v>
          </cell>
          <cell r="DF331">
            <v>36</v>
          </cell>
          <cell r="DG331">
            <v>57</v>
          </cell>
          <cell r="DH331">
            <v>49</v>
          </cell>
          <cell r="DI331">
            <v>48</v>
          </cell>
          <cell r="DJ331">
            <v>43</v>
          </cell>
          <cell r="DK331">
            <v>66</v>
          </cell>
          <cell r="DL331">
            <v>59</v>
          </cell>
          <cell r="DM331">
            <v>52</v>
          </cell>
          <cell r="DN331">
            <v>55</v>
          </cell>
          <cell r="DO331">
            <v>63.216290000000001</v>
          </cell>
          <cell r="DP331">
            <v>63.216290000000001</v>
          </cell>
          <cell r="DQ331">
            <v>63.216290000000001</v>
          </cell>
          <cell r="DR331">
            <v>63.216290000000001</v>
          </cell>
          <cell r="DT331">
            <v>57.75</v>
          </cell>
        </row>
        <row r="332">
          <cell r="B332" t="str">
            <v>Margin</v>
          </cell>
          <cell r="S332">
            <v>0.54124748490945673</v>
          </cell>
          <cell r="T332">
            <v>0.51286449399656941</v>
          </cell>
          <cell r="U332">
            <v>0.5946462715105163</v>
          </cell>
          <cell r="V332">
            <v>0.40980392156862744</v>
          </cell>
          <cell r="W332">
            <v>0.37747035573122528</v>
          </cell>
          <cell r="X332">
            <v>0.42771084337349397</v>
          </cell>
          <cell r="Y332">
            <v>0.43609022556390975</v>
          </cell>
          <cell r="Z332">
            <v>0.43845394645581909</v>
          </cell>
          <cell r="AA332">
            <v>0.42948062606926524</v>
          </cell>
          <cell r="AB332">
            <v>0.42136190762428793</v>
          </cell>
          <cell r="AC332">
            <v>0.41401640045978461</v>
          </cell>
          <cell r="AD332">
            <v>0.40737046540618649</v>
          </cell>
          <cell r="AE332">
            <v>0.401357476548169</v>
          </cell>
          <cell r="AF332">
            <v>0.39591715329567712</v>
          </cell>
          <cell r="CU332">
            <v>0.56896551724137934</v>
          </cell>
          <cell r="CV332">
            <v>0.65333333333333332</v>
          </cell>
          <cell r="CW332">
            <v>0.48888888888888887</v>
          </cell>
          <cell r="CX332">
            <v>0.56338028169014087</v>
          </cell>
          <cell r="CY332">
            <v>0.43636363636363634</v>
          </cell>
          <cell r="CZ332">
            <v>0.39090909090909093</v>
          </cell>
          <cell r="DA332">
            <v>0.49681528662420382</v>
          </cell>
          <cell r="DB332">
            <v>0.33082706766917291</v>
          </cell>
          <cell r="DC332">
            <v>0.65467625899280579</v>
          </cell>
          <cell r="DD332">
            <v>0.33333333333333331</v>
          </cell>
          <cell r="DE332">
            <v>0.34883720930232559</v>
          </cell>
          <cell r="DF332">
            <v>0.32142857142857145</v>
          </cell>
          <cell r="DG332">
            <v>0.47899159663865548</v>
          </cell>
          <cell r="DH332">
            <v>0.42608695652173911</v>
          </cell>
          <cell r="DI332">
            <v>0.38709677419354838</v>
          </cell>
          <cell r="DJ332">
            <v>0.30714285714285716</v>
          </cell>
          <cell r="DK332">
            <v>0.4925373134328358</v>
          </cell>
          <cell r="DL332">
            <v>0.44696969696969696</v>
          </cell>
          <cell r="DM332">
            <v>0.41935483870967744</v>
          </cell>
          <cell r="DN332">
            <v>0.38732394366197181</v>
          </cell>
          <cell r="DO332">
            <v>0.43845394645581909</v>
          </cell>
          <cell r="DP332">
            <v>0.43845394645581909</v>
          </cell>
          <cell r="DQ332">
            <v>0.43845394645581909</v>
          </cell>
          <cell r="DR332">
            <v>0.43845394645581909</v>
          </cell>
          <cell r="DT332">
            <v>0.43097014925373134</v>
          </cell>
        </row>
        <row r="333">
          <cell r="B333" t="str">
            <v>Growth</v>
          </cell>
          <cell r="T333">
            <v>0.11152416356877315</v>
          </cell>
          <cell r="U333">
            <v>4.013377926421402E-2</v>
          </cell>
          <cell r="V333">
            <v>-0.32797427652733124</v>
          </cell>
          <cell r="W333">
            <v>-8.6124401913875603E-2</v>
          </cell>
          <cell r="X333">
            <v>0.11518324607329844</v>
          </cell>
          <cell r="Y333">
            <v>8.9201877934272256E-2</v>
          </cell>
          <cell r="Z333">
            <v>8.9936034482758664E-2</v>
          </cell>
          <cell r="AA333">
            <v>2.8510886988148076E-2</v>
          </cell>
          <cell r="AB333">
            <v>3.0151248159326016E-2</v>
          </cell>
          <cell r="AC333">
            <v>3.1695586660373642E-2</v>
          </cell>
          <cell r="AD333">
            <v>3.3145035320996108E-2</v>
          </cell>
          <cell r="AE333">
            <v>3.4501482466032352E-2</v>
          </cell>
          <cell r="AF333">
            <v>3.5767452336394001E-2</v>
          </cell>
        </row>
        <row r="335">
          <cell r="B335" t="str">
            <v>Capex</v>
          </cell>
          <cell r="S335">
            <v>-26</v>
          </cell>
          <cell r="T335">
            <v>-33</v>
          </cell>
          <cell r="U335">
            <v>-32</v>
          </cell>
          <cell r="V335">
            <v>-31</v>
          </cell>
          <cell r="W335">
            <v>-26</v>
          </cell>
          <cell r="X335">
            <v>-29.88</v>
          </cell>
          <cell r="Y335">
            <v>-31.919999999999998</v>
          </cell>
          <cell r="Z335">
            <v>-34.603200000000001</v>
          </cell>
          <cell r="AA335">
            <v>-36.333359999999999</v>
          </cell>
          <cell r="AB335">
            <v>-38.150028000000006</v>
          </cell>
          <cell r="AC335">
            <v>-40.057529400000007</v>
          </cell>
          <cell r="AD335">
            <v>-42.060405870000004</v>
          </cell>
          <cell r="AE335">
            <v>-44.163426163500006</v>
          </cell>
          <cell r="AF335">
            <v>-46.37159747167501</v>
          </cell>
          <cell r="CU335">
            <v>-10</v>
          </cell>
          <cell r="CV335">
            <v>-6</v>
          </cell>
          <cell r="CW335">
            <v>-10</v>
          </cell>
          <cell r="CX335">
            <v>-6</v>
          </cell>
          <cell r="CY335">
            <v>-10</v>
          </cell>
          <cell r="CZ335">
            <v>-5</v>
          </cell>
          <cell r="DA335">
            <v>-7</v>
          </cell>
          <cell r="DB335">
            <v>-9</v>
          </cell>
          <cell r="DC335">
            <v>-7</v>
          </cell>
          <cell r="DD335">
            <v>-3</v>
          </cell>
          <cell r="DE335">
            <v>-8</v>
          </cell>
          <cell r="DF335">
            <v>-8</v>
          </cell>
          <cell r="DG335">
            <v>-9</v>
          </cell>
          <cell r="DH335">
            <v>-8</v>
          </cell>
          <cell r="DI335">
            <v>-12</v>
          </cell>
          <cell r="DJ335">
            <v>-14</v>
          </cell>
          <cell r="DK335">
            <v>-7</v>
          </cell>
          <cell r="DL335">
            <v>-6</v>
          </cell>
          <cell r="DM335">
            <v>-7</v>
          </cell>
          <cell r="DN335">
            <v>-10</v>
          </cell>
          <cell r="DO335">
            <v>-2</v>
          </cell>
        </row>
        <row r="336">
          <cell r="B336" t="str">
            <v>% of revenue</v>
          </cell>
          <cell r="S336">
            <v>5.2313883299798795E-2</v>
          </cell>
          <cell r="T336">
            <v>5.6603773584905662E-2</v>
          </cell>
          <cell r="U336">
            <v>6.1185468451242828E-2</v>
          </cell>
          <cell r="V336">
            <v>6.0784313725490195E-2</v>
          </cell>
          <cell r="W336">
            <v>5.1383399209486168E-2</v>
          </cell>
          <cell r="X336">
            <v>0.06</v>
          </cell>
          <cell r="Y336">
            <v>0.06</v>
          </cell>
          <cell r="Z336">
            <v>0.06</v>
          </cell>
          <cell r="AA336">
            <v>0.06</v>
          </cell>
          <cell r="AB336">
            <v>0.06</v>
          </cell>
          <cell r="AC336">
            <v>0.06</v>
          </cell>
          <cell r="AD336">
            <v>0.06</v>
          </cell>
          <cell r="AE336">
            <v>0.06</v>
          </cell>
          <cell r="AF336">
            <v>0.06</v>
          </cell>
          <cell r="CU336">
            <v>8.6206896551724144E-2</v>
          </cell>
          <cell r="CY336">
            <v>9.0909090909090912E-2</v>
          </cell>
          <cell r="CZ336">
            <v>4.5454545454545456E-2</v>
          </cell>
          <cell r="DA336">
            <v>4.4585987261146494E-2</v>
          </cell>
          <cell r="DB336">
            <v>6.7669172932330823E-2</v>
          </cell>
          <cell r="DC336">
            <v>5.0359712230215826E-2</v>
          </cell>
          <cell r="DD336">
            <v>2.3809523809523808E-2</v>
          </cell>
          <cell r="DE336">
            <v>6.2015503875968991E-2</v>
          </cell>
          <cell r="DF336">
            <v>7.1428571428571425E-2</v>
          </cell>
          <cell r="DG336">
            <v>7.5630252100840331E-2</v>
          </cell>
          <cell r="DH336">
            <v>6.9565217391304349E-2</v>
          </cell>
          <cell r="DI336">
            <v>9.6774193548387094E-2</v>
          </cell>
          <cell r="DJ336">
            <v>0.1</v>
          </cell>
          <cell r="DK336">
            <v>5.2238805970149252E-2</v>
          </cell>
          <cell r="DL336">
            <v>4.5454545454545456E-2</v>
          </cell>
          <cell r="DM336">
            <v>5.6451612903225805E-2</v>
          </cell>
          <cell r="DN336">
            <v>0</v>
          </cell>
        </row>
        <row r="338">
          <cell r="B338" t="str">
            <v>PP&amp;E, net</v>
          </cell>
          <cell r="S338" t="str">
            <v>ND</v>
          </cell>
          <cell r="T338">
            <v>355</v>
          </cell>
          <cell r="U338">
            <v>323</v>
          </cell>
          <cell r="V338">
            <v>253</v>
          </cell>
          <cell r="W338">
            <v>195</v>
          </cell>
          <cell r="X338">
            <v>133.88</v>
          </cell>
          <cell r="Y338">
            <v>90.8</v>
          </cell>
          <cell r="Z338">
            <v>52.898040000000009</v>
          </cell>
          <cell r="AA338">
            <v>18.534830000000028</v>
          </cell>
          <cell r="AB338">
            <v>-12.384384899999944</v>
          </cell>
          <cell r="AC338">
            <v>-39.945512724999915</v>
          </cell>
          <cell r="AD338">
            <v>-64.225851512249875</v>
          </cell>
          <cell r="AE338">
            <v>-85.294304081312347</v>
          </cell>
          <cell r="AF338">
            <v>-103.21157127915544</v>
          </cell>
          <cell r="CU338" t="str">
            <v>ND</v>
          </cell>
          <cell r="CY338" t="str">
            <v>ND</v>
          </cell>
        </row>
        <row r="339">
          <cell r="B339" t="str">
            <v>Asset turnover</v>
          </cell>
          <cell r="S339" t="str">
            <v>NM</v>
          </cell>
          <cell r="T339">
            <v>1.6422535211267606</v>
          </cell>
          <cell r="U339">
            <v>1.6191950464396285</v>
          </cell>
          <cell r="V339">
            <v>2.0158102766798418</v>
          </cell>
          <cell r="W339">
            <v>2.594871794871795</v>
          </cell>
          <cell r="X339">
            <v>3.7197490289811772</v>
          </cell>
          <cell r="Y339">
            <v>5.8590308370044051</v>
          </cell>
          <cell r="Z339">
            <v>10.902483343428225</v>
          </cell>
          <cell r="AA339">
            <v>32.671246512646682</v>
          </cell>
          <cell r="AB339">
            <v>-51.341572886676268</v>
          </cell>
          <cell r="AC339">
            <v>-16.713403945924732</v>
          </cell>
          <cell r="AD339">
            <v>-10.914713436945188</v>
          </cell>
          <cell r="AE339">
            <v>-8.6296161350153682</v>
          </cell>
          <cell r="AF339">
            <v>-7.4881134768397493</v>
          </cell>
          <cell r="CU339" t="str">
            <v>NM</v>
          </cell>
          <cell r="CY339" t="str">
            <v>NM</v>
          </cell>
        </row>
        <row r="341">
          <cell r="B341" t="str">
            <v>Other</v>
          </cell>
          <cell r="C341">
            <v>1991</v>
          </cell>
          <cell r="D341">
            <v>1992</v>
          </cell>
          <cell r="E341">
            <v>1993</v>
          </cell>
          <cell r="F341">
            <v>1994</v>
          </cell>
          <cell r="G341">
            <v>1995</v>
          </cell>
          <cell r="H341">
            <v>1996</v>
          </cell>
          <cell r="I341">
            <v>1997</v>
          </cell>
          <cell r="J341">
            <v>1998</v>
          </cell>
          <cell r="K341">
            <v>1999</v>
          </cell>
          <cell r="L341">
            <v>2000</v>
          </cell>
          <cell r="M341">
            <v>2001</v>
          </cell>
          <cell r="N341">
            <v>2002</v>
          </cell>
          <cell r="O341">
            <v>2003</v>
          </cell>
          <cell r="P341">
            <v>2004</v>
          </cell>
          <cell r="Q341">
            <v>2005</v>
          </cell>
          <cell r="R341">
            <v>2006</v>
          </cell>
          <cell r="S341">
            <v>2007</v>
          </cell>
          <cell r="T341">
            <v>2008</v>
          </cell>
          <cell r="U341" t="str">
            <v>2009</v>
          </cell>
          <cell r="V341" t="str">
            <v>2010</v>
          </cell>
          <cell r="W341" t="str">
            <v>2011</v>
          </cell>
          <cell r="X341" t="str">
            <v>2012</v>
          </cell>
          <cell r="Y341" t="str">
            <v>2013e</v>
          </cell>
          <cell r="Z341" t="str">
            <v>2014e</v>
          </cell>
          <cell r="AA341" t="str">
            <v>2015e</v>
          </cell>
          <cell r="AB341" t="str">
            <v>2016e</v>
          </cell>
          <cell r="AC341" t="str">
            <v>2017e</v>
          </cell>
          <cell r="AD341" t="str">
            <v>2018e</v>
          </cell>
          <cell r="AE341" t="str">
            <v>2019e</v>
          </cell>
          <cell r="AF341" t="str">
            <v>2020e</v>
          </cell>
          <cell r="AI341" t="str">
            <v>1993q1</v>
          </cell>
          <cell r="AJ341" t="str">
            <v>1993q2</v>
          </cell>
          <cell r="AK341" t="str">
            <v>1993q3</v>
          </cell>
          <cell r="AL341" t="str">
            <v>1993q4</v>
          </cell>
          <cell r="AM341" t="str">
            <v>1994q1</v>
          </cell>
          <cell r="AN341" t="str">
            <v>1994q2</v>
          </cell>
          <cell r="AO341" t="str">
            <v>1994q3</v>
          </cell>
          <cell r="AP341" t="str">
            <v>1994q4</v>
          </cell>
          <cell r="AQ341" t="str">
            <v>1995q1</v>
          </cell>
          <cell r="AR341" t="str">
            <v>1995q2</v>
          </cell>
          <cell r="AS341" t="str">
            <v>1995q3</v>
          </cell>
          <cell r="AT341" t="str">
            <v>1995q4</v>
          </cell>
          <cell r="AU341" t="str">
            <v>1996q1</v>
          </cell>
          <cell r="AV341" t="str">
            <v>1996q2</v>
          </cell>
          <cell r="AW341" t="str">
            <v>1996q3</v>
          </cell>
          <cell r="AX341" t="str">
            <v>1996q4</v>
          </cell>
          <cell r="AY341" t="str">
            <v>1997q1</v>
          </cell>
          <cell r="AZ341" t="str">
            <v>1997q2</v>
          </cell>
          <cell r="BA341" t="str">
            <v>1997q3</v>
          </cell>
          <cell r="BB341" t="str">
            <v>1997q4</v>
          </cell>
          <cell r="BC341" t="str">
            <v>1998q1</v>
          </cell>
          <cell r="BD341" t="str">
            <v>1998q2</v>
          </cell>
          <cell r="BE341" t="str">
            <v>1998q3</v>
          </cell>
          <cell r="BF341" t="str">
            <v>1998q4</v>
          </cell>
          <cell r="BG341" t="str">
            <v>1999q1</v>
          </cell>
          <cell r="BH341" t="str">
            <v>1999q2</v>
          </cell>
          <cell r="BI341" t="str">
            <v>1999q3</v>
          </cell>
          <cell r="BJ341" t="str">
            <v>1999q4</v>
          </cell>
          <cell r="BK341" t="str">
            <v>2000q1</v>
          </cell>
          <cell r="BL341" t="str">
            <v>2000q2</v>
          </cell>
          <cell r="BM341" t="str">
            <v>2000q3</v>
          </cell>
          <cell r="BN341" t="str">
            <v>2000q4</v>
          </cell>
          <cell r="BO341" t="str">
            <v>2001q1</v>
          </cell>
          <cell r="BP341" t="str">
            <v>2001q2</v>
          </cell>
          <cell r="BQ341" t="str">
            <v>2001q3</v>
          </cell>
          <cell r="BR341" t="str">
            <v>2001q4</v>
          </cell>
          <cell r="BS341" t="str">
            <v>2002q1</v>
          </cell>
          <cell r="BT341" t="str">
            <v>2002q2</v>
          </cell>
          <cell r="BU341" t="str">
            <v>2002q3</v>
          </cell>
          <cell r="BV341" t="str">
            <v>2002q4</v>
          </cell>
          <cell r="BW341" t="str">
            <v>2003q1</v>
          </cell>
          <cell r="BX341" t="str">
            <v>2003q2</v>
          </cell>
          <cell r="BY341" t="str">
            <v>2003q3</v>
          </cell>
          <cell r="BZ341" t="str">
            <v>2003q4</v>
          </cell>
          <cell r="CA341" t="str">
            <v>2004q1</v>
          </cell>
          <cell r="CB341" t="str">
            <v>2004q2</v>
          </cell>
          <cell r="CC341" t="str">
            <v>2004q3</v>
          </cell>
          <cell r="CD341" t="str">
            <v>2004q4</v>
          </cell>
          <cell r="CE341" t="str">
            <v>2005q1</v>
          </cell>
          <cell r="CF341" t="str">
            <v>2005q2</v>
          </cell>
          <cell r="CG341" t="str">
            <v>2005q3</v>
          </cell>
          <cell r="CH341" t="str">
            <v>2005q4</v>
          </cell>
          <cell r="CI341" t="str">
            <v>2006q1</v>
          </cell>
          <cell r="CJ341" t="str">
            <v>2006q2</v>
          </cell>
          <cell r="CK341" t="str">
            <v>2006q3</v>
          </cell>
          <cell r="CL341" t="str">
            <v>2006q4</v>
          </cell>
          <cell r="CM341" t="str">
            <v>2007q1</v>
          </cell>
          <cell r="CN341" t="str">
            <v>2007q2</v>
          </cell>
          <cell r="CO341" t="str">
            <v>2007q3</v>
          </cell>
          <cell r="CP341" t="str">
            <v>2007q4</v>
          </cell>
          <cell r="CQ341" t="str">
            <v>2008q1</v>
          </cell>
          <cell r="CR341" t="str">
            <v>2008q2</v>
          </cell>
          <cell r="CS341" t="str">
            <v>2008q3</v>
          </cell>
          <cell r="CT341" t="str">
            <v>2008q4</v>
          </cell>
          <cell r="CU341" t="str">
            <v>2009q1</v>
          </cell>
          <cell r="CV341" t="str">
            <v>2009q2</v>
          </cell>
          <cell r="CW341" t="str">
            <v>2009q3</v>
          </cell>
          <cell r="CX341" t="str">
            <v>2009q4</v>
          </cell>
          <cell r="CY341" t="str">
            <v>2010q1</v>
          </cell>
          <cell r="CZ341" t="str">
            <v>2010q2</v>
          </cell>
          <cell r="DA341" t="str">
            <v>2010q3</v>
          </cell>
          <cell r="DB341" t="str">
            <v>2010q4</v>
          </cell>
          <cell r="DC341" t="str">
            <v>2011q1</v>
          </cell>
          <cell r="DD341" t="str">
            <v>2011q2</v>
          </cell>
          <cell r="DE341" t="str">
            <v>2011q3</v>
          </cell>
          <cell r="DF341" t="str">
            <v>2011q4</v>
          </cell>
          <cell r="DG341" t="str">
            <v>2012q1</v>
          </cell>
          <cell r="DH341" t="str">
            <v>2012q2</v>
          </cell>
          <cell r="DI341" t="str">
            <v>2012q3</v>
          </cell>
          <cell r="DJ341" t="str">
            <v>2012q4e</v>
          </cell>
          <cell r="DK341" t="str">
            <v>2013q1e</v>
          </cell>
          <cell r="DL341" t="str">
            <v>2013q2e</v>
          </cell>
          <cell r="DM341" t="str">
            <v>2013q3e</v>
          </cell>
          <cell r="DN341" t="str">
            <v>2013q4e</v>
          </cell>
          <cell r="DO341" t="str">
            <v>2014q1e</v>
          </cell>
          <cell r="DP341" t="str">
            <v>2014q2e</v>
          </cell>
          <cell r="DQ341" t="str">
            <v>2014q3e</v>
          </cell>
          <cell r="DR341" t="str">
            <v>2014q4e</v>
          </cell>
          <cell r="DT341" t="str">
            <v>2013q2e</v>
          </cell>
        </row>
        <row r="343">
          <cell r="B343" t="str">
            <v>Customers</v>
          </cell>
          <cell r="S343">
            <v>-39</v>
          </cell>
          <cell r="T343">
            <v>0</v>
          </cell>
          <cell r="U343">
            <v>0</v>
          </cell>
          <cell r="CY343">
            <v>0</v>
          </cell>
          <cell r="DO343" t="str">
            <v xml:space="preserve"> </v>
          </cell>
        </row>
        <row r="344">
          <cell r="B344" t="str">
            <v>Intersegment</v>
          </cell>
          <cell r="S344">
            <v>-207</v>
          </cell>
          <cell r="T344">
            <v>-4360</v>
          </cell>
          <cell r="U344">
            <v>-3586</v>
          </cell>
          <cell r="CY344">
            <v>-1225</v>
          </cell>
        </row>
        <row r="345">
          <cell r="B345" t="str">
            <v>Revenue</v>
          </cell>
          <cell r="S345">
            <v>-246</v>
          </cell>
          <cell r="T345">
            <v>-4360</v>
          </cell>
          <cell r="U345">
            <v>-3586</v>
          </cell>
          <cell r="V345">
            <v>-5505</v>
          </cell>
          <cell r="W345">
            <v>-7041</v>
          </cell>
          <cell r="X345">
            <v>-5645</v>
          </cell>
          <cell r="Y345">
            <v>-5414</v>
          </cell>
          <cell r="Z345">
            <v>-4916.8818076905445</v>
          </cell>
          <cell r="AA345">
            <v>-5464.7705514203453</v>
          </cell>
          <cell r="AB345">
            <v>-5472.6087844900467</v>
          </cell>
          <cell r="AC345">
            <v>-5388.0415085738223</v>
          </cell>
          <cell r="AD345">
            <v>-5323.7523995667098</v>
          </cell>
          <cell r="AE345">
            <v>-5280.8386558462253</v>
          </cell>
          <cell r="AF345">
            <v>-5247.4231816005267</v>
          </cell>
          <cell r="CU345">
            <v>-539</v>
          </cell>
          <cell r="CV345">
            <v>-835</v>
          </cell>
          <cell r="CW345">
            <v>-1135</v>
          </cell>
          <cell r="CX345">
            <v>-1077</v>
          </cell>
          <cell r="CY345">
            <v>-1225</v>
          </cell>
          <cell r="CZ345">
            <v>-1179</v>
          </cell>
          <cell r="DA345">
            <v>-1669</v>
          </cell>
          <cell r="DB345">
            <v>-1432</v>
          </cell>
          <cell r="DC345">
            <v>-1825</v>
          </cell>
          <cell r="DD345">
            <v>-1968</v>
          </cell>
          <cell r="DE345">
            <v>-2111</v>
          </cell>
          <cell r="DF345">
            <v>-1137</v>
          </cell>
          <cell r="DG345">
            <v>-1415</v>
          </cell>
          <cell r="DH345">
            <v>-1506</v>
          </cell>
          <cell r="DI345">
            <v>-1425</v>
          </cell>
          <cell r="DJ345">
            <v>-1299</v>
          </cell>
          <cell r="DK345">
            <v>-1259</v>
          </cell>
          <cell r="DL345">
            <v>-1282</v>
          </cell>
          <cell r="DM345">
            <v>-1510</v>
          </cell>
          <cell r="DN345">
            <v>-1363</v>
          </cell>
          <cell r="DO345">
            <v>-1229.2204519226361</v>
          </cell>
          <cell r="DP345">
            <v>-1229.2204519226361</v>
          </cell>
          <cell r="DQ345">
            <v>-1229.2204519226361</v>
          </cell>
          <cell r="DR345">
            <v>-1229.2204519226361</v>
          </cell>
          <cell r="DT345">
            <v>-1243.25</v>
          </cell>
        </row>
        <row r="346">
          <cell r="B346" t="str">
            <v>Growth</v>
          </cell>
          <cell r="U346">
            <v>-0.17752293577981648</v>
          </cell>
          <cell r="V346">
            <v>0.53513664249860571</v>
          </cell>
          <cell r="W346">
            <v>0.27901907356948219</v>
          </cell>
          <cell r="X346">
            <v>-0.19826729157790091</v>
          </cell>
          <cell r="Y346">
            <v>-4.0921169176262207E-2</v>
          </cell>
          <cell r="Z346">
            <v>-9.1820870393323872E-2</v>
          </cell>
          <cell r="AA346">
            <v>0.1114301228215091</v>
          </cell>
          <cell r="AB346">
            <v>1.4343206171143486E-3</v>
          </cell>
          <cell r="AC346">
            <v>-1.5452826841176215E-2</v>
          </cell>
          <cell r="AD346">
            <v>-1.1931813981910011E-2</v>
          </cell>
          <cell r="AE346">
            <v>-8.0608075845106653E-3</v>
          </cell>
          <cell r="AF346">
            <v>-6.3276832380980697E-3</v>
          </cell>
          <cell r="CY346">
            <v>1.2727272727272729</v>
          </cell>
          <cell r="CZ346">
            <v>0.41197604790419162</v>
          </cell>
          <cell r="DA346">
            <v>0.47048458149779737</v>
          </cell>
          <cell r="DB346">
            <v>0.32961931290622104</v>
          </cell>
          <cell r="DC346">
            <v>0.48979591836734704</v>
          </cell>
          <cell r="DD346">
            <v>0.66921119592875322</v>
          </cell>
          <cell r="DE346">
            <v>0.26482923906530864</v>
          </cell>
          <cell r="DF346">
            <v>-0.20600558659217882</v>
          </cell>
          <cell r="DG346">
            <v>-0.22465753424657531</v>
          </cell>
          <cell r="DH346">
            <v>-0.2347560975609756</v>
          </cell>
          <cell r="DI346">
            <v>-0.32496447181430599</v>
          </cell>
          <cell r="DJ346">
            <v>0.14248021108179421</v>
          </cell>
          <cell r="DK346">
            <v>-0.11024734982332152</v>
          </cell>
          <cell r="DL346">
            <v>-0.148738379814077</v>
          </cell>
          <cell r="DM346">
            <v>5.9649122807017507E-2</v>
          </cell>
          <cell r="DN346">
            <v>4.9268668206312594E-2</v>
          </cell>
          <cell r="DO346">
            <v>-2.365333445382356E-2</v>
          </cell>
          <cell r="DP346">
            <v>-4.1169694288115344E-2</v>
          </cell>
          <cell r="DQ346">
            <v>-0.18594672058103567</v>
          </cell>
          <cell r="DR346">
            <v>-9.8150805632695404E-2</v>
          </cell>
          <cell r="DT346">
            <v>-0.17446879150066397</v>
          </cell>
        </row>
        <row r="348">
          <cell r="B348" t="str">
            <v>Operating Income</v>
          </cell>
          <cell r="S348">
            <v>-248</v>
          </cell>
          <cell r="T348">
            <v>1122</v>
          </cell>
          <cell r="U348">
            <v>100</v>
          </cell>
          <cell r="V348">
            <v>-63</v>
          </cell>
          <cell r="W348">
            <v>0</v>
          </cell>
          <cell r="X348">
            <v>11</v>
          </cell>
          <cell r="Y348">
            <v>-7</v>
          </cell>
          <cell r="Z348">
            <v>0</v>
          </cell>
          <cell r="AA348">
            <v>0</v>
          </cell>
          <cell r="AB348">
            <v>0</v>
          </cell>
          <cell r="AC348">
            <v>0</v>
          </cell>
          <cell r="AD348">
            <v>0</v>
          </cell>
          <cell r="AE348">
            <v>0</v>
          </cell>
          <cell r="AF348">
            <v>0</v>
          </cell>
          <cell r="CU348">
            <v>-9</v>
          </cell>
          <cell r="CV348">
            <v>-28</v>
          </cell>
          <cell r="CW348">
            <v>12</v>
          </cell>
          <cell r="CX348">
            <v>39</v>
          </cell>
          <cell r="CY348">
            <v>-59</v>
          </cell>
          <cell r="CZ348">
            <v>31</v>
          </cell>
          <cell r="DA348">
            <v>-19</v>
          </cell>
          <cell r="DB348">
            <v>-16</v>
          </cell>
          <cell r="DC348">
            <v>1</v>
          </cell>
          <cell r="DD348">
            <v>-5</v>
          </cell>
          <cell r="DE348">
            <v>4</v>
          </cell>
          <cell r="DF348">
            <v>0</v>
          </cell>
          <cell r="DG348">
            <v>0</v>
          </cell>
          <cell r="DI348">
            <v>6</v>
          </cell>
          <cell r="DJ348">
            <v>5</v>
          </cell>
          <cell r="DK348">
            <v>-3</v>
          </cell>
          <cell r="DL348">
            <v>-5</v>
          </cell>
          <cell r="DM348">
            <v>1</v>
          </cell>
          <cell r="DN348">
            <v>0</v>
          </cell>
          <cell r="DO348">
            <v>0</v>
          </cell>
          <cell r="DP348">
            <v>0</v>
          </cell>
          <cell r="DQ348">
            <v>0</v>
          </cell>
          <cell r="DR348">
            <v>0</v>
          </cell>
          <cell r="DT348">
            <v>0</v>
          </cell>
        </row>
        <row r="349">
          <cell r="B349" t="str">
            <v>Margin</v>
          </cell>
          <cell r="S349">
            <v>1.0081300813008129</v>
          </cell>
          <cell r="T349">
            <v>-0.2573394495412844</v>
          </cell>
          <cell r="U349">
            <v>-2.7886224205242609E-2</v>
          </cell>
          <cell r="V349">
            <v>1.1444141689373298E-2</v>
          </cell>
          <cell r="W349">
            <v>0</v>
          </cell>
          <cell r="X349">
            <v>-1.9486271036315323E-3</v>
          </cell>
          <cell r="Y349">
            <v>1.2929442186922792E-3</v>
          </cell>
          <cell r="Z349">
            <v>0</v>
          </cell>
          <cell r="AA349">
            <v>0</v>
          </cell>
          <cell r="AB349">
            <v>0</v>
          </cell>
          <cell r="AC349">
            <v>0</v>
          </cell>
          <cell r="AD349">
            <v>0</v>
          </cell>
          <cell r="AE349">
            <v>0</v>
          </cell>
          <cell r="AF349">
            <v>0</v>
          </cell>
          <cell r="CU349">
            <v>1.6697588126159554E-2</v>
          </cell>
          <cell r="CY349">
            <v>4.8163265306122451E-2</v>
          </cell>
        </row>
        <row r="351">
          <cell r="B351" t="str">
            <v>D&amp;A</v>
          </cell>
          <cell r="S351">
            <v>-39</v>
          </cell>
          <cell r="T351">
            <v>-35</v>
          </cell>
          <cell r="U351">
            <v>-38</v>
          </cell>
          <cell r="V351">
            <v>1</v>
          </cell>
          <cell r="W351">
            <v>0</v>
          </cell>
          <cell r="X351">
            <v>0</v>
          </cell>
          <cell r="Y351">
            <v>0</v>
          </cell>
          <cell r="Z351">
            <v>0</v>
          </cell>
          <cell r="AA351">
            <v>0</v>
          </cell>
          <cell r="AB351">
            <v>0</v>
          </cell>
          <cell r="AC351">
            <v>0</v>
          </cell>
          <cell r="AD351">
            <v>0</v>
          </cell>
          <cell r="AE351">
            <v>0</v>
          </cell>
          <cell r="AF351">
            <v>0</v>
          </cell>
          <cell r="CU351">
            <v>-3</v>
          </cell>
          <cell r="CV351">
            <v>-2</v>
          </cell>
          <cell r="CW351">
            <v>-3</v>
          </cell>
          <cell r="CX351">
            <v>-3</v>
          </cell>
          <cell r="CY351">
            <v>-3</v>
          </cell>
          <cell r="CZ351">
            <v>-8</v>
          </cell>
          <cell r="DA351">
            <v>5</v>
          </cell>
          <cell r="DB351">
            <v>7</v>
          </cell>
          <cell r="DC351">
            <v>0</v>
          </cell>
          <cell r="DD351">
            <v>0</v>
          </cell>
          <cell r="DE351">
            <v>0</v>
          </cell>
          <cell r="DF351">
            <v>0</v>
          </cell>
          <cell r="DG351">
            <v>0</v>
          </cell>
          <cell r="DH351">
            <v>0</v>
          </cell>
          <cell r="DI351">
            <v>-1</v>
          </cell>
          <cell r="DJ351">
            <v>-1</v>
          </cell>
          <cell r="DK351">
            <v>0</v>
          </cell>
          <cell r="DL351">
            <v>-2</v>
          </cell>
          <cell r="DM351">
            <v>0</v>
          </cell>
          <cell r="DN351">
            <v>0</v>
          </cell>
          <cell r="DO351">
            <v>2</v>
          </cell>
          <cell r="DP351">
            <v>-2</v>
          </cell>
          <cell r="DQ351">
            <v>0</v>
          </cell>
          <cell r="DR351">
            <v>0</v>
          </cell>
          <cell r="DT351">
            <v>2</v>
          </cell>
        </row>
        <row r="352">
          <cell r="B352" t="str">
            <v>% of revenue</v>
          </cell>
          <cell r="S352">
            <v>-0.15853658536585366</v>
          </cell>
          <cell r="T352">
            <v>-8.027522935779817E-3</v>
          </cell>
          <cell r="U352">
            <v>-1.0596765197992191E-2</v>
          </cell>
          <cell r="V352">
            <v>1.8165304268846503E-4</v>
          </cell>
          <cell r="W352">
            <v>0</v>
          </cell>
          <cell r="X352">
            <v>0</v>
          </cell>
          <cell r="Y352">
            <v>0</v>
          </cell>
          <cell r="Z352">
            <v>0</v>
          </cell>
          <cell r="AA352">
            <v>0</v>
          </cell>
          <cell r="AB352">
            <v>0</v>
          </cell>
          <cell r="AC352">
            <v>0</v>
          </cell>
          <cell r="AD352">
            <v>0</v>
          </cell>
          <cell r="AE352">
            <v>0</v>
          </cell>
          <cell r="AF352">
            <v>0</v>
          </cell>
          <cell r="CU352" t="str">
            <v>NM</v>
          </cell>
          <cell r="CY352" t="str">
            <v>NM</v>
          </cell>
        </row>
        <row r="354">
          <cell r="B354" t="str">
            <v>Other</v>
          </cell>
          <cell r="S354">
            <v>0</v>
          </cell>
          <cell r="T354">
            <v>0</v>
          </cell>
          <cell r="U354">
            <v>0</v>
          </cell>
          <cell r="V354">
            <v>39</v>
          </cell>
          <cell r="W354">
            <v>-34</v>
          </cell>
          <cell r="X354">
            <v>0</v>
          </cell>
          <cell r="Y354">
            <v>0</v>
          </cell>
          <cell r="Z354">
            <v>0</v>
          </cell>
          <cell r="AA354">
            <v>0</v>
          </cell>
          <cell r="AB354">
            <v>0</v>
          </cell>
          <cell r="AC354">
            <v>0</v>
          </cell>
          <cell r="AD354">
            <v>0</v>
          </cell>
          <cell r="AE354">
            <v>0</v>
          </cell>
          <cell r="AF354">
            <v>0</v>
          </cell>
          <cell r="CY354">
            <v>24</v>
          </cell>
          <cell r="CZ354">
            <v>41</v>
          </cell>
          <cell r="DA354">
            <v>-20</v>
          </cell>
          <cell r="DB354">
            <v>-6</v>
          </cell>
          <cell r="DC354">
            <v>13</v>
          </cell>
          <cell r="DD354">
            <v>-4</v>
          </cell>
          <cell r="DE354">
            <v>-11</v>
          </cell>
          <cell r="DF354">
            <v>-32</v>
          </cell>
          <cell r="DG354">
            <v>0</v>
          </cell>
          <cell r="DH354">
            <v>0</v>
          </cell>
          <cell r="DI354">
            <v>0</v>
          </cell>
          <cell r="DJ354">
            <v>0</v>
          </cell>
          <cell r="DK354">
            <v>0</v>
          </cell>
          <cell r="DL354">
            <v>0</v>
          </cell>
          <cell r="DM354">
            <v>0</v>
          </cell>
          <cell r="DN354">
            <v>0</v>
          </cell>
          <cell r="DO354">
            <v>0</v>
          </cell>
          <cell r="DP354">
            <v>0</v>
          </cell>
          <cell r="DQ354">
            <v>0</v>
          </cell>
          <cell r="DR354">
            <v>0</v>
          </cell>
          <cell r="DT354">
            <v>0</v>
          </cell>
        </row>
        <row r="356">
          <cell r="B356" t="str">
            <v>EBITDA</v>
          </cell>
          <cell r="S356">
            <v>-209</v>
          </cell>
          <cell r="T356">
            <v>1157</v>
          </cell>
          <cell r="U356">
            <v>138</v>
          </cell>
          <cell r="V356">
            <v>-25</v>
          </cell>
          <cell r="W356">
            <v>-34</v>
          </cell>
          <cell r="X356">
            <v>-1</v>
          </cell>
          <cell r="Y356">
            <v>-7</v>
          </cell>
          <cell r="Z356">
            <v>0</v>
          </cell>
          <cell r="AA356">
            <v>0</v>
          </cell>
          <cell r="AB356">
            <v>0</v>
          </cell>
          <cell r="AC356">
            <v>0</v>
          </cell>
          <cell r="AD356">
            <v>0</v>
          </cell>
          <cell r="AE356">
            <v>0</v>
          </cell>
          <cell r="AF356">
            <v>0</v>
          </cell>
          <cell r="CU356">
            <v>-6</v>
          </cell>
          <cell r="CV356">
            <v>-26</v>
          </cell>
          <cell r="CW356">
            <v>15</v>
          </cell>
          <cell r="CX356">
            <v>42</v>
          </cell>
          <cell r="CY356">
            <v>-32</v>
          </cell>
          <cell r="CZ356">
            <v>80</v>
          </cell>
          <cell r="DA356">
            <v>-44</v>
          </cell>
          <cell r="DB356">
            <v>-29</v>
          </cell>
          <cell r="DC356">
            <v>14</v>
          </cell>
          <cell r="DD356">
            <v>-9</v>
          </cell>
          <cell r="DE356">
            <v>-7</v>
          </cell>
          <cell r="DF356">
            <v>-32</v>
          </cell>
          <cell r="DG356">
            <v>4</v>
          </cell>
          <cell r="DH356">
            <v>-2</v>
          </cell>
          <cell r="DI356">
            <v>-3</v>
          </cell>
          <cell r="DJ356">
            <v>0</v>
          </cell>
          <cell r="DK356">
            <v>3</v>
          </cell>
          <cell r="DL356">
            <v>-11</v>
          </cell>
          <cell r="DM356">
            <v>-1</v>
          </cell>
          <cell r="DN356">
            <v>2</v>
          </cell>
          <cell r="DO356">
            <v>-2</v>
          </cell>
          <cell r="DP356">
            <v>2</v>
          </cell>
          <cell r="DQ356">
            <v>0</v>
          </cell>
          <cell r="DR356">
            <v>0</v>
          </cell>
          <cell r="DT356">
            <v>-2</v>
          </cell>
        </row>
        <row r="358">
          <cell r="B358" t="str">
            <v>Capex</v>
          </cell>
          <cell r="S358" t="str">
            <v>ND</v>
          </cell>
          <cell r="T358">
            <v>-24</v>
          </cell>
          <cell r="U358">
            <v>-6</v>
          </cell>
          <cell r="V358">
            <v>-16</v>
          </cell>
          <cell r="W358">
            <v>-17</v>
          </cell>
          <cell r="X358">
            <v>-28.225000000000001</v>
          </cell>
          <cell r="Y358">
            <v>-27.07</v>
          </cell>
          <cell r="Z358">
            <v>-24.584409038452723</v>
          </cell>
          <cell r="AA358">
            <v>-27.323852757101726</v>
          </cell>
          <cell r="AB358">
            <v>-27.363043922450235</v>
          </cell>
          <cell r="AC358">
            <v>-26.940207542869111</v>
          </cell>
          <cell r="AD358">
            <v>-26.618761997833548</v>
          </cell>
          <cell r="AE358">
            <v>-26.404193279231126</v>
          </cell>
          <cell r="AF358">
            <v>-26.237115908002636</v>
          </cell>
          <cell r="CU358">
            <v>-1</v>
          </cell>
          <cell r="CV358">
            <v>-1</v>
          </cell>
          <cell r="CW358">
            <v>-2</v>
          </cell>
          <cell r="CX358">
            <v>-2</v>
          </cell>
          <cell r="CY358">
            <v>-1</v>
          </cell>
          <cell r="CZ358">
            <v>-4</v>
          </cell>
          <cell r="DA358">
            <v>-5</v>
          </cell>
          <cell r="DB358">
            <v>-6</v>
          </cell>
          <cell r="DC358">
            <v>-1</v>
          </cell>
          <cell r="DD358">
            <v>-10</v>
          </cell>
          <cell r="DE358">
            <v>0</v>
          </cell>
          <cell r="DF358">
            <v>-6</v>
          </cell>
          <cell r="DG358">
            <v>-2</v>
          </cell>
          <cell r="DH358">
            <v>-3</v>
          </cell>
          <cell r="DI358">
            <v>-1</v>
          </cell>
          <cell r="DJ358">
            <v>1</v>
          </cell>
          <cell r="DK358">
            <v>0</v>
          </cell>
          <cell r="DL358">
            <v>-5</v>
          </cell>
          <cell r="DM358">
            <v>1</v>
          </cell>
          <cell r="DN358">
            <v>-1</v>
          </cell>
        </row>
        <row r="359">
          <cell r="B359" t="str">
            <v>% of revenue</v>
          </cell>
          <cell r="S359" t="str">
            <v>NM</v>
          </cell>
          <cell r="T359">
            <v>-5.5045871559633031E-3</v>
          </cell>
          <cell r="U359">
            <v>-1.6731734523145567E-3</v>
          </cell>
          <cell r="V359">
            <v>-2.9064486830154405E-3</v>
          </cell>
          <cell r="W359">
            <v>-2.4144297684987929E-3</v>
          </cell>
          <cell r="X359">
            <v>-5.0000000000000001E-3</v>
          </cell>
          <cell r="Y359">
            <v>-5.0000000000000001E-3</v>
          </cell>
          <cell r="Z359">
            <v>-5.0000000000000001E-3</v>
          </cell>
          <cell r="AA359">
            <v>-5.0000000000000001E-3</v>
          </cell>
          <cell r="AB359">
            <v>-5.0000000000000001E-3</v>
          </cell>
          <cell r="AC359">
            <v>-5.0000000000000001E-3</v>
          </cell>
          <cell r="AD359">
            <v>-5.0000000000000001E-3</v>
          </cell>
          <cell r="AE359">
            <v>-5.0000000000000001E-3</v>
          </cell>
          <cell r="AF359">
            <v>-5.0000000000000001E-3</v>
          </cell>
          <cell r="CU359">
            <v>-1.8552875695732839E-3</v>
          </cell>
          <cell r="CY359">
            <v>-8.1632653061224493E-4</v>
          </cell>
          <cell r="CZ359">
            <v>-3.3927056827820186E-3</v>
          </cell>
          <cell r="DA359">
            <v>-2.9958058717795086E-3</v>
          </cell>
          <cell r="DB359">
            <v>-4.1899441340782122E-3</v>
          </cell>
          <cell r="DC359">
            <v>-5.4794520547945202E-4</v>
          </cell>
          <cell r="DD359">
            <v>-5.08130081300813E-3</v>
          </cell>
          <cell r="DE359">
            <v>0</v>
          </cell>
          <cell r="DF359">
            <v>-5.2770448548812663E-3</v>
          </cell>
          <cell r="DG359">
            <v>-1.4134275618374558E-3</v>
          </cell>
          <cell r="DH359">
            <v>-1.9920318725099601E-3</v>
          </cell>
          <cell r="DI359">
            <v>-7.0175438596491223E-4</v>
          </cell>
          <cell r="DJ359">
            <v>7.6982294072363352E-4</v>
          </cell>
        </row>
        <row r="361">
          <cell r="B361" t="str">
            <v>PP&amp;E, net</v>
          </cell>
          <cell r="S361" t="str">
            <v>ND</v>
          </cell>
          <cell r="T361">
            <v>82</v>
          </cell>
          <cell r="U361">
            <v>73</v>
          </cell>
          <cell r="V361">
            <v>90</v>
          </cell>
          <cell r="W361">
            <v>107</v>
          </cell>
          <cell r="X361">
            <v>135.22499999999999</v>
          </cell>
          <cell r="Y361">
            <v>162.29499999999999</v>
          </cell>
          <cell r="Z361">
            <v>186.87940903845271</v>
          </cell>
          <cell r="AA361">
            <v>214.20326179555443</v>
          </cell>
          <cell r="AB361">
            <v>241.56630571800466</v>
          </cell>
          <cell r="AC361">
            <v>268.50651326087376</v>
          </cell>
          <cell r="AD361">
            <v>295.12527525870729</v>
          </cell>
          <cell r="AE361">
            <v>321.52946853793844</v>
          </cell>
          <cell r="AF361">
            <v>347.76658444594108</v>
          </cell>
          <cell r="CU361" t="str">
            <v>ND</v>
          </cell>
          <cell r="CY361" t="str">
            <v>ND</v>
          </cell>
        </row>
        <row r="362">
          <cell r="B362" t="str">
            <v>Asset turnover</v>
          </cell>
          <cell r="S362" t="str">
            <v>NM</v>
          </cell>
          <cell r="T362">
            <v>-53.170731707317074</v>
          </cell>
          <cell r="U362">
            <v>-49.123287671232873</v>
          </cell>
          <cell r="V362">
            <v>-61.166666666666664</v>
          </cell>
          <cell r="W362">
            <v>-65.803738317757009</v>
          </cell>
          <cell r="X362">
            <v>-41.745239415788504</v>
          </cell>
          <cell r="Y362">
            <v>-33.359006746973108</v>
          </cell>
          <cell r="Z362">
            <v>-26.310452462308657</v>
          </cell>
          <cell r="AA362">
            <v>-25.512079067386832</v>
          </cell>
          <cell r="AB362">
            <v>-22.6546859183191</v>
          </cell>
          <cell r="AC362">
            <v>-20.066706923190893</v>
          </cell>
          <cell r="AD362">
            <v>-18.038957845612849</v>
          </cell>
          <cell r="AE362">
            <v>-16.424120252054344</v>
          </cell>
          <cell r="AF362">
            <v>-15.088922904886561</v>
          </cell>
          <cell r="CU362" t="str">
            <v>NM</v>
          </cell>
          <cell r="CY362" t="str">
            <v>NM</v>
          </cell>
        </row>
        <row r="364">
          <cell r="B364" t="str">
            <v>Capex</v>
          </cell>
          <cell r="C364">
            <v>1991</v>
          </cell>
          <cell r="D364">
            <v>1992</v>
          </cell>
          <cell r="E364">
            <v>1993</v>
          </cell>
          <cell r="F364">
            <v>1994</v>
          </cell>
          <cell r="G364">
            <v>1995</v>
          </cell>
          <cell r="H364">
            <v>1996</v>
          </cell>
          <cell r="I364">
            <v>1997</v>
          </cell>
          <cell r="J364">
            <v>1998</v>
          </cell>
          <cell r="K364">
            <v>1999</v>
          </cell>
          <cell r="L364">
            <v>2000</v>
          </cell>
          <cell r="M364">
            <v>2001</v>
          </cell>
          <cell r="N364">
            <v>2002</v>
          </cell>
          <cell r="O364">
            <v>2003</v>
          </cell>
          <cell r="P364">
            <v>2004</v>
          </cell>
          <cell r="Q364">
            <v>2005</v>
          </cell>
          <cell r="R364">
            <v>2006</v>
          </cell>
          <cell r="S364">
            <v>2007</v>
          </cell>
          <cell r="T364">
            <v>2008</v>
          </cell>
          <cell r="U364" t="str">
            <v>2009</v>
          </cell>
          <cell r="V364" t="str">
            <v>2010</v>
          </cell>
          <cell r="W364" t="str">
            <v>2011</v>
          </cell>
          <cell r="X364" t="str">
            <v>2012</v>
          </cell>
          <cell r="Y364" t="str">
            <v>2013e</v>
          </cell>
          <cell r="Z364" t="str">
            <v>2014e</v>
          </cell>
          <cell r="AA364" t="str">
            <v>2015e</v>
          </cell>
          <cell r="AB364" t="str">
            <v>2016e</v>
          </cell>
          <cell r="AC364" t="str">
            <v>2017e</v>
          </cell>
          <cell r="AD364" t="str">
            <v>2018e</v>
          </cell>
          <cell r="AE364" t="str">
            <v>2019e</v>
          </cell>
          <cell r="AF364" t="str">
            <v>2020e</v>
          </cell>
          <cell r="AI364" t="str">
            <v>1993q1</v>
          </cell>
          <cell r="AJ364" t="str">
            <v>1993q2</v>
          </cell>
          <cell r="AK364" t="str">
            <v>1993q3</v>
          </cell>
          <cell r="AL364" t="str">
            <v>1993q4</v>
          </cell>
          <cell r="AM364" t="str">
            <v>1994q1</v>
          </cell>
          <cell r="AN364" t="str">
            <v>1994q2</v>
          </cell>
          <cell r="AO364" t="str">
            <v>1994q3</v>
          </cell>
          <cell r="AP364" t="str">
            <v>1994q4</v>
          </cell>
          <cell r="AQ364" t="str">
            <v>1995q1</v>
          </cell>
          <cell r="AR364" t="str">
            <v>1995q2</v>
          </cell>
          <cell r="AS364" t="str">
            <v>1995q3</v>
          </cell>
          <cell r="AT364" t="str">
            <v>1995q4</v>
          </cell>
          <cell r="AU364" t="str">
            <v>1996q1</v>
          </cell>
          <cell r="AV364" t="str">
            <v>1996q2</v>
          </cell>
          <cell r="AW364" t="str">
            <v>1996q3</v>
          </cell>
          <cell r="AX364" t="str">
            <v>1996q4</v>
          </cell>
          <cell r="AY364" t="str">
            <v>1997q1</v>
          </cell>
          <cell r="AZ364" t="str">
            <v>1997q2</v>
          </cell>
          <cell r="BA364" t="str">
            <v>1997q3</v>
          </cell>
          <cell r="BB364" t="str">
            <v>1997q4</v>
          </cell>
          <cell r="BC364" t="str">
            <v>1998q1</v>
          </cell>
          <cell r="BD364" t="str">
            <v>1998q2</v>
          </cell>
          <cell r="BE364" t="str">
            <v>1998q3</v>
          </cell>
          <cell r="BF364" t="str">
            <v>1998q4</v>
          </cell>
          <cell r="BG364" t="str">
            <v>1999q1</v>
          </cell>
          <cell r="BH364" t="str">
            <v>1999q2</v>
          </cell>
          <cell r="BI364" t="str">
            <v>1999q3</v>
          </cell>
          <cell r="BJ364" t="str">
            <v>1999q4</v>
          </cell>
          <cell r="BK364" t="str">
            <v>2000q1</v>
          </cell>
          <cell r="BL364" t="str">
            <v>2000q2</v>
          </cell>
          <cell r="BM364" t="str">
            <v>2000q3</v>
          </cell>
          <cell r="BN364" t="str">
            <v>2000q4</v>
          </cell>
          <cell r="BO364" t="str">
            <v>2001q1</v>
          </cell>
          <cell r="BP364" t="str">
            <v>2001q2</v>
          </cell>
          <cell r="BQ364" t="str">
            <v>2001q3</v>
          </cell>
          <cell r="BR364" t="str">
            <v>2001q4</v>
          </cell>
          <cell r="BS364" t="str">
            <v>2002q1</v>
          </cell>
          <cell r="BT364" t="str">
            <v>2002q2</v>
          </cell>
          <cell r="BU364" t="str">
            <v>2002q3</v>
          </cell>
          <cell r="BV364" t="str">
            <v>2002q4</v>
          </cell>
          <cell r="BW364" t="str">
            <v>2003q1</v>
          </cell>
          <cell r="BX364" t="str">
            <v>2003q2</v>
          </cell>
          <cell r="BY364" t="str">
            <v>2003q3</v>
          </cell>
          <cell r="BZ364" t="str">
            <v>2003q4</v>
          </cell>
          <cell r="CA364" t="str">
            <v>2004q1</v>
          </cell>
          <cell r="CB364" t="str">
            <v>2004q2</v>
          </cell>
          <cell r="CC364" t="str">
            <v>2004q3</v>
          </cell>
          <cell r="CD364" t="str">
            <v>2004q4</v>
          </cell>
          <cell r="CE364" t="str">
            <v>2005q1</v>
          </cell>
          <cell r="CF364" t="str">
            <v>2005q2</v>
          </cell>
          <cell r="CG364" t="str">
            <v>2005q3</v>
          </cell>
          <cell r="CH364" t="str">
            <v>2005q4</v>
          </cell>
          <cell r="CI364" t="str">
            <v>2006q1</v>
          </cell>
          <cell r="CJ364" t="str">
            <v>2006q2</v>
          </cell>
          <cell r="CK364" t="str">
            <v>2006q3</v>
          </cell>
          <cell r="CL364" t="str">
            <v>2006q4</v>
          </cell>
          <cell r="CM364" t="str">
            <v>2007q1</v>
          </cell>
          <cell r="CN364" t="str">
            <v>2007q2</v>
          </cell>
          <cell r="CO364" t="str">
            <v>2007q3</v>
          </cell>
          <cell r="CP364" t="str">
            <v>2007q4</v>
          </cell>
          <cell r="CQ364" t="str">
            <v>2008q1</v>
          </cell>
          <cell r="CR364" t="str">
            <v>2008q2</v>
          </cell>
          <cell r="CS364" t="str">
            <v>2008q3</v>
          </cell>
          <cell r="CT364" t="str">
            <v>2008q4</v>
          </cell>
          <cell r="CU364" t="str">
            <v>2009q1</v>
          </cell>
          <cell r="CV364" t="str">
            <v>2009q2</v>
          </cell>
          <cell r="CW364" t="str">
            <v>2009q3</v>
          </cell>
          <cell r="CX364" t="str">
            <v>2009q4</v>
          </cell>
          <cell r="CY364" t="str">
            <v>2010q1</v>
          </cell>
          <cell r="CZ364" t="str">
            <v>2010q2</v>
          </cell>
          <cell r="DA364" t="str">
            <v>2010q3</v>
          </cell>
          <cell r="DB364" t="str">
            <v>2010q4</v>
          </cell>
          <cell r="DC364" t="str">
            <v>2011q1</v>
          </cell>
          <cell r="DD364" t="str">
            <v>2011q2</v>
          </cell>
          <cell r="DE364" t="str">
            <v>2011q3</v>
          </cell>
          <cell r="DF364" t="str">
            <v>2011q4</v>
          </cell>
          <cell r="DG364" t="str">
            <v>2012q1</v>
          </cell>
          <cell r="DH364" t="str">
            <v>2012q2</v>
          </cell>
          <cell r="DI364" t="str">
            <v>2012q3</v>
          </cell>
          <cell r="DJ364" t="str">
            <v>2012q4e</v>
          </cell>
          <cell r="DK364" t="str">
            <v>2013q1e</v>
          </cell>
          <cell r="DL364" t="str">
            <v>2013q2e</v>
          </cell>
          <cell r="DM364" t="str">
            <v>2013q3e</v>
          </cell>
          <cell r="DN364" t="str">
            <v>2013q4e</v>
          </cell>
          <cell r="DO364" t="str">
            <v>2014q1e</v>
          </cell>
          <cell r="DP364" t="str">
            <v>2014q2e</v>
          </cell>
          <cell r="DQ364" t="str">
            <v>2014q3e</v>
          </cell>
          <cell r="DR364" t="str">
            <v>2014q4e</v>
          </cell>
          <cell r="DT364" t="str">
            <v>2013q2e</v>
          </cell>
        </row>
        <row r="365">
          <cell r="B365" t="str">
            <v>O&amp;P-Americas</v>
          </cell>
          <cell r="S365">
            <v>-42</v>
          </cell>
          <cell r="T365">
            <v>-201</v>
          </cell>
          <cell r="U365">
            <v>-142</v>
          </cell>
          <cell r="V365">
            <v>-198</v>
          </cell>
          <cell r="W365">
            <v>-425</v>
          </cell>
          <cell r="X365">
            <v>-468</v>
          </cell>
          <cell r="Y365">
            <v>-523.56000000000006</v>
          </cell>
          <cell r="Z365">
            <v>-604.96315770273759</v>
          </cell>
          <cell r="AA365">
            <v>-528.24040920616653</v>
          </cell>
          <cell r="AB365">
            <v>-298.92325803828282</v>
          </cell>
          <cell r="AC365">
            <v>-295.86320131070488</v>
          </cell>
          <cell r="AD365">
            <v>-293.6428395747896</v>
          </cell>
          <cell r="AE365">
            <v>-291.43914096634842</v>
          </cell>
          <cell r="AF365">
            <v>-217.53783287525684</v>
          </cell>
          <cell r="CU365">
            <v>-34</v>
          </cell>
          <cell r="CV365">
            <v>-29</v>
          </cell>
          <cell r="CW365">
            <v>-26</v>
          </cell>
          <cell r="CX365">
            <v>-53</v>
          </cell>
          <cell r="CY365">
            <v>-30</v>
          </cell>
          <cell r="CZ365">
            <v>-72</v>
          </cell>
          <cell r="DA365">
            <v>-40</v>
          </cell>
          <cell r="DB365">
            <v>-56</v>
          </cell>
          <cell r="DC365">
            <v>-66</v>
          </cell>
          <cell r="DD365">
            <v>-138</v>
          </cell>
          <cell r="DE365">
            <v>-149</v>
          </cell>
          <cell r="DF365">
            <v>-72</v>
          </cell>
          <cell r="DG365">
            <v>-102</v>
          </cell>
          <cell r="DH365">
            <v>-135</v>
          </cell>
          <cell r="DI365">
            <v>-126</v>
          </cell>
          <cell r="DJ365">
            <v>-105</v>
          </cell>
          <cell r="DK365">
            <v>-122</v>
          </cell>
          <cell r="DL365">
            <v>-122</v>
          </cell>
          <cell r="DM365">
            <v>-218</v>
          </cell>
          <cell r="DN365">
            <v>-183</v>
          </cell>
          <cell r="DO365">
            <v>-231</v>
          </cell>
        </row>
        <row r="366">
          <cell r="B366" t="str">
            <v>O&amp;P-EAI</v>
          </cell>
          <cell r="S366">
            <v>-333</v>
          </cell>
          <cell r="T366">
            <v>-509</v>
          </cell>
          <cell r="U366">
            <v>-411</v>
          </cell>
          <cell r="V366">
            <v>-199</v>
          </cell>
          <cell r="W366">
            <v>-235</v>
          </cell>
          <cell r="X366">
            <v>-289.78000000000003</v>
          </cell>
          <cell r="Y366">
            <v>-440.55</v>
          </cell>
          <cell r="Z366">
            <v>-361.82490612468382</v>
          </cell>
          <cell r="AA366">
            <v>-315.66337963973348</v>
          </cell>
          <cell r="AB366">
            <v>-314.15925487206522</v>
          </cell>
          <cell r="AC366">
            <v>-310.94322829818441</v>
          </cell>
          <cell r="AD366">
            <v>-308.60969562802921</v>
          </cell>
          <cell r="AE366">
            <v>-306.29367539817531</v>
          </cell>
          <cell r="AF366">
            <v>-304.8341969376952</v>
          </cell>
          <cell r="CU366">
            <v>-117</v>
          </cell>
          <cell r="CV366">
            <v>-104</v>
          </cell>
          <cell r="CW366">
            <v>-54</v>
          </cell>
          <cell r="CX366">
            <v>-136</v>
          </cell>
          <cell r="CY366">
            <v>-59</v>
          </cell>
          <cell r="CZ366">
            <v>-74</v>
          </cell>
          <cell r="DA366">
            <v>-32</v>
          </cell>
          <cell r="DB366">
            <v>-34</v>
          </cell>
          <cell r="DC366">
            <v>-42</v>
          </cell>
          <cell r="DD366">
            <v>-37</v>
          </cell>
          <cell r="DE366">
            <v>-46</v>
          </cell>
          <cell r="DF366">
            <v>-110</v>
          </cell>
          <cell r="DG366">
            <v>-60</v>
          </cell>
          <cell r="DH366">
            <v>-39</v>
          </cell>
          <cell r="DI366">
            <v>-60</v>
          </cell>
          <cell r="DJ366">
            <v>-95</v>
          </cell>
          <cell r="DK366">
            <v>-63</v>
          </cell>
          <cell r="DL366">
            <v>-46</v>
          </cell>
          <cell r="DM366">
            <v>-44</v>
          </cell>
          <cell r="DN366">
            <v>-76</v>
          </cell>
          <cell r="DO366">
            <v>-33</v>
          </cell>
        </row>
        <row r="367">
          <cell r="B367" t="str">
            <v>I&amp;D</v>
          </cell>
          <cell r="S367">
            <v>-6</v>
          </cell>
          <cell r="T367">
            <v>-37</v>
          </cell>
          <cell r="U367">
            <v>-21</v>
          </cell>
          <cell r="V367">
            <v>-84</v>
          </cell>
          <cell r="W367">
            <v>-99</v>
          </cell>
          <cell r="X367">
            <v>-214.8281881219153</v>
          </cell>
          <cell r="Y367">
            <v>-322.07971058029977</v>
          </cell>
          <cell r="Z367">
            <v>-272.42902728499655</v>
          </cell>
          <cell r="AA367">
            <v>-110.05965311206467</v>
          </cell>
          <cell r="AB367">
            <v>-105.595890248204</v>
          </cell>
          <cell r="AC367">
            <v>-102.80603845829107</v>
          </cell>
          <cell r="AD367">
            <v>-100.57415702636074</v>
          </cell>
          <cell r="AE367">
            <v>-99.458216310395571</v>
          </cell>
          <cell r="AF367">
            <v>-98.342275594430404</v>
          </cell>
          <cell r="CU367">
            <v>-4</v>
          </cell>
          <cell r="CV367">
            <v>-3</v>
          </cell>
          <cell r="CW367">
            <v>-3</v>
          </cell>
          <cell r="CX367">
            <v>-11</v>
          </cell>
          <cell r="CY367">
            <v>-4</v>
          </cell>
          <cell r="CZ367">
            <v>-9</v>
          </cell>
          <cell r="DA367">
            <v>-39</v>
          </cell>
          <cell r="DB367">
            <v>-32</v>
          </cell>
          <cell r="DC367">
            <v>-5</v>
          </cell>
          <cell r="DD367">
            <v>-15</v>
          </cell>
          <cell r="DE367">
            <v>-25</v>
          </cell>
          <cell r="DF367">
            <v>-54</v>
          </cell>
          <cell r="DG367">
            <v>-18</v>
          </cell>
          <cell r="DH367">
            <v>-24</v>
          </cell>
          <cell r="DI367">
            <v>-44</v>
          </cell>
          <cell r="DJ367">
            <v>-73</v>
          </cell>
          <cell r="DK367">
            <v>-106</v>
          </cell>
          <cell r="DL367">
            <v>-141</v>
          </cell>
          <cell r="DM367">
            <v>-119</v>
          </cell>
          <cell r="DN367">
            <v>-77</v>
          </cell>
          <cell r="DO367">
            <v>-45</v>
          </cell>
        </row>
        <row r="368">
          <cell r="B368" t="str">
            <v>Refining &amp; Oxyfuels</v>
          </cell>
          <cell r="S368">
            <v>-4</v>
          </cell>
          <cell r="T368">
            <v>-196</v>
          </cell>
          <cell r="U368">
            <v>-167</v>
          </cell>
          <cell r="V368">
            <v>-157</v>
          </cell>
          <cell r="W368">
            <v>-264</v>
          </cell>
          <cell r="X368">
            <v>-203.36047935708521</v>
          </cell>
          <cell r="Y368">
            <v>-199.18015428903371</v>
          </cell>
          <cell r="Z368">
            <v>-191.05962690972899</v>
          </cell>
          <cell r="AA368">
            <v>-180.10280242745063</v>
          </cell>
          <cell r="AB368">
            <v>-172.7982527725984</v>
          </cell>
          <cell r="AC368">
            <v>-168.23290923831576</v>
          </cell>
          <cell r="AD368">
            <v>-164.58063441088962</v>
          </cell>
          <cell r="AE368">
            <v>-162.75449699717657</v>
          </cell>
          <cell r="AF368">
            <v>-160.9283595834635</v>
          </cell>
          <cell r="CU368">
            <v>-31</v>
          </cell>
          <cell r="CV368">
            <v>-30</v>
          </cell>
          <cell r="CW368">
            <v>-33</v>
          </cell>
          <cell r="CX368">
            <v>-73</v>
          </cell>
          <cell r="CY368">
            <v>-35</v>
          </cell>
          <cell r="CZ368">
            <v>-36</v>
          </cell>
          <cell r="DA368">
            <v>-34</v>
          </cell>
          <cell r="DB368">
            <v>-52</v>
          </cell>
          <cell r="DC368">
            <v>-101</v>
          </cell>
          <cell r="DD368">
            <v>-58</v>
          </cell>
          <cell r="DE368">
            <v>-53</v>
          </cell>
          <cell r="DF368">
            <v>-52</v>
          </cell>
          <cell r="DG368">
            <v>-38</v>
          </cell>
          <cell r="DH368">
            <v>-27</v>
          </cell>
          <cell r="DI368">
            <v>-24</v>
          </cell>
          <cell r="DJ368">
            <v>-47</v>
          </cell>
          <cell r="DK368">
            <v>-93</v>
          </cell>
          <cell r="DL368">
            <v>-67</v>
          </cell>
          <cell r="DM368">
            <v>-36</v>
          </cell>
          <cell r="DN368">
            <v>-13</v>
          </cell>
          <cell r="DO368">
            <v>-32</v>
          </cell>
        </row>
        <row r="369">
          <cell r="B369" t="str">
            <v>Technology</v>
          </cell>
          <cell r="S369">
            <v>-26</v>
          </cell>
          <cell r="T369">
            <v>-33</v>
          </cell>
          <cell r="U369">
            <v>-32</v>
          </cell>
          <cell r="V369">
            <v>-31</v>
          </cell>
          <cell r="W369">
            <v>-26</v>
          </cell>
          <cell r="X369">
            <v>-29.88</v>
          </cell>
          <cell r="Y369">
            <v>-31.919999999999998</v>
          </cell>
          <cell r="Z369">
            <v>-34.603200000000001</v>
          </cell>
          <cell r="AA369">
            <v>-36.333359999999999</v>
          </cell>
          <cell r="AB369">
            <v>-38.150028000000006</v>
          </cell>
          <cell r="AC369">
            <v>-40.057529400000007</v>
          </cell>
          <cell r="AD369">
            <v>-42.060405870000004</v>
          </cell>
          <cell r="AE369">
            <v>-44.163426163500006</v>
          </cell>
          <cell r="AF369">
            <v>-46.37159747167501</v>
          </cell>
          <cell r="CU369">
            <v>-10</v>
          </cell>
          <cell r="CV369">
            <v>-6</v>
          </cell>
          <cell r="CW369">
            <v>-10</v>
          </cell>
          <cell r="CX369">
            <v>-6</v>
          </cell>
          <cell r="CY369">
            <v>-10</v>
          </cell>
          <cell r="CZ369">
            <v>-5</v>
          </cell>
          <cell r="DA369">
            <v>-7</v>
          </cell>
          <cell r="DB369">
            <v>-9</v>
          </cell>
          <cell r="DC369">
            <v>-7</v>
          </cell>
          <cell r="DD369">
            <v>-3</v>
          </cell>
          <cell r="DE369">
            <v>-8</v>
          </cell>
          <cell r="DF369">
            <v>-8</v>
          </cell>
          <cell r="DG369">
            <v>-9</v>
          </cell>
          <cell r="DH369">
            <v>-8</v>
          </cell>
          <cell r="DI369">
            <v>-12</v>
          </cell>
          <cell r="DJ369">
            <v>-14</v>
          </cell>
          <cell r="DK369">
            <v>-7</v>
          </cell>
          <cell r="DL369">
            <v>-6</v>
          </cell>
          <cell r="DM369">
            <v>-7</v>
          </cell>
          <cell r="DN369">
            <v>-10</v>
          </cell>
          <cell r="DO369">
            <v>-2</v>
          </cell>
        </row>
        <row r="370">
          <cell r="B370" t="str">
            <v>Other</v>
          </cell>
          <cell r="S370">
            <v>0</v>
          </cell>
          <cell r="T370">
            <v>-24</v>
          </cell>
          <cell r="U370">
            <v>-6</v>
          </cell>
          <cell r="V370">
            <v>-16</v>
          </cell>
          <cell r="W370">
            <v>-17</v>
          </cell>
          <cell r="X370">
            <v>-28.225000000000001</v>
          </cell>
          <cell r="Y370">
            <v>-27.07</v>
          </cell>
          <cell r="Z370">
            <v>-24.584409038452723</v>
          </cell>
          <cell r="AA370">
            <v>-27.323852757101726</v>
          </cell>
          <cell r="AB370">
            <v>-27.363043922450235</v>
          </cell>
          <cell r="AC370">
            <v>-26.940207542869111</v>
          </cell>
          <cell r="AD370">
            <v>-26.618761997833548</v>
          </cell>
          <cell r="AE370">
            <v>-26.404193279231126</v>
          </cell>
          <cell r="AF370">
            <v>-26.237115908002636</v>
          </cell>
          <cell r="CU370">
            <v>-1</v>
          </cell>
          <cell r="CV370">
            <v>-1</v>
          </cell>
          <cell r="CW370">
            <v>-2</v>
          </cell>
          <cell r="CX370">
            <v>-2</v>
          </cell>
          <cell r="CY370">
            <v>-1</v>
          </cell>
          <cell r="CZ370">
            <v>-4</v>
          </cell>
          <cell r="DA370">
            <v>-1</v>
          </cell>
          <cell r="DB370">
            <v>-17</v>
          </cell>
          <cell r="DC370">
            <v>0</v>
          </cell>
          <cell r="DD370">
            <v>-10</v>
          </cell>
          <cell r="DE370">
            <v>2</v>
          </cell>
          <cell r="DF370">
            <v>7</v>
          </cell>
          <cell r="DG370">
            <v>-1</v>
          </cell>
          <cell r="DH370">
            <v>0</v>
          </cell>
          <cell r="DI370">
            <v>0</v>
          </cell>
          <cell r="DJ370">
            <v>1</v>
          </cell>
          <cell r="DK370">
            <v>0</v>
          </cell>
          <cell r="DL370">
            <v>-5</v>
          </cell>
          <cell r="DM370">
            <v>1</v>
          </cell>
          <cell r="DN370">
            <v>26</v>
          </cell>
          <cell r="DO370">
            <v>0</v>
          </cell>
        </row>
        <row r="371">
          <cell r="B371" t="str">
            <v>Total segment capex</v>
          </cell>
          <cell r="S371">
            <v>-411</v>
          </cell>
          <cell r="T371">
            <v>-1000</v>
          </cell>
          <cell r="U371">
            <v>-779</v>
          </cell>
          <cell r="V371">
            <v>-692</v>
          </cell>
          <cell r="W371">
            <v>-1050</v>
          </cell>
          <cell r="X371">
            <v>-1234.0736674790005</v>
          </cell>
          <cell r="Y371">
            <v>-1544.3598648693337</v>
          </cell>
          <cell r="Z371">
            <v>-1489.4643270606</v>
          </cell>
          <cell r="AA371">
            <v>-1197.7234571425172</v>
          </cell>
          <cell r="AB371">
            <v>-956.9897278536007</v>
          </cell>
          <cell r="AC371">
            <v>-944.84311424836517</v>
          </cell>
          <cell r="AD371">
            <v>-936.08649450790256</v>
          </cell>
          <cell r="AE371">
            <v>-930.513149114827</v>
          </cell>
          <cell r="AF371">
            <v>-854.25137837052353</v>
          </cell>
          <cell r="CU371">
            <v>-197</v>
          </cell>
          <cell r="CV371">
            <v>-173</v>
          </cell>
          <cell r="CW371">
            <v>-128</v>
          </cell>
          <cell r="CX371">
            <v>-281</v>
          </cell>
          <cell r="CY371">
            <v>-139</v>
          </cell>
          <cell r="CZ371">
            <v>-200</v>
          </cell>
          <cell r="DA371">
            <v>-153</v>
          </cell>
          <cell r="DB371">
            <v>-200</v>
          </cell>
          <cell r="DC371">
            <v>-221</v>
          </cell>
          <cell r="DD371">
            <v>-261</v>
          </cell>
          <cell r="DE371">
            <v>-279</v>
          </cell>
          <cell r="DF371">
            <v>-289</v>
          </cell>
          <cell r="DG371">
            <v>-228</v>
          </cell>
          <cell r="DH371">
            <v>-233</v>
          </cell>
          <cell r="DI371">
            <v>-266</v>
          </cell>
          <cell r="DJ371">
            <v>-333</v>
          </cell>
          <cell r="DK371">
            <v>-391</v>
          </cell>
          <cell r="DL371">
            <v>-387</v>
          </cell>
          <cell r="DM371">
            <v>-423</v>
          </cell>
          <cell r="DN371">
            <v>-333</v>
          </cell>
          <cell r="DO371">
            <v>-343</v>
          </cell>
        </row>
        <row r="372">
          <cell r="AF372">
            <v>1.7548304425139234E-2</v>
          </cell>
        </row>
        <row r="373">
          <cell r="B373" t="str">
            <v>Contributions to PO joint ventures</v>
          </cell>
          <cell r="S373">
            <v>0</v>
          </cell>
          <cell r="T373">
            <v>0</v>
          </cell>
          <cell r="U373">
            <v>0</v>
          </cell>
          <cell r="CU373">
            <v>0</v>
          </cell>
          <cell r="CY373">
            <v>0</v>
          </cell>
          <cell r="DM373" t="str">
            <v xml:space="preserve"> </v>
          </cell>
        </row>
        <row r="375">
          <cell r="B375" t="str">
            <v>Maintenance (turnarounds, catalyst recharge)</v>
          </cell>
          <cell r="U375">
            <v>-20</v>
          </cell>
          <cell r="CU375">
            <v>-20</v>
          </cell>
          <cell r="CY375">
            <v>-74</v>
          </cell>
        </row>
        <row r="377">
          <cell r="B377" t="str">
            <v>Total investment</v>
          </cell>
          <cell r="S377">
            <v>-411</v>
          </cell>
          <cell r="T377">
            <v>-1000</v>
          </cell>
          <cell r="U377">
            <v>-799</v>
          </cell>
          <cell r="CU377">
            <v>-217</v>
          </cell>
          <cell r="CY377">
            <v>-213</v>
          </cell>
        </row>
        <row r="379">
          <cell r="B379" t="str">
            <v>CHANGE IN SEGMENT REPORTING STRUCTURE:</v>
          </cell>
        </row>
        <row r="380">
          <cell r="B380" t="str">
            <v>Fuel</v>
          </cell>
        </row>
        <row r="382">
          <cell r="B382" t="str">
            <v>Customers</v>
          </cell>
          <cell r="R382">
            <v>4698</v>
          </cell>
          <cell r="S382">
            <v>478</v>
          </cell>
          <cell r="T382">
            <v>17370</v>
          </cell>
          <cell r="CM382">
            <v>0</v>
          </cell>
          <cell r="CN382">
            <v>0</v>
          </cell>
          <cell r="CO382">
            <v>0</v>
          </cell>
          <cell r="CP382">
            <v>478</v>
          </cell>
          <cell r="CQ382">
            <v>3648</v>
          </cell>
          <cell r="CR382">
            <v>6022</v>
          </cell>
          <cell r="CS382">
            <v>5007</v>
          </cell>
          <cell r="CT382">
            <v>2693</v>
          </cell>
          <cell r="CU382">
            <v>2083</v>
          </cell>
          <cell r="CV382">
            <v>2880</v>
          </cell>
          <cell r="CW382">
            <v>3107</v>
          </cell>
        </row>
        <row r="383">
          <cell r="B383" t="str">
            <v>Intersegment</v>
          </cell>
          <cell r="R383">
            <v>427</v>
          </cell>
          <cell r="S383">
            <v>0</v>
          </cell>
          <cell r="T383">
            <v>1159</v>
          </cell>
          <cell r="CM383">
            <v>0</v>
          </cell>
          <cell r="CN383">
            <v>0</v>
          </cell>
          <cell r="CO383">
            <v>0</v>
          </cell>
          <cell r="CP383">
            <v>0</v>
          </cell>
          <cell r="CQ383">
            <v>268</v>
          </cell>
          <cell r="CR383">
            <v>396</v>
          </cell>
          <cell r="CS383">
            <v>294</v>
          </cell>
          <cell r="CT383">
            <v>201</v>
          </cell>
          <cell r="CU383">
            <v>142</v>
          </cell>
          <cell r="CV383">
            <v>230</v>
          </cell>
          <cell r="CW383">
            <v>295</v>
          </cell>
        </row>
        <row r="384">
          <cell r="B384" t="str">
            <v>Revenue</v>
          </cell>
          <cell r="R384">
            <v>5125</v>
          </cell>
          <cell r="S384">
            <v>478</v>
          </cell>
          <cell r="T384">
            <v>18529</v>
          </cell>
          <cell r="CM384">
            <v>0</v>
          </cell>
          <cell r="CN384">
            <v>0</v>
          </cell>
          <cell r="CO384">
            <v>0</v>
          </cell>
          <cell r="CP384">
            <v>478</v>
          </cell>
          <cell r="CQ384">
            <v>3916</v>
          </cell>
          <cell r="CR384">
            <v>6418</v>
          </cell>
          <cell r="CS384">
            <v>5301</v>
          </cell>
          <cell r="CT384">
            <v>2894</v>
          </cell>
          <cell r="CU384">
            <v>2225</v>
          </cell>
          <cell r="CV384">
            <v>3110</v>
          </cell>
          <cell r="CW384">
            <v>3402</v>
          </cell>
        </row>
        <row r="385">
          <cell r="B385" t="str">
            <v>Growth</v>
          </cell>
          <cell r="S385">
            <v>-0.9067317073170732</v>
          </cell>
          <cell r="T385">
            <v>37.763598326359833</v>
          </cell>
          <cell r="CN385" t="str">
            <v>NM</v>
          </cell>
          <cell r="CO385" t="str">
            <v>NM</v>
          </cell>
          <cell r="CP385" t="str">
            <v>NM</v>
          </cell>
          <cell r="CQ385">
            <v>7.1924686192468616</v>
          </cell>
          <cell r="CR385">
            <v>0.63891726251276815</v>
          </cell>
          <cell r="CS385">
            <v>-0.17404175755687135</v>
          </cell>
          <cell r="CT385">
            <v>-0.45406527070364078</v>
          </cell>
          <cell r="CU385">
            <v>-0.23116793365583965</v>
          </cell>
          <cell r="CV385">
            <v>0.39775280898876408</v>
          </cell>
          <cell r="CW385">
            <v>9.3890675241157462E-2</v>
          </cell>
        </row>
        <row r="387">
          <cell r="B387" t="str">
            <v>Impairments</v>
          </cell>
        </row>
        <row r="388">
          <cell r="B388" t="str">
            <v>Goodwill</v>
          </cell>
          <cell r="R388" t="str">
            <v>ND</v>
          </cell>
          <cell r="S388" t="str">
            <v>ND</v>
          </cell>
          <cell r="T388">
            <v>-2305</v>
          </cell>
          <cell r="CM388" t="str">
            <v>ND</v>
          </cell>
          <cell r="CN388" t="str">
            <v>ND</v>
          </cell>
          <cell r="CO388" t="str">
            <v>ND</v>
          </cell>
          <cell r="CP388" t="str">
            <v>ND</v>
          </cell>
          <cell r="CQ388" t="str">
            <v>ND</v>
          </cell>
          <cell r="CR388" t="str">
            <v>ND</v>
          </cell>
          <cell r="CS388" t="str">
            <v>ND</v>
          </cell>
          <cell r="CT388" t="str">
            <v>ND</v>
          </cell>
          <cell r="CU388" t="str">
            <v>ND</v>
          </cell>
          <cell r="CV388" t="str">
            <v>ND</v>
          </cell>
          <cell r="CW388" t="str">
            <v>ND</v>
          </cell>
        </row>
        <row r="389">
          <cell r="B389" t="str">
            <v>Other</v>
          </cell>
          <cell r="R389" t="str">
            <v>ND</v>
          </cell>
          <cell r="S389" t="str">
            <v>ND</v>
          </cell>
          <cell r="T389">
            <v>-218</v>
          </cell>
          <cell r="CM389" t="str">
            <v>ND</v>
          </cell>
          <cell r="CN389" t="str">
            <v>ND</v>
          </cell>
          <cell r="CO389" t="str">
            <v>ND</v>
          </cell>
          <cell r="CP389" t="str">
            <v>ND</v>
          </cell>
          <cell r="CQ389" t="str">
            <v>ND</v>
          </cell>
          <cell r="CR389" t="str">
            <v>ND</v>
          </cell>
          <cell r="CS389" t="str">
            <v>ND</v>
          </cell>
          <cell r="CT389" t="str">
            <v>ND</v>
          </cell>
          <cell r="CU389" t="str">
            <v>ND</v>
          </cell>
          <cell r="CV389" t="str">
            <v>ND</v>
          </cell>
          <cell r="CW389" t="str">
            <v>ND</v>
          </cell>
        </row>
        <row r="391">
          <cell r="B391" t="str">
            <v>Operating Income</v>
          </cell>
          <cell r="R391">
            <v>684</v>
          </cell>
          <cell r="S391">
            <v>20</v>
          </cell>
          <cell r="T391">
            <v>-185</v>
          </cell>
          <cell r="CM391">
            <v>0</v>
          </cell>
          <cell r="CN391">
            <v>0</v>
          </cell>
          <cell r="CO391">
            <v>0</v>
          </cell>
          <cell r="CP391">
            <v>20</v>
          </cell>
          <cell r="CQ391">
            <v>252</v>
          </cell>
          <cell r="CR391">
            <v>674</v>
          </cell>
          <cell r="CS391">
            <v>-271</v>
          </cell>
          <cell r="CT391">
            <v>-3363</v>
          </cell>
          <cell r="CU391">
            <v>7</v>
          </cell>
          <cell r="CV391">
            <v>139</v>
          </cell>
          <cell r="CW391">
            <v>-44</v>
          </cell>
        </row>
        <row r="392">
          <cell r="B392" t="str">
            <v>Margin</v>
          </cell>
          <cell r="R392">
            <v>0.13346341463414635</v>
          </cell>
          <cell r="S392">
            <v>4.1841004184100417E-2</v>
          </cell>
          <cell r="T392">
            <v>-9.9843488585460629E-3</v>
          </cell>
          <cell r="CM392" t="str">
            <v>NM</v>
          </cell>
          <cell r="CN392" t="str">
            <v>NM</v>
          </cell>
          <cell r="CO392" t="str">
            <v>NM</v>
          </cell>
          <cell r="CP392">
            <v>4.1841004184100417E-2</v>
          </cell>
          <cell r="CQ392">
            <v>6.4351378958120528E-2</v>
          </cell>
          <cell r="CR392">
            <v>0.10501713929573075</v>
          </cell>
          <cell r="CS392">
            <v>-5.1122429730239574E-2</v>
          </cell>
          <cell r="CT392">
            <v>-1.1620594333102972</v>
          </cell>
          <cell r="CU392">
            <v>3.1460674157303371E-3</v>
          </cell>
          <cell r="CV392">
            <v>4.4694533762057877E-2</v>
          </cell>
          <cell r="CW392">
            <v>-1.2933568489124045E-2</v>
          </cell>
        </row>
        <row r="394">
          <cell r="B394" t="str">
            <v>D&amp;A</v>
          </cell>
          <cell r="R394">
            <v>-115</v>
          </cell>
          <cell r="S394">
            <v>0</v>
          </cell>
          <cell r="T394">
            <v>632</v>
          </cell>
          <cell r="CM394" t="str">
            <v>ND</v>
          </cell>
          <cell r="CN394" t="str">
            <v>ND</v>
          </cell>
          <cell r="CO394" t="str">
            <v>ND</v>
          </cell>
          <cell r="CP394" t="str">
            <v>ND</v>
          </cell>
          <cell r="CQ394" t="str">
            <v>ND</v>
          </cell>
          <cell r="CR394" t="str">
            <v>ND</v>
          </cell>
          <cell r="CS394" t="str">
            <v>ND</v>
          </cell>
          <cell r="CT394" t="str">
            <v>ND</v>
          </cell>
          <cell r="CU394" t="str">
            <v>ND</v>
          </cell>
          <cell r="CV394" t="str">
            <v>ND</v>
          </cell>
          <cell r="CW394" t="str">
            <v>ND</v>
          </cell>
        </row>
        <row r="395">
          <cell r="B395" t="str">
            <v>% of revenue</v>
          </cell>
          <cell r="R395">
            <v>-2.2439024390243902E-2</v>
          </cell>
          <cell r="S395">
            <v>0</v>
          </cell>
          <cell r="T395">
            <v>3.4108694478924929E-2</v>
          </cell>
          <cell r="CM395" t="str">
            <v>NM</v>
          </cell>
          <cell r="CN395" t="str">
            <v>NM</v>
          </cell>
          <cell r="CO395" t="str">
            <v>NM</v>
          </cell>
          <cell r="CP395" t="str">
            <v>NM</v>
          </cell>
          <cell r="CQ395" t="str">
            <v>NM</v>
          </cell>
          <cell r="CR395" t="str">
            <v>NM</v>
          </cell>
          <cell r="CS395" t="str">
            <v>NM</v>
          </cell>
          <cell r="CT395" t="str">
            <v>NM</v>
          </cell>
          <cell r="CU395" t="str">
            <v>NM</v>
          </cell>
          <cell r="CV395" t="str">
            <v>NM</v>
          </cell>
          <cell r="CW395" t="str">
            <v>NM</v>
          </cell>
        </row>
        <row r="397">
          <cell r="B397" t="str">
            <v>Capex</v>
          </cell>
          <cell r="R397">
            <v>-113</v>
          </cell>
          <cell r="S397">
            <v>0</v>
          </cell>
          <cell r="T397">
            <v>-201</v>
          </cell>
          <cell r="CM397">
            <v>0</v>
          </cell>
          <cell r="CN397">
            <v>0</v>
          </cell>
          <cell r="CO397">
            <v>0</v>
          </cell>
          <cell r="CP397">
            <v>0</v>
          </cell>
          <cell r="CQ397">
            <v>-38</v>
          </cell>
          <cell r="CR397">
            <v>-52</v>
          </cell>
          <cell r="CS397">
            <v>-74</v>
          </cell>
          <cell r="CT397">
            <v>-37</v>
          </cell>
          <cell r="CU397">
            <v>-32</v>
          </cell>
          <cell r="CV397">
            <v>-28</v>
          </cell>
          <cell r="CW397">
            <v>-34</v>
          </cell>
        </row>
        <row r="398">
          <cell r="B398" t="str">
            <v>% of revenue</v>
          </cell>
          <cell r="R398">
            <v>-2.2048780487804877E-2</v>
          </cell>
          <cell r="S398">
            <v>0</v>
          </cell>
          <cell r="T398">
            <v>-1.0847860111177074E-2</v>
          </cell>
          <cell r="CM398" t="str">
            <v>NM</v>
          </cell>
          <cell r="CN398" t="str">
            <v>NM</v>
          </cell>
          <cell r="CO398" t="str">
            <v>NM</v>
          </cell>
          <cell r="CP398">
            <v>0</v>
          </cell>
          <cell r="CQ398">
            <v>-9.7037793667007158E-3</v>
          </cell>
          <cell r="CR398">
            <v>-8.1022125272670609E-3</v>
          </cell>
          <cell r="CS398">
            <v>-1.3959630258441803E-2</v>
          </cell>
          <cell r="CT398">
            <v>-1.2785072563925363E-2</v>
          </cell>
          <cell r="CU398">
            <v>-1.4382022471910113E-2</v>
          </cell>
          <cell r="CV398">
            <v>-9.0032154340836008E-3</v>
          </cell>
          <cell r="CW398">
            <v>-9.9941211052322169E-3</v>
          </cell>
        </row>
        <row r="400">
          <cell r="B400" t="str">
            <v>Chemicals</v>
          </cell>
        </row>
        <row r="402">
          <cell r="B402" t="str">
            <v>Customers</v>
          </cell>
          <cell r="R402">
            <v>12751</v>
          </cell>
          <cell r="S402">
            <v>2700</v>
          </cell>
          <cell r="T402">
            <v>15208</v>
          </cell>
          <cell r="CM402">
            <v>481</v>
          </cell>
          <cell r="CN402">
            <v>540</v>
          </cell>
          <cell r="CO402">
            <v>575</v>
          </cell>
          <cell r="CP402">
            <v>1104</v>
          </cell>
          <cell r="CQ402">
            <v>4293</v>
          </cell>
          <cell r="CR402">
            <v>4314</v>
          </cell>
          <cell r="CS402">
            <v>4228</v>
          </cell>
          <cell r="CT402">
            <v>2373</v>
          </cell>
          <cell r="CU402">
            <v>1486</v>
          </cell>
          <cell r="CV402">
            <v>1709</v>
          </cell>
          <cell r="CW402">
            <v>2177</v>
          </cell>
        </row>
        <row r="403">
          <cell r="B403" t="str">
            <v>Intersegment</v>
          </cell>
          <cell r="R403">
            <v>2228</v>
          </cell>
          <cell r="S403">
            <v>3329</v>
          </cell>
          <cell r="T403">
            <v>4755</v>
          </cell>
          <cell r="CM403">
            <v>746</v>
          </cell>
          <cell r="CN403">
            <v>804</v>
          </cell>
          <cell r="CO403">
            <v>873</v>
          </cell>
          <cell r="CP403">
            <v>906</v>
          </cell>
          <cell r="CQ403">
            <v>1237</v>
          </cell>
          <cell r="CR403">
            <v>1486</v>
          </cell>
          <cell r="CS403">
            <v>1473</v>
          </cell>
          <cell r="CT403">
            <v>559</v>
          </cell>
          <cell r="CU403">
            <v>1052</v>
          </cell>
          <cell r="CV403">
            <v>1440</v>
          </cell>
          <cell r="CW403">
            <v>1843</v>
          </cell>
        </row>
        <row r="404">
          <cell r="B404" t="str">
            <v>Revenue</v>
          </cell>
          <cell r="R404">
            <v>14979</v>
          </cell>
          <cell r="S404">
            <v>6029</v>
          </cell>
          <cell r="T404">
            <v>19963</v>
          </cell>
          <cell r="CM404">
            <v>1227</v>
          </cell>
          <cell r="CN404">
            <v>1344</v>
          </cell>
          <cell r="CO404">
            <v>1448</v>
          </cell>
          <cell r="CP404">
            <v>2010</v>
          </cell>
          <cell r="CQ404">
            <v>5530</v>
          </cell>
          <cell r="CR404">
            <v>5800</v>
          </cell>
          <cell r="CS404">
            <v>5701</v>
          </cell>
          <cell r="CT404">
            <v>2932</v>
          </cell>
          <cell r="CU404">
            <v>2538</v>
          </cell>
          <cell r="CV404">
            <v>3149</v>
          </cell>
          <cell r="CW404">
            <v>4020</v>
          </cell>
        </row>
        <row r="405">
          <cell r="B405" t="str">
            <v>Growth</v>
          </cell>
          <cell r="S405">
            <v>-0.59750317110621531</v>
          </cell>
          <cell r="T405">
            <v>2.3111627135511692</v>
          </cell>
          <cell r="CN405">
            <v>9.5354523227383803E-2</v>
          </cell>
          <cell r="CO405">
            <v>7.7380952380952328E-2</v>
          </cell>
          <cell r="CP405">
            <v>0.38812154696132595</v>
          </cell>
          <cell r="CQ405">
            <v>1.7512437810945274</v>
          </cell>
          <cell r="CR405">
            <v>4.8824593128390603E-2</v>
          </cell>
          <cell r="CS405">
            <v>-1.7068965517241352E-2</v>
          </cell>
          <cell r="CT405">
            <v>-0.48570426241010345</v>
          </cell>
          <cell r="CU405">
            <v>-0.13437926330150063</v>
          </cell>
          <cell r="CV405">
            <v>0.2407407407407407</v>
          </cell>
          <cell r="CW405">
            <v>0.27659574468085113</v>
          </cell>
        </row>
        <row r="407">
          <cell r="B407" t="str">
            <v>Impairments</v>
          </cell>
        </row>
        <row r="408">
          <cell r="B408" t="str">
            <v>Goodwill</v>
          </cell>
          <cell r="R408" t="str">
            <v>ND</v>
          </cell>
          <cell r="S408" t="str">
            <v>ND</v>
          </cell>
          <cell r="T408">
            <v>-2384</v>
          </cell>
          <cell r="CM408" t="str">
            <v>ND</v>
          </cell>
          <cell r="CN408" t="str">
            <v>ND</v>
          </cell>
          <cell r="CO408" t="str">
            <v>ND</v>
          </cell>
          <cell r="CP408" t="str">
            <v>ND</v>
          </cell>
          <cell r="CQ408" t="str">
            <v>ND</v>
          </cell>
          <cell r="CR408" t="str">
            <v>ND</v>
          </cell>
          <cell r="CS408" t="str">
            <v>ND</v>
          </cell>
          <cell r="CT408" t="str">
            <v>ND</v>
          </cell>
          <cell r="CU408" t="str">
            <v>ND</v>
          </cell>
          <cell r="CV408" t="str">
            <v>ND</v>
          </cell>
          <cell r="CW408" t="str">
            <v>ND</v>
          </cell>
        </row>
        <row r="409">
          <cell r="B409" t="str">
            <v>Other</v>
          </cell>
          <cell r="R409" t="str">
            <v>ND</v>
          </cell>
          <cell r="S409" t="str">
            <v>ND</v>
          </cell>
          <cell r="T409">
            <v>-7</v>
          </cell>
          <cell r="CM409" t="str">
            <v>ND</v>
          </cell>
          <cell r="CN409" t="str">
            <v>ND</v>
          </cell>
          <cell r="CO409" t="str">
            <v>ND</v>
          </cell>
          <cell r="CP409" t="str">
            <v>ND</v>
          </cell>
          <cell r="CQ409" t="str">
            <v>ND</v>
          </cell>
          <cell r="CR409" t="str">
            <v>ND</v>
          </cell>
          <cell r="CS409" t="str">
            <v>ND</v>
          </cell>
          <cell r="CT409" t="str">
            <v>ND</v>
          </cell>
          <cell r="CU409" t="str">
            <v>ND</v>
          </cell>
          <cell r="CV409" t="str">
            <v>ND</v>
          </cell>
          <cell r="CW409" t="str">
            <v>ND</v>
          </cell>
        </row>
        <row r="411">
          <cell r="B411" t="str">
            <v>Operating Income</v>
          </cell>
          <cell r="R411">
            <v>1107</v>
          </cell>
          <cell r="S411">
            <v>166</v>
          </cell>
          <cell r="T411">
            <v>-383</v>
          </cell>
          <cell r="CM411">
            <v>89</v>
          </cell>
          <cell r="CN411">
            <v>54</v>
          </cell>
          <cell r="CO411">
            <v>93</v>
          </cell>
          <cell r="CP411">
            <v>-70</v>
          </cell>
          <cell r="CQ411">
            <v>-32</v>
          </cell>
          <cell r="CR411">
            <v>103</v>
          </cell>
          <cell r="CS411">
            <v>18</v>
          </cell>
          <cell r="CT411">
            <v>-2863</v>
          </cell>
          <cell r="CU411">
            <v>-43</v>
          </cell>
          <cell r="CV411">
            <v>59</v>
          </cell>
          <cell r="CW411">
            <v>178</v>
          </cell>
        </row>
        <row r="412">
          <cell r="B412" t="str">
            <v>Margin</v>
          </cell>
          <cell r="R412">
            <v>7.3903464850791106E-2</v>
          </cell>
          <cell r="S412">
            <v>2.7533587659645049E-2</v>
          </cell>
          <cell r="T412">
            <v>-1.918549316235035E-2</v>
          </cell>
          <cell r="CM412">
            <v>7.2534637326813367E-2</v>
          </cell>
          <cell r="CN412">
            <v>4.0178571428571432E-2</v>
          </cell>
          <cell r="CO412">
            <v>6.4226519337016577E-2</v>
          </cell>
          <cell r="CP412">
            <v>-3.482587064676617E-2</v>
          </cell>
          <cell r="CQ412">
            <v>-5.7866184448462929E-3</v>
          </cell>
          <cell r="CR412">
            <v>1.7758620689655173E-2</v>
          </cell>
          <cell r="CS412">
            <v>3.1573408174004561E-3</v>
          </cell>
          <cell r="CT412">
            <v>-0.97646657571623463</v>
          </cell>
          <cell r="CU412">
            <v>-1.69424743892829E-2</v>
          </cell>
          <cell r="CV412">
            <v>1.8736106700539854E-2</v>
          </cell>
          <cell r="CW412">
            <v>4.4278606965174126E-2</v>
          </cell>
        </row>
        <row r="414">
          <cell r="B414" t="str">
            <v>Income (loss) from equity investments</v>
          </cell>
          <cell r="R414">
            <v>5</v>
          </cell>
          <cell r="S414">
            <v>0</v>
          </cell>
          <cell r="T414">
            <v>-2</v>
          </cell>
          <cell r="CM414">
            <v>0</v>
          </cell>
          <cell r="CN414">
            <v>0</v>
          </cell>
          <cell r="CO414">
            <v>0</v>
          </cell>
          <cell r="CP414">
            <v>0</v>
          </cell>
          <cell r="CQ414">
            <v>-2</v>
          </cell>
          <cell r="CR414">
            <v>-1</v>
          </cell>
          <cell r="CS414">
            <v>-2</v>
          </cell>
          <cell r="CT414">
            <v>3</v>
          </cell>
          <cell r="CU414">
            <v>-7</v>
          </cell>
          <cell r="CV414">
            <v>-5</v>
          </cell>
          <cell r="CW414">
            <v>-3</v>
          </cell>
        </row>
        <row r="416">
          <cell r="B416" t="str">
            <v>D&amp;A</v>
          </cell>
          <cell r="R416">
            <v>-519</v>
          </cell>
          <cell r="S416">
            <v>94</v>
          </cell>
          <cell r="T416">
            <v>851</v>
          </cell>
          <cell r="CM416" t="str">
            <v>ND</v>
          </cell>
          <cell r="CN416" t="str">
            <v>ND</v>
          </cell>
          <cell r="CO416" t="str">
            <v>ND</v>
          </cell>
          <cell r="CP416" t="str">
            <v>ND</v>
          </cell>
          <cell r="CQ416" t="str">
            <v>ND</v>
          </cell>
          <cell r="CR416" t="str">
            <v>ND</v>
          </cell>
          <cell r="CS416" t="str">
            <v>ND</v>
          </cell>
          <cell r="CT416" t="str">
            <v>ND</v>
          </cell>
          <cell r="CU416" t="str">
            <v>ND</v>
          </cell>
          <cell r="CV416" t="str">
            <v>ND</v>
          </cell>
          <cell r="CW416" t="str">
            <v>ND</v>
          </cell>
        </row>
        <row r="417">
          <cell r="B417" t="str">
            <v>% of revenue</v>
          </cell>
          <cell r="R417">
            <v>-3.4648507911075509E-2</v>
          </cell>
          <cell r="S417">
            <v>1.5591308674738763E-2</v>
          </cell>
          <cell r="T417">
            <v>4.2628863397284979E-2</v>
          </cell>
          <cell r="CM417" t="str">
            <v>NM</v>
          </cell>
          <cell r="CN417" t="str">
            <v>NM</v>
          </cell>
          <cell r="CO417" t="str">
            <v>NM</v>
          </cell>
          <cell r="CP417" t="str">
            <v>NM</v>
          </cell>
          <cell r="CQ417" t="str">
            <v>NM</v>
          </cell>
          <cell r="CR417" t="str">
            <v>NM</v>
          </cell>
          <cell r="CS417" t="str">
            <v>NM</v>
          </cell>
          <cell r="CT417" t="str">
            <v>NM</v>
          </cell>
          <cell r="CU417" t="str">
            <v>NM</v>
          </cell>
          <cell r="CV417" t="str">
            <v>NM</v>
          </cell>
          <cell r="CW417" t="str">
            <v>NM</v>
          </cell>
        </row>
        <row r="419">
          <cell r="B419" t="str">
            <v>Capex</v>
          </cell>
          <cell r="R419">
            <v>-209</v>
          </cell>
          <cell r="S419">
            <v>-59</v>
          </cell>
          <cell r="T419">
            <v>-342</v>
          </cell>
          <cell r="CM419">
            <v>-10</v>
          </cell>
          <cell r="CN419">
            <v>-10</v>
          </cell>
          <cell r="CO419">
            <v>-35</v>
          </cell>
          <cell r="CP419">
            <v>-4</v>
          </cell>
          <cell r="CQ419">
            <v>-54</v>
          </cell>
          <cell r="CR419">
            <v>-103</v>
          </cell>
          <cell r="CS419">
            <v>-75</v>
          </cell>
          <cell r="CT419">
            <v>-110</v>
          </cell>
          <cell r="CU419">
            <v>-28</v>
          </cell>
          <cell r="CV419">
            <v>-61</v>
          </cell>
          <cell r="CW419">
            <v>-61</v>
          </cell>
        </row>
        <row r="420">
          <cell r="B420" t="str">
            <v>% of revenue</v>
          </cell>
          <cell r="R420">
            <v>-1.3952867347620001E-2</v>
          </cell>
          <cell r="S420">
            <v>-9.7860341681870952E-3</v>
          </cell>
          <cell r="T420">
            <v>-1.7131693633221461E-2</v>
          </cell>
          <cell r="CM420">
            <v>-8.1499592502037484E-3</v>
          </cell>
          <cell r="CN420">
            <v>-7.4404761904761901E-3</v>
          </cell>
          <cell r="CO420">
            <v>-2.4171270718232045E-2</v>
          </cell>
          <cell r="CP420">
            <v>-1.990049751243781E-3</v>
          </cell>
          <cell r="CQ420">
            <v>-9.7649186256781196E-3</v>
          </cell>
          <cell r="CR420">
            <v>-1.7758620689655173E-2</v>
          </cell>
          <cell r="CS420">
            <v>-1.3155586739168567E-2</v>
          </cell>
          <cell r="CT420">
            <v>-3.751705320600273E-2</v>
          </cell>
          <cell r="CU420">
            <v>-1.103230890464933E-2</v>
          </cell>
          <cell r="CV420">
            <v>-1.9371228961575102E-2</v>
          </cell>
          <cell r="CW420">
            <v>-1.5174129353233831E-2</v>
          </cell>
        </row>
        <row r="422">
          <cell r="B422" t="str">
            <v>Polymers</v>
          </cell>
        </row>
        <row r="423">
          <cell r="CP423">
            <v>0</v>
          </cell>
        </row>
        <row r="424">
          <cell r="B424" t="str">
            <v>Customers</v>
          </cell>
          <cell r="R424">
            <v>3424</v>
          </cell>
          <cell r="S424">
            <v>13618</v>
          </cell>
          <cell r="T424">
            <v>17693</v>
          </cell>
          <cell r="CM424">
            <v>3171</v>
          </cell>
          <cell r="CN424">
            <v>3430</v>
          </cell>
          <cell r="CO424">
            <v>3366</v>
          </cell>
          <cell r="CP424">
            <v>3651</v>
          </cell>
          <cell r="CQ424">
            <v>4684</v>
          </cell>
          <cell r="CR424">
            <v>5138</v>
          </cell>
          <cell r="CS424">
            <v>4738</v>
          </cell>
          <cell r="CT424">
            <v>3133</v>
          </cell>
          <cell r="CU424">
            <v>2232</v>
          </cell>
          <cell r="CV424">
            <v>2787</v>
          </cell>
          <cell r="CW424">
            <v>3228</v>
          </cell>
        </row>
        <row r="425">
          <cell r="B425" t="str">
            <v>Intersegment</v>
          </cell>
          <cell r="R425">
            <v>0</v>
          </cell>
          <cell r="S425">
            <v>0</v>
          </cell>
          <cell r="T425">
            <v>181</v>
          </cell>
          <cell r="CM425">
            <v>0</v>
          </cell>
          <cell r="CN425">
            <v>0</v>
          </cell>
          <cell r="CO425">
            <v>0</v>
          </cell>
          <cell r="CP425">
            <v>0</v>
          </cell>
          <cell r="CQ425">
            <v>9</v>
          </cell>
          <cell r="CR425">
            <v>-14</v>
          </cell>
          <cell r="CS425">
            <v>-3</v>
          </cell>
          <cell r="CT425">
            <v>189</v>
          </cell>
          <cell r="CU425">
            <v>-1</v>
          </cell>
          <cell r="CV425">
            <v>0</v>
          </cell>
          <cell r="CW425">
            <v>-1</v>
          </cell>
        </row>
        <row r="426">
          <cell r="B426" t="str">
            <v>Revenue</v>
          </cell>
          <cell r="R426">
            <v>3424</v>
          </cell>
          <cell r="S426">
            <v>13618</v>
          </cell>
          <cell r="T426">
            <v>17874</v>
          </cell>
          <cell r="CM426">
            <v>3171</v>
          </cell>
          <cell r="CN426">
            <v>3430</v>
          </cell>
          <cell r="CO426">
            <v>3366</v>
          </cell>
          <cell r="CP426">
            <v>3651</v>
          </cell>
          <cell r="CQ426">
            <v>4693</v>
          </cell>
          <cell r="CR426">
            <v>5124</v>
          </cell>
          <cell r="CS426">
            <v>4735</v>
          </cell>
          <cell r="CT426">
            <v>3322</v>
          </cell>
          <cell r="CU426">
            <v>2231</v>
          </cell>
          <cell r="CV426">
            <v>2787</v>
          </cell>
          <cell r="CW426">
            <v>3227</v>
          </cell>
        </row>
        <row r="427">
          <cell r="B427" t="str">
            <v>Growth</v>
          </cell>
          <cell r="S427">
            <v>2.9772196261682242</v>
          </cell>
          <cell r="T427">
            <v>0.31252753708327208</v>
          </cell>
          <cell r="CN427">
            <v>8.1677704194260459E-2</v>
          </cell>
          <cell r="CO427">
            <v>-1.8658892128279869E-2</v>
          </cell>
          <cell r="CP427">
            <v>8.4670231729055301E-2</v>
          </cell>
          <cell r="CQ427">
            <v>0.28540125992878673</v>
          </cell>
          <cell r="CR427">
            <v>9.1838909013424175E-2</v>
          </cell>
          <cell r="CS427">
            <v>-7.5917252146760372E-2</v>
          </cell>
          <cell r="CT427">
            <v>-0.298416050686378</v>
          </cell>
          <cell r="CU427">
            <v>-0.32841661649608667</v>
          </cell>
          <cell r="CV427">
            <v>0.24921559838637375</v>
          </cell>
          <cell r="CW427">
            <v>0.15787585217079303</v>
          </cell>
        </row>
        <row r="429">
          <cell r="B429" t="str">
            <v>Impairments</v>
          </cell>
        </row>
        <row r="430">
          <cell r="B430" t="str">
            <v>Goodwill</v>
          </cell>
          <cell r="R430" t="str">
            <v>ND</v>
          </cell>
          <cell r="S430" t="str">
            <v>ND</v>
          </cell>
          <cell r="T430">
            <v>-293</v>
          </cell>
          <cell r="CM430" t="str">
            <v>ND</v>
          </cell>
          <cell r="CN430" t="str">
            <v>ND</v>
          </cell>
          <cell r="CO430" t="str">
            <v>ND</v>
          </cell>
          <cell r="CP430" t="str">
            <v>ND</v>
          </cell>
          <cell r="CQ430" t="str">
            <v>ND</v>
          </cell>
          <cell r="CR430" t="str">
            <v>ND</v>
          </cell>
          <cell r="CS430" t="str">
            <v>ND</v>
          </cell>
          <cell r="CT430" t="str">
            <v>ND</v>
          </cell>
          <cell r="CU430" t="str">
            <v>ND</v>
          </cell>
          <cell r="CV430" t="str">
            <v>ND</v>
          </cell>
          <cell r="CW430" t="str">
            <v>ND</v>
          </cell>
        </row>
        <row r="431">
          <cell r="B431" t="str">
            <v>Other</v>
          </cell>
          <cell r="R431" t="str">
            <v>ND</v>
          </cell>
          <cell r="S431" t="str">
            <v>ND</v>
          </cell>
          <cell r="T431">
            <v>0</v>
          </cell>
          <cell r="CM431" t="str">
            <v>ND</v>
          </cell>
          <cell r="CN431" t="str">
            <v>ND</v>
          </cell>
          <cell r="CO431" t="str">
            <v>ND</v>
          </cell>
          <cell r="CP431" t="str">
            <v>ND</v>
          </cell>
          <cell r="CQ431" t="str">
            <v>ND</v>
          </cell>
          <cell r="CR431" t="str">
            <v>ND</v>
          </cell>
          <cell r="CS431" t="str">
            <v>ND</v>
          </cell>
          <cell r="CT431" t="str">
            <v>ND</v>
          </cell>
          <cell r="CU431" t="str">
            <v>ND</v>
          </cell>
          <cell r="CV431" t="str">
            <v>ND</v>
          </cell>
          <cell r="CW431" t="str">
            <v>ND</v>
          </cell>
        </row>
        <row r="433">
          <cell r="B433" t="str">
            <v>Operating Income</v>
          </cell>
          <cell r="R433">
            <v>137</v>
          </cell>
          <cell r="S433">
            <v>850</v>
          </cell>
          <cell r="T433">
            <v>-214</v>
          </cell>
          <cell r="CM433">
            <v>217</v>
          </cell>
          <cell r="CN433">
            <v>244</v>
          </cell>
          <cell r="CO433">
            <v>251</v>
          </cell>
          <cell r="CP433">
            <v>138</v>
          </cell>
          <cell r="CQ433">
            <v>212</v>
          </cell>
          <cell r="CR433">
            <v>128</v>
          </cell>
          <cell r="CS433">
            <v>146</v>
          </cell>
          <cell r="CT433">
            <v>-693</v>
          </cell>
          <cell r="CU433">
            <v>-76</v>
          </cell>
          <cell r="CV433">
            <v>156</v>
          </cell>
          <cell r="CW433">
            <v>272</v>
          </cell>
        </row>
        <row r="434">
          <cell r="B434" t="str">
            <v>Margin</v>
          </cell>
          <cell r="R434">
            <v>4.0011682242990655E-2</v>
          </cell>
          <cell r="S434">
            <v>6.2417388750183579E-2</v>
          </cell>
          <cell r="T434">
            <v>-1.1972697773302003E-2</v>
          </cell>
          <cell r="CM434">
            <v>6.8432671081677707E-2</v>
          </cell>
          <cell r="CN434">
            <v>7.113702623906705E-2</v>
          </cell>
          <cell r="CO434">
            <v>7.4569221628045163E-2</v>
          </cell>
          <cell r="CP434">
            <v>3.7797863599013971E-2</v>
          </cell>
          <cell r="CQ434">
            <v>4.517366290219476E-2</v>
          </cell>
          <cell r="CR434">
            <v>2.4980483996877439E-2</v>
          </cell>
          <cell r="CS434">
            <v>3.0834213305174236E-2</v>
          </cell>
          <cell r="CT434">
            <v>-0.20860927152317882</v>
          </cell>
          <cell r="CU434">
            <v>-3.4065441506051099E-2</v>
          </cell>
          <cell r="CV434">
            <v>5.5974165769644778E-2</v>
          </cell>
          <cell r="CW434">
            <v>8.4288813139138524E-2</v>
          </cell>
        </row>
        <row r="436">
          <cell r="B436" t="str">
            <v>Income (loss) from equity investments</v>
          </cell>
          <cell r="R436">
            <v>0</v>
          </cell>
          <cell r="S436">
            <v>162</v>
          </cell>
          <cell r="T436">
            <v>40</v>
          </cell>
          <cell r="CM436">
            <v>42</v>
          </cell>
          <cell r="CN436">
            <v>36</v>
          </cell>
          <cell r="CO436">
            <v>35</v>
          </cell>
          <cell r="CP436">
            <v>49</v>
          </cell>
          <cell r="CQ436">
            <v>35</v>
          </cell>
          <cell r="CR436">
            <v>35</v>
          </cell>
          <cell r="CS436">
            <v>24</v>
          </cell>
          <cell r="CT436">
            <v>-54</v>
          </cell>
          <cell r="CU436">
            <v>-13</v>
          </cell>
          <cell r="CV436">
            <v>21</v>
          </cell>
          <cell r="CW436">
            <v>-174</v>
          </cell>
        </row>
        <row r="438">
          <cell r="B438" t="str">
            <v>D&amp;A</v>
          </cell>
          <cell r="R438">
            <v>-64</v>
          </cell>
          <cell r="S438">
            <v>222</v>
          </cell>
          <cell r="T438">
            <v>309</v>
          </cell>
          <cell r="CM438" t="str">
            <v>ND</v>
          </cell>
          <cell r="CN438" t="str">
            <v>ND</v>
          </cell>
          <cell r="CO438" t="str">
            <v>ND</v>
          </cell>
          <cell r="CP438" t="str">
            <v>ND</v>
          </cell>
          <cell r="CQ438" t="str">
            <v>ND</v>
          </cell>
          <cell r="CR438" t="str">
            <v>ND</v>
          </cell>
          <cell r="CS438" t="str">
            <v>ND</v>
          </cell>
          <cell r="CT438" t="str">
            <v>ND</v>
          </cell>
          <cell r="CU438" t="str">
            <v>ND</v>
          </cell>
          <cell r="CV438" t="str">
            <v>ND</v>
          </cell>
          <cell r="CW438" t="str">
            <v>ND</v>
          </cell>
        </row>
        <row r="439">
          <cell r="B439" t="str">
            <v>% of revenue</v>
          </cell>
          <cell r="R439">
            <v>-1.8691588785046728E-2</v>
          </cell>
          <cell r="S439">
            <v>1.6301953297106771E-2</v>
          </cell>
          <cell r="T439">
            <v>1.7287680429674386E-2</v>
          </cell>
          <cell r="CM439" t="str">
            <v>NM</v>
          </cell>
          <cell r="CN439" t="str">
            <v>NM</v>
          </cell>
          <cell r="CO439" t="str">
            <v>NM</v>
          </cell>
          <cell r="CP439" t="str">
            <v>NM</v>
          </cell>
          <cell r="CQ439" t="str">
            <v>NM</v>
          </cell>
          <cell r="CR439" t="str">
            <v>NM</v>
          </cell>
          <cell r="CS439" t="str">
            <v>NM</v>
          </cell>
          <cell r="CT439" t="str">
            <v>NM</v>
          </cell>
          <cell r="CU439" t="str">
            <v>NM</v>
          </cell>
          <cell r="CV439" t="str">
            <v>NM</v>
          </cell>
          <cell r="CW439" t="str">
            <v>NM</v>
          </cell>
        </row>
        <row r="441">
          <cell r="B441" t="str">
            <v>Capex</v>
          </cell>
          <cell r="R441">
            <v>-19</v>
          </cell>
          <cell r="S441">
            <v>-305</v>
          </cell>
          <cell r="T441">
            <v>-406</v>
          </cell>
          <cell r="CM441">
            <v>-17</v>
          </cell>
          <cell r="CN441">
            <v>-61</v>
          </cell>
          <cell r="CO441">
            <v>-55</v>
          </cell>
          <cell r="CP441">
            <v>-172</v>
          </cell>
          <cell r="CQ441">
            <v>-65</v>
          </cell>
          <cell r="CR441">
            <v>-68</v>
          </cell>
          <cell r="CS441">
            <v>-130</v>
          </cell>
          <cell r="CT441">
            <v>-143</v>
          </cell>
          <cell r="CU441">
            <v>-118</v>
          </cell>
          <cell r="CV441">
            <v>-84</v>
          </cell>
          <cell r="CW441">
            <v>-21</v>
          </cell>
        </row>
        <row r="442">
          <cell r="B442" t="str">
            <v>% of revenue</v>
          </cell>
          <cell r="R442">
            <v>-5.5490654205607474E-3</v>
          </cell>
          <cell r="S442">
            <v>-2.2396827728007048E-2</v>
          </cell>
          <cell r="T442">
            <v>-2.2714557457759875E-2</v>
          </cell>
          <cell r="CM442">
            <v>-5.3610848312835068E-3</v>
          </cell>
          <cell r="CN442">
            <v>-1.7784256559766762E-2</v>
          </cell>
          <cell r="CO442">
            <v>-1.6339869281045753E-2</v>
          </cell>
          <cell r="CP442">
            <v>-4.7110380717611616E-2</v>
          </cell>
          <cell r="CQ442">
            <v>-1.3850415512465374E-2</v>
          </cell>
          <cell r="CR442">
            <v>-1.3270882123341141E-2</v>
          </cell>
          <cell r="CS442">
            <v>-2.7455121436114043E-2</v>
          </cell>
          <cell r="CT442">
            <v>-4.3046357615894038E-2</v>
          </cell>
          <cell r="CU442">
            <v>-5.2891080233079334E-2</v>
          </cell>
          <cell r="CV442">
            <v>-3.0139935414424113E-2</v>
          </cell>
          <cell r="CW442">
            <v>-6.5075921908893707E-3</v>
          </cell>
        </row>
        <row r="444">
          <cell r="B444" t="str">
            <v>Technology &amp; R&amp;D</v>
          </cell>
        </row>
        <row r="446">
          <cell r="B446" t="str">
            <v>Customers</v>
          </cell>
          <cell r="S446">
            <v>363</v>
          </cell>
          <cell r="T446">
            <v>434</v>
          </cell>
          <cell r="CM446">
            <v>66</v>
          </cell>
          <cell r="CN446">
            <v>122</v>
          </cell>
          <cell r="CO446">
            <v>111</v>
          </cell>
          <cell r="CP446">
            <v>64</v>
          </cell>
          <cell r="CQ446">
            <v>140</v>
          </cell>
          <cell r="CR446">
            <v>125</v>
          </cell>
          <cell r="CS446">
            <v>113</v>
          </cell>
          <cell r="CT446">
            <v>56</v>
          </cell>
          <cell r="CU446">
            <v>99</v>
          </cell>
          <cell r="CV446">
            <v>123</v>
          </cell>
          <cell r="CW446">
            <v>100</v>
          </cell>
        </row>
        <row r="447">
          <cell r="B447" t="str">
            <v>Intersegment</v>
          </cell>
          <cell r="S447">
            <v>134</v>
          </cell>
          <cell r="T447">
            <v>149</v>
          </cell>
          <cell r="CM447">
            <v>40</v>
          </cell>
          <cell r="CN447">
            <v>45</v>
          </cell>
          <cell r="CO447">
            <v>44</v>
          </cell>
          <cell r="CP447">
            <v>5</v>
          </cell>
          <cell r="CQ447">
            <v>41</v>
          </cell>
          <cell r="CR447">
            <v>40</v>
          </cell>
          <cell r="CS447">
            <v>42</v>
          </cell>
          <cell r="CT447">
            <v>26</v>
          </cell>
          <cell r="CU447">
            <v>22</v>
          </cell>
          <cell r="CV447">
            <v>25</v>
          </cell>
          <cell r="CW447">
            <v>37</v>
          </cell>
        </row>
        <row r="448">
          <cell r="B448" t="str">
            <v>Revenue</v>
          </cell>
          <cell r="S448">
            <v>497</v>
          </cell>
          <cell r="T448">
            <v>583</v>
          </cell>
          <cell r="CM448">
            <v>106</v>
          </cell>
          <cell r="CN448">
            <v>167</v>
          </cell>
          <cell r="CO448">
            <v>155</v>
          </cell>
          <cell r="CP448">
            <v>69</v>
          </cell>
          <cell r="CQ448">
            <v>181</v>
          </cell>
          <cell r="CR448">
            <v>165</v>
          </cell>
          <cell r="CS448">
            <v>155</v>
          </cell>
          <cell r="CT448">
            <v>82</v>
          </cell>
          <cell r="CU448">
            <v>121</v>
          </cell>
          <cell r="CV448">
            <v>148</v>
          </cell>
          <cell r="CW448">
            <v>137</v>
          </cell>
        </row>
        <row r="449">
          <cell r="B449" t="str">
            <v>Growth</v>
          </cell>
          <cell r="T449">
            <v>0.17303822937625757</v>
          </cell>
          <cell r="CN449">
            <v>0.57547169811320753</v>
          </cell>
          <cell r="CO449">
            <v>-7.1856287425149712E-2</v>
          </cell>
          <cell r="CP449">
            <v>-0.55483870967741933</v>
          </cell>
          <cell r="CQ449">
            <v>1.6231884057971016</v>
          </cell>
          <cell r="CR449">
            <v>-8.8397790055248615E-2</v>
          </cell>
          <cell r="CS449">
            <v>-6.0606060606060552E-2</v>
          </cell>
          <cell r="CT449">
            <v>-0.47096774193548385</v>
          </cell>
          <cell r="CU449">
            <v>0.47560975609756095</v>
          </cell>
          <cell r="CV449">
            <v>0.22314049586776852</v>
          </cell>
          <cell r="CW449">
            <v>-7.4324324324324342E-2</v>
          </cell>
        </row>
        <row r="451">
          <cell r="B451" t="str">
            <v>Impairments</v>
          </cell>
        </row>
        <row r="452">
          <cell r="B452" t="str">
            <v>Goodwill</v>
          </cell>
          <cell r="S452" t="str">
            <v>ND</v>
          </cell>
          <cell r="T452">
            <v>0</v>
          </cell>
          <cell r="CM452" t="str">
            <v>ND</v>
          </cell>
          <cell r="CN452" t="str">
            <v>ND</v>
          </cell>
          <cell r="CO452" t="str">
            <v>ND</v>
          </cell>
          <cell r="CP452" t="str">
            <v>ND</v>
          </cell>
          <cell r="CQ452" t="str">
            <v>ND</v>
          </cell>
          <cell r="CR452" t="str">
            <v>ND</v>
          </cell>
          <cell r="CS452" t="str">
            <v>ND</v>
          </cell>
          <cell r="CT452" t="str">
            <v>ND</v>
          </cell>
          <cell r="CU452" t="str">
            <v>ND</v>
          </cell>
          <cell r="CV452" t="str">
            <v>ND</v>
          </cell>
          <cell r="CW452" t="str">
            <v>ND</v>
          </cell>
        </row>
        <row r="453">
          <cell r="B453" t="str">
            <v>Other</v>
          </cell>
          <cell r="S453" t="str">
            <v>ND</v>
          </cell>
          <cell r="T453">
            <v>0</v>
          </cell>
          <cell r="CM453" t="str">
            <v>ND</v>
          </cell>
          <cell r="CN453" t="str">
            <v>ND</v>
          </cell>
          <cell r="CO453" t="str">
            <v>ND</v>
          </cell>
          <cell r="CP453" t="str">
            <v>ND</v>
          </cell>
          <cell r="CQ453" t="str">
            <v>ND</v>
          </cell>
          <cell r="CR453" t="str">
            <v>ND</v>
          </cell>
          <cell r="CS453" t="str">
            <v>ND</v>
          </cell>
          <cell r="CT453" t="str">
            <v>ND</v>
          </cell>
          <cell r="CU453" t="str">
            <v>ND</v>
          </cell>
          <cell r="CV453" t="str">
            <v>ND</v>
          </cell>
          <cell r="CW453" t="str">
            <v>ND</v>
          </cell>
        </row>
        <row r="455">
          <cell r="B455" t="str">
            <v>Operating Income</v>
          </cell>
          <cell r="S455">
            <v>152</v>
          </cell>
          <cell r="T455">
            <v>202</v>
          </cell>
          <cell r="CM455">
            <v>24</v>
          </cell>
          <cell r="CN455">
            <v>60</v>
          </cell>
          <cell r="CO455">
            <v>62</v>
          </cell>
          <cell r="CP455">
            <v>6</v>
          </cell>
          <cell r="CQ455">
            <v>81</v>
          </cell>
          <cell r="CR455">
            <v>60</v>
          </cell>
          <cell r="CS455">
            <v>62</v>
          </cell>
          <cell r="CT455">
            <v>-1</v>
          </cell>
          <cell r="CU455">
            <v>50</v>
          </cell>
          <cell r="CV455">
            <v>67</v>
          </cell>
          <cell r="CW455">
            <v>31</v>
          </cell>
        </row>
        <row r="456">
          <cell r="B456" t="str">
            <v>Margin</v>
          </cell>
          <cell r="S456">
            <v>0.30583501006036218</v>
          </cell>
          <cell r="T456">
            <v>0.346483704974271</v>
          </cell>
          <cell r="CM456">
            <v>0.22641509433962265</v>
          </cell>
          <cell r="CN456">
            <v>0.3592814371257485</v>
          </cell>
          <cell r="CO456">
            <v>0.4</v>
          </cell>
          <cell r="CP456">
            <v>8.6956521739130432E-2</v>
          </cell>
          <cell r="CQ456">
            <v>0.44751381215469616</v>
          </cell>
          <cell r="CR456">
            <v>0.36363636363636365</v>
          </cell>
          <cell r="CS456">
            <v>0.4</v>
          </cell>
          <cell r="CT456">
            <v>-1.2195121951219513E-2</v>
          </cell>
          <cell r="CU456">
            <v>0.41322314049586778</v>
          </cell>
          <cell r="CV456">
            <v>0.45270270270270269</v>
          </cell>
          <cell r="CW456">
            <v>0.22627737226277372</v>
          </cell>
        </row>
        <row r="458">
          <cell r="B458" t="str">
            <v>Income (loss) from equity investments</v>
          </cell>
          <cell r="S458">
            <v>0</v>
          </cell>
          <cell r="T458">
            <v>0</v>
          </cell>
          <cell r="CM458" t="str">
            <v>ND</v>
          </cell>
          <cell r="CN458" t="str">
            <v>ND</v>
          </cell>
          <cell r="CO458" t="str">
            <v>ND</v>
          </cell>
          <cell r="CP458" t="str">
            <v>ND</v>
          </cell>
          <cell r="CQ458" t="str">
            <v>ND</v>
          </cell>
          <cell r="CR458" t="str">
            <v>ND</v>
          </cell>
          <cell r="CS458" t="str">
            <v>ND</v>
          </cell>
          <cell r="CT458" t="str">
            <v>ND</v>
          </cell>
          <cell r="CU458" t="str">
            <v>ND</v>
          </cell>
          <cell r="CV458" t="str">
            <v>ND</v>
          </cell>
          <cell r="CW458" t="str">
            <v>ND</v>
          </cell>
        </row>
        <row r="460">
          <cell r="B460" t="str">
            <v>D&amp;A</v>
          </cell>
          <cell r="S460">
            <v>117</v>
          </cell>
          <cell r="T460">
            <v>105</v>
          </cell>
          <cell r="CM460" t="str">
            <v>ND</v>
          </cell>
          <cell r="CN460" t="str">
            <v>ND</v>
          </cell>
          <cell r="CO460" t="str">
            <v>ND</v>
          </cell>
          <cell r="CP460" t="str">
            <v>ND</v>
          </cell>
          <cell r="CQ460" t="str">
            <v>ND</v>
          </cell>
          <cell r="CR460" t="str">
            <v>ND</v>
          </cell>
          <cell r="CS460" t="str">
            <v>ND</v>
          </cell>
          <cell r="CT460" t="str">
            <v>ND</v>
          </cell>
          <cell r="CU460" t="str">
            <v>ND</v>
          </cell>
          <cell r="CV460" t="str">
            <v>ND</v>
          </cell>
          <cell r="CW460" t="str">
            <v>ND</v>
          </cell>
        </row>
        <row r="461">
          <cell r="B461" t="str">
            <v>% of revenue</v>
          </cell>
          <cell r="S461">
            <v>0.23541247484909456</v>
          </cell>
          <cell r="T461">
            <v>0.18010291595197256</v>
          </cell>
          <cell r="CM461" t="str">
            <v>NM</v>
          </cell>
          <cell r="CN461" t="str">
            <v>NM</v>
          </cell>
          <cell r="CO461" t="str">
            <v>NM</v>
          </cell>
          <cell r="CP461" t="str">
            <v>NM</v>
          </cell>
          <cell r="CQ461" t="str">
            <v>NM</v>
          </cell>
          <cell r="CR461" t="str">
            <v>NM</v>
          </cell>
          <cell r="CS461" t="str">
            <v>NM</v>
          </cell>
          <cell r="CT461" t="str">
            <v>NM</v>
          </cell>
          <cell r="CU461" t="str">
            <v>NM</v>
          </cell>
          <cell r="CV461" t="str">
            <v>NM</v>
          </cell>
          <cell r="CW461" t="str">
            <v>NM</v>
          </cell>
        </row>
        <row r="463">
          <cell r="B463" t="str">
            <v>Capex</v>
          </cell>
          <cell r="S463">
            <v>-25</v>
          </cell>
          <cell r="T463">
            <v>-28</v>
          </cell>
          <cell r="CM463">
            <v>-3</v>
          </cell>
          <cell r="CN463">
            <v>-5</v>
          </cell>
          <cell r="CO463">
            <v>-6</v>
          </cell>
          <cell r="CP463">
            <v>-11</v>
          </cell>
          <cell r="CQ463">
            <v>-8</v>
          </cell>
          <cell r="CR463">
            <v>-7</v>
          </cell>
          <cell r="CS463">
            <v>-6</v>
          </cell>
          <cell r="CT463">
            <v>-7</v>
          </cell>
          <cell r="CU463">
            <v>-6</v>
          </cell>
          <cell r="CV463">
            <v>-10</v>
          </cell>
          <cell r="CW463">
            <v>-10</v>
          </cell>
        </row>
        <row r="464">
          <cell r="B464" t="str">
            <v>% of revenue</v>
          </cell>
          <cell r="S464">
            <v>-5.030181086519115E-2</v>
          </cell>
          <cell r="T464">
            <v>-4.8027444253859346E-2</v>
          </cell>
          <cell r="CM464">
            <v>-2.8301886792452831E-2</v>
          </cell>
          <cell r="CN464">
            <v>-2.9940119760479042E-2</v>
          </cell>
          <cell r="CO464">
            <v>-3.870967741935484E-2</v>
          </cell>
          <cell r="CP464">
            <v>-0.15942028985507245</v>
          </cell>
          <cell r="CQ464">
            <v>-4.4198895027624308E-2</v>
          </cell>
          <cell r="CR464">
            <v>-4.2424242424242427E-2</v>
          </cell>
          <cell r="CS464">
            <v>-3.870967741935484E-2</v>
          </cell>
          <cell r="CT464">
            <v>-8.5365853658536592E-2</v>
          </cell>
          <cell r="CU464">
            <v>-4.9586776859504134E-2</v>
          </cell>
          <cell r="CV464">
            <v>-6.7567567567567571E-2</v>
          </cell>
          <cell r="CW464">
            <v>-7.2992700729927001E-2</v>
          </cell>
        </row>
        <row r="466">
          <cell r="B466" t="str">
            <v>Other</v>
          </cell>
        </row>
        <row r="468">
          <cell r="B468" t="str">
            <v>Customers</v>
          </cell>
          <cell r="R468">
            <v>9</v>
          </cell>
          <cell r="S468">
            <v>-39</v>
          </cell>
          <cell r="T468">
            <v>1</v>
          </cell>
          <cell r="CM468">
            <v>0</v>
          </cell>
          <cell r="CN468">
            <v>0</v>
          </cell>
          <cell r="CO468">
            <v>0</v>
          </cell>
          <cell r="CP468">
            <v>-39</v>
          </cell>
          <cell r="CQ468">
            <v>0</v>
          </cell>
          <cell r="CR468">
            <v>0</v>
          </cell>
          <cell r="CS468">
            <v>0</v>
          </cell>
          <cell r="CT468">
            <v>1</v>
          </cell>
          <cell r="CU468">
            <v>0</v>
          </cell>
          <cell r="CV468">
            <v>0</v>
          </cell>
          <cell r="CW468">
            <v>0</v>
          </cell>
        </row>
        <row r="469">
          <cell r="B469" t="str">
            <v>Intersegment</v>
          </cell>
          <cell r="R469">
            <v>-2655</v>
          </cell>
          <cell r="S469">
            <v>-3463</v>
          </cell>
          <cell r="T469">
            <v>-6244</v>
          </cell>
          <cell r="CM469">
            <v>-786</v>
          </cell>
          <cell r="CN469">
            <v>-849</v>
          </cell>
          <cell r="CO469">
            <v>-917</v>
          </cell>
          <cell r="CP469">
            <v>-911</v>
          </cell>
          <cell r="CQ469">
            <v>-1555</v>
          </cell>
          <cell r="CR469">
            <v>-1908</v>
          </cell>
          <cell r="CS469">
            <v>-1806</v>
          </cell>
          <cell r="CT469">
            <v>-975</v>
          </cell>
          <cell r="CU469">
            <v>-1215</v>
          </cell>
          <cell r="CV469">
            <v>-1695</v>
          </cell>
          <cell r="CW469">
            <v>-2174</v>
          </cell>
        </row>
        <row r="470">
          <cell r="B470" t="str">
            <v>Revenue</v>
          </cell>
          <cell r="R470">
            <v>-2646</v>
          </cell>
          <cell r="S470">
            <v>-3502</v>
          </cell>
          <cell r="T470">
            <v>-6243</v>
          </cell>
          <cell r="CM470">
            <v>-786</v>
          </cell>
          <cell r="CN470">
            <v>-849</v>
          </cell>
          <cell r="CO470">
            <v>-917</v>
          </cell>
          <cell r="CP470">
            <v>-950</v>
          </cell>
          <cell r="CQ470">
            <v>-1555</v>
          </cell>
          <cell r="CR470">
            <v>-1908</v>
          </cell>
          <cell r="CS470">
            <v>-1806</v>
          </cell>
          <cell r="CT470">
            <v>-974</v>
          </cell>
          <cell r="CU470">
            <v>-1215</v>
          </cell>
          <cell r="CV470">
            <v>-1695</v>
          </cell>
          <cell r="CW470">
            <v>-2174</v>
          </cell>
        </row>
        <row r="471">
          <cell r="B471" t="str">
            <v>Growth</v>
          </cell>
          <cell r="S471">
            <v>0.32350718065003781</v>
          </cell>
          <cell r="T471">
            <v>0.78269560251284975</v>
          </cell>
          <cell r="CN471">
            <v>8.0152671755725269E-2</v>
          </cell>
          <cell r="CO471">
            <v>8.00942285041224E-2</v>
          </cell>
          <cell r="CP471">
            <v>3.598691384950925E-2</v>
          </cell>
          <cell r="CQ471">
            <v>0.63684210526315788</v>
          </cell>
          <cell r="CR471">
            <v>0.22700964630225084</v>
          </cell>
          <cell r="CS471">
            <v>-5.3459119496855334E-2</v>
          </cell>
          <cell r="CT471">
            <v>-0.46068660022148389</v>
          </cell>
          <cell r="CU471">
            <v>0.24743326488706363</v>
          </cell>
          <cell r="CV471">
            <v>0.39506172839506171</v>
          </cell>
          <cell r="CW471">
            <v>0.28259587020648969</v>
          </cell>
        </row>
        <row r="473">
          <cell r="B473" t="str">
            <v>Impairments</v>
          </cell>
        </row>
        <row r="474">
          <cell r="B474" t="str">
            <v>Goodwill</v>
          </cell>
          <cell r="R474" t="str">
            <v>ND</v>
          </cell>
          <cell r="S474" t="str">
            <v>ND</v>
          </cell>
          <cell r="T474">
            <v>0</v>
          </cell>
          <cell r="CM474" t="str">
            <v>ND</v>
          </cell>
          <cell r="CN474" t="str">
            <v>ND</v>
          </cell>
          <cell r="CO474" t="str">
            <v>ND</v>
          </cell>
          <cell r="CP474" t="str">
            <v>ND</v>
          </cell>
          <cell r="CQ474" t="str">
            <v>ND</v>
          </cell>
          <cell r="CR474" t="str">
            <v>ND</v>
          </cell>
          <cell r="CS474" t="str">
            <v>ND</v>
          </cell>
          <cell r="CT474" t="str">
            <v>ND</v>
          </cell>
          <cell r="CU474" t="str">
            <v>ND</v>
          </cell>
          <cell r="CV474" t="str">
            <v>ND</v>
          </cell>
          <cell r="CW474" t="str">
            <v>ND</v>
          </cell>
        </row>
        <row r="475">
          <cell r="B475" t="str">
            <v>Other</v>
          </cell>
          <cell r="R475" t="str">
            <v>ND</v>
          </cell>
          <cell r="S475" t="str">
            <v>ND</v>
          </cell>
          <cell r="T475">
            <v>0</v>
          </cell>
          <cell r="CM475" t="str">
            <v>ND</v>
          </cell>
          <cell r="CN475" t="str">
            <v>ND</v>
          </cell>
          <cell r="CO475" t="str">
            <v>ND</v>
          </cell>
          <cell r="CP475" t="str">
            <v>ND</v>
          </cell>
          <cell r="CQ475" t="str">
            <v>ND</v>
          </cell>
          <cell r="CR475" t="str">
            <v>ND</v>
          </cell>
          <cell r="CS475" t="str">
            <v>ND</v>
          </cell>
          <cell r="CT475" t="str">
            <v>ND</v>
          </cell>
          <cell r="CU475" t="str">
            <v>ND</v>
          </cell>
          <cell r="CV475" t="str">
            <v>ND</v>
          </cell>
          <cell r="CW475" t="str">
            <v>ND</v>
          </cell>
        </row>
        <row r="477">
          <cell r="B477" t="str">
            <v>Operating Income</v>
          </cell>
          <cell r="R477">
            <v>54</v>
          </cell>
          <cell r="S477">
            <v>-254</v>
          </cell>
          <cell r="T477">
            <v>-141</v>
          </cell>
          <cell r="CM477">
            <v>-12</v>
          </cell>
          <cell r="CN477">
            <v>-28</v>
          </cell>
          <cell r="CO477">
            <v>-18</v>
          </cell>
          <cell r="CP477">
            <v>-196</v>
          </cell>
          <cell r="CQ477">
            <v>-77</v>
          </cell>
          <cell r="CR477">
            <v>61</v>
          </cell>
          <cell r="CS477">
            <v>-141</v>
          </cell>
          <cell r="CT477">
            <v>1272</v>
          </cell>
          <cell r="CU477">
            <v>-49</v>
          </cell>
          <cell r="CV477">
            <v>2</v>
          </cell>
          <cell r="CW477">
            <v>-22</v>
          </cell>
        </row>
        <row r="478">
          <cell r="B478" t="str">
            <v>Margin</v>
          </cell>
          <cell r="R478">
            <v>-2.0408163265306121E-2</v>
          </cell>
          <cell r="S478">
            <v>7.2529982866933185E-2</v>
          </cell>
          <cell r="T478">
            <v>2.2585295530994715E-2</v>
          </cell>
          <cell r="CM478">
            <v>1.5267175572519083E-2</v>
          </cell>
          <cell r="CN478">
            <v>3.2979976442873968E-2</v>
          </cell>
          <cell r="CO478">
            <v>1.9629225736095966E-2</v>
          </cell>
          <cell r="CP478">
            <v>0.2063157894736842</v>
          </cell>
          <cell r="CQ478">
            <v>4.9517684887459806E-2</v>
          </cell>
          <cell r="CR478">
            <v>-3.1970649895178199E-2</v>
          </cell>
          <cell r="CS478">
            <v>7.8073089700996676E-2</v>
          </cell>
          <cell r="CT478">
            <v>-1.3059548254620124</v>
          </cell>
          <cell r="CU478">
            <v>4.0329218106995884E-2</v>
          </cell>
          <cell r="CV478">
            <v>-1.1799410029498525E-3</v>
          </cell>
          <cell r="CW478">
            <v>1.0119595216191352E-2</v>
          </cell>
        </row>
        <row r="480">
          <cell r="B480" t="str">
            <v>Income (loss) from equity investments</v>
          </cell>
          <cell r="R480">
            <v>0</v>
          </cell>
          <cell r="S480">
            <v>0</v>
          </cell>
          <cell r="T480">
            <v>0</v>
          </cell>
          <cell r="CM480">
            <v>0</v>
          </cell>
          <cell r="CN480">
            <v>0</v>
          </cell>
          <cell r="CO480">
            <v>0</v>
          </cell>
          <cell r="CP480">
            <v>0</v>
          </cell>
          <cell r="CQ480">
            <v>0</v>
          </cell>
          <cell r="CR480">
            <v>5</v>
          </cell>
          <cell r="CS480">
            <v>0</v>
          </cell>
          <cell r="CT480">
            <v>-5</v>
          </cell>
          <cell r="CU480">
            <v>0</v>
          </cell>
          <cell r="CV480">
            <v>6</v>
          </cell>
          <cell r="CW480">
            <v>9</v>
          </cell>
        </row>
        <row r="482">
          <cell r="B482" t="str">
            <v>D&amp;A</v>
          </cell>
          <cell r="R482">
            <v>-13</v>
          </cell>
          <cell r="S482">
            <v>39</v>
          </cell>
          <cell r="T482">
            <v>14</v>
          </cell>
          <cell r="CM482" t="str">
            <v>ND</v>
          </cell>
          <cell r="CN482" t="str">
            <v>ND</v>
          </cell>
          <cell r="CO482" t="str">
            <v>ND</v>
          </cell>
          <cell r="CP482" t="str">
            <v>ND</v>
          </cell>
          <cell r="CQ482" t="str">
            <v>ND</v>
          </cell>
          <cell r="CR482" t="str">
            <v>ND</v>
          </cell>
          <cell r="CS482" t="str">
            <v>ND</v>
          </cell>
          <cell r="CT482" t="str">
            <v>ND</v>
          </cell>
          <cell r="CU482" t="str">
            <v>ND</v>
          </cell>
          <cell r="CV482" t="str">
            <v>ND</v>
          </cell>
          <cell r="CW482" t="str">
            <v>ND</v>
          </cell>
        </row>
        <row r="483">
          <cell r="B483" t="str">
            <v>% of revenue</v>
          </cell>
          <cell r="R483">
            <v>4.9130763416477706E-3</v>
          </cell>
          <cell r="S483">
            <v>-1.1136493432324385E-2</v>
          </cell>
          <cell r="T483">
            <v>-2.2425116130065674E-3</v>
          </cell>
          <cell r="CM483" t="str">
            <v>NM</v>
          </cell>
          <cell r="CN483" t="str">
            <v>NM</v>
          </cell>
          <cell r="CO483" t="str">
            <v>NM</v>
          </cell>
          <cell r="CP483" t="str">
            <v>NM</v>
          </cell>
          <cell r="CQ483" t="str">
            <v>NM</v>
          </cell>
          <cell r="CR483" t="str">
            <v>NM</v>
          </cell>
          <cell r="CS483" t="str">
            <v>NM</v>
          </cell>
          <cell r="CT483" t="str">
            <v>NM</v>
          </cell>
          <cell r="CU483" t="str">
            <v>NM</v>
          </cell>
          <cell r="CV483" t="str">
            <v>NM</v>
          </cell>
          <cell r="CW483" t="str">
            <v>NM</v>
          </cell>
        </row>
        <row r="485">
          <cell r="B485" t="str">
            <v>Capex</v>
          </cell>
          <cell r="R485">
            <v>-5</v>
          </cell>
          <cell r="S485">
            <v>-22</v>
          </cell>
          <cell r="T485">
            <v>-23</v>
          </cell>
          <cell r="CM485">
            <v>-31</v>
          </cell>
          <cell r="CN485">
            <v>31</v>
          </cell>
          <cell r="CO485">
            <v>0</v>
          </cell>
          <cell r="CP485">
            <v>-22</v>
          </cell>
          <cell r="CQ485">
            <v>-1</v>
          </cell>
          <cell r="CR485">
            <v>-3</v>
          </cell>
          <cell r="CS485">
            <v>-6</v>
          </cell>
          <cell r="CT485">
            <v>-13</v>
          </cell>
          <cell r="CU485">
            <v>-1</v>
          </cell>
          <cell r="CV485">
            <v>-2</v>
          </cell>
          <cell r="CW485">
            <v>-2</v>
          </cell>
        </row>
        <row r="486">
          <cell r="B486" t="str">
            <v>% of revenue</v>
          </cell>
          <cell r="R486">
            <v>1.889644746787604E-3</v>
          </cell>
          <cell r="S486">
            <v>6.2821245002855509E-3</v>
          </cell>
          <cell r="T486">
            <v>3.684126221367932E-3</v>
          </cell>
          <cell r="CM486">
            <v>3.9440203562340966E-2</v>
          </cell>
          <cell r="CN486">
            <v>-3.6513545347467612E-2</v>
          </cell>
          <cell r="CO486">
            <v>0</v>
          </cell>
          <cell r="CP486">
            <v>2.3157894736842106E-2</v>
          </cell>
          <cell r="CQ486">
            <v>6.4308681672025725E-4</v>
          </cell>
          <cell r="CR486">
            <v>1.5723270440251573E-3</v>
          </cell>
          <cell r="CS486">
            <v>3.3222591362126247E-3</v>
          </cell>
          <cell r="CT486">
            <v>1.3347022587268994E-2</v>
          </cell>
          <cell r="CU486">
            <v>8.2304526748971192E-4</v>
          </cell>
          <cell r="CV486">
            <v>1.1799410029498525E-3</v>
          </cell>
          <cell r="CW486">
            <v>9.1996320147194111E-4</v>
          </cell>
        </row>
        <row r="488">
          <cell r="B488" t="str">
            <v>Capex</v>
          </cell>
        </row>
        <row r="489">
          <cell r="B489" t="str">
            <v>Fuel</v>
          </cell>
          <cell r="R489">
            <v>-113</v>
          </cell>
          <cell r="S489">
            <v>0</v>
          </cell>
          <cell r="T489">
            <v>-201</v>
          </cell>
          <cell r="U489">
            <v>0</v>
          </cell>
          <cell r="V489">
            <v>0</v>
          </cell>
          <cell r="CM489">
            <v>0</v>
          </cell>
          <cell r="CN489">
            <v>0</v>
          </cell>
          <cell r="CO489">
            <v>0</v>
          </cell>
          <cell r="CP489">
            <v>0</v>
          </cell>
          <cell r="CQ489">
            <v>-38</v>
          </cell>
          <cell r="CR489">
            <v>-52</v>
          </cell>
          <cell r="CS489">
            <v>-74</v>
          </cell>
          <cell r="CT489">
            <v>-37</v>
          </cell>
          <cell r="CU489">
            <v>-32</v>
          </cell>
          <cell r="CV489">
            <v>-28</v>
          </cell>
          <cell r="CW489">
            <v>-34</v>
          </cell>
          <cell r="CX489">
            <v>0</v>
          </cell>
          <cell r="CY489">
            <v>0</v>
          </cell>
        </row>
        <row r="490">
          <cell r="B490" t="str">
            <v>Chemicals</v>
          </cell>
          <cell r="R490">
            <v>-209</v>
          </cell>
          <cell r="S490">
            <v>-59</v>
          </cell>
          <cell r="T490">
            <v>-342</v>
          </cell>
          <cell r="U490">
            <v>0</v>
          </cell>
          <cell r="V490">
            <v>0</v>
          </cell>
          <cell r="CM490">
            <v>-10</v>
          </cell>
          <cell r="CN490">
            <v>-10</v>
          </cell>
          <cell r="CO490">
            <v>-35</v>
          </cell>
          <cell r="CP490">
            <v>-4</v>
          </cell>
          <cell r="CQ490">
            <v>-54</v>
          </cell>
          <cell r="CR490">
            <v>-103</v>
          </cell>
          <cell r="CS490">
            <v>-75</v>
          </cell>
          <cell r="CT490">
            <v>-110</v>
          </cell>
          <cell r="CU490">
            <v>-28</v>
          </cell>
          <cell r="CV490">
            <v>-61</v>
          </cell>
          <cell r="CW490">
            <v>-61</v>
          </cell>
          <cell r="CX490">
            <v>0</v>
          </cell>
          <cell r="CY490">
            <v>0</v>
          </cell>
        </row>
        <row r="491">
          <cell r="B491" t="str">
            <v>Polymers</v>
          </cell>
          <cell r="R491">
            <v>-19</v>
          </cell>
          <cell r="S491">
            <v>-305</v>
          </cell>
          <cell r="T491">
            <v>-406</v>
          </cell>
          <cell r="U491">
            <v>0</v>
          </cell>
          <cell r="V491">
            <v>0</v>
          </cell>
          <cell r="CM491">
            <v>-17</v>
          </cell>
          <cell r="CN491">
            <v>-61</v>
          </cell>
          <cell r="CO491">
            <v>-55</v>
          </cell>
          <cell r="CP491">
            <v>-172</v>
          </cell>
          <cell r="CQ491">
            <v>-65</v>
          </cell>
          <cell r="CR491">
            <v>-68</v>
          </cell>
          <cell r="CS491">
            <v>-130</v>
          </cell>
          <cell r="CT491">
            <v>-143</v>
          </cell>
          <cell r="CU491">
            <v>-118</v>
          </cell>
          <cell r="CV491">
            <v>-84</v>
          </cell>
          <cell r="CW491">
            <v>-21</v>
          </cell>
          <cell r="CX491">
            <v>0</v>
          </cell>
          <cell r="CY491">
            <v>0</v>
          </cell>
        </row>
        <row r="492">
          <cell r="B492" t="str">
            <v>Technology &amp; R&amp;D</v>
          </cell>
          <cell r="R492">
            <v>0</v>
          </cell>
          <cell r="S492">
            <v>-25</v>
          </cell>
          <cell r="T492">
            <v>-28</v>
          </cell>
          <cell r="U492">
            <v>0</v>
          </cell>
          <cell r="V492">
            <v>0</v>
          </cell>
          <cell r="CM492">
            <v>-3</v>
          </cell>
          <cell r="CN492">
            <v>-5</v>
          </cell>
          <cell r="CO492">
            <v>-6</v>
          </cell>
          <cell r="CP492">
            <v>-11</v>
          </cell>
          <cell r="CQ492">
            <v>-8</v>
          </cell>
          <cell r="CR492">
            <v>-7</v>
          </cell>
          <cell r="CS492">
            <v>-6</v>
          </cell>
          <cell r="CT492">
            <v>-7</v>
          </cell>
          <cell r="CU492">
            <v>-6</v>
          </cell>
          <cell r="CV492">
            <v>-10</v>
          </cell>
          <cell r="CW492">
            <v>-10</v>
          </cell>
          <cell r="CX492">
            <v>0</v>
          </cell>
          <cell r="CY492">
            <v>0</v>
          </cell>
        </row>
        <row r="493">
          <cell r="B493" t="str">
            <v>Other</v>
          </cell>
          <cell r="R493">
            <v>-5</v>
          </cell>
          <cell r="S493">
            <v>-22</v>
          </cell>
          <cell r="T493">
            <v>-23</v>
          </cell>
          <cell r="U493">
            <v>0</v>
          </cell>
          <cell r="V493">
            <v>0</v>
          </cell>
          <cell r="CM493">
            <v>-31</v>
          </cell>
          <cell r="CN493">
            <v>31</v>
          </cell>
          <cell r="CO493">
            <v>0</v>
          </cell>
          <cell r="CP493">
            <v>-22</v>
          </cell>
          <cell r="CQ493">
            <v>-1</v>
          </cell>
          <cell r="CR493">
            <v>-3</v>
          </cell>
          <cell r="CS493">
            <v>-6</v>
          </cell>
          <cell r="CT493">
            <v>-13</v>
          </cell>
          <cell r="CU493">
            <v>-1</v>
          </cell>
          <cell r="CV493">
            <v>-2</v>
          </cell>
          <cell r="CW493">
            <v>-2</v>
          </cell>
          <cell r="CX493">
            <v>0</v>
          </cell>
          <cell r="CY493">
            <v>0</v>
          </cell>
        </row>
        <row r="494">
          <cell r="B494" t="str">
            <v>Total segment capex</v>
          </cell>
          <cell r="R494">
            <v>-346</v>
          </cell>
          <cell r="S494">
            <v>-411</v>
          </cell>
          <cell r="T494">
            <v>-1000</v>
          </cell>
          <cell r="U494">
            <v>0</v>
          </cell>
          <cell r="V494">
            <v>0</v>
          </cell>
          <cell r="CM494">
            <v>-61</v>
          </cell>
          <cell r="CN494">
            <v>-45</v>
          </cell>
          <cell r="CO494">
            <v>-96</v>
          </cell>
          <cell r="CP494">
            <v>-209</v>
          </cell>
          <cell r="CQ494">
            <v>-166</v>
          </cell>
          <cell r="CR494">
            <v>-233</v>
          </cell>
          <cell r="CS494">
            <v>-291</v>
          </cell>
          <cell r="CT494">
            <v>-310</v>
          </cell>
          <cell r="CU494">
            <v>-185</v>
          </cell>
          <cell r="CV494">
            <v>-185</v>
          </cell>
          <cell r="CW494">
            <v>-128</v>
          </cell>
          <cell r="CX494">
            <v>0</v>
          </cell>
          <cell r="CY494">
            <v>0</v>
          </cell>
        </row>
        <row r="497">
          <cell r="B497" t="str">
            <v>CHANGE IN SEGMENT REPORTING STRUCTURE:</v>
          </cell>
        </row>
        <row r="499">
          <cell r="B499" t="str">
            <v>Ethylene, co-products and derivatives (EC&amp;D)</v>
          </cell>
        </row>
        <row r="501">
          <cell r="B501" t="str">
            <v>Customers</v>
          </cell>
          <cell r="P501">
            <v>883</v>
          </cell>
          <cell r="Q501">
            <v>10890</v>
          </cell>
          <cell r="CA501">
            <v>0</v>
          </cell>
          <cell r="CB501">
            <v>0</v>
          </cell>
          <cell r="CC501">
            <v>0</v>
          </cell>
          <cell r="CD501">
            <v>883</v>
          </cell>
          <cell r="CE501">
            <v>2639</v>
          </cell>
          <cell r="CF501">
            <v>2517</v>
          </cell>
          <cell r="CG501">
            <v>2691</v>
          </cell>
          <cell r="CH501">
            <v>3043</v>
          </cell>
          <cell r="CI501">
            <v>2806</v>
          </cell>
          <cell r="CJ501">
            <v>3012</v>
          </cell>
          <cell r="CK501">
            <v>3015</v>
          </cell>
          <cell r="CL501">
            <v>2551</v>
          </cell>
        </row>
        <row r="502">
          <cell r="B502" t="str">
            <v>Intersegment</v>
          </cell>
          <cell r="P502">
            <v>107</v>
          </cell>
          <cell r="Q502">
            <v>1301</v>
          </cell>
          <cell r="CA502">
            <v>0</v>
          </cell>
          <cell r="CB502">
            <v>0</v>
          </cell>
          <cell r="CC502">
            <v>0</v>
          </cell>
          <cell r="CD502">
            <v>107</v>
          </cell>
          <cell r="CE502">
            <v>335</v>
          </cell>
          <cell r="CF502">
            <v>332</v>
          </cell>
          <cell r="CG502">
            <v>297</v>
          </cell>
          <cell r="CH502">
            <v>337</v>
          </cell>
          <cell r="CI502">
            <v>346</v>
          </cell>
          <cell r="CJ502">
            <v>389</v>
          </cell>
          <cell r="CK502">
            <v>588</v>
          </cell>
          <cell r="CL502">
            <v>540</v>
          </cell>
        </row>
        <row r="503">
          <cell r="B503" t="str">
            <v>Revenue</v>
          </cell>
          <cell r="P503">
            <v>990</v>
          </cell>
          <cell r="Q503">
            <v>12191</v>
          </cell>
          <cell r="CA503">
            <v>0</v>
          </cell>
          <cell r="CB503">
            <v>0</v>
          </cell>
          <cell r="CC503">
            <v>0</v>
          </cell>
          <cell r="CD503">
            <v>990</v>
          </cell>
          <cell r="CE503">
            <v>2974</v>
          </cell>
          <cell r="CF503">
            <v>2849</v>
          </cell>
          <cell r="CG503">
            <v>2988</v>
          </cell>
          <cell r="CH503">
            <v>3380</v>
          </cell>
          <cell r="CI503">
            <v>3152</v>
          </cell>
          <cell r="CJ503">
            <v>3401</v>
          </cell>
          <cell r="CK503">
            <v>3603</v>
          </cell>
          <cell r="CL503">
            <v>3091</v>
          </cell>
        </row>
        <row r="504">
          <cell r="B504" t="str">
            <v>Growth</v>
          </cell>
          <cell r="Q504">
            <v>11.314141414141414</v>
          </cell>
        </row>
        <row r="506">
          <cell r="B506" t="str">
            <v>Operating Income</v>
          </cell>
          <cell r="P506">
            <v>177</v>
          </cell>
          <cell r="Q506">
            <v>950</v>
          </cell>
          <cell r="CA506">
            <v>0</v>
          </cell>
          <cell r="CB506">
            <v>0</v>
          </cell>
          <cell r="CC506">
            <v>0</v>
          </cell>
          <cell r="CD506">
            <v>177</v>
          </cell>
          <cell r="CE506">
            <v>392</v>
          </cell>
          <cell r="CF506">
            <v>200</v>
          </cell>
          <cell r="CG506">
            <v>21</v>
          </cell>
          <cell r="CH506">
            <v>337</v>
          </cell>
          <cell r="CI506">
            <v>299</v>
          </cell>
          <cell r="CJ506">
            <v>181</v>
          </cell>
          <cell r="CK506">
            <v>279</v>
          </cell>
          <cell r="CL506">
            <v>214</v>
          </cell>
        </row>
        <row r="507">
          <cell r="B507" t="str">
            <v>Margin</v>
          </cell>
          <cell r="CI507">
            <v>9.4860406091370558E-2</v>
          </cell>
          <cell r="CJ507">
            <v>5.3219641281975892E-2</v>
          </cell>
          <cell r="CK507">
            <v>7.743547044129892E-2</v>
          </cell>
          <cell r="CL507">
            <v>6.9233257845357485E-2</v>
          </cell>
        </row>
        <row r="509">
          <cell r="B509" t="str">
            <v>Income (loss) from equity investments</v>
          </cell>
          <cell r="P509">
            <v>141</v>
          </cell>
          <cell r="Q509">
            <v>0</v>
          </cell>
          <cell r="CA509">
            <v>6</v>
          </cell>
          <cell r="CB509">
            <v>33</v>
          </cell>
          <cell r="CC509">
            <v>54</v>
          </cell>
          <cell r="CD509">
            <v>48</v>
          </cell>
          <cell r="CE509">
            <v>0</v>
          </cell>
          <cell r="CF509">
            <v>0</v>
          </cell>
          <cell r="CG509">
            <v>0</v>
          </cell>
          <cell r="CH509">
            <v>0</v>
          </cell>
          <cell r="CI509">
            <v>0</v>
          </cell>
          <cell r="CJ509">
            <v>0</v>
          </cell>
          <cell r="CK509">
            <v>0</v>
          </cell>
          <cell r="CL509">
            <v>0</v>
          </cell>
        </row>
        <row r="511">
          <cell r="B511" t="str">
            <v>D&amp;A</v>
          </cell>
          <cell r="P511" t="str">
            <v>ND</v>
          </cell>
          <cell r="Q511" t="str">
            <v>ND</v>
          </cell>
          <cell r="CA511" t="str">
            <v>ND</v>
          </cell>
          <cell r="CB511" t="str">
            <v>ND</v>
          </cell>
          <cell r="CC511" t="str">
            <v>ND</v>
          </cell>
          <cell r="CD511" t="str">
            <v>ND</v>
          </cell>
          <cell r="CE511" t="str">
            <v>ND</v>
          </cell>
          <cell r="CF511" t="str">
            <v>ND</v>
          </cell>
          <cell r="CG511" t="str">
            <v>ND</v>
          </cell>
          <cell r="CH511" t="str">
            <v>ND</v>
          </cell>
          <cell r="CI511" t="str">
            <v>ND</v>
          </cell>
          <cell r="CJ511" t="str">
            <v>ND</v>
          </cell>
          <cell r="CK511" t="str">
            <v>ND</v>
          </cell>
          <cell r="CL511" t="str">
            <v>ND</v>
          </cell>
        </row>
        <row r="512">
          <cell r="B512" t="str">
            <v>% of revenue</v>
          </cell>
          <cell r="P512" t="str">
            <v>NM</v>
          </cell>
          <cell r="Q512" t="str">
            <v>NM</v>
          </cell>
          <cell r="CA512" t="str">
            <v>NM</v>
          </cell>
          <cell r="CB512" t="str">
            <v>NM</v>
          </cell>
          <cell r="CC512" t="str">
            <v>NM</v>
          </cell>
          <cell r="CD512" t="str">
            <v>NM</v>
          </cell>
          <cell r="CE512" t="str">
            <v>NM</v>
          </cell>
          <cell r="CF512" t="str">
            <v>NM</v>
          </cell>
          <cell r="CG512" t="str">
            <v>NM</v>
          </cell>
          <cell r="CH512" t="str">
            <v>NM</v>
          </cell>
          <cell r="CI512" t="str">
            <v>NM</v>
          </cell>
          <cell r="CJ512" t="str">
            <v>NM</v>
          </cell>
          <cell r="CK512" t="str">
            <v>NM</v>
          </cell>
          <cell r="CL512" t="str">
            <v>NM</v>
          </cell>
        </row>
        <row r="514">
          <cell r="B514" t="str">
            <v>Capex</v>
          </cell>
          <cell r="P514" t="str">
            <v>ND</v>
          </cell>
          <cell r="Q514" t="str">
            <v>ND</v>
          </cell>
          <cell r="CA514" t="str">
            <v>ND</v>
          </cell>
          <cell r="CB514" t="str">
            <v>ND</v>
          </cell>
          <cell r="CC514" t="str">
            <v>ND</v>
          </cell>
          <cell r="CD514" t="str">
            <v>ND</v>
          </cell>
          <cell r="CE514" t="str">
            <v>ND</v>
          </cell>
          <cell r="CF514" t="str">
            <v>ND</v>
          </cell>
          <cell r="CG514" t="str">
            <v>ND</v>
          </cell>
          <cell r="CH514" t="str">
            <v>ND</v>
          </cell>
          <cell r="CI514">
            <v>-23</v>
          </cell>
          <cell r="CJ514">
            <v>-43</v>
          </cell>
          <cell r="CK514">
            <v>-44</v>
          </cell>
          <cell r="CL514">
            <v>-65</v>
          </cell>
        </row>
        <row r="515">
          <cell r="B515" t="str">
            <v>% of revenue</v>
          </cell>
          <cell r="P515" t="str">
            <v>NM</v>
          </cell>
          <cell r="Q515" t="str">
            <v>NM</v>
          </cell>
          <cell r="CA515" t="str">
            <v>NM</v>
          </cell>
          <cell r="CB515" t="str">
            <v>NM</v>
          </cell>
          <cell r="CC515" t="str">
            <v>NM</v>
          </cell>
          <cell r="CD515" t="str">
            <v>NM</v>
          </cell>
          <cell r="CE515" t="str">
            <v>NM</v>
          </cell>
          <cell r="CF515" t="str">
            <v>NM</v>
          </cell>
          <cell r="CG515" t="str">
            <v>NM</v>
          </cell>
          <cell r="CH515" t="str">
            <v>NM</v>
          </cell>
          <cell r="CI515">
            <v>-7.2969543147208124E-3</v>
          </cell>
          <cell r="CJ515">
            <v>-1.2643340194060571E-2</v>
          </cell>
          <cell r="CK515">
            <v>-1.2212045517624202E-2</v>
          </cell>
          <cell r="CL515">
            <v>-2.1028793270786154E-2</v>
          </cell>
        </row>
        <row r="517">
          <cell r="B517" t="str">
            <v>Total Assets</v>
          </cell>
          <cell r="P517" t="str">
            <v>ND</v>
          </cell>
          <cell r="Q517" t="str">
            <v>ND</v>
          </cell>
          <cell r="CA517" t="str">
            <v>ND</v>
          </cell>
          <cell r="CB517" t="str">
            <v>ND</v>
          </cell>
          <cell r="CC517" t="str">
            <v>ND</v>
          </cell>
          <cell r="CD517" t="str">
            <v>ND</v>
          </cell>
          <cell r="CE517" t="str">
            <v>ND</v>
          </cell>
          <cell r="CF517" t="str">
            <v>ND</v>
          </cell>
          <cell r="CG517" t="str">
            <v>ND</v>
          </cell>
          <cell r="CH517" t="str">
            <v>ND</v>
          </cell>
          <cell r="CI517" t="str">
            <v>ND</v>
          </cell>
          <cell r="CJ517" t="str">
            <v>ND</v>
          </cell>
          <cell r="CK517" t="str">
            <v>ND</v>
          </cell>
          <cell r="CL517">
            <v>6467</v>
          </cell>
        </row>
        <row r="519">
          <cell r="B519" t="str">
            <v xml:space="preserve">Propylene oxide and related products (PO&amp;RP) </v>
          </cell>
        </row>
        <row r="521">
          <cell r="B521" t="str">
            <v>Customers</v>
          </cell>
          <cell r="P521" t="str">
            <v>ND</v>
          </cell>
          <cell r="Q521">
            <v>6261</v>
          </cell>
          <cell r="CA521" t="str">
            <v>ND</v>
          </cell>
          <cell r="CB521" t="str">
            <v>ND</v>
          </cell>
          <cell r="CC521" t="str">
            <v>ND</v>
          </cell>
          <cell r="CD521" t="str">
            <v>ND</v>
          </cell>
          <cell r="CE521">
            <v>1461</v>
          </cell>
          <cell r="CF521">
            <v>1493</v>
          </cell>
          <cell r="CG521">
            <v>1729</v>
          </cell>
          <cell r="CH521">
            <v>1578</v>
          </cell>
          <cell r="CI521">
            <v>1583</v>
          </cell>
          <cell r="CJ521">
            <v>1674</v>
          </cell>
          <cell r="CK521">
            <v>1810</v>
          </cell>
          <cell r="CL521">
            <v>1588</v>
          </cell>
        </row>
        <row r="522">
          <cell r="B522" t="str">
            <v>Intersegment</v>
          </cell>
          <cell r="P522" t="str">
            <v>ND</v>
          </cell>
          <cell r="Q522">
            <v>307</v>
          </cell>
          <cell r="CA522" t="str">
            <v>ND</v>
          </cell>
          <cell r="CB522" t="str">
            <v>ND</v>
          </cell>
          <cell r="CC522" t="str">
            <v>ND</v>
          </cell>
          <cell r="CD522" t="str">
            <v>ND</v>
          </cell>
          <cell r="CE522">
            <v>62</v>
          </cell>
          <cell r="CF522">
            <v>64</v>
          </cell>
          <cell r="CG522">
            <v>114</v>
          </cell>
          <cell r="CH522">
            <v>67</v>
          </cell>
          <cell r="CI522">
            <v>61</v>
          </cell>
          <cell r="CJ522">
            <v>89</v>
          </cell>
          <cell r="CK522">
            <v>90</v>
          </cell>
          <cell r="CL522">
            <v>124</v>
          </cell>
        </row>
        <row r="523">
          <cell r="B523" t="str">
            <v>Revenue</v>
          </cell>
          <cell r="P523">
            <v>4984</v>
          </cell>
          <cell r="Q523">
            <v>6568</v>
          </cell>
          <cell r="CA523">
            <v>1105</v>
          </cell>
          <cell r="CB523">
            <v>1161</v>
          </cell>
          <cell r="CC523">
            <v>1307</v>
          </cell>
          <cell r="CD523">
            <v>1411</v>
          </cell>
          <cell r="CE523">
            <v>1523</v>
          </cell>
          <cell r="CF523">
            <v>1557</v>
          </cell>
          <cell r="CG523">
            <v>1843</v>
          </cell>
          <cell r="CH523">
            <v>1645</v>
          </cell>
          <cell r="CI523">
            <v>1644</v>
          </cell>
          <cell r="CJ523">
            <v>1763</v>
          </cell>
          <cell r="CK523">
            <v>1900</v>
          </cell>
          <cell r="CL523">
            <v>1712</v>
          </cell>
        </row>
        <row r="524">
          <cell r="B524" t="str">
            <v>Growth</v>
          </cell>
          <cell r="Q524">
            <v>0.31781701444622801</v>
          </cell>
        </row>
        <row r="526">
          <cell r="B526" t="str">
            <v>Operating Income</v>
          </cell>
          <cell r="P526">
            <v>48</v>
          </cell>
          <cell r="Q526">
            <v>511</v>
          </cell>
          <cell r="CA526">
            <v>23</v>
          </cell>
          <cell r="CB526">
            <v>20</v>
          </cell>
          <cell r="CC526">
            <v>49</v>
          </cell>
          <cell r="CD526">
            <v>-44</v>
          </cell>
          <cell r="CE526">
            <v>89</v>
          </cell>
          <cell r="CF526">
            <v>127</v>
          </cell>
          <cell r="CG526">
            <v>260</v>
          </cell>
          <cell r="CH526">
            <v>35</v>
          </cell>
          <cell r="CI526">
            <v>117</v>
          </cell>
          <cell r="CJ526">
            <v>108</v>
          </cell>
          <cell r="CK526">
            <v>133</v>
          </cell>
          <cell r="CL526">
            <v>45</v>
          </cell>
        </row>
        <row r="527">
          <cell r="B527" t="str">
            <v>Margin</v>
          </cell>
          <cell r="P527">
            <v>9.630818619582664E-3</v>
          </cell>
          <cell r="Q527">
            <v>7.7801461632155913E-2</v>
          </cell>
          <cell r="CA527">
            <v>2.0814479638009049E-2</v>
          </cell>
          <cell r="CB527">
            <v>1.7226528854435832E-2</v>
          </cell>
          <cell r="CC527">
            <v>3.7490436113236422E-2</v>
          </cell>
          <cell r="CD527">
            <v>-3.1183557760453579E-2</v>
          </cell>
          <cell r="CE527">
            <v>5.8437294812869335E-2</v>
          </cell>
          <cell r="CF527">
            <v>8.1567116249197172E-2</v>
          </cell>
          <cell r="CG527">
            <v>0.14107433532284319</v>
          </cell>
          <cell r="CH527">
            <v>2.1276595744680851E-2</v>
          </cell>
          <cell r="CI527">
            <v>7.1167883211678828E-2</v>
          </cell>
          <cell r="CJ527">
            <v>6.1259217243335225E-2</v>
          </cell>
          <cell r="CK527">
            <v>7.0000000000000007E-2</v>
          </cell>
          <cell r="CL527">
            <v>2.6285046728971962E-2</v>
          </cell>
        </row>
        <row r="529">
          <cell r="B529" t="str">
            <v>Income (loss) from equity investments</v>
          </cell>
          <cell r="P529">
            <v>7</v>
          </cell>
          <cell r="Q529">
            <v>1</v>
          </cell>
          <cell r="CA529">
            <v>1</v>
          </cell>
          <cell r="CB529">
            <v>1</v>
          </cell>
          <cell r="CC529">
            <v>1</v>
          </cell>
          <cell r="CD529">
            <v>4</v>
          </cell>
          <cell r="CE529">
            <v>1</v>
          </cell>
          <cell r="CF529">
            <v>-1</v>
          </cell>
          <cell r="CG529">
            <v>2</v>
          </cell>
          <cell r="CH529">
            <v>-1</v>
          </cell>
          <cell r="CI529">
            <v>-1</v>
          </cell>
          <cell r="CJ529">
            <v>3</v>
          </cell>
          <cell r="CK529">
            <v>2</v>
          </cell>
          <cell r="CL529">
            <v>1</v>
          </cell>
        </row>
        <row r="531">
          <cell r="B531" t="str">
            <v>Capex</v>
          </cell>
          <cell r="P531" t="str">
            <v>ND</v>
          </cell>
          <cell r="Q531" t="str">
            <v>ND</v>
          </cell>
          <cell r="CA531" t="str">
            <v>ND</v>
          </cell>
          <cell r="CB531" t="str">
            <v>ND</v>
          </cell>
          <cell r="CC531" t="str">
            <v>ND</v>
          </cell>
          <cell r="CD531" t="str">
            <v>ND</v>
          </cell>
          <cell r="CE531" t="str">
            <v>ND</v>
          </cell>
          <cell r="CF531" t="str">
            <v>ND</v>
          </cell>
          <cell r="CG531" t="str">
            <v>ND</v>
          </cell>
          <cell r="CH531" t="str">
            <v>ND</v>
          </cell>
          <cell r="CI531">
            <v>-15</v>
          </cell>
          <cell r="CJ531">
            <v>-18</v>
          </cell>
          <cell r="CK531">
            <v>-21</v>
          </cell>
          <cell r="CL531">
            <v>-14</v>
          </cell>
        </row>
        <row r="532">
          <cell r="B532" t="str">
            <v>% of revenue</v>
          </cell>
          <cell r="P532" t="str">
            <v>NM</v>
          </cell>
          <cell r="Q532" t="str">
            <v>NM</v>
          </cell>
          <cell r="CA532" t="str">
            <v>NM</v>
          </cell>
          <cell r="CB532" t="str">
            <v>NM</v>
          </cell>
          <cell r="CC532" t="str">
            <v>NM</v>
          </cell>
          <cell r="CD532" t="str">
            <v>NM</v>
          </cell>
          <cell r="CE532" t="str">
            <v>NM</v>
          </cell>
          <cell r="CF532" t="str">
            <v>NM</v>
          </cell>
          <cell r="CG532" t="str">
            <v>NM</v>
          </cell>
          <cell r="CH532" t="str">
            <v>NM</v>
          </cell>
          <cell r="CI532">
            <v>-9.1240875912408752E-3</v>
          </cell>
          <cell r="CJ532">
            <v>-1.0209869540555871E-2</v>
          </cell>
          <cell r="CK532">
            <v>-1.1052631578947368E-2</v>
          </cell>
          <cell r="CL532">
            <v>-8.1775700934579431E-3</v>
          </cell>
        </row>
        <row r="534">
          <cell r="B534" t="str">
            <v>Total Assets</v>
          </cell>
          <cell r="P534" t="str">
            <v>ND</v>
          </cell>
          <cell r="Q534" t="str">
            <v>ND</v>
          </cell>
          <cell r="CA534" t="str">
            <v>ND</v>
          </cell>
          <cell r="CB534" t="str">
            <v>ND</v>
          </cell>
          <cell r="CC534" t="str">
            <v>ND</v>
          </cell>
          <cell r="CD534" t="str">
            <v>ND</v>
          </cell>
          <cell r="CE534" t="str">
            <v>ND</v>
          </cell>
          <cell r="CF534" t="str">
            <v>ND</v>
          </cell>
          <cell r="CG534" t="str">
            <v>ND</v>
          </cell>
          <cell r="CH534" t="str">
            <v>ND</v>
          </cell>
          <cell r="CI534" t="str">
            <v>ND</v>
          </cell>
          <cell r="CJ534" t="str">
            <v>ND</v>
          </cell>
          <cell r="CK534" t="str">
            <v>ND</v>
          </cell>
          <cell r="CL534">
            <v>5528</v>
          </cell>
        </row>
        <row r="536">
          <cell r="B536" t="str">
            <v>Refining</v>
          </cell>
        </row>
        <row r="538">
          <cell r="B538" t="str">
            <v>Customers</v>
          </cell>
          <cell r="P538">
            <v>0</v>
          </cell>
          <cell r="Q538">
            <v>0</v>
          </cell>
          <cell r="CA538">
            <v>0</v>
          </cell>
          <cell r="CB538">
            <v>0</v>
          </cell>
          <cell r="CC538">
            <v>0</v>
          </cell>
          <cell r="CD538">
            <v>0</v>
          </cell>
          <cell r="CE538">
            <v>0</v>
          </cell>
          <cell r="CF538">
            <v>0</v>
          </cell>
          <cell r="CG538">
            <v>0</v>
          </cell>
          <cell r="CH538">
            <v>0</v>
          </cell>
          <cell r="CI538">
            <v>0</v>
          </cell>
          <cell r="CJ538">
            <v>0</v>
          </cell>
          <cell r="CK538">
            <v>954</v>
          </cell>
          <cell r="CL538">
            <v>1767</v>
          </cell>
        </row>
        <row r="539">
          <cell r="B539" t="str">
            <v>Intersegment</v>
          </cell>
          <cell r="P539">
            <v>0</v>
          </cell>
          <cell r="Q539">
            <v>0</v>
          </cell>
          <cell r="CA539">
            <v>0</v>
          </cell>
          <cell r="CB539">
            <v>0</v>
          </cell>
          <cell r="CC539">
            <v>0</v>
          </cell>
          <cell r="CD539">
            <v>0</v>
          </cell>
          <cell r="CE539">
            <v>0</v>
          </cell>
          <cell r="CF539">
            <v>0</v>
          </cell>
          <cell r="CG539">
            <v>0</v>
          </cell>
          <cell r="CH539">
            <v>0</v>
          </cell>
          <cell r="CI539">
            <v>0</v>
          </cell>
          <cell r="CJ539">
            <v>0</v>
          </cell>
          <cell r="CK539">
            <v>129</v>
          </cell>
          <cell r="CL539">
            <v>298</v>
          </cell>
        </row>
        <row r="540">
          <cell r="B540" t="str">
            <v>Revenue</v>
          </cell>
          <cell r="P540">
            <v>0</v>
          </cell>
          <cell r="Q540">
            <v>0</v>
          </cell>
          <cell r="CA540">
            <v>0</v>
          </cell>
          <cell r="CB540">
            <v>0</v>
          </cell>
          <cell r="CC540">
            <v>0</v>
          </cell>
          <cell r="CD540">
            <v>0</v>
          </cell>
          <cell r="CE540">
            <v>0</v>
          </cell>
          <cell r="CF540">
            <v>0</v>
          </cell>
          <cell r="CG540">
            <v>0</v>
          </cell>
          <cell r="CH540">
            <v>0</v>
          </cell>
          <cell r="CI540">
            <v>0</v>
          </cell>
          <cell r="CJ540">
            <v>0</v>
          </cell>
          <cell r="CK540">
            <v>1083</v>
          </cell>
          <cell r="CL540">
            <v>2065</v>
          </cell>
        </row>
        <row r="541">
          <cell r="B541" t="str">
            <v>Growth</v>
          </cell>
          <cell r="Q541" t="str">
            <v>NM</v>
          </cell>
        </row>
        <row r="543">
          <cell r="B543" t="str">
            <v>Operating Income</v>
          </cell>
          <cell r="P543">
            <v>0</v>
          </cell>
          <cell r="Q543">
            <v>75</v>
          </cell>
          <cell r="CA543">
            <v>0</v>
          </cell>
          <cell r="CB543">
            <v>0</v>
          </cell>
          <cell r="CC543">
            <v>0</v>
          </cell>
          <cell r="CD543">
            <v>0</v>
          </cell>
          <cell r="CE543">
            <v>0</v>
          </cell>
          <cell r="CF543">
            <v>0</v>
          </cell>
          <cell r="CG543">
            <v>0</v>
          </cell>
          <cell r="CH543">
            <v>75</v>
          </cell>
          <cell r="CI543">
            <v>0</v>
          </cell>
          <cell r="CJ543">
            <v>0</v>
          </cell>
          <cell r="CK543">
            <v>81</v>
          </cell>
          <cell r="CL543">
            <v>302</v>
          </cell>
        </row>
        <row r="544">
          <cell r="B544" t="str">
            <v>Margin</v>
          </cell>
          <cell r="P544" t="str">
            <v>NM</v>
          </cell>
          <cell r="Q544" t="str">
            <v>NM</v>
          </cell>
          <cell r="CA544" t="str">
            <v>NM</v>
          </cell>
          <cell r="CB544" t="str">
            <v>NM</v>
          </cell>
          <cell r="CC544" t="str">
            <v>NM</v>
          </cell>
          <cell r="CD544" t="str">
            <v>NM</v>
          </cell>
          <cell r="CE544" t="str">
            <v>NM</v>
          </cell>
          <cell r="CF544" t="str">
            <v>NM</v>
          </cell>
          <cell r="CG544" t="str">
            <v>NM</v>
          </cell>
          <cell r="CH544" t="str">
            <v>NM</v>
          </cell>
          <cell r="CI544" t="str">
            <v>NM</v>
          </cell>
          <cell r="CJ544" t="str">
            <v>NM</v>
          </cell>
          <cell r="CK544">
            <v>7.4792243767313013E-2</v>
          </cell>
          <cell r="CL544">
            <v>0.14624697336561743</v>
          </cell>
        </row>
        <row r="546">
          <cell r="B546" t="str">
            <v>Income (loss) from equity investments</v>
          </cell>
          <cell r="P546">
            <v>303</v>
          </cell>
          <cell r="Q546">
            <v>123</v>
          </cell>
          <cell r="CA546">
            <v>56</v>
          </cell>
          <cell r="CB546">
            <v>63</v>
          </cell>
          <cell r="CC546">
            <v>89</v>
          </cell>
          <cell r="CD546">
            <v>95</v>
          </cell>
          <cell r="CE546">
            <v>67</v>
          </cell>
          <cell r="CF546">
            <v>19</v>
          </cell>
          <cell r="CG546">
            <v>53</v>
          </cell>
          <cell r="CH546">
            <v>-16</v>
          </cell>
          <cell r="CI546">
            <v>21</v>
          </cell>
          <cell r="CJ546">
            <v>86</v>
          </cell>
          <cell r="CK546">
            <v>72</v>
          </cell>
          <cell r="CL546">
            <v>-106</v>
          </cell>
        </row>
        <row r="548">
          <cell r="B548" t="str">
            <v>Capex</v>
          </cell>
          <cell r="P548" t="str">
            <v>ND</v>
          </cell>
          <cell r="Q548" t="str">
            <v>ND</v>
          </cell>
          <cell r="CA548" t="str">
            <v>ND</v>
          </cell>
          <cell r="CB548" t="str">
            <v>ND</v>
          </cell>
          <cell r="CC548" t="str">
            <v>ND</v>
          </cell>
          <cell r="CD548" t="str">
            <v>ND</v>
          </cell>
          <cell r="CE548" t="str">
            <v>ND</v>
          </cell>
          <cell r="CF548" t="str">
            <v>ND</v>
          </cell>
          <cell r="CG548" t="str">
            <v>ND</v>
          </cell>
          <cell r="CH548" t="str">
            <v>ND</v>
          </cell>
          <cell r="CI548">
            <v>0</v>
          </cell>
          <cell r="CJ548">
            <v>0</v>
          </cell>
          <cell r="CK548">
            <v>-29</v>
          </cell>
          <cell r="CL548">
            <v>-69</v>
          </cell>
        </row>
        <row r="549">
          <cell r="B549" t="str">
            <v>% of revenue</v>
          </cell>
          <cell r="P549" t="str">
            <v>NM</v>
          </cell>
          <cell r="Q549" t="str">
            <v>NM</v>
          </cell>
          <cell r="CA549" t="str">
            <v>NM</v>
          </cell>
          <cell r="CB549" t="str">
            <v>NM</v>
          </cell>
          <cell r="CC549" t="str">
            <v>NM</v>
          </cell>
          <cell r="CD549" t="str">
            <v>NM</v>
          </cell>
          <cell r="CE549" t="str">
            <v>NM</v>
          </cell>
          <cell r="CF549" t="str">
            <v>NM</v>
          </cell>
          <cell r="CG549" t="str">
            <v>NM</v>
          </cell>
          <cell r="CH549" t="str">
            <v>NM</v>
          </cell>
          <cell r="CI549" t="str">
            <v>NM</v>
          </cell>
          <cell r="CJ549" t="str">
            <v>NM</v>
          </cell>
          <cell r="CK549">
            <v>-2.6777469990766391E-2</v>
          </cell>
          <cell r="CL549">
            <v>-3.3414043583535107E-2</v>
          </cell>
        </row>
        <row r="551">
          <cell r="B551" t="str">
            <v>Total Assets</v>
          </cell>
          <cell r="P551" t="str">
            <v>ND</v>
          </cell>
          <cell r="Q551" t="str">
            <v>ND</v>
          </cell>
          <cell r="CA551" t="str">
            <v>ND</v>
          </cell>
          <cell r="CB551" t="str">
            <v>ND</v>
          </cell>
          <cell r="CC551" t="str">
            <v>ND</v>
          </cell>
          <cell r="CD551" t="str">
            <v>ND</v>
          </cell>
          <cell r="CE551" t="str">
            <v>ND</v>
          </cell>
          <cell r="CF551" t="str">
            <v>ND</v>
          </cell>
          <cell r="CG551" t="str">
            <v>ND</v>
          </cell>
          <cell r="CH551" t="str">
            <v>ND</v>
          </cell>
          <cell r="CI551" t="str">
            <v>ND</v>
          </cell>
          <cell r="CJ551" t="str">
            <v>ND</v>
          </cell>
          <cell r="CK551" t="str">
            <v>ND</v>
          </cell>
          <cell r="CL551">
            <v>3586</v>
          </cell>
        </row>
        <row r="553">
          <cell r="B553" t="str">
            <v>Inorganic Chemicals</v>
          </cell>
        </row>
        <row r="555">
          <cell r="B555" t="str">
            <v>Customers</v>
          </cell>
          <cell r="P555" t="str">
            <v>ND</v>
          </cell>
          <cell r="Q555">
            <v>1360</v>
          </cell>
          <cell r="CA555" t="str">
            <v>ND</v>
          </cell>
          <cell r="CB555" t="str">
            <v>ND</v>
          </cell>
          <cell r="CC555" t="str">
            <v>ND</v>
          </cell>
          <cell r="CD555" t="str">
            <v>ND</v>
          </cell>
          <cell r="CE555">
            <v>318</v>
          </cell>
          <cell r="CF555">
            <v>342</v>
          </cell>
          <cell r="CG555">
            <v>345</v>
          </cell>
          <cell r="CH555">
            <v>355</v>
          </cell>
          <cell r="CI555">
            <v>0</v>
          </cell>
          <cell r="CJ555">
            <v>0</v>
          </cell>
          <cell r="CK555">
            <v>0</v>
          </cell>
          <cell r="CL555">
            <v>1354</v>
          </cell>
        </row>
        <row r="556">
          <cell r="B556" t="str">
            <v>Intersegment</v>
          </cell>
          <cell r="P556" t="str">
            <v>ND</v>
          </cell>
          <cell r="Q556">
            <v>0</v>
          </cell>
          <cell r="CA556" t="str">
            <v>ND</v>
          </cell>
          <cell r="CB556" t="str">
            <v>ND</v>
          </cell>
          <cell r="CC556" t="str">
            <v>ND</v>
          </cell>
          <cell r="CD556" t="str">
            <v>ND</v>
          </cell>
          <cell r="CE556">
            <v>0</v>
          </cell>
          <cell r="CF556">
            <v>0</v>
          </cell>
          <cell r="CG556">
            <v>0</v>
          </cell>
          <cell r="CH556">
            <v>0</v>
          </cell>
          <cell r="CI556">
            <v>0</v>
          </cell>
          <cell r="CJ556">
            <v>0</v>
          </cell>
          <cell r="CK556">
            <v>0</v>
          </cell>
          <cell r="CL556">
            <v>0</v>
          </cell>
        </row>
        <row r="557">
          <cell r="B557" t="str">
            <v>Revenue</v>
          </cell>
          <cell r="P557">
            <v>97</v>
          </cell>
          <cell r="Q557">
            <v>1360</v>
          </cell>
          <cell r="CA557">
            <v>0</v>
          </cell>
          <cell r="CB557">
            <v>0</v>
          </cell>
          <cell r="CC557">
            <v>0</v>
          </cell>
          <cell r="CD557">
            <v>97</v>
          </cell>
          <cell r="CE557">
            <v>318</v>
          </cell>
          <cell r="CF557">
            <v>342</v>
          </cell>
          <cell r="CG557">
            <v>345</v>
          </cell>
          <cell r="CH557">
            <v>355</v>
          </cell>
          <cell r="CI557">
            <v>0</v>
          </cell>
          <cell r="CJ557">
            <v>0</v>
          </cell>
          <cell r="CK557">
            <v>0</v>
          </cell>
          <cell r="CL557">
            <v>1354</v>
          </cell>
        </row>
        <row r="558">
          <cell r="B558" t="str">
            <v>Growth</v>
          </cell>
          <cell r="Q558">
            <v>13.020618556701031</v>
          </cell>
        </row>
        <row r="560">
          <cell r="B560" t="str">
            <v>Operating Income</v>
          </cell>
          <cell r="P560">
            <v>7</v>
          </cell>
          <cell r="Q560">
            <v>18</v>
          </cell>
          <cell r="CA560">
            <v>0</v>
          </cell>
          <cell r="CB560">
            <v>0</v>
          </cell>
          <cell r="CC560">
            <v>0</v>
          </cell>
          <cell r="CD560">
            <v>7</v>
          </cell>
          <cell r="CE560">
            <v>21</v>
          </cell>
          <cell r="CF560">
            <v>16</v>
          </cell>
          <cell r="CG560">
            <v>-16</v>
          </cell>
          <cell r="CH560">
            <v>-3</v>
          </cell>
          <cell r="CI560">
            <v>0</v>
          </cell>
          <cell r="CJ560">
            <v>0</v>
          </cell>
          <cell r="CK560">
            <v>0</v>
          </cell>
          <cell r="CL560">
            <v>-567</v>
          </cell>
        </row>
        <row r="561">
          <cell r="B561" t="str">
            <v>Margin</v>
          </cell>
          <cell r="CA561" t="str">
            <v>NM</v>
          </cell>
          <cell r="CB561" t="str">
            <v>NM</v>
          </cell>
          <cell r="CC561" t="str">
            <v>NM</v>
          </cell>
          <cell r="CD561">
            <v>7.2164948453608241E-2</v>
          </cell>
          <cell r="CE561">
            <v>6.6037735849056603E-2</v>
          </cell>
          <cell r="CF561">
            <v>4.6783625730994149E-2</v>
          </cell>
          <cell r="CG561">
            <v>-4.6376811594202899E-2</v>
          </cell>
          <cell r="CH561">
            <v>-8.4507042253521118E-3</v>
          </cell>
          <cell r="CI561" t="str">
            <v>NM</v>
          </cell>
          <cell r="CJ561" t="str">
            <v>NM</v>
          </cell>
          <cell r="CK561" t="str">
            <v>NM</v>
          </cell>
          <cell r="CL561">
            <v>-0.41875923190546527</v>
          </cell>
        </row>
        <row r="563">
          <cell r="B563" t="str">
            <v>D&amp;A</v>
          </cell>
          <cell r="P563" t="str">
            <v>ND</v>
          </cell>
          <cell r="Q563" t="str">
            <v>ND</v>
          </cell>
          <cell r="CA563" t="str">
            <v>ND</v>
          </cell>
          <cell r="CB563" t="str">
            <v>ND</v>
          </cell>
          <cell r="CC563" t="str">
            <v>ND</v>
          </cell>
          <cell r="CD563" t="str">
            <v>ND</v>
          </cell>
          <cell r="CE563" t="str">
            <v>ND</v>
          </cell>
          <cell r="CF563" t="str">
            <v>ND</v>
          </cell>
          <cell r="CG563" t="str">
            <v>ND</v>
          </cell>
          <cell r="CH563" t="str">
            <v>ND</v>
          </cell>
          <cell r="CI563">
            <v>0</v>
          </cell>
          <cell r="CJ563">
            <v>0</v>
          </cell>
          <cell r="CK563">
            <v>0</v>
          </cell>
          <cell r="CL563">
            <v>-95</v>
          </cell>
        </row>
        <row r="564">
          <cell r="B564" t="str">
            <v>% of revenue</v>
          </cell>
          <cell r="CA564" t="str">
            <v>NM</v>
          </cell>
          <cell r="CB564" t="str">
            <v>NM</v>
          </cell>
          <cell r="CC564" t="str">
            <v>NM</v>
          </cell>
          <cell r="CD564" t="str">
            <v>NM</v>
          </cell>
          <cell r="CE564" t="str">
            <v>NM</v>
          </cell>
          <cell r="CF564" t="str">
            <v>NM</v>
          </cell>
          <cell r="CG564" t="str">
            <v>NM</v>
          </cell>
          <cell r="CH564" t="str">
            <v>NM</v>
          </cell>
          <cell r="CI564" t="str">
            <v>NM</v>
          </cell>
          <cell r="CJ564" t="str">
            <v>NM</v>
          </cell>
          <cell r="CK564" t="str">
            <v>NM</v>
          </cell>
          <cell r="CL564">
            <v>-7.0162481536189064E-2</v>
          </cell>
        </row>
        <row r="566">
          <cell r="B566" t="str">
            <v>Total Assets</v>
          </cell>
          <cell r="P566" t="str">
            <v>ND</v>
          </cell>
          <cell r="Q566" t="str">
            <v>ND</v>
          </cell>
          <cell r="CA566" t="str">
            <v>ND</v>
          </cell>
          <cell r="CB566" t="str">
            <v>ND</v>
          </cell>
          <cell r="CC566" t="str">
            <v>ND</v>
          </cell>
          <cell r="CD566" t="str">
            <v>ND</v>
          </cell>
          <cell r="CE566" t="str">
            <v>ND</v>
          </cell>
          <cell r="CF566" t="str">
            <v>ND</v>
          </cell>
          <cell r="CG566" t="str">
            <v>ND</v>
          </cell>
          <cell r="CH566" t="str">
            <v>ND</v>
          </cell>
          <cell r="CI566">
            <v>0</v>
          </cell>
          <cell r="CJ566">
            <v>0</v>
          </cell>
          <cell r="CK566">
            <v>0</v>
          </cell>
          <cell r="CL566">
            <v>1623</v>
          </cell>
        </row>
        <row r="568">
          <cell r="B568" t="str">
            <v>Other</v>
          </cell>
        </row>
        <row r="570">
          <cell r="B570" t="str">
            <v>Customers</v>
          </cell>
          <cell r="P570" t="str">
            <v>ND</v>
          </cell>
          <cell r="Q570">
            <v>95</v>
          </cell>
          <cell r="CA570" t="str">
            <v>ND</v>
          </cell>
          <cell r="CB570" t="str">
            <v>ND</v>
          </cell>
          <cell r="CC570" t="str">
            <v>ND</v>
          </cell>
          <cell r="CD570">
            <v>6</v>
          </cell>
          <cell r="CE570">
            <v>22</v>
          </cell>
          <cell r="CF570">
            <v>24</v>
          </cell>
          <cell r="CG570">
            <v>25</v>
          </cell>
          <cell r="CH570">
            <v>24</v>
          </cell>
          <cell r="CI570">
            <v>29</v>
          </cell>
          <cell r="CJ570">
            <v>29</v>
          </cell>
          <cell r="CK570">
            <v>36</v>
          </cell>
          <cell r="CL570">
            <v>20</v>
          </cell>
        </row>
        <row r="571">
          <cell r="B571" t="str">
            <v>Intersegment</v>
          </cell>
          <cell r="P571" t="str">
            <v>ND</v>
          </cell>
          <cell r="Q571">
            <v>-1608</v>
          </cell>
          <cell r="CA571" t="str">
            <v>ND</v>
          </cell>
          <cell r="CB571" t="str">
            <v>ND</v>
          </cell>
          <cell r="CC571" t="str">
            <v>ND</v>
          </cell>
          <cell r="CD571">
            <v>-131</v>
          </cell>
          <cell r="CE571">
            <v>-397</v>
          </cell>
          <cell r="CF571">
            <v>-396</v>
          </cell>
          <cell r="CG571">
            <v>-411</v>
          </cell>
          <cell r="CH571">
            <v>-404</v>
          </cell>
          <cell r="CI571">
            <v>-407</v>
          </cell>
          <cell r="CJ571">
            <v>-478</v>
          </cell>
          <cell r="CK571">
            <v>-807</v>
          </cell>
          <cell r="CL571">
            <v>-962</v>
          </cell>
        </row>
        <row r="572">
          <cell r="B572" t="str">
            <v>Revenue</v>
          </cell>
          <cell r="P572">
            <v>-125</v>
          </cell>
          <cell r="Q572">
            <v>-1513</v>
          </cell>
          <cell r="CA572">
            <v>0</v>
          </cell>
          <cell r="CB572">
            <v>0</v>
          </cell>
          <cell r="CC572">
            <v>0</v>
          </cell>
          <cell r="CD572">
            <v>-125</v>
          </cell>
          <cell r="CE572">
            <v>-375</v>
          </cell>
          <cell r="CF572">
            <v>-372</v>
          </cell>
          <cell r="CG572">
            <v>-386</v>
          </cell>
          <cell r="CH572">
            <v>-380</v>
          </cell>
          <cell r="CI572">
            <v>-378</v>
          </cell>
          <cell r="CJ572">
            <v>-449</v>
          </cell>
          <cell r="CK572">
            <v>-771</v>
          </cell>
          <cell r="CL572">
            <v>-942</v>
          </cell>
        </row>
        <row r="573">
          <cell r="B573" t="str">
            <v>Growth</v>
          </cell>
          <cell r="Q573">
            <v>11.103999999999999</v>
          </cell>
        </row>
        <row r="575">
          <cell r="B575" t="str">
            <v>Operating Income</v>
          </cell>
          <cell r="P575">
            <v>-70</v>
          </cell>
          <cell r="Q575">
            <v>40</v>
          </cell>
          <cell r="CA575">
            <v>0</v>
          </cell>
          <cell r="CB575">
            <v>0</v>
          </cell>
          <cell r="CC575">
            <v>0</v>
          </cell>
          <cell r="CD575">
            <v>-70</v>
          </cell>
          <cell r="CE575">
            <v>-1</v>
          </cell>
          <cell r="CF575">
            <v>10</v>
          </cell>
          <cell r="CG575">
            <v>25</v>
          </cell>
          <cell r="CH575">
            <v>6</v>
          </cell>
          <cell r="CI575">
            <v>1</v>
          </cell>
          <cell r="CJ575">
            <v>2</v>
          </cell>
          <cell r="CK575">
            <v>11</v>
          </cell>
          <cell r="CL575">
            <v>39</v>
          </cell>
        </row>
        <row r="576">
          <cell r="B576" t="str">
            <v>Margin</v>
          </cell>
          <cell r="P576">
            <v>0.56000000000000005</v>
          </cell>
          <cell r="Q576">
            <v>-2.6437541308658295E-2</v>
          </cell>
          <cell r="CA576" t="str">
            <v>NM</v>
          </cell>
          <cell r="CB576" t="str">
            <v>NM</v>
          </cell>
          <cell r="CC576" t="str">
            <v>NM</v>
          </cell>
          <cell r="CD576">
            <v>0.56000000000000005</v>
          </cell>
          <cell r="CE576">
            <v>2.6666666666666666E-3</v>
          </cell>
          <cell r="CF576">
            <v>-2.6881720430107527E-2</v>
          </cell>
          <cell r="CG576">
            <v>-6.4766839378238336E-2</v>
          </cell>
          <cell r="CH576">
            <v>-1.5789473684210527E-2</v>
          </cell>
          <cell r="CI576">
            <v>-2.6455026455026454E-3</v>
          </cell>
          <cell r="CJ576">
            <v>-4.4543429844097994E-3</v>
          </cell>
          <cell r="CK576">
            <v>-1.4267185473411154E-2</v>
          </cell>
          <cell r="CL576">
            <v>-4.1401273885350316E-2</v>
          </cell>
        </row>
        <row r="578">
          <cell r="B578" t="str">
            <v>Capex</v>
          </cell>
          <cell r="P578" t="str">
            <v>ND</v>
          </cell>
          <cell r="Q578" t="str">
            <v>ND</v>
          </cell>
          <cell r="CA578" t="str">
            <v>ND</v>
          </cell>
          <cell r="CB578" t="str">
            <v>ND</v>
          </cell>
          <cell r="CC578" t="str">
            <v>ND</v>
          </cell>
          <cell r="CD578" t="str">
            <v>ND</v>
          </cell>
          <cell r="CE578" t="str">
            <v>ND</v>
          </cell>
          <cell r="CF578" t="str">
            <v>ND</v>
          </cell>
          <cell r="CG578" t="str">
            <v>ND</v>
          </cell>
          <cell r="CH578" t="str">
            <v>ND</v>
          </cell>
          <cell r="CI578">
            <v>0</v>
          </cell>
          <cell r="CJ578">
            <v>-2</v>
          </cell>
          <cell r="CK578">
            <v>-2</v>
          </cell>
          <cell r="CL578">
            <v>-1</v>
          </cell>
        </row>
        <row r="579">
          <cell r="B579" t="str">
            <v>% of revenue</v>
          </cell>
          <cell r="P579" t="str">
            <v>NM</v>
          </cell>
          <cell r="Q579" t="str">
            <v>NM</v>
          </cell>
          <cell r="CA579" t="str">
            <v>NM</v>
          </cell>
          <cell r="CB579" t="str">
            <v>NM</v>
          </cell>
          <cell r="CC579" t="str">
            <v>NM</v>
          </cell>
          <cell r="CD579" t="str">
            <v>NM</v>
          </cell>
          <cell r="CE579" t="str">
            <v>NM</v>
          </cell>
          <cell r="CF579" t="str">
            <v>NM</v>
          </cell>
          <cell r="CG579" t="str">
            <v>NM</v>
          </cell>
          <cell r="CH579" t="str">
            <v>NM</v>
          </cell>
          <cell r="CI579">
            <v>0</v>
          </cell>
          <cell r="CJ579">
            <v>4.4543429844097994E-3</v>
          </cell>
          <cell r="CK579">
            <v>2.5940337224383916E-3</v>
          </cell>
          <cell r="CL579">
            <v>1.0615711252653928E-3</v>
          </cell>
        </row>
        <row r="581">
          <cell r="B581" t="str">
            <v>Total Assets</v>
          </cell>
          <cell r="P581" t="str">
            <v>ND</v>
          </cell>
          <cell r="Q581" t="str">
            <v>ND</v>
          </cell>
          <cell r="CA581" t="str">
            <v>ND</v>
          </cell>
          <cell r="CB581" t="str">
            <v>ND</v>
          </cell>
          <cell r="CC581" t="str">
            <v>ND</v>
          </cell>
          <cell r="CD581" t="str">
            <v>ND</v>
          </cell>
          <cell r="CE581" t="str">
            <v>ND</v>
          </cell>
          <cell r="CF581" t="str">
            <v>ND</v>
          </cell>
          <cell r="CG581" t="str">
            <v>ND</v>
          </cell>
          <cell r="CH581" t="str">
            <v>ND</v>
          </cell>
          <cell r="CI581" t="str">
            <v>ND</v>
          </cell>
          <cell r="CJ581" t="str">
            <v>ND</v>
          </cell>
          <cell r="CK581" t="str">
            <v>ND</v>
          </cell>
          <cell r="CL581">
            <v>642</v>
          </cell>
        </row>
        <row r="584">
          <cell r="B584" t="str">
            <v>CHANGE IN SEGMENT REPORTING STRUCTURE:</v>
          </cell>
        </row>
        <row r="586">
          <cell r="B586" t="str">
            <v>Intermediate chemicals and derivatives (IC&amp;D)</v>
          </cell>
        </row>
        <row r="588">
          <cell r="B588" t="str">
            <v>Revenue</v>
          </cell>
          <cell r="J588">
            <v>1447</v>
          </cell>
          <cell r="K588">
            <v>3693</v>
          </cell>
          <cell r="L588">
            <v>4036</v>
          </cell>
          <cell r="M588">
            <v>3193</v>
          </cell>
          <cell r="N588">
            <v>3262</v>
          </cell>
          <cell r="O588">
            <v>3801</v>
          </cell>
          <cell r="BE588">
            <v>566</v>
          </cell>
          <cell r="BF588">
            <v>881</v>
          </cell>
          <cell r="BG588">
            <v>855</v>
          </cell>
          <cell r="BH588">
            <v>854</v>
          </cell>
          <cell r="BI588">
            <v>976</v>
          </cell>
          <cell r="BJ588">
            <v>1008</v>
          </cell>
          <cell r="BK588">
            <v>1136</v>
          </cell>
          <cell r="BL588">
            <v>976</v>
          </cell>
          <cell r="BM588">
            <v>975</v>
          </cell>
          <cell r="BN588">
            <v>949</v>
          </cell>
          <cell r="BO588">
            <v>849</v>
          </cell>
          <cell r="BP588">
            <v>893</v>
          </cell>
          <cell r="BQ588">
            <v>742</v>
          </cell>
          <cell r="BR588">
            <v>709</v>
          </cell>
          <cell r="BS588">
            <v>674</v>
          </cell>
          <cell r="BT588">
            <v>843</v>
          </cell>
          <cell r="BU588">
            <v>855</v>
          </cell>
          <cell r="BV588">
            <v>890</v>
          </cell>
          <cell r="BW588">
            <v>989</v>
          </cell>
          <cell r="BX588">
            <v>913</v>
          </cell>
          <cell r="BY588">
            <v>954</v>
          </cell>
          <cell r="BZ588">
            <v>945</v>
          </cell>
        </row>
        <row r="589">
          <cell r="B589" t="str">
            <v>Growth</v>
          </cell>
          <cell r="K589">
            <v>1.5521769177608844</v>
          </cell>
          <cell r="L589">
            <v>9.2878418629840143E-2</v>
          </cell>
          <cell r="M589">
            <v>-0.20887016848364715</v>
          </cell>
          <cell r="N589">
            <v>2.1609771374882625E-2</v>
          </cell>
          <cell r="O589">
            <v>0.16523605150214582</v>
          </cell>
          <cell r="BF589">
            <v>0.55653710247349819</v>
          </cell>
          <cell r="BG589">
            <v>-2.9511918274687909E-2</v>
          </cell>
          <cell r="BH589">
            <v>-1.1695906432748204E-3</v>
          </cell>
          <cell r="BI589">
            <v>0.14285714285714279</v>
          </cell>
          <cell r="BJ589">
            <v>3.2786885245901676E-2</v>
          </cell>
          <cell r="BK589">
            <v>0.12698412698412698</v>
          </cell>
          <cell r="BL589">
            <v>-0.14084507042253525</v>
          </cell>
          <cell r="BM589">
            <v>-1.0245901639344135E-3</v>
          </cell>
          <cell r="BN589">
            <v>-2.6666666666666616E-2</v>
          </cell>
          <cell r="BO589">
            <v>-0.10537407797681775</v>
          </cell>
          <cell r="BP589">
            <v>5.1825677267373305E-2</v>
          </cell>
          <cell r="BQ589">
            <v>-0.16909294512877937</v>
          </cell>
          <cell r="BR589">
            <v>-4.4474393530997358E-2</v>
          </cell>
          <cell r="BS589">
            <v>-4.9365303244005676E-2</v>
          </cell>
          <cell r="BT589">
            <v>0.25074183976261133</v>
          </cell>
          <cell r="BU589">
            <v>1.4234875444839812E-2</v>
          </cell>
          <cell r="BV589">
            <v>4.0935672514619936E-2</v>
          </cell>
          <cell r="BW589">
            <v>0.11123595505617967</v>
          </cell>
          <cell r="BX589">
            <v>-7.6845298281091989E-2</v>
          </cell>
          <cell r="BY589">
            <v>4.4906900328587129E-2</v>
          </cell>
          <cell r="BZ589">
            <v>-9.4339622641509413E-3</v>
          </cell>
        </row>
        <row r="591">
          <cell r="B591" t="str">
            <v>Operating Income</v>
          </cell>
          <cell r="J591">
            <v>108</v>
          </cell>
          <cell r="K591">
            <v>404</v>
          </cell>
          <cell r="L591">
            <v>339</v>
          </cell>
          <cell r="M591">
            <v>142</v>
          </cell>
          <cell r="N591">
            <v>174</v>
          </cell>
          <cell r="O591">
            <v>-1</v>
          </cell>
          <cell r="BE591">
            <v>30</v>
          </cell>
          <cell r="BF591">
            <v>78</v>
          </cell>
          <cell r="BG591">
            <v>129</v>
          </cell>
          <cell r="BH591">
            <v>100</v>
          </cell>
          <cell r="BI591">
            <v>100</v>
          </cell>
          <cell r="BJ591">
            <v>75</v>
          </cell>
          <cell r="BK591">
            <v>87</v>
          </cell>
          <cell r="BL591">
            <v>142</v>
          </cell>
          <cell r="BM591">
            <v>97</v>
          </cell>
          <cell r="BN591">
            <v>13</v>
          </cell>
          <cell r="BO591">
            <v>31</v>
          </cell>
          <cell r="BP591">
            <v>66</v>
          </cell>
          <cell r="BQ591">
            <v>60</v>
          </cell>
          <cell r="BR591">
            <v>-15</v>
          </cell>
          <cell r="BS591">
            <v>38</v>
          </cell>
          <cell r="BT591">
            <v>65</v>
          </cell>
          <cell r="BU591">
            <v>59</v>
          </cell>
          <cell r="BV591">
            <v>12</v>
          </cell>
          <cell r="BW591">
            <v>-18</v>
          </cell>
          <cell r="BX591">
            <v>-6</v>
          </cell>
          <cell r="BY591">
            <v>20</v>
          </cell>
          <cell r="BZ591">
            <v>3</v>
          </cell>
        </row>
        <row r="592">
          <cell r="B592" t="str">
            <v>Margin</v>
          </cell>
          <cell r="J592">
            <v>7.4637180373185896E-2</v>
          </cell>
          <cell r="K592">
            <v>0.10939615488762523</v>
          </cell>
          <cell r="L592">
            <v>8.3994053518334985E-2</v>
          </cell>
          <cell r="M592">
            <v>4.4472283119323518E-2</v>
          </cell>
          <cell r="N592">
            <v>5.3341508277130592E-2</v>
          </cell>
          <cell r="O592">
            <v>-2.6308866087871614E-4</v>
          </cell>
          <cell r="BE592">
            <v>5.3003533568904596E-2</v>
          </cell>
          <cell r="BF592">
            <v>8.8535754824063562E-2</v>
          </cell>
          <cell r="BK592">
            <v>7.6584507042253516E-2</v>
          </cell>
          <cell r="BL592">
            <v>0.14549180327868852</v>
          </cell>
          <cell r="BM592">
            <v>9.9487179487179486E-2</v>
          </cell>
          <cell r="BN592">
            <v>1.3698630136986301E-2</v>
          </cell>
          <cell r="BO592">
            <v>3.6513545347467612E-2</v>
          </cell>
          <cell r="BP592">
            <v>7.3908174692049272E-2</v>
          </cell>
          <cell r="BQ592">
            <v>8.0862533692722366E-2</v>
          </cell>
          <cell r="BR592">
            <v>-2.1156558533145273E-2</v>
          </cell>
          <cell r="BS592">
            <v>5.637982195845697E-2</v>
          </cell>
          <cell r="BT592">
            <v>7.7105575326215897E-2</v>
          </cell>
          <cell r="BU592">
            <v>6.9005847953216376E-2</v>
          </cell>
          <cell r="BV592">
            <v>1.3483146067415731E-2</v>
          </cell>
          <cell r="BW592">
            <v>-1.8200202224469161E-2</v>
          </cell>
          <cell r="BX592">
            <v>-6.5717415115005475E-3</v>
          </cell>
          <cell r="BY592">
            <v>2.0964360587002098E-2</v>
          </cell>
          <cell r="BZ592">
            <v>3.1746031746031746E-3</v>
          </cell>
        </row>
        <row r="594">
          <cell r="B594" t="str">
            <v>Other income, net</v>
          </cell>
          <cell r="J594" t="str">
            <v>ND</v>
          </cell>
          <cell r="K594" t="str">
            <v>ND</v>
          </cell>
          <cell r="L594" t="str">
            <v>ND</v>
          </cell>
          <cell r="M594" t="str">
            <v>ND</v>
          </cell>
          <cell r="N594" t="str">
            <v>ND</v>
          </cell>
          <cell r="O594" t="str">
            <v>ND</v>
          </cell>
          <cell r="BE594" t="str">
            <v>ND</v>
          </cell>
          <cell r="BF594" t="str">
            <v>ND</v>
          </cell>
          <cell r="BG594" t="str">
            <v>ND</v>
          </cell>
          <cell r="BH594" t="str">
            <v>ND</v>
          </cell>
          <cell r="BI594" t="str">
            <v>ND</v>
          </cell>
          <cell r="BJ594" t="str">
            <v>ND</v>
          </cell>
          <cell r="BK594" t="str">
            <v>ND</v>
          </cell>
          <cell r="BL594" t="str">
            <v>ND</v>
          </cell>
          <cell r="BM594" t="str">
            <v>ND</v>
          </cell>
          <cell r="BN594" t="str">
            <v>ND</v>
          </cell>
          <cell r="BO594" t="str">
            <v>ND</v>
          </cell>
          <cell r="BP594" t="str">
            <v>ND</v>
          </cell>
          <cell r="BQ594" t="str">
            <v>ND</v>
          </cell>
          <cell r="BR594" t="str">
            <v>ND</v>
          </cell>
          <cell r="BS594" t="str">
            <v>ND</v>
          </cell>
          <cell r="BT594" t="str">
            <v>ND</v>
          </cell>
          <cell r="BU594" t="str">
            <v>ND</v>
          </cell>
          <cell r="BV594" t="str">
            <v>ND</v>
          </cell>
          <cell r="BW594">
            <v>16</v>
          </cell>
          <cell r="BX594" t="str">
            <v>ND</v>
          </cell>
          <cell r="BY594" t="str">
            <v>ND</v>
          </cell>
          <cell r="BZ594" t="str">
            <v>ND</v>
          </cell>
        </row>
        <row r="595">
          <cell r="B595" t="str">
            <v>Gain on sale of assets</v>
          </cell>
          <cell r="J595" t="str">
            <v>ND</v>
          </cell>
          <cell r="K595" t="str">
            <v>ND</v>
          </cell>
          <cell r="L595" t="str">
            <v>ND</v>
          </cell>
          <cell r="M595" t="str">
            <v>ND</v>
          </cell>
          <cell r="N595" t="str">
            <v>ND</v>
          </cell>
          <cell r="O595" t="str">
            <v>ND</v>
          </cell>
          <cell r="BE595" t="str">
            <v>ND</v>
          </cell>
          <cell r="BF595" t="str">
            <v>ND</v>
          </cell>
          <cell r="BG595" t="str">
            <v>ND</v>
          </cell>
          <cell r="BH595" t="str">
            <v>ND</v>
          </cell>
          <cell r="BI595" t="str">
            <v>ND</v>
          </cell>
          <cell r="BJ595" t="str">
            <v>ND</v>
          </cell>
          <cell r="BK595">
            <v>544</v>
          </cell>
          <cell r="BL595" t="str">
            <v>ND</v>
          </cell>
          <cell r="BM595" t="str">
            <v>ND</v>
          </cell>
          <cell r="BN595" t="str">
            <v>ND</v>
          </cell>
          <cell r="BO595" t="str">
            <v>ND</v>
          </cell>
          <cell r="BP595" t="str">
            <v>ND</v>
          </cell>
          <cell r="BQ595" t="str">
            <v>ND</v>
          </cell>
          <cell r="BR595" t="str">
            <v>ND</v>
          </cell>
          <cell r="BS595" t="str">
            <v>ND</v>
          </cell>
          <cell r="BT595" t="str">
            <v>ND</v>
          </cell>
          <cell r="BU595" t="str">
            <v>ND</v>
          </cell>
          <cell r="BV595" t="str">
            <v>ND</v>
          </cell>
          <cell r="BW595" t="str">
            <v>ND</v>
          </cell>
          <cell r="BX595" t="str">
            <v>ND</v>
          </cell>
          <cell r="BY595" t="str">
            <v>ND</v>
          </cell>
          <cell r="BZ595" t="str">
            <v>ND</v>
          </cell>
        </row>
        <row r="597">
          <cell r="B597" t="str">
            <v>Income (loss) from equity investments</v>
          </cell>
          <cell r="J597">
            <v>0</v>
          </cell>
          <cell r="K597">
            <v>0</v>
          </cell>
          <cell r="L597">
            <v>0</v>
          </cell>
          <cell r="M597">
            <v>0</v>
          </cell>
          <cell r="N597">
            <v>1</v>
          </cell>
          <cell r="O597">
            <v>-19</v>
          </cell>
          <cell r="BE597" t="str">
            <v>ND</v>
          </cell>
          <cell r="BF597" t="str">
            <v>ND</v>
          </cell>
          <cell r="BG597">
            <v>0</v>
          </cell>
          <cell r="BH597">
            <v>3</v>
          </cell>
          <cell r="BI597">
            <v>2</v>
          </cell>
          <cell r="BJ597">
            <v>-5</v>
          </cell>
          <cell r="BK597">
            <v>3</v>
          </cell>
          <cell r="BL597">
            <v>3</v>
          </cell>
          <cell r="BM597">
            <v>2</v>
          </cell>
          <cell r="BN597">
            <v>-8</v>
          </cell>
          <cell r="BO597">
            <v>1</v>
          </cell>
          <cell r="BP597">
            <v>0</v>
          </cell>
          <cell r="BQ597">
            <v>-1</v>
          </cell>
          <cell r="BR597" t="str">
            <v>ND</v>
          </cell>
          <cell r="BS597">
            <v>0</v>
          </cell>
          <cell r="BT597">
            <v>0</v>
          </cell>
          <cell r="BU597">
            <v>1</v>
          </cell>
          <cell r="BV597">
            <v>0</v>
          </cell>
          <cell r="BW597">
            <v>-2</v>
          </cell>
          <cell r="BX597">
            <v>-4</v>
          </cell>
          <cell r="BY597">
            <v>-4</v>
          </cell>
          <cell r="BZ597">
            <v>-9</v>
          </cell>
        </row>
        <row r="599">
          <cell r="B599" t="str">
            <v>D&amp;A</v>
          </cell>
          <cell r="J599">
            <v>-138</v>
          </cell>
          <cell r="K599">
            <v>-330</v>
          </cell>
          <cell r="L599">
            <v>-279</v>
          </cell>
          <cell r="M599">
            <v>-254</v>
          </cell>
          <cell r="N599">
            <v>-244</v>
          </cell>
          <cell r="O599">
            <v>-250</v>
          </cell>
          <cell r="BE599" t="str">
            <v>ND</v>
          </cell>
          <cell r="BF599" t="str">
            <v>ND</v>
          </cell>
          <cell r="BG599" t="str">
            <v>ND</v>
          </cell>
          <cell r="BH599" t="str">
            <v>ND</v>
          </cell>
          <cell r="BI599" t="str">
            <v>ND</v>
          </cell>
          <cell r="BJ599" t="str">
            <v>ND</v>
          </cell>
          <cell r="BK599" t="str">
            <v>ND</v>
          </cell>
          <cell r="BL599" t="str">
            <v>ND</v>
          </cell>
          <cell r="BM599" t="str">
            <v>ND</v>
          </cell>
          <cell r="BN599" t="str">
            <v>ND</v>
          </cell>
          <cell r="BO599" t="str">
            <v>ND</v>
          </cell>
          <cell r="BP599" t="str">
            <v>ND</v>
          </cell>
          <cell r="BQ599" t="str">
            <v>ND</v>
          </cell>
          <cell r="BR599" t="str">
            <v>ND</v>
          </cell>
          <cell r="BS599" t="str">
            <v>ND</v>
          </cell>
          <cell r="BT599" t="str">
            <v>ND</v>
          </cell>
          <cell r="BU599" t="str">
            <v>ND</v>
          </cell>
          <cell r="BV599" t="str">
            <v>ND</v>
          </cell>
          <cell r="BW599" t="str">
            <v>ND</v>
          </cell>
          <cell r="BX599" t="str">
            <v>ND</v>
          </cell>
          <cell r="BY599" t="str">
            <v>ND</v>
          </cell>
          <cell r="BZ599" t="str">
            <v>ND</v>
          </cell>
        </row>
        <row r="600">
          <cell r="B600" t="str">
            <v>% of revenue</v>
          </cell>
          <cell r="J600">
            <v>-9.5369730476848658E-2</v>
          </cell>
          <cell r="K600">
            <v>-8.9358245329000816E-2</v>
          </cell>
          <cell r="L600">
            <v>-6.9127849355797813E-2</v>
          </cell>
          <cell r="M600">
            <v>-7.9549013466958973E-2</v>
          </cell>
          <cell r="N600">
            <v>-7.4800735744941754E-2</v>
          </cell>
          <cell r="O600">
            <v>-6.5772165219679032E-2</v>
          </cell>
          <cell r="BE600" t="str">
            <v>NM</v>
          </cell>
          <cell r="BF600" t="str">
            <v>NM</v>
          </cell>
          <cell r="BG600" t="str">
            <v>NM</v>
          </cell>
          <cell r="BH600" t="str">
            <v>NM</v>
          </cell>
          <cell r="BI600" t="str">
            <v>NM</v>
          </cell>
          <cell r="BJ600" t="str">
            <v>NM</v>
          </cell>
          <cell r="BK600" t="str">
            <v>NM</v>
          </cell>
          <cell r="BL600" t="str">
            <v>NM</v>
          </cell>
          <cell r="BM600" t="str">
            <v>NM</v>
          </cell>
          <cell r="BN600" t="str">
            <v>NM</v>
          </cell>
          <cell r="BO600" t="str">
            <v>NM</v>
          </cell>
          <cell r="BP600" t="str">
            <v>NM</v>
          </cell>
          <cell r="BQ600" t="str">
            <v>NM</v>
          </cell>
          <cell r="BR600" t="str">
            <v>NM</v>
          </cell>
          <cell r="BS600" t="str">
            <v>NM</v>
          </cell>
          <cell r="BT600" t="str">
            <v>NM</v>
          </cell>
          <cell r="BU600" t="str">
            <v>NM</v>
          </cell>
          <cell r="BV600" t="str">
            <v>NM</v>
          </cell>
          <cell r="BW600" t="str">
            <v>NM</v>
          </cell>
          <cell r="BX600" t="str">
            <v>NM</v>
          </cell>
          <cell r="BY600" t="str">
            <v>NM</v>
          </cell>
          <cell r="BZ600" t="str">
            <v>NM</v>
          </cell>
        </row>
        <row r="602">
          <cell r="B602" t="str">
            <v>Capex</v>
          </cell>
          <cell r="J602">
            <v>-64</v>
          </cell>
          <cell r="K602">
            <v>-131</v>
          </cell>
          <cell r="L602">
            <v>-104</v>
          </cell>
          <cell r="M602">
            <v>-68</v>
          </cell>
          <cell r="N602">
            <v>-22</v>
          </cell>
          <cell r="O602">
            <v>268</v>
          </cell>
          <cell r="BE602" t="str">
            <v>ND</v>
          </cell>
          <cell r="BF602" t="str">
            <v>ND</v>
          </cell>
          <cell r="BG602" t="str">
            <v>ND</v>
          </cell>
          <cell r="BH602" t="str">
            <v>ND</v>
          </cell>
          <cell r="BI602" t="str">
            <v>ND</v>
          </cell>
          <cell r="BJ602" t="str">
            <v>ND</v>
          </cell>
          <cell r="BK602" t="str">
            <v>ND</v>
          </cell>
          <cell r="BL602" t="str">
            <v>ND</v>
          </cell>
          <cell r="BM602" t="str">
            <v>ND</v>
          </cell>
          <cell r="BN602" t="str">
            <v>ND</v>
          </cell>
          <cell r="BO602" t="str">
            <v>ND</v>
          </cell>
          <cell r="BP602" t="str">
            <v>ND</v>
          </cell>
          <cell r="BQ602" t="str">
            <v>ND</v>
          </cell>
          <cell r="BR602" t="str">
            <v>ND</v>
          </cell>
          <cell r="BS602" t="str">
            <v>ND</v>
          </cell>
          <cell r="BT602" t="str">
            <v>ND</v>
          </cell>
          <cell r="BU602" t="str">
            <v>ND</v>
          </cell>
          <cell r="BV602" t="str">
            <v>ND</v>
          </cell>
          <cell r="BW602" t="str">
            <v>ND</v>
          </cell>
          <cell r="BX602" t="str">
            <v>ND</v>
          </cell>
          <cell r="BY602" t="str">
            <v>ND</v>
          </cell>
          <cell r="BZ602" t="str">
            <v>ND</v>
          </cell>
        </row>
        <row r="603">
          <cell r="B603" t="str">
            <v>% of revenue</v>
          </cell>
          <cell r="J603">
            <v>-4.42294402211472E-2</v>
          </cell>
          <cell r="K603">
            <v>-3.5472515569997295E-2</v>
          </cell>
          <cell r="L603">
            <v>-2.576808721506442E-2</v>
          </cell>
          <cell r="M603">
            <v>-2.1296586282492952E-2</v>
          </cell>
          <cell r="N603">
            <v>-6.7443286327406498E-3</v>
          </cell>
          <cell r="O603">
            <v>7.0507761115495921E-2</v>
          </cell>
          <cell r="BE603" t="str">
            <v>NM</v>
          </cell>
          <cell r="BF603" t="str">
            <v>NM</v>
          </cell>
          <cell r="BG603" t="str">
            <v>NM</v>
          </cell>
          <cell r="BH603" t="str">
            <v>NM</v>
          </cell>
          <cell r="BI603" t="str">
            <v>NM</v>
          </cell>
          <cell r="BJ603" t="str">
            <v>NM</v>
          </cell>
          <cell r="BK603" t="str">
            <v>NM</v>
          </cell>
          <cell r="BL603" t="str">
            <v>NM</v>
          </cell>
          <cell r="BM603" t="str">
            <v>NM</v>
          </cell>
          <cell r="BN603" t="str">
            <v>NM</v>
          </cell>
          <cell r="BO603" t="str">
            <v>NM</v>
          </cell>
          <cell r="BP603" t="str">
            <v>NM</v>
          </cell>
          <cell r="BQ603" t="str">
            <v>NM</v>
          </cell>
          <cell r="BR603" t="str">
            <v>NM</v>
          </cell>
          <cell r="BS603" t="str">
            <v>NM</v>
          </cell>
          <cell r="BT603" t="str">
            <v>NM</v>
          </cell>
          <cell r="BU603" t="str">
            <v>NM</v>
          </cell>
          <cell r="BV603" t="str">
            <v>NM</v>
          </cell>
          <cell r="BW603" t="str">
            <v>NM</v>
          </cell>
          <cell r="BX603" t="str">
            <v>NM</v>
          </cell>
          <cell r="BY603" t="str">
            <v>NM</v>
          </cell>
          <cell r="BZ603" t="str">
            <v>NM</v>
          </cell>
        </row>
        <row r="605">
          <cell r="B605" t="str">
            <v>Total Assets</v>
          </cell>
          <cell r="J605">
            <v>8131</v>
          </cell>
          <cell r="K605">
            <v>8557</v>
          </cell>
          <cell r="L605">
            <v>6150</v>
          </cell>
          <cell r="M605">
            <v>5887</v>
          </cell>
          <cell r="N605">
            <v>5967</v>
          </cell>
          <cell r="O605">
            <v>6436</v>
          </cell>
          <cell r="BE605" t="str">
            <v>ND</v>
          </cell>
          <cell r="BF605" t="str">
            <v>ND</v>
          </cell>
          <cell r="BG605" t="str">
            <v>ND</v>
          </cell>
          <cell r="BH605" t="str">
            <v>ND</v>
          </cell>
          <cell r="BI605" t="str">
            <v>ND</v>
          </cell>
          <cell r="BJ605" t="str">
            <v>ND</v>
          </cell>
          <cell r="BK605" t="str">
            <v>ND</v>
          </cell>
          <cell r="BL605" t="str">
            <v>ND</v>
          </cell>
          <cell r="BM605" t="str">
            <v>ND</v>
          </cell>
          <cell r="BN605" t="str">
            <v>ND</v>
          </cell>
          <cell r="BO605" t="str">
            <v>ND</v>
          </cell>
          <cell r="BP605" t="str">
            <v>ND</v>
          </cell>
          <cell r="BQ605" t="str">
            <v>ND</v>
          </cell>
          <cell r="BR605" t="str">
            <v>ND</v>
          </cell>
          <cell r="BS605" t="str">
            <v>ND</v>
          </cell>
          <cell r="BT605" t="str">
            <v>ND</v>
          </cell>
          <cell r="BU605" t="str">
            <v>ND</v>
          </cell>
          <cell r="BV605">
            <v>5967</v>
          </cell>
          <cell r="BW605" t="str">
            <v>ND</v>
          </cell>
          <cell r="BX605" t="str">
            <v>ND</v>
          </cell>
          <cell r="BY605" t="str">
            <v>ND</v>
          </cell>
          <cell r="BZ605" t="str">
            <v>ND</v>
          </cell>
        </row>
        <row r="607">
          <cell r="B607" t="str">
            <v>Petrochemical</v>
          </cell>
        </row>
        <row r="609">
          <cell r="B609" t="str">
            <v>Customers</v>
          </cell>
          <cell r="C609">
            <v>1666</v>
          </cell>
          <cell r="D609">
            <v>1409</v>
          </cell>
          <cell r="E609">
            <v>1326</v>
          </cell>
          <cell r="F609">
            <v>1783</v>
          </cell>
          <cell r="G609">
            <v>2466</v>
          </cell>
          <cell r="H609">
            <v>1628</v>
          </cell>
          <cell r="I609">
            <v>2108</v>
          </cell>
          <cell r="J609" t="str">
            <v>ND</v>
          </cell>
          <cell r="K609" t="str">
            <v>ND</v>
          </cell>
          <cell r="L609" t="str">
            <v>ND</v>
          </cell>
          <cell r="M609" t="str">
            <v>ND</v>
          </cell>
          <cell r="N609" t="str">
            <v>ND</v>
          </cell>
          <cell r="O609" t="str">
            <v>ND</v>
          </cell>
          <cell r="AI609" t="str">
            <v>ND</v>
          </cell>
          <cell r="AJ609" t="str">
            <v>ND</v>
          </cell>
          <cell r="AK609" t="str">
            <v>ND</v>
          </cell>
          <cell r="AL609" t="str">
            <v>ND</v>
          </cell>
          <cell r="AM609" t="str">
            <v>ND</v>
          </cell>
          <cell r="AN609" t="str">
            <v>ND</v>
          </cell>
          <cell r="AO609" t="str">
            <v>ND</v>
          </cell>
          <cell r="AP609" t="str">
            <v>ND</v>
          </cell>
          <cell r="AQ609" t="str">
            <v>ND</v>
          </cell>
          <cell r="AR609" t="str">
            <v>ND</v>
          </cell>
          <cell r="AS609" t="str">
            <v>ND</v>
          </cell>
          <cell r="AT609" t="str">
            <v>ND</v>
          </cell>
          <cell r="AU609" t="str">
            <v>ND</v>
          </cell>
          <cell r="AV609" t="str">
            <v>ND</v>
          </cell>
          <cell r="AW609" t="str">
            <v>ND</v>
          </cell>
          <cell r="AX609" t="str">
            <v>ND</v>
          </cell>
          <cell r="AY609" t="str">
            <v>ND</v>
          </cell>
          <cell r="AZ609" t="str">
            <v>ND</v>
          </cell>
          <cell r="BA609" t="str">
            <v>ND</v>
          </cell>
          <cell r="BB609" t="str">
            <v>ND</v>
          </cell>
          <cell r="BC609" t="str">
            <v>ND</v>
          </cell>
          <cell r="BD609" t="str">
            <v>ND</v>
          </cell>
          <cell r="BE609" t="str">
            <v>ND</v>
          </cell>
          <cell r="BF609" t="str">
            <v>ND</v>
          </cell>
          <cell r="BG609" t="str">
            <v>ND</v>
          </cell>
          <cell r="BH609" t="str">
            <v>ND</v>
          </cell>
          <cell r="BI609" t="str">
            <v>ND</v>
          </cell>
          <cell r="BJ609" t="str">
            <v>ND</v>
          </cell>
          <cell r="BK609" t="str">
            <v>ND</v>
          </cell>
          <cell r="BL609" t="str">
            <v>ND</v>
          </cell>
          <cell r="BM609" t="str">
            <v>ND</v>
          </cell>
          <cell r="BN609" t="str">
            <v>ND</v>
          </cell>
          <cell r="BO609" t="str">
            <v>ND</v>
          </cell>
          <cell r="BP609" t="str">
            <v>ND</v>
          </cell>
          <cell r="BQ609" t="str">
            <v>ND</v>
          </cell>
          <cell r="BR609" t="str">
            <v>ND</v>
          </cell>
          <cell r="BS609" t="str">
            <v>ND</v>
          </cell>
          <cell r="BT609" t="str">
            <v>ND</v>
          </cell>
          <cell r="BU609" t="str">
            <v>ND</v>
          </cell>
          <cell r="BV609" t="str">
            <v>ND</v>
          </cell>
          <cell r="BW609" t="str">
            <v>ND</v>
          </cell>
          <cell r="BX609" t="str">
            <v>ND</v>
          </cell>
          <cell r="BY609" t="str">
            <v>ND</v>
          </cell>
          <cell r="BZ609" t="str">
            <v>ND</v>
          </cell>
        </row>
        <row r="610">
          <cell r="B610" t="str">
            <v>Intersegment</v>
          </cell>
          <cell r="C610">
            <v>293</v>
          </cell>
          <cell r="D610">
            <v>266</v>
          </cell>
          <cell r="E610">
            <v>180</v>
          </cell>
          <cell r="F610">
            <v>190</v>
          </cell>
          <cell r="G610">
            <v>191</v>
          </cell>
          <cell r="H610">
            <v>665</v>
          </cell>
          <cell r="I610">
            <v>424</v>
          </cell>
          <cell r="J610" t="str">
            <v>ND</v>
          </cell>
          <cell r="K610" t="str">
            <v>ND</v>
          </cell>
          <cell r="L610" t="str">
            <v>ND</v>
          </cell>
          <cell r="M610" t="str">
            <v>ND</v>
          </cell>
          <cell r="N610" t="str">
            <v>ND</v>
          </cell>
          <cell r="O610" t="str">
            <v>ND</v>
          </cell>
          <cell r="AI610" t="str">
            <v>ND</v>
          </cell>
          <cell r="AJ610" t="str">
            <v>ND</v>
          </cell>
          <cell r="AK610" t="str">
            <v>ND</v>
          </cell>
          <cell r="AL610" t="str">
            <v>ND</v>
          </cell>
          <cell r="AM610" t="str">
            <v>ND</v>
          </cell>
          <cell r="AN610" t="str">
            <v>ND</v>
          </cell>
          <cell r="AO610" t="str">
            <v>ND</v>
          </cell>
          <cell r="AP610" t="str">
            <v>ND</v>
          </cell>
          <cell r="AQ610" t="str">
            <v>ND</v>
          </cell>
          <cell r="AR610" t="str">
            <v>ND</v>
          </cell>
          <cell r="AS610" t="str">
            <v>ND</v>
          </cell>
          <cell r="AT610" t="str">
            <v>ND</v>
          </cell>
          <cell r="AU610" t="str">
            <v>ND</v>
          </cell>
          <cell r="AV610" t="str">
            <v>ND</v>
          </cell>
          <cell r="AW610" t="str">
            <v>ND</v>
          </cell>
          <cell r="AX610" t="str">
            <v>ND</v>
          </cell>
          <cell r="AY610" t="str">
            <v>ND</v>
          </cell>
          <cell r="AZ610" t="str">
            <v>ND</v>
          </cell>
          <cell r="BA610" t="str">
            <v>ND</v>
          </cell>
          <cell r="BB610" t="str">
            <v>ND</v>
          </cell>
          <cell r="BC610" t="str">
            <v>ND</v>
          </cell>
          <cell r="BD610" t="str">
            <v>ND</v>
          </cell>
          <cell r="BE610" t="str">
            <v>ND</v>
          </cell>
          <cell r="BF610" t="str">
            <v>ND</v>
          </cell>
          <cell r="BG610" t="str">
            <v>ND</v>
          </cell>
          <cell r="BH610" t="str">
            <v>ND</v>
          </cell>
          <cell r="BI610" t="str">
            <v>ND</v>
          </cell>
          <cell r="BJ610" t="str">
            <v>ND</v>
          </cell>
          <cell r="BK610" t="str">
            <v>ND</v>
          </cell>
          <cell r="BL610" t="str">
            <v>ND</v>
          </cell>
          <cell r="BM610" t="str">
            <v>ND</v>
          </cell>
          <cell r="BN610" t="str">
            <v>ND</v>
          </cell>
          <cell r="BO610" t="str">
            <v>ND</v>
          </cell>
          <cell r="BP610" t="str">
            <v>ND</v>
          </cell>
          <cell r="BQ610" t="str">
            <v>ND</v>
          </cell>
          <cell r="BR610" t="str">
            <v>ND</v>
          </cell>
          <cell r="BS610" t="str">
            <v>ND</v>
          </cell>
          <cell r="BT610" t="str">
            <v>ND</v>
          </cell>
          <cell r="BU610" t="str">
            <v>ND</v>
          </cell>
          <cell r="BV610" t="str">
            <v>ND</v>
          </cell>
          <cell r="BW610" t="str">
            <v>ND</v>
          </cell>
          <cell r="BX610" t="str">
            <v>ND</v>
          </cell>
          <cell r="BY610" t="str">
            <v>ND</v>
          </cell>
          <cell r="BZ610" t="str">
            <v>ND</v>
          </cell>
        </row>
        <row r="611">
          <cell r="B611" t="str">
            <v>Revenue</v>
          </cell>
          <cell r="C611">
            <v>1959</v>
          </cell>
          <cell r="D611">
            <v>1675</v>
          </cell>
          <cell r="E611">
            <v>1506</v>
          </cell>
          <cell r="F611">
            <v>1973</v>
          </cell>
          <cell r="G611">
            <v>2657</v>
          </cell>
          <cell r="H611">
            <v>2293</v>
          </cell>
          <cell r="I611">
            <v>2532</v>
          </cell>
          <cell r="J611">
            <v>0</v>
          </cell>
          <cell r="K611">
            <v>0</v>
          </cell>
          <cell r="L611">
            <v>0</v>
          </cell>
          <cell r="M611">
            <v>0</v>
          </cell>
          <cell r="N611">
            <v>0</v>
          </cell>
          <cell r="O611">
            <v>0</v>
          </cell>
          <cell r="AI611">
            <v>390</v>
          </cell>
          <cell r="AJ611">
            <v>400</v>
          </cell>
          <cell r="AK611">
            <v>362</v>
          </cell>
          <cell r="AL611">
            <v>354</v>
          </cell>
          <cell r="AM611">
            <v>384</v>
          </cell>
          <cell r="AN611">
            <v>439</v>
          </cell>
          <cell r="AO611">
            <v>537</v>
          </cell>
          <cell r="AP611">
            <v>613</v>
          </cell>
          <cell r="AQ611">
            <v>646</v>
          </cell>
          <cell r="AR611">
            <v>769</v>
          </cell>
          <cell r="AS611">
            <v>687</v>
          </cell>
          <cell r="AT611">
            <v>555</v>
          </cell>
          <cell r="AU611">
            <v>495</v>
          </cell>
          <cell r="AV611">
            <v>534</v>
          </cell>
          <cell r="AW611">
            <v>582</v>
          </cell>
          <cell r="AX611">
            <v>682</v>
          </cell>
          <cell r="AY611">
            <v>659</v>
          </cell>
          <cell r="AZ611">
            <v>688</v>
          </cell>
          <cell r="BA611">
            <v>707</v>
          </cell>
          <cell r="BB611">
            <v>478</v>
          </cell>
          <cell r="BC611">
            <v>0</v>
          </cell>
          <cell r="BD611">
            <v>0</v>
          </cell>
          <cell r="BE611">
            <v>0</v>
          </cell>
          <cell r="BF611">
            <v>0</v>
          </cell>
          <cell r="BG611">
            <v>0</v>
          </cell>
          <cell r="BH611">
            <v>0</v>
          </cell>
          <cell r="BI611">
            <v>0</v>
          </cell>
          <cell r="BJ611">
            <v>0</v>
          </cell>
          <cell r="BK611">
            <v>0</v>
          </cell>
          <cell r="BL611">
            <v>0</v>
          </cell>
          <cell r="BM611">
            <v>0</v>
          </cell>
          <cell r="BN611">
            <v>0</v>
          </cell>
          <cell r="BO611">
            <v>0</v>
          </cell>
          <cell r="BP611">
            <v>0</v>
          </cell>
          <cell r="BQ611">
            <v>0</v>
          </cell>
          <cell r="BR611">
            <v>0</v>
          </cell>
          <cell r="BS611">
            <v>0</v>
          </cell>
          <cell r="BT611">
            <v>0</v>
          </cell>
          <cell r="BU611">
            <v>0</v>
          </cell>
          <cell r="BV611">
            <v>0</v>
          </cell>
          <cell r="BW611">
            <v>0</v>
          </cell>
          <cell r="BX611">
            <v>0</v>
          </cell>
          <cell r="BY611">
            <v>0</v>
          </cell>
          <cell r="BZ611">
            <v>0</v>
          </cell>
        </row>
        <row r="612">
          <cell r="B612" t="str">
            <v>Growth</v>
          </cell>
          <cell r="D612">
            <v>0.85502807554874938</v>
          </cell>
          <cell r="E612">
            <v>0.89910447761194034</v>
          </cell>
          <cell r="F612">
            <v>1.3100929614873837</v>
          </cell>
          <cell r="G612">
            <v>1.3466801824632539</v>
          </cell>
          <cell r="H612">
            <v>0.86300338727888593</v>
          </cell>
          <cell r="I612">
            <v>1.1042302660270389</v>
          </cell>
          <cell r="J612">
            <v>0</v>
          </cell>
          <cell r="K612" t="str">
            <v>NM</v>
          </cell>
          <cell r="L612" t="str">
            <v>NM</v>
          </cell>
          <cell r="M612" t="str">
            <v>NM</v>
          </cell>
          <cell r="N612" t="str">
            <v>NM</v>
          </cell>
          <cell r="O612" t="str">
            <v>NM</v>
          </cell>
          <cell r="AI612" t="str">
            <v>NM</v>
          </cell>
          <cell r="AJ612">
            <v>2.564102564102555E-2</v>
          </cell>
          <cell r="AK612">
            <v>-9.4999999999999973E-2</v>
          </cell>
          <cell r="AL612">
            <v>-2.2099447513812209E-2</v>
          </cell>
          <cell r="AM612">
            <v>8.4745762711864403E-2</v>
          </cell>
          <cell r="AN612">
            <v>0.14322916666666674</v>
          </cell>
          <cell r="AO612">
            <v>0.22323462414578588</v>
          </cell>
          <cell r="AP612">
            <v>0.14152700186219747</v>
          </cell>
          <cell r="AQ612">
            <v>5.3833605220228398E-2</v>
          </cell>
          <cell r="AR612">
            <v>0.19040247678018574</v>
          </cell>
          <cell r="AS612">
            <v>-0.10663198959687903</v>
          </cell>
          <cell r="AT612">
            <v>-0.19213973799126638</v>
          </cell>
          <cell r="AU612">
            <v>-0.10810810810810811</v>
          </cell>
          <cell r="AV612">
            <v>7.8787878787878851E-2</v>
          </cell>
          <cell r="AW612">
            <v>8.98876404494382E-2</v>
          </cell>
          <cell r="AX612">
            <v>0.17182130584192445</v>
          </cell>
          <cell r="AY612">
            <v>-3.3724340175953049E-2</v>
          </cell>
          <cell r="AZ612">
            <v>4.4006069802731362E-2</v>
          </cell>
          <cell r="BA612">
            <v>2.761627906976738E-2</v>
          </cell>
          <cell r="BB612">
            <v>-0.32390381895332387</v>
          </cell>
          <cell r="BC612">
            <v>-1</v>
          </cell>
          <cell r="BD612" t="str">
            <v>NM</v>
          </cell>
          <cell r="BE612" t="str">
            <v>NM</v>
          </cell>
          <cell r="BF612" t="str">
            <v>NM</v>
          </cell>
          <cell r="BG612" t="str">
            <v>NM</v>
          </cell>
          <cell r="BH612" t="str">
            <v>NM</v>
          </cell>
          <cell r="BI612" t="str">
            <v>NM</v>
          </cell>
          <cell r="BJ612" t="str">
            <v>NM</v>
          </cell>
          <cell r="BK612" t="str">
            <v>NM</v>
          </cell>
          <cell r="BL612" t="str">
            <v>NM</v>
          </cell>
          <cell r="BM612" t="str">
            <v>NM</v>
          </cell>
          <cell r="BN612" t="str">
            <v>NM</v>
          </cell>
          <cell r="BO612" t="str">
            <v>NM</v>
          </cell>
          <cell r="BP612" t="str">
            <v>NM</v>
          </cell>
          <cell r="BQ612" t="str">
            <v>NM</v>
          </cell>
          <cell r="BR612" t="str">
            <v>NM</v>
          </cell>
          <cell r="BS612" t="str">
            <v>NM</v>
          </cell>
          <cell r="BT612" t="str">
            <v>NM</v>
          </cell>
          <cell r="BU612" t="str">
            <v>NM</v>
          </cell>
          <cell r="BV612" t="str">
            <v>NM</v>
          </cell>
          <cell r="BW612" t="str">
            <v>NM</v>
          </cell>
          <cell r="BX612" t="str">
            <v>NM</v>
          </cell>
          <cell r="BY612" t="str">
            <v>NM</v>
          </cell>
          <cell r="BZ612" t="str">
            <v>NM</v>
          </cell>
        </row>
        <row r="614">
          <cell r="B614" t="str">
            <v>Cost of Sales</v>
          </cell>
          <cell r="C614">
            <v>-1711</v>
          </cell>
          <cell r="D614">
            <v>-1536</v>
          </cell>
          <cell r="E614">
            <v>-1412</v>
          </cell>
          <cell r="F614">
            <v>-1520</v>
          </cell>
          <cell r="G614">
            <v>-1938</v>
          </cell>
          <cell r="H614">
            <v>-2049</v>
          </cell>
          <cell r="I614" t="str">
            <v>ND</v>
          </cell>
          <cell r="J614" t="str">
            <v>ND</v>
          </cell>
          <cell r="K614" t="str">
            <v>ND</v>
          </cell>
          <cell r="L614" t="str">
            <v>ND</v>
          </cell>
          <cell r="M614" t="str">
            <v>ND</v>
          </cell>
          <cell r="N614" t="str">
            <v>ND</v>
          </cell>
          <cell r="O614" t="str">
            <v>ND</v>
          </cell>
          <cell r="AI614">
            <v>-369</v>
          </cell>
          <cell r="AJ614">
            <v>-393</v>
          </cell>
          <cell r="AK614">
            <v>-339</v>
          </cell>
          <cell r="AL614">
            <v>-311</v>
          </cell>
          <cell r="AM614">
            <v>-335</v>
          </cell>
          <cell r="AN614">
            <v>-362</v>
          </cell>
          <cell r="AO614">
            <v>-408</v>
          </cell>
          <cell r="AP614">
            <v>-415</v>
          </cell>
          <cell r="AQ614">
            <v>-437</v>
          </cell>
          <cell r="AR614">
            <v>-520</v>
          </cell>
          <cell r="AS614">
            <v>-498</v>
          </cell>
          <cell r="AT614">
            <v>-483</v>
          </cell>
          <cell r="AU614">
            <v>-454</v>
          </cell>
          <cell r="AV614">
            <v>-490</v>
          </cell>
          <cell r="AW614">
            <v>-519</v>
          </cell>
          <cell r="AX614">
            <v>-586</v>
          </cell>
          <cell r="AY614">
            <v>-569</v>
          </cell>
          <cell r="AZ614">
            <v>-542</v>
          </cell>
          <cell r="BA614">
            <v>-551</v>
          </cell>
          <cell r="BB614" t="str">
            <v>ND</v>
          </cell>
          <cell r="BC614" t="str">
            <v>ND</v>
          </cell>
          <cell r="BD614" t="str">
            <v>ND</v>
          </cell>
          <cell r="BE614" t="str">
            <v>ND</v>
          </cell>
          <cell r="BF614" t="str">
            <v>ND</v>
          </cell>
          <cell r="BG614" t="str">
            <v>ND</v>
          </cell>
          <cell r="BH614" t="str">
            <v>ND</v>
          </cell>
          <cell r="BI614" t="str">
            <v>ND</v>
          </cell>
          <cell r="BJ614" t="str">
            <v>ND</v>
          </cell>
          <cell r="BK614" t="str">
            <v>ND</v>
          </cell>
          <cell r="BL614" t="str">
            <v>ND</v>
          </cell>
          <cell r="BM614" t="str">
            <v>ND</v>
          </cell>
          <cell r="BN614" t="str">
            <v>ND</v>
          </cell>
          <cell r="BO614" t="str">
            <v>ND</v>
          </cell>
          <cell r="BP614" t="str">
            <v>ND</v>
          </cell>
          <cell r="BQ614" t="str">
            <v>ND</v>
          </cell>
          <cell r="BR614" t="str">
            <v>ND</v>
          </cell>
          <cell r="BS614" t="str">
            <v>ND</v>
          </cell>
          <cell r="BT614" t="str">
            <v>ND</v>
          </cell>
          <cell r="BU614" t="str">
            <v>ND</v>
          </cell>
          <cell r="BV614" t="str">
            <v>ND</v>
          </cell>
          <cell r="BW614" t="str">
            <v>ND</v>
          </cell>
          <cell r="BX614" t="str">
            <v>ND</v>
          </cell>
          <cell r="BY614" t="str">
            <v>ND</v>
          </cell>
          <cell r="BZ614" t="str">
            <v>ND</v>
          </cell>
        </row>
        <row r="615">
          <cell r="B615" t="str">
            <v>Selling, General and Administrative expense</v>
          </cell>
          <cell r="C615">
            <v>-35</v>
          </cell>
          <cell r="D615">
            <v>-37</v>
          </cell>
          <cell r="E615">
            <v>-37</v>
          </cell>
          <cell r="F615">
            <v>-40</v>
          </cell>
          <cell r="G615">
            <v>-84</v>
          </cell>
          <cell r="H615">
            <v>-34</v>
          </cell>
          <cell r="I615" t="str">
            <v>ND</v>
          </cell>
          <cell r="J615" t="str">
            <v>ND</v>
          </cell>
          <cell r="K615" t="str">
            <v>ND</v>
          </cell>
          <cell r="L615" t="str">
            <v>ND</v>
          </cell>
          <cell r="M615" t="str">
            <v>ND</v>
          </cell>
          <cell r="N615" t="str">
            <v>ND</v>
          </cell>
          <cell r="O615" t="str">
            <v>ND</v>
          </cell>
          <cell r="AI615">
            <v>-9</v>
          </cell>
          <cell r="AJ615">
            <v>-9</v>
          </cell>
          <cell r="AK615">
            <v>-9</v>
          </cell>
          <cell r="AL615">
            <v>-10</v>
          </cell>
          <cell r="AM615">
            <v>-10</v>
          </cell>
          <cell r="AN615">
            <v>-9</v>
          </cell>
          <cell r="AO615">
            <v>-9</v>
          </cell>
          <cell r="AP615">
            <v>-12</v>
          </cell>
          <cell r="AQ615">
            <v>-13</v>
          </cell>
          <cell r="AR615">
            <v>-19</v>
          </cell>
          <cell r="AS615">
            <v>-26</v>
          </cell>
          <cell r="AT615">
            <v>-26</v>
          </cell>
          <cell r="AU615">
            <v>-9</v>
          </cell>
          <cell r="AV615">
            <v>-7</v>
          </cell>
          <cell r="AW615">
            <v>-9</v>
          </cell>
          <cell r="AX615">
            <v>-9</v>
          </cell>
          <cell r="AY615">
            <v>-7</v>
          </cell>
          <cell r="AZ615">
            <v>-9</v>
          </cell>
          <cell r="BA615">
            <v>-7</v>
          </cell>
          <cell r="BB615" t="str">
            <v>ND</v>
          </cell>
          <cell r="BC615" t="str">
            <v>ND</v>
          </cell>
          <cell r="BD615" t="str">
            <v>ND</v>
          </cell>
          <cell r="BE615" t="str">
            <v>ND</v>
          </cell>
          <cell r="BF615" t="str">
            <v>ND</v>
          </cell>
          <cell r="BG615" t="str">
            <v>ND</v>
          </cell>
          <cell r="BH615" t="str">
            <v>ND</v>
          </cell>
          <cell r="BI615" t="str">
            <v>ND</v>
          </cell>
          <cell r="BJ615" t="str">
            <v>ND</v>
          </cell>
          <cell r="BK615" t="str">
            <v>ND</v>
          </cell>
          <cell r="BL615" t="str">
            <v>ND</v>
          </cell>
          <cell r="BM615" t="str">
            <v>ND</v>
          </cell>
          <cell r="BN615" t="str">
            <v>ND</v>
          </cell>
          <cell r="BO615" t="str">
            <v>ND</v>
          </cell>
          <cell r="BP615" t="str">
            <v>ND</v>
          </cell>
          <cell r="BQ615" t="str">
            <v>ND</v>
          </cell>
          <cell r="BR615" t="str">
            <v>ND</v>
          </cell>
          <cell r="BS615" t="str">
            <v>ND</v>
          </cell>
          <cell r="BT615" t="str">
            <v>ND</v>
          </cell>
          <cell r="BU615" t="str">
            <v>ND</v>
          </cell>
          <cell r="BV615" t="str">
            <v>ND</v>
          </cell>
          <cell r="BW615" t="str">
            <v>ND</v>
          </cell>
          <cell r="BX615" t="str">
            <v>ND</v>
          </cell>
          <cell r="BY615" t="str">
            <v>ND</v>
          </cell>
          <cell r="BZ615" t="str">
            <v>ND</v>
          </cell>
        </row>
        <row r="617">
          <cell r="B617" t="str">
            <v>Operating Income</v>
          </cell>
          <cell r="C617">
            <v>213</v>
          </cell>
          <cell r="D617">
            <v>102</v>
          </cell>
          <cell r="E617">
            <v>57</v>
          </cell>
          <cell r="F617">
            <v>413</v>
          </cell>
          <cell r="G617">
            <v>635</v>
          </cell>
          <cell r="H617">
            <v>240</v>
          </cell>
          <cell r="I617">
            <v>472</v>
          </cell>
          <cell r="J617">
            <v>0</v>
          </cell>
          <cell r="K617">
            <v>0</v>
          </cell>
          <cell r="L617">
            <v>0</v>
          </cell>
          <cell r="M617">
            <v>0</v>
          </cell>
          <cell r="N617">
            <v>0</v>
          </cell>
          <cell r="O617">
            <v>0</v>
          </cell>
          <cell r="AI617" t="str">
            <v>ND</v>
          </cell>
          <cell r="AJ617" t="str">
            <v>ND</v>
          </cell>
          <cell r="AK617" t="str">
            <v>ND</v>
          </cell>
          <cell r="AL617" t="str">
            <v>ND</v>
          </cell>
          <cell r="AM617" t="str">
            <v>ND</v>
          </cell>
          <cell r="AN617" t="str">
            <v>ND</v>
          </cell>
          <cell r="AO617" t="str">
            <v>ND</v>
          </cell>
          <cell r="AP617" t="str">
            <v>ND</v>
          </cell>
          <cell r="AQ617">
            <v>196</v>
          </cell>
          <cell r="AR617">
            <v>230</v>
          </cell>
          <cell r="AS617">
            <v>163</v>
          </cell>
          <cell r="AT617">
            <v>46</v>
          </cell>
          <cell r="AU617">
            <v>32</v>
          </cell>
          <cell r="AV617">
            <v>37</v>
          </cell>
          <cell r="AW617">
            <v>54</v>
          </cell>
          <cell r="AX617">
            <v>117</v>
          </cell>
          <cell r="AY617">
            <v>83</v>
          </cell>
          <cell r="AZ617">
            <v>137</v>
          </cell>
          <cell r="BA617">
            <v>149</v>
          </cell>
          <cell r="BB617">
            <v>103</v>
          </cell>
          <cell r="BC617">
            <v>0</v>
          </cell>
          <cell r="BD617">
            <v>0</v>
          </cell>
          <cell r="BE617">
            <v>0</v>
          </cell>
          <cell r="BF617">
            <v>0</v>
          </cell>
          <cell r="BG617">
            <v>0</v>
          </cell>
          <cell r="BH617">
            <v>0</v>
          </cell>
          <cell r="BI617">
            <v>0</v>
          </cell>
          <cell r="BJ617">
            <v>0</v>
          </cell>
          <cell r="BK617">
            <v>0</v>
          </cell>
          <cell r="BL617">
            <v>0</v>
          </cell>
          <cell r="BM617">
            <v>0</v>
          </cell>
          <cell r="BN617">
            <v>0</v>
          </cell>
          <cell r="BO617">
            <v>0</v>
          </cell>
          <cell r="BP617">
            <v>0</v>
          </cell>
          <cell r="BQ617">
            <v>0</v>
          </cell>
          <cell r="BR617">
            <v>0</v>
          </cell>
          <cell r="BS617">
            <v>0</v>
          </cell>
          <cell r="BT617">
            <v>0</v>
          </cell>
          <cell r="BU617">
            <v>0</v>
          </cell>
          <cell r="BV617">
            <v>0</v>
          </cell>
          <cell r="BW617">
            <v>0</v>
          </cell>
          <cell r="BX617">
            <v>0</v>
          </cell>
          <cell r="BY617">
            <v>0</v>
          </cell>
          <cell r="BZ617">
            <v>0</v>
          </cell>
        </row>
        <row r="618">
          <cell r="B618" t="str">
            <v>Margin</v>
          </cell>
          <cell r="C618">
            <v>0.10872894333843798</v>
          </cell>
          <cell r="D618">
            <v>6.0895522388059703E-2</v>
          </cell>
          <cell r="E618">
            <v>3.7848605577689244E-2</v>
          </cell>
          <cell r="F618">
            <v>0.20932589964521034</v>
          </cell>
          <cell r="G618">
            <v>0.23899134362062477</v>
          </cell>
          <cell r="H618">
            <v>0.10466637592673354</v>
          </cell>
          <cell r="I618">
            <v>0.18641390205371247</v>
          </cell>
          <cell r="J618" t="str">
            <v>NM</v>
          </cell>
          <cell r="K618" t="str">
            <v>NM</v>
          </cell>
          <cell r="L618" t="str">
            <v>NM</v>
          </cell>
          <cell r="M618" t="str">
            <v>NM</v>
          </cell>
          <cell r="N618" t="str">
            <v>NM</v>
          </cell>
          <cell r="O618" t="str">
            <v>NM</v>
          </cell>
          <cell r="AI618" t="str">
            <v>NM</v>
          </cell>
          <cell r="AJ618" t="str">
            <v>NM</v>
          </cell>
          <cell r="AK618" t="str">
            <v>NM</v>
          </cell>
          <cell r="AL618" t="str">
            <v>NM</v>
          </cell>
          <cell r="AM618" t="str">
            <v>NM</v>
          </cell>
          <cell r="AN618" t="str">
            <v>NM</v>
          </cell>
          <cell r="AO618" t="str">
            <v>NM</v>
          </cell>
          <cell r="AP618" t="str">
            <v>NM</v>
          </cell>
          <cell r="AQ618">
            <v>0.30340557275541796</v>
          </cell>
          <cell r="AR618">
            <v>0.29908972691807545</v>
          </cell>
          <cell r="AS618">
            <v>0.23726346433770015</v>
          </cell>
          <cell r="AT618">
            <v>8.2882882882882883E-2</v>
          </cell>
          <cell r="AU618">
            <v>6.4646464646464646E-2</v>
          </cell>
          <cell r="AV618">
            <v>6.9288389513108617E-2</v>
          </cell>
          <cell r="AW618">
            <v>9.2783505154639179E-2</v>
          </cell>
          <cell r="AX618">
            <v>0.17155425219941348</v>
          </cell>
          <cell r="AY618">
            <v>0.125948406676783</v>
          </cell>
          <cell r="AZ618">
            <v>0.19912790697674418</v>
          </cell>
          <cell r="BA618">
            <v>0.21074964639321075</v>
          </cell>
          <cell r="BB618">
            <v>0.21548117154811716</v>
          </cell>
          <cell r="BC618" t="str">
            <v>NM</v>
          </cell>
          <cell r="BD618" t="str">
            <v>NM</v>
          </cell>
          <cell r="BE618" t="str">
            <v>NM</v>
          </cell>
          <cell r="BF618" t="str">
            <v>NM</v>
          </cell>
          <cell r="BG618" t="str">
            <v>NM</v>
          </cell>
          <cell r="BH618" t="str">
            <v>NM</v>
          </cell>
          <cell r="BI618" t="str">
            <v>NM</v>
          </cell>
          <cell r="BJ618" t="str">
            <v>NM</v>
          </cell>
          <cell r="BK618" t="str">
            <v>NM</v>
          </cell>
          <cell r="BL618" t="str">
            <v>NM</v>
          </cell>
          <cell r="BM618" t="str">
            <v>NM</v>
          </cell>
          <cell r="BN618" t="str">
            <v>NM</v>
          </cell>
          <cell r="BO618" t="str">
            <v>NM</v>
          </cell>
          <cell r="BP618" t="str">
            <v>NM</v>
          </cell>
          <cell r="BQ618" t="str">
            <v>NM</v>
          </cell>
          <cell r="BR618" t="str">
            <v>NM</v>
          </cell>
          <cell r="BS618" t="str">
            <v>NM</v>
          </cell>
          <cell r="BT618" t="str">
            <v>NM</v>
          </cell>
          <cell r="BU618" t="str">
            <v>NM</v>
          </cell>
          <cell r="BV618" t="str">
            <v>NM</v>
          </cell>
          <cell r="BW618" t="str">
            <v>NM</v>
          </cell>
          <cell r="BX618" t="str">
            <v>NM</v>
          </cell>
          <cell r="BY618" t="str">
            <v>NM</v>
          </cell>
          <cell r="BZ618" t="str">
            <v>NM</v>
          </cell>
        </row>
        <row r="620">
          <cell r="B620" t="str">
            <v>Income (loss) from equity investments</v>
          </cell>
          <cell r="C620" t="str">
            <v>ND</v>
          </cell>
          <cell r="D620" t="str">
            <v>ND</v>
          </cell>
          <cell r="E620" t="str">
            <v>ND</v>
          </cell>
          <cell r="F620" t="str">
            <v>ND</v>
          </cell>
          <cell r="G620" t="str">
            <v>ND</v>
          </cell>
          <cell r="H620" t="str">
            <v>ND</v>
          </cell>
          <cell r="I620">
            <v>28</v>
          </cell>
          <cell r="J620">
            <v>159</v>
          </cell>
          <cell r="K620">
            <v>183</v>
          </cell>
          <cell r="L620">
            <v>285</v>
          </cell>
          <cell r="M620">
            <v>113</v>
          </cell>
          <cell r="N620">
            <v>65</v>
          </cell>
          <cell r="O620">
            <v>65</v>
          </cell>
          <cell r="AI620" t="str">
            <v>ND</v>
          </cell>
          <cell r="AJ620" t="str">
            <v>ND</v>
          </cell>
          <cell r="AK620" t="str">
            <v>ND</v>
          </cell>
          <cell r="AL620" t="str">
            <v>ND</v>
          </cell>
          <cell r="AM620" t="str">
            <v>ND</v>
          </cell>
          <cell r="AN620" t="str">
            <v>ND</v>
          </cell>
          <cell r="AO620" t="str">
            <v>ND</v>
          </cell>
          <cell r="AP620" t="str">
            <v>ND</v>
          </cell>
          <cell r="AQ620" t="str">
            <v>ND</v>
          </cell>
          <cell r="AR620" t="str">
            <v>ND</v>
          </cell>
          <cell r="AS620" t="str">
            <v>ND</v>
          </cell>
          <cell r="AT620" t="str">
            <v>ND</v>
          </cell>
          <cell r="AU620" t="str">
            <v>ND</v>
          </cell>
          <cell r="AV620" t="str">
            <v>ND</v>
          </cell>
          <cell r="AW620" t="str">
            <v>ND</v>
          </cell>
          <cell r="AX620" t="str">
            <v>ND</v>
          </cell>
          <cell r="AY620" t="str">
            <v>ND</v>
          </cell>
          <cell r="AZ620" t="str">
            <v>ND</v>
          </cell>
          <cell r="BA620" t="str">
            <v>ND</v>
          </cell>
          <cell r="BB620" t="str">
            <v>ND</v>
          </cell>
          <cell r="BC620">
            <v>74</v>
          </cell>
          <cell r="BD620">
            <v>33</v>
          </cell>
          <cell r="BE620">
            <v>34</v>
          </cell>
          <cell r="BF620">
            <v>18</v>
          </cell>
          <cell r="BG620">
            <v>37</v>
          </cell>
          <cell r="BH620">
            <v>35</v>
          </cell>
          <cell r="BI620">
            <v>40</v>
          </cell>
          <cell r="BJ620">
            <v>71</v>
          </cell>
          <cell r="BK620">
            <v>71</v>
          </cell>
          <cell r="BL620">
            <v>109</v>
          </cell>
          <cell r="BM620">
            <v>84</v>
          </cell>
          <cell r="BN620">
            <v>21</v>
          </cell>
          <cell r="BO620">
            <v>47</v>
          </cell>
          <cell r="BP620">
            <v>33</v>
          </cell>
          <cell r="BQ620">
            <v>12</v>
          </cell>
          <cell r="BR620">
            <v>21</v>
          </cell>
          <cell r="BS620">
            <v>-10</v>
          </cell>
          <cell r="BT620">
            <v>32</v>
          </cell>
          <cell r="BU620">
            <v>46</v>
          </cell>
          <cell r="BV620">
            <v>-3</v>
          </cell>
          <cell r="BW620">
            <v>-22</v>
          </cell>
          <cell r="BX620">
            <v>60</v>
          </cell>
          <cell r="BY620">
            <v>46</v>
          </cell>
          <cell r="BZ620">
            <v>-19</v>
          </cell>
        </row>
        <row r="622">
          <cell r="B622" t="str">
            <v>D&amp;A</v>
          </cell>
          <cell r="C622">
            <v>-34</v>
          </cell>
          <cell r="D622">
            <v>-33</v>
          </cell>
          <cell r="E622">
            <v>-44</v>
          </cell>
          <cell r="F622">
            <v>-44</v>
          </cell>
          <cell r="G622">
            <v>-54</v>
          </cell>
          <cell r="H622">
            <v>-44</v>
          </cell>
          <cell r="I622">
            <v>-50</v>
          </cell>
          <cell r="J622">
            <v>0</v>
          </cell>
          <cell r="K622" t="str">
            <v>ND</v>
          </cell>
          <cell r="L622" t="str">
            <v>ND</v>
          </cell>
          <cell r="M622" t="str">
            <v>ND</v>
          </cell>
          <cell r="N622" t="str">
            <v>ND</v>
          </cell>
          <cell r="O622" t="str">
            <v>ND</v>
          </cell>
          <cell r="AI622" t="str">
            <v>ND</v>
          </cell>
          <cell r="AJ622" t="str">
            <v>ND</v>
          </cell>
          <cell r="AK622" t="str">
            <v>ND</v>
          </cell>
          <cell r="AL622" t="str">
            <v>ND</v>
          </cell>
          <cell r="AM622" t="str">
            <v>ND</v>
          </cell>
          <cell r="AN622" t="str">
            <v>ND</v>
          </cell>
          <cell r="AO622" t="str">
            <v>ND</v>
          </cell>
          <cell r="AP622" t="str">
            <v>ND</v>
          </cell>
          <cell r="AQ622" t="str">
            <v>ND</v>
          </cell>
          <cell r="AR622" t="str">
            <v>ND</v>
          </cell>
          <cell r="AS622" t="str">
            <v>ND</v>
          </cell>
          <cell r="AT622" t="str">
            <v>ND</v>
          </cell>
          <cell r="AU622" t="str">
            <v>ND</v>
          </cell>
          <cell r="AV622" t="str">
            <v>ND</v>
          </cell>
          <cell r="AW622" t="str">
            <v>ND</v>
          </cell>
          <cell r="AX622" t="str">
            <v>ND</v>
          </cell>
          <cell r="AY622" t="str">
            <v>ND</v>
          </cell>
          <cell r="AZ622" t="str">
            <v>ND</v>
          </cell>
          <cell r="BA622" t="str">
            <v>ND</v>
          </cell>
          <cell r="BB622" t="str">
            <v>ND</v>
          </cell>
          <cell r="BC622" t="str">
            <v>ND</v>
          </cell>
          <cell r="BD622" t="str">
            <v>ND</v>
          </cell>
          <cell r="BE622" t="str">
            <v>ND</v>
          </cell>
          <cell r="BF622" t="str">
            <v>ND</v>
          </cell>
          <cell r="BG622" t="str">
            <v>ND</v>
          </cell>
          <cell r="BH622" t="str">
            <v>ND</v>
          </cell>
          <cell r="BI622" t="str">
            <v>ND</v>
          </cell>
          <cell r="BJ622" t="str">
            <v>ND</v>
          </cell>
          <cell r="BK622" t="str">
            <v>ND</v>
          </cell>
          <cell r="BL622" t="str">
            <v>ND</v>
          </cell>
          <cell r="BM622" t="str">
            <v>ND</v>
          </cell>
          <cell r="BN622" t="str">
            <v>ND</v>
          </cell>
          <cell r="BO622" t="str">
            <v>ND</v>
          </cell>
          <cell r="BP622" t="str">
            <v>ND</v>
          </cell>
          <cell r="BQ622" t="str">
            <v>ND</v>
          </cell>
          <cell r="BR622" t="str">
            <v>ND</v>
          </cell>
          <cell r="BS622" t="str">
            <v>ND</v>
          </cell>
          <cell r="BT622" t="str">
            <v>ND</v>
          </cell>
          <cell r="BU622" t="str">
            <v>ND</v>
          </cell>
          <cell r="BV622" t="str">
            <v>ND</v>
          </cell>
          <cell r="BW622" t="str">
            <v>ND</v>
          </cell>
          <cell r="BX622" t="str">
            <v>ND</v>
          </cell>
          <cell r="BY622" t="str">
            <v>ND</v>
          </cell>
          <cell r="BZ622" t="str">
            <v>ND</v>
          </cell>
        </row>
        <row r="623">
          <cell r="B623" t="str">
            <v>% of revenue</v>
          </cell>
          <cell r="C623">
            <v>-1.7355793772332824E-2</v>
          </cell>
          <cell r="D623">
            <v>-1.9701492537313434E-2</v>
          </cell>
          <cell r="E623">
            <v>-2.9216467463479414E-2</v>
          </cell>
          <cell r="F623">
            <v>-2.2301064368981247E-2</v>
          </cell>
          <cell r="G623">
            <v>-2.0323673315769664E-2</v>
          </cell>
          <cell r="H623">
            <v>-1.9188835586567816E-2</v>
          </cell>
          <cell r="I623">
            <v>-1.9747235387045814E-2</v>
          </cell>
          <cell r="J623" t="str">
            <v>NM</v>
          </cell>
          <cell r="K623" t="str">
            <v>NM</v>
          </cell>
          <cell r="L623" t="str">
            <v>NM</v>
          </cell>
          <cell r="M623" t="str">
            <v>NM</v>
          </cell>
          <cell r="N623" t="str">
            <v>NM</v>
          </cell>
          <cell r="O623" t="str">
            <v>NM</v>
          </cell>
          <cell r="AI623" t="str">
            <v>NM</v>
          </cell>
          <cell r="AJ623" t="str">
            <v>NM</v>
          </cell>
          <cell r="AK623" t="str">
            <v>NM</v>
          </cell>
          <cell r="AL623" t="str">
            <v>NM</v>
          </cell>
          <cell r="AM623" t="str">
            <v>NM</v>
          </cell>
          <cell r="AN623" t="str">
            <v>NM</v>
          </cell>
          <cell r="AO623" t="str">
            <v>NM</v>
          </cell>
          <cell r="AP623" t="str">
            <v>NM</v>
          </cell>
          <cell r="AQ623" t="str">
            <v>NM</v>
          </cell>
          <cell r="AR623" t="str">
            <v>NM</v>
          </cell>
          <cell r="AS623" t="str">
            <v>NM</v>
          </cell>
          <cell r="AT623" t="str">
            <v>NM</v>
          </cell>
          <cell r="AU623" t="str">
            <v>NM</v>
          </cell>
          <cell r="AV623" t="str">
            <v>NM</v>
          </cell>
          <cell r="AW623" t="str">
            <v>NM</v>
          </cell>
          <cell r="AX623" t="str">
            <v>NM</v>
          </cell>
          <cell r="AY623" t="str">
            <v>NM</v>
          </cell>
          <cell r="AZ623" t="str">
            <v>NM</v>
          </cell>
          <cell r="BA623" t="str">
            <v>NM</v>
          </cell>
          <cell r="BB623" t="str">
            <v>NM</v>
          </cell>
          <cell r="BC623" t="str">
            <v>NM</v>
          </cell>
          <cell r="BD623" t="str">
            <v>NM</v>
          </cell>
          <cell r="BE623" t="str">
            <v>NM</v>
          </cell>
          <cell r="BF623" t="str">
            <v>NM</v>
          </cell>
          <cell r="BG623" t="str">
            <v>NM</v>
          </cell>
          <cell r="BH623" t="str">
            <v>NM</v>
          </cell>
          <cell r="BI623" t="str">
            <v>NM</v>
          </cell>
          <cell r="BJ623" t="str">
            <v>NM</v>
          </cell>
          <cell r="BK623" t="str">
            <v>NM</v>
          </cell>
          <cell r="BL623" t="str">
            <v>NM</v>
          </cell>
          <cell r="BM623" t="str">
            <v>NM</v>
          </cell>
          <cell r="BN623" t="str">
            <v>NM</v>
          </cell>
          <cell r="BO623" t="str">
            <v>NM</v>
          </cell>
          <cell r="BP623" t="str">
            <v>NM</v>
          </cell>
          <cell r="BQ623" t="str">
            <v>NM</v>
          </cell>
          <cell r="BR623" t="str">
            <v>NM</v>
          </cell>
          <cell r="BS623" t="str">
            <v>NM</v>
          </cell>
          <cell r="BT623" t="str">
            <v>NM</v>
          </cell>
          <cell r="BU623" t="str">
            <v>NM</v>
          </cell>
          <cell r="BV623" t="str">
            <v>NM</v>
          </cell>
          <cell r="BW623" t="str">
            <v>NM</v>
          </cell>
          <cell r="BX623" t="str">
            <v>NM</v>
          </cell>
          <cell r="BY623" t="str">
            <v>NM</v>
          </cell>
          <cell r="BZ623" t="str">
            <v>NM</v>
          </cell>
        </row>
        <row r="625">
          <cell r="B625" t="str">
            <v>Capex</v>
          </cell>
          <cell r="C625">
            <v>-21</v>
          </cell>
          <cell r="D625">
            <v>-43</v>
          </cell>
          <cell r="E625">
            <v>-14</v>
          </cell>
          <cell r="F625">
            <v>-39</v>
          </cell>
          <cell r="G625">
            <v>-471</v>
          </cell>
          <cell r="H625">
            <v>-57</v>
          </cell>
          <cell r="I625">
            <v>-27</v>
          </cell>
          <cell r="J625">
            <v>0</v>
          </cell>
          <cell r="K625" t="str">
            <v>ND</v>
          </cell>
          <cell r="L625" t="str">
            <v>ND</v>
          </cell>
          <cell r="M625" t="str">
            <v>ND</v>
          </cell>
          <cell r="N625" t="str">
            <v>ND</v>
          </cell>
          <cell r="O625" t="str">
            <v>ND</v>
          </cell>
          <cell r="AI625" t="str">
            <v>ND</v>
          </cell>
          <cell r="AJ625" t="str">
            <v>ND</v>
          </cell>
          <cell r="AK625" t="str">
            <v>ND</v>
          </cell>
          <cell r="AL625" t="str">
            <v>ND</v>
          </cell>
          <cell r="AM625" t="str">
            <v>ND</v>
          </cell>
          <cell r="AN625" t="str">
            <v>ND</v>
          </cell>
          <cell r="AO625" t="str">
            <v>ND</v>
          </cell>
          <cell r="AP625" t="str">
            <v>ND</v>
          </cell>
          <cell r="AU625" t="str">
            <v>ND</v>
          </cell>
          <cell r="AV625" t="str">
            <v>ND</v>
          </cell>
          <cell r="AW625" t="str">
            <v>ND</v>
          </cell>
          <cell r="AX625" t="str">
            <v>ND</v>
          </cell>
          <cell r="AY625" t="str">
            <v>ND</v>
          </cell>
          <cell r="AZ625" t="str">
            <v>ND</v>
          </cell>
          <cell r="BA625" t="str">
            <v>ND</v>
          </cell>
          <cell r="BB625" t="str">
            <v>ND</v>
          </cell>
          <cell r="BC625" t="str">
            <v>ND</v>
          </cell>
          <cell r="BD625" t="str">
            <v>ND</v>
          </cell>
          <cell r="BE625" t="str">
            <v>ND</v>
          </cell>
          <cell r="BF625" t="str">
            <v>ND</v>
          </cell>
          <cell r="BG625" t="str">
            <v>ND</v>
          </cell>
          <cell r="BH625" t="str">
            <v>ND</v>
          </cell>
          <cell r="BI625" t="str">
            <v>ND</v>
          </cell>
          <cell r="BJ625" t="str">
            <v>ND</v>
          </cell>
          <cell r="BK625" t="str">
            <v>ND</v>
          </cell>
          <cell r="BL625" t="str">
            <v>ND</v>
          </cell>
          <cell r="BM625" t="str">
            <v>ND</v>
          </cell>
          <cell r="BN625" t="str">
            <v>ND</v>
          </cell>
          <cell r="BO625" t="str">
            <v>ND</v>
          </cell>
          <cell r="BP625" t="str">
            <v>ND</v>
          </cell>
          <cell r="BQ625" t="str">
            <v>ND</v>
          </cell>
          <cell r="BR625" t="str">
            <v>ND</v>
          </cell>
          <cell r="BS625" t="str">
            <v>ND</v>
          </cell>
          <cell r="BT625" t="str">
            <v>ND</v>
          </cell>
          <cell r="BU625" t="str">
            <v>ND</v>
          </cell>
          <cell r="BV625" t="str">
            <v>ND</v>
          </cell>
          <cell r="BW625" t="str">
            <v>ND</v>
          </cell>
          <cell r="BX625" t="str">
            <v>ND</v>
          </cell>
          <cell r="BY625" t="str">
            <v>ND</v>
          </cell>
          <cell r="BZ625" t="str">
            <v>ND</v>
          </cell>
        </row>
        <row r="626">
          <cell r="B626" t="str">
            <v>% of revenue</v>
          </cell>
          <cell r="C626">
            <v>-1.0719754977029096E-2</v>
          </cell>
          <cell r="D626">
            <v>-2.5671641791044777E-2</v>
          </cell>
          <cell r="E626">
            <v>-9.2961487383798145E-3</v>
          </cell>
          <cell r="F626">
            <v>-1.9766852508869743E-2</v>
          </cell>
          <cell r="G626">
            <v>-0.17726759503199097</v>
          </cell>
          <cell r="H626">
            <v>-2.4858264282599216E-2</v>
          </cell>
          <cell r="I626">
            <v>-1.066350710900474E-2</v>
          </cell>
          <cell r="J626" t="str">
            <v>NM</v>
          </cell>
          <cell r="K626" t="str">
            <v>NM</v>
          </cell>
          <cell r="L626" t="str">
            <v>NM</v>
          </cell>
          <cell r="M626" t="str">
            <v>NM</v>
          </cell>
          <cell r="N626" t="str">
            <v>NM</v>
          </cell>
          <cell r="O626" t="str">
            <v>NM</v>
          </cell>
          <cell r="AI626" t="str">
            <v>NM</v>
          </cell>
          <cell r="AJ626" t="str">
            <v>NM</v>
          </cell>
          <cell r="AK626" t="str">
            <v>NM</v>
          </cell>
          <cell r="AL626" t="str">
            <v>NM</v>
          </cell>
          <cell r="AM626" t="str">
            <v>NM</v>
          </cell>
          <cell r="AN626" t="str">
            <v>NM</v>
          </cell>
          <cell r="AO626" t="str">
            <v>NM</v>
          </cell>
          <cell r="AP626" t="str">
            <v>NM</v>
          </cell>
          <cell r="AQ626">
            <v>0</v>
          </cell>
          <cell r="AR626">
            <v>0</v>
          </cell>
          <cell r="AS626">
            <v>0</v>
          </cell>
          <cell r="AT626">
            <v>0</v>
          </cell>
          <cell r="AU626" t="str">
            <v>NM</v>
          </cell>
          <cell r="AV626" t="str">
            <v>NM</v>
          </cell>
          <cell r="AW626" t="str">
            <v>NM</v>
          </cell>
          <cell r="AX626" t="str">
            <v>NM</v>
          </cell>
          <cell r="AY626" t="str">
            <v>NM</v>
          </cell>
          <cell r="AZ626" t="str">
            <v>NM</v>
          </cell>
          <cell r="BA626" t="str">
            <v>NM</v>
          </cell>
          <cell r="BB626" t="str">
            <v>NM</v>
          </cell>
          <cell r="BC626" t="str">
            <v>NM</v>
          </cell>
          <cell r="BD626" t="str">
            <v>NM</v>
          </cell>
          <cell r="BE626" t="str">
            <v>NM</v>
          </cell>
          <cell r="BF626" t="str">
            <v>NM</v>
          </cell>
          <cell r="BG626" t="str">
            <v>NM</v>
          </cell>
          <cell r="BH626" t="str">
            <v>NM</v>
          </cell>
          <cell r="BI626" t="str">
            <v>NM</v>
          </cell>
          <cell r="BJ626" t="str">
            <v>NM</v>
          </cell>
          <cell r="BK626" t="str">
            <v>NM</v>
          </cell>
          <cell r="BL626" t="str">
            <v>NM</v>
          </cell>
          <cell r="BM626" t="str">
            <v>NM</v>
          </cell>
          <cell r="BN626" t="str">
            <v>NM</v>
          </cell>
          <cell r="BO626" t="str">
            <v>NM</v>
          </cell>
          <cell r="BP626" t="str">
            <v>NM</v>
          </cell>
          <cell r="BQ626" t="str">
            <v>NM</v>
          </cell>
          <cell r="BR626" t="str">
            <v>NM</v>
          </cell>
          <cell r="BS626" t="str">
            <v>NM</v>
          </cell>
          <cell r="BT626" t="str">
            <v>NM</v>
          </cell>
          <cell r="BU626" t="str">
            <v>NM</v>
          </cell>
          <cell r="BV626" t="str">
            <v>NM</v>
          </cell>
          <cell r="BW626" t="str">
            <v>NM</v>
          </cell>
          <cell r="BX626" t="str">
            <v>NM</v>
          </cell>
          <cell r="BY626" t="str">
            <v>NM</v>
          </cell>
          <cell r="BZ626" t="str">
            <v>NM</v>
          </cell>
        </row>
        <row r="628">
          <cell r="B628" t="str">
            <v>Total Assets</v>
          </cell>
          <cell r="C628">
            <v>754</v>
          </cell>
          <cell r="D628">
            <v>716</v>
          </cell>
          <cell r="E628">
            <v>719</v>
          </cell>
          <cell r="F628">
            <v>925</v>
          </cell>
          <cell r="G628">
            <v>1365</v>
          </cell>
          <cell r="H628">
            <v>870</v>
          </cell>
          <cell r="I628">
            <v>447</v>
          </cell>
          <cell r="J628">
            <v>297</v>
          </cell>
          <cell r="K628">
            <v>314</v>
          </cell>
          <cell r="L628">
            <v>336</v>
          </cell>
          <cell r="M628">
            <v>286</v>
          </cell>
          <cell r="N628">
            <v>799</v>
          </cell>
          <cell r="O628">
            <v>799</v>
          </cell>
          <cell r="AI628" t="str">
            <v>ND</v>
          </cell>
          <cell r="AJ628" t="str">
            <v>ND</v>
          </cell>
          <cell r="AK628" t="str">
            <v>ND</v>
          </cell>
          <cell r="AL628" t="str">
            <v>ND</v>
          </cell>
          <cell r="AM628">
            <v>719</v>
          </cell>
          <cell r="AN628" t="str">
            <v>ND</v>
          </cell>
          <cell r="AO628" t="str">
            <v>ND</v>
          </cell>
          <cell r="AP628" t="str">
            <v>ND</v>
          </cell>
          <cell r="AQ628">
            <v>925</v>
          </cell>
          <cell r="AR628" t="str">
            <v>ND</v>
          </cell>
          <cell r="AS628" t="str">
            <v>ND</v>
          </cell>
          <cell r="AT628">
            <v>1365</v>
          </cell>
          <cell r="AU628" t="str">
            <v>ND</v>
          </cell>
          <cell r="AV628" t="str">
            <v>ND</v>
          </cell>
          <cell r="AW628" t="str">
            <v>ND</v>
          </cell>
          <cell r="AX628">
            <v>870</v>
          </cell>
          <cell r="AY628" t="str">
            <v>ND</v>
          </cell>
          <cell r="AZ628" t="str">
            <v>ND</v>
          </cell>
          <cell r="BA628" t="str">
            <v>ND</v>
          </cell>
          <cell r="BB628">
            <v>447</v>
          </cell>
          <cell r="BC628" t="str">
            <v>ND</v>
          </cell>
          <cell r="BD628" t="str">
            <v>ND</v>
          </cell>
          <cell r="BE628" t="str">
            <v>ND</v>
          </cell>
          <cell r="BF628">
            <v>297</v>
          </cell>
          <cell r="BG628" t="str">
            <v>ND</v>
          </cell>
          <cell r="BH628" t="str">
            <v>ND</v>
          </cell>
          <cell r="BI628" t="str">
            <v>ND</v>
          </cell>
          <cell r="BJ628">
            <v>314</v>
          </cell>
          <cell r="BK628" t="str">
            <v>ND</v>
          </cell>
          <cell r="BL628" t="str">
            <v>ND</v>
          </cell>
          <cell r="BM628" t="str">
            <v>ND</v>
          </cell>
          <cell r="BN628">
            <v>336</v>
          </cell>
          <cell r="BO628" t="str">
            <v>ND</v>
          </cell>
          <cell r="BP628" t="str">
            <v>ND</v>
          </cell>
          <cell r="BQ628" t="str">
            <v>ND</v>
          </cell>
          <cell r="BR628">
            <v>286</v>
          </cell>
          <cell r="BS628" t="str">
            <v>ND</v>
          </cell>
          <cell r="BT628" t="str">
            <v>ND</v>
          </cell>
          <cell r="BU628" t="str">
            <v>ND</v>
          </cell>
          <cell r="BV628">
            <v>799</v>
          </cell>
          <cell r="BW628" t="str">
            <v>ND</v>
          </cell>
          <cell r="BX628" t="str">
            <v>ND</v>
          </cell>
          <cell r="BY628" t="str">
            <v>ND</v>
          </cell>
          <cell r="BZ628">
            <v>799</v>
          </cell>
        </row>
        <row r="630">
          <cell r="B630" t="str">
            <v>Polymer</v>
          </cell>
        </row>
        <row r="632">
          <cell r="B632" t="str">
            <v>Revenue</v>
          </cell>
          <cell r="H632">
            <v>783</v>
          </cell>
          <cell r="I632">
            <v>770</v>
          </cell>
          <cell r="J632">
            <v>0</v>
          </cell>
          <cell r="K632">
            <v>0</v>
          </cell>
          <cell r="L632">
            <v>0</v>
          </cell>
          <cell r="M632">
            <v>0</v>
          </cell>
          <cell r="N632">
            <v>0</v>
          </cell>
          <cell r="O632">
            <v>0</v>
          </cell>
          <cell r="AU632">
            <v>169</v>
          </cell>
          <cell r="AV632">
            <v>185</v>
          </cell>
          <cell r="AW632">
            <v>216</v>
          </cell>
          <cell r="AX632">
            <v>213</v>
          </cell>
          <cell r="AY632">
            <v>198</v>
          </cell>
          <cell r="AZ632">
            <v>223</v>
          </cell>
          <cell r="BA632">
            <v>216</v>
          </cell>
          <cell r="BB632">
            <v>133</v>
          </cell>
          <cell r="BC632">
            <v>0</v>
          </cell>
          <cell r="BD632">
            <v>0</v>
          </cell>
          <cell r="BE632">
            <v>0</v>
          </cell>
          <cell r="BF632">
            <v>0</v>
          </cell>
          <cell r="BG632">
            <v>0</v>
          </cell>
          <cell r="BH632">
            <v>0</v>
          </cell>
          <cell r="BI632">
            <v>0</v>
          </cell>
          <cell r="BJ632">
            <v>0</v>
          </cell>
          <cell r="BK632">
            <v>0</v>
          </cell>
          <cell r="BL632">
            <v>0</v>
          </cell>
          <cell r="BM632">
            <v>0</v>
          </cell>
          <cell r="BN632">
            <v>0</v>
          </cell>
          <cell r="BO632">
            <v>0</v>
          </cell>
          <cell r="BP632">
            <v>0</v>
          </cell>
          <cell r="BQ632">
            <v>0</v>
          </cell>
          <cell r="BR632">
            <v>0</v>
          </cell>
          <cell r="BS632">
            <v>0</v>
          </cell>
          <cell r="BT632">
            <v>0</v>
          </cell>
          <cell r="BU632">
            <v>0</v>
          </cell>
          <cell r="BV632">
            <v>0</v>
          </cell>
          <cell r="BW632">
            <v>0</v>
          </cell>
          <cell r="BX632">
            <v>0</v>
          </cell>
          <cell r="BY632">
            <v>0</v>
          </cell>
          <cell r="BZ632">
            <v>0</v>
          </cell>
        </row>
        <row r="633">
          <cell r="B633" t="str">
            <v>Growth</v>
          </cell>
          <cell r="H633" t="str">
            <v>NM</v>
          </cell>
          <cell r="I633">
            <v>-1.6602809706257937E-2</v>
          </cell>
          <cell r="J633">
            <v>-1</v>
          </cell>
          <cell r="K633" t="str">
            <v>NM</v>
          </cell>
          <cell r="L633" t="str">
            <v>NM</v>
          </cell>
          <cell r="M633" t="str">
            <v>NM</v>
          </cell>
          <cell r="N633" t="str">
            <v>NM</v>
          </cell>
          <cell r="O633" t="str">
            <v>NM</v>
          </cell>
          <cell r="AU633" t="str">
            <v>NM</v>
          </cell>
          <cell r="AV633">
            <v>9.4674556213017791E-2</v>
          </cell>
          <cell r="AW633">
            <v>0.16756756756756763</v>
          </cell>
          <cell r="AX633">
            <v>-1.388888888888884E-2</v>
          </cell>
          <cell r="AY633">
            <v>-7.0422535211267623E-2</v>
          </cell>
          <cell r="AZ633">
            <v>0.1262626262626263</v>
          </cell>
          <cell r="BA633">
            <v>-3.1390134529147962E-2</v>
          </cell>
          <cell r="BB633">
            <v>-0.3842592592592593</v>
          </cell>
          <cell r="BC633">
            <v>-1</v>
          </cell>
          <cell r="BD633" t="str">
            <v>NM</v>
          </cell>
          <cell r="BE633" t="str">
            <v>NM</v>
          </cell>
          <cell r="BF633" t="str">
            <v>NM</v>
          </cell>
          <cell r="BG633" t="str">
            <v>NM</v>
          </cell>
          <cell r="BH633" t="str">
            <v>NM</v>
          </cell>
          <cell r="BI633" t="str">
            <v>NM</v>
          </cell>
          <cell r="BJ633" t="str">
            <v>NM</v>
          </cell>
          <cell r="BK633" t="str">
            <v>NM</v>
          </cell>
          <cell r="BL633" t="str">
            <v>NM</v>
          </cell>
          <cell r="BM633" t="str">
            <v>NM</v>
          </cell>
          <cell r="BN633" t="str">
            <v>NM</v>
          </cell>
          <cell r="BO633" t="str">
            <v>NM</v>
          </cell>
          <cell r="BP633" t="str">
            <v>NM</v>
          </cell>
          <cell r="BQ633" t="str">
            <v>NM</v>
          </cell>
          <cell r="BR633" t="str">
            <v>NM</v>
          </cell>
          <cell r="BS633" t="str">
            <v>NM</v>
          </cell>
          <cell r="BT633" t="str">
            <v>NM</v>
          </cell>
          <cell r="BU633" t="str">
            <v>NM</v>
          </cell>
          <cell r="BV633" t="str">
            <v>NM</v>
          </cell>
          <cell r="BW633" t="str">
            <v>NM</v>
          </cell>
          <cell r="BX633" t="str">
            <v>NM</v>
          </cell>
          <cell r="BY633" t="str">
            <v>NM</v>
          </cell>
          <cell r="BZ633" t="str">
            <v>NM</v>
          </cell>
        </row>
        <row r="635">
          <cell r="B635" t="str">
            <v>Cost of Sales</v>
          </cell>
          <cell r="H635">
            <v>-2049</v>
          </cell>
          <cell r="I635" t="str">
            <v>ND</v>
          </cell>
          <cell r="J635" t="str">
            <v>ND</v>
          </cell>
          <cell r="K635" t="str">
            <v>ND</v>
          </cell>
          <cell r="L635" t="str">
            <v>ND</v>
          </cell>
          <cell r="M635" t="str">
            <v>ND</v>
          </cell>
          <cell r="N635" t="str">
            <v>ND</v>
          </cell>
          <cell r="O635" t="str">
            <v>ND</v>
          </cell>
          <cell r="AU635">
            <v>-135</v>
          </cell>
          <cell r="AV635">
            <v>-151</v>
          </cell>
          <cell r="AW635">
            <v>-157</v>
          </cell>
          <cell r="AX635">
            <v>-1606</v>
          </cell>
          <cell r="AY635">
            <v>-162</v>
          </cell>
          <cell r="AZ635">
            <v>-173</v>
          </cell>
          <cell r="BA635">
            <v>-168</v>
          </cell>
          <cell r="BB635" t="str">
            <v>ND</v>
          </cell>
          <cell r="BC635" t="str">
            <v>ND</v>
          </cell>
          <cell r="BD635" t="str">
            <v>ND</v>
          </cell>
          <cell r="BE635" t="str">
            <v>ND</v>
          </cell>
          <cell r="BF635" t="str">
            <v>ND</v>
          </cell>
          <cell r="BG635" t="str">
            <v>ND</v>
          </cell>
          <cell r="BH635" t="str">
            <v>ND</v>
          </cell>
          <cell r="BI635" t="str">
            <v>ND</v>
          </cell>
          <cell r="BJ635" t="str">
            <v>ND</v>
          </cell>
          <cell r="BK635" t="str">
            <v>ND</v>
          </cell>
          <cell r="BL635" t="str">
            <v>ND</v>
          </cell>
          <cell r="BM635" t="str">
            <v>ND</v>
          </cell>
          <cell r="BN635" t="str">
            <v>ND</v>
          </cell>
          <cell r="BO635" t="str">
            <v>ND</v>
          </cell>
          <cell r="BP635" t="str">
            <v>ND</v>
          </cell>
          <cell r="BQ635" t="str">
            <v>ND</v>
          </cell>
          <cell r="BR635" t="str">
            <v>ND</v>
          </cell>
          <cell r="BS635" t="str">
            <v>ND</v>
          </cell>
          <cell r="BT635" t="str">
            <v>ND</v>
          </cell>
          <cell r="BU635" t="str">
            <v>ND</v>
          </cell>
          <cell r="BV635" t="str">
            <v>ND</v>
          </cell>
          <cell r="BW635" t="str">
            <v>ND</v>
          </cell>
          <cell r="BX635" t="str">
            <v>ND</v>
          </cell>
          <cell r="BY635" t="str">
            <v>ND</v>
          </cell>
          <cell r="BZ635" t="str">
            <v>ND</v>
          </cell>
        </row>
        <row r="636">
          <cell r="B636" t="str">
            <v>Selling, General and Administrative expense</v>
          </cell>
          <cell r="H636">
            <v>-34</v>
          </cell>
          <cell r="I636" t="str">
            <v>ND</v>
          </cell>
          <cell r="J636" t="str">
            <v>ND</v>
          </cell>
          <cell r="K636" t="str">
            <v>ND</v>
          </cell>
          <cell r="L636" t="str">
            <v>ND</v>
          </cell>
          <cell r="M636" t="str">
            <v>ND</v>
          </cell>
          <cell r="N636" t="str">
            <v>ND</v>
          </cell>
          <cell r="O636" t="str">
            <v>ND</v>
          </cell>
          <cell r="AU636">
            <v>-19</v>
          </cell>
          <cell r="AV636">
            <v>-20</v>
          </cell>
          <cell r="AW636">
            <v>-19</v>
          </cell>
          <cell r="AX636">
            <v>24</v>
          </cell>
          <cell r="AY636">
            <v>-20</v>
          </cell>
          <cell r="AZ636">
            <v>-20</v>
          </cell>
          <cell r="BA636">
            <v>-20</v>
          </cell>
          <cell r="BB636" t="str">
            <v>ND</v>
          </cell>
          <cell r="BC636" t="str">
            <v>ND</v>
          </cell>
          <cell r="BD636" t="str">
            <v>ND</v>
          </cell>
          <cell r="BE636" t="str">
            <v>ND</v>
          </cell>
          <cell r="BF636" t="str">
            <v>ND</v>
          </cell>
          <cell r="BG636" t="str">
            <v>ND</v>
          </cell>
          <cell r="BH636" t="str">
            <v>ND</v>
          </cell>
          <cell r="BI636" t="str">
            <v>ND</v>
          </cell>
          <cell r="BJ636" t="str">
            <v>ND</v>
          </cell>
          <cell r="BK636" t="str">
            <v>ND</v>
          </cell>
          <cell r="BL636" t="str">
            <v>ND</v>
          </cell>
          <cell r="BM636" t="str">
            <v>ND</v>
          </cell>
          <cell r="BN636" t="str">
            <v>ND</v>
          </cell>
          <cell r="BO636" t="str">
            <v>ND</v>
          </cell>
          <cell r="BP636" t="str">
            <v>ND</v>
          </cell>
          <cell r="BQ636" t="str">
            <v>ND</v>
          </cell>
          <cell r="BR636" t="str">
            <v>ND</v>
          </cell>
          <cell r="BS636" t="str">
            <v>ND</v>
          </cell>
          <cell r="BT636" t="str">
            <v>ND</v>
          </cell>
          <cell r="BU636" t="str">
            <v>ND</v>
          </cell>
          <cell r="BV636" t="str">
            <v>ND</v>
          </cell>
          <cell r="BW636" t="str">
            <v>ND</v>
          </cell>
          <cell r="BX636" t="str">
            <v>ND</v>
          </cell>
          <cell r="BY636" t="str">
            <v>ND</v>
          </cell>
          <cell r="BZ636" t="str">
            <v>ND</v>
          </cell>
        </row>
        <row r="638">
          <cell r="B638" t="str">
            <v>Operating Income</v>
          </cell>
          <cell r="H638">
            <v>240</v>
          </cell>
          <cell r="I638">
            <v>95</v>
          </cell>
          <cell r="J638">
            <v>0</v>
          </cell>
          <cell r="K638">
            <v>0</v>
          </cell>
          <cell r="L638">
            <v>0</v>
          </cell>
          <cell r="M638">
            <v>0</v>
          </cell>
          <cell r="N638">
            <v>0</v>
          </cell>
          <cell r="O638">
            <v>0</v>
          </cell>
          <cell r="AU638">
            <v>15</v>
          </cell>
          <cell r="AV638">
            <v>14</v>
          </cell>
          <cell r="AW638">
            <v>40</v>
          </cell>
          <cell r="AX638">
            <v>171</v>
          </cell>
          <cell r="AY638">
            <v>16</v>
          </cell>
          <cell r="AZ638">
            <v>30</v>
          </cell>
          <cell r="BA638">
            <v>28</v>
          </cell>
          <cell r="BB638">
            <v>21</v>
          </cell>
          <cell r="BC638">
            <v>0</v>
          </cell>
          <cell r="BD638">
            <v>0</v>
          </cell>
          <cell r="BE638">
            <v>0</v>
          </cell>
          <cell r="BF638">
            <v>0</v>
          </cell>
          <cell r="BG638">
            <v>0</v>
          </cell>
          <cell r="BH638">
            <v>0</v>
          </cell>
          <cell r="BI638">
            <v>0</v>
          </cell>
          <cell r="BJ638">
            <v>0</v>
          </cell>
          <cell r="BK638" t="str">
            <v>ND</v>
          </cell>
          <cell r="BL638" t="str">
            <v>ND</v>
          </cell>
          <cell r="BM638" t="str">
            <v>ND</v>
          </cell>
          <cell r="BN638" t="str">
            <v>ND</v>
          </cell>
          <cell r="BO638">
            <v>0</v>
          </cell>
          <cell r="BP638">
            <v>0</v>
          </cell>
          <cell r="BQ638">
            <v>0</v>
          </cell>
          <cell r="BR638">
            <v>0</v>
          </cell>
          <cell r="BS638">
            <v>0</v>
          </cell>
          <cell r="BT638">
            <v>0</v>
          </cell>
          <cell r="BU638">
            <v>0</v>
          </cell>
          <cell r="BV638">
            <v>0</v>
          </cell>
          <cell r="BW638">
            <v>0</v>
          </cell>
          <cell r="BX638">
            <v>0</v>
          </cell>
          <cell r="BY638">
            <v>0</v>
          </cell>
          <cell r="BZ638">
            <v>0</v>
          </cell>
        </row>
        <row r="639">
          <cell r="B639" t="str">
            <v>Margin</v>
          </cell>
          <cell r="H639">
            <v>0.3065134099616858</v>
          </cell>
          <cell r="I639">
            <v>0.12337662337662338</v>
          </cell>
          <cell r="J639" t="str">
            <v>NM</v>
          </cell>
          <cell r="K639" t="str">
            <v>NM</v>
          </cell>
          <cell r="L639" t="str">
            <v>NM</v>
          </cell>
          <cell r="M639" t="str">
            <v>NM</v>
          </cell>
          <cell r="N639" t="str">
            <v>NM</v>
          </cell>
          <cell r="O639" t="str">
            <v>NM</v>
          </cell>
          <cell r="AU639">
            <v>3.0303030303030304E-2</v>
          </cell>
          <cell r="AV639">
            <v>2.6217228464419477E-2</v>
          </cell>
          <cell r="AW639">
            <v>6.8728522336769765E-2</v>
          </cell>
          <cell r="AX639">
            <v>0.25073313782991202</v>
          </cell>
          <cell r="AY639">
            <v>2.4279210925644917E-2</v>
          </cell>
          <cell r="AZ639">
            <v>4.3604651162790699E-2</v>
          </cell>
          <cell r="BA639">
            <v>3.9603960396039604E-2</v>
          </cell>
          <cell r="BB639">
            <v>4.3933054393305436E-2</v>
          </cell>
          <cell r="BC639" t="str">
            <v>NM</v>
          </cell>
          <cell r="BD639" t="str">
            <v>NM</v>
          </cell>
          <cell r="BE639" t="str">
            <v>NM</v>
          </cell>
          <cell r="BF639" t="str">
            <v>NM</v>
          </cell>
          <cell r="BG639" t="str">
            <v>NM</v>
          </cell>
          <cell r="BH639" t="str">
            <v>NM</v>
          </cell>
          <cell r="BI639" t="str">
            <v>NM</v>
          </cell>
          <cell r="BJ639" t="str">
            <v>NM</v>
          </cell>
          <cell r="BK639" t="str">
            <v>NM</v>
          </cell>
          <cell r="BL639" t="str">
            <v>NM</v>
          </cell>
          <cell r="BM639" t="str">
            <v>NM</v>
          </cell>
          <cell r="BN639" t="str">
            <v>NM</v>
          </cell>
          <cell r="BO639" t="str">
            <v>NM</v>
          </cell>
          <cell r="BP639" t="str">
            <v>NM</v>
          </cell>
          <cell r="BQ639" t="str">
            <v>NM</v>
          </cell>
          <cell r="BR639" t="str">
            <v>NM</v>
          </cell>
          <cell r="BS639" t="str">
            <v>NM</v>
          </cell>
          <cell r="BT639" t="str">
            <v>NM</v>
          </cell>
          <cell r="BU639" t="str">
            <v>NM</v>
          </cell>
          <cell r="BV639" t="str">
            <v>NM</v>
          </cell>
          <cell r="BW639" t="str">
            <v>NM</v>
          </cell>
          <cell r="BX639" t="str">
            <v>NM</v>
          </cell>
          <cell r="BY639" t="str">
            <v>NM</v>
          </cell>
          <cell r="BZ639" t="str">
            <v>NM</v>
          </cell>
        </row>
        <row r="641">
          <cell r="B641" t="str">
            <v>Other income, net</v>
          </cell>
          <cell r="H641" t="str">
            <v>ND</v>
          </cell>
          <cell r="I641" t="str">
            <v>ND</v>
          </cell>
          <cell r="J641" t="str">
            <v>ND</v>
          </cell>
          <cell r="K641" t="str">
            <v>ND</v>
          </cell>
          <cell r="L641" t="str">
            <v>ND</v>
          </cell>
          <cell r="M641" t="str">
            <v>ND</v>
          </cell>
          <cell r="N641">
            <v>0</v>
          </cell>
          <cell r="O641" t="str">
            <v>ND</v>
          </cell>
          <cell r="AU641" t="str">
            <v>ND</v>
          </cell>
          <cell r="AV641" t="str">
            <v>ND</v>
          </cell>
          <cell r="AW641" t="str">
            <v>ND</v>
          </cell>
          <cell r="AX641" t="str">
            <v>ND</v>
          </cell>
          <cell r="AY641" t="str">
            <v>ND</v>
          </cell>
          <cell r="AZ641" t="str">
            <v>ND</v>
          </cell>
          <cell r="BA641" t="str">
            <v>ND</v>
          </cell>
          <cell r="BB641" t="str">
            <v>ND</v>
          </cell>
          <cell r="BC641" t="str">
            <v>ND</v>
          </cell>
          <cell r="BD641" t="str">
            <v>ND</v>
          </cell>
          <cell r="BE641" t="str">
            <v>ND</v>
          </cell>
          <cell r="BF641" t="str">
            <v>ND</v>
          </cell>
          <cell r="BG641" t="str">
            <v>ND</v>
          </cell>
          <cell r="BH641" t="str">
            <v>ND</v>
          </cell>
          <cell r="BI641" t="str">
            <v>ND</v>
          </cell>
          <cell r="BJ641" t="str">
            <v>ND</v>
          </cell>
          <cell r="BK641" t="str">
            <v>ND</v>
          </cell>
          <cell r="BL641" t="str">
            <v>ND</v>
          </cell>
          <cell r="BM641" t="str">
            <v>ND</v>
          </cell>
          <cell r="BN641" t="str">
            <v>ND</v>
          </cell>
          <cell r="BO641" t="str">
            <v>ND</v>
          </cell>
          <cell r="BP641" t="str">
            <v>ND</v>
          </cell>
          <cell r="BQ641" t="str">
            <v>ND</v>
          </cell>
          <cell r="BR641" t="str">
            <v>ND</v>
          </cell>
          <cell r="BS641">
            <v>0</v>
          </cell>
          <cell r="BT641">
            <v>0</v>
          </cell>
          <cell r="BU641">
            <v>0</v>
          </cell>
          <cell r="BV641">
            <v>0</v>
          </cell>
          <cell r="BW641">
            <v>0</v>
          </cell>
          <cell r="BX641" t="str">
            <v>ND</v>
          </cell>
          <cell r="BY641" t="str">
            <v>ND</v>
          </cell>
          <cell r="BZ641" t="str">
            <v>ND</v>
          </cell>
        </row>
        <row r="642">
          <cell r="B642" t="str">
            <v>Gain on sale of assets</v>
          </cell>
          <cell r="H642">
            <v>-30</v>
          </cell>
          <cell r="I642" t="str">
            <v>ND</v>
          </cell>
          <cell r="J642" t="str">
            <v>ND</v>
          </cell>
          <cell r="K642" t="str">
            <v>ND</v>
          </cell>
          <cell r="L642" t="str">
            <v>ND</v>
          </cell>
          <cell r="M642" t="str">
            <v>ND</v>
          </cell>
          <cell r="N642" t="str">
            <v>ND</v>
          </cell>
          <cell r="O642" t="str">
            <v>ND</v>
          </cell>
          <cell r="AU642" t="str">
            <v>ND</v>
          </cell>
          <cell r="AV642" t="str">
            <v>ND</v>
          </cell>
          <cell r="AW642" t="str">
            <v>ND</v>
          </cell>
          <cell r="AX642" t="str">
            <v>ND</v>
          </cell>
          <cell r="AY642" t="str">
            <v>ND</v>
          </cell>
          <cell r="AZ642" t="str">
            <v>ND</v>
          </cell>
          <cell r="BA642" t="str">
            <v>ND</v>
          </cell>
          <cell r="BB642" t="str">
            <v>ND</v>
          </cell>
          <cell r="BC642" t="str">
            <v>ND</v>
          </cell>
          <cell r="BD642" t="str">
            <v>ND</v>
          </cell>
          <cell r="BE642" t="str">
            <v>ND</v>
          </cell>
          <cell r="BF642" t="str">
            <v>ND</v>
          </cell>
          <cell r="BG642" t="str">
            <v>ND</v>
          </cell>
          <cell r="BH642" t="str">
            <v>ND</v>
          </cell>
          <cell r="BI642" t="str">
            <v>ND</v>
          </cell>
          <cell r="BJ642" t="str">
            <v>ND</v>
          </cell>
          <cell r="BK642" t="str">
            <v>ND</v>
          </cell>
          <cell r="BL642" t="str">
            <v>ND</v>
          </cell>
          <cell r="BM642" t="str">
            <v>ND</v>
          </cell>
          <cell r="BN642" t="str">
            <v>ND</v>
          </cell>
          <cell r="BO642" t="str">
            <v>ND</v>
          </cell>
          <cell r="BP642" t="str">
            <v>ND</v>
          </cell>
          <cell r="BQ642" t="str">
            <v>ND</v>
          </cell>
          <cell r="BR642" t="str">
            <v>ND</v>
          </cell>
          <cell r="BS642" t="str">
            <v>ND</v>
          </cell>
          <cell r="BT642" t="str">
            <v>ND</v>
          </cell>
          <cell r="BU642" t="str">
            <v>ND</v>
          </cell>
          <cell r="BV642" t="str">
            <v>ND</v>
          </cell>
          <cell r="BW642" t="str">
            <v>ND</v>
          </cell>
          <cell r="BX642" t="str">
            <v>ND</v>
          </cell>
          <cell r="BY642" t="str">
            <v>ND</v>
          </cell>
          <cell r="BZ642" t="str">
            <v>ND</v>
          </cell>
        </row>
        <row r="644">
          <cell r="B644" t="str">
            <v>Income (loss) from equity investments</v>
          </cell>
          <cell r="H644" t="str">
            <v>ND</v>
          </cell>
          <cell r="I644">
            <v>-13</v>
          </cell>
          <cell r="J644">
            <v>89</v>
          </cell>
          <cell r="K644">
            <v>21</v>
          </cell>
          <cell r="L644">
            <v>-76</v>
          </cell>
          <cell r="M644">
            <v>-77</v>
          </cell>
          <cell r="N644">
            <v>-37</v>
          </cell>
          <cell r="O644">
            <v>-37</v>
          </cell>
          <cell r="AU644" t="str">
            <v>ND</v>
          </cell>
          <cell r="AV644" t="str">
            <v>ND</v>
          </cell>
          <cell r="AW644" t="str">
            <v>ND</v>
          </cell>
          <cell r="AX644" t="str">
            <v>ND</v>
          </cell>
          <cell r="AY644" t="str">
            <v>ND</v>
          </cell>
          <cell r="AZ644" t="str">
            <v>ND</v>
          </cell>
          <cell r="BA644" t="str">
            <v>ND</v>
          </cell>
          <cell r="BB644" t="str">
            <v>ND</v>
          </cell>
          <cell r="BC644">
            <v>41</v>
          </cell>
          <cell r="BD644">
            <v>31</v>
          </cell>
          <cell r="BE644">
            <v>14</v>
          </cell>
          <cell r="BF644">
            <v>3</v>
          </cell>
          <cell r="BG644">
            <v>5</v>
          </cell>
          <cell r="BH644">
            <v>3</v>
          </cell>
          <cell r="BI644">
            <v>11</v>
          </cell>
          <cell r="BJ644">
            <v>40</v>
          </cell>
          <cell r="BK644">
            <v>-12</v>
          </cell>
          <cell r="BL644">
            <v>-10</v>
          </cell>
          <cell r="BM644">
            <v>-19</v>
          </cell>
          <cell r="BN644">
            <v>-35</v>
          </cell>
          <cell r="BO644">
            <v>-36</v>
          </cell>
          <cell r="BP644">
            <v>-9</v>
          </cell>
          <cell r="BQ644">
            <v>-11</v>
          </cell>
          <cell r="BR644">
            <v>-21</v>
          </cell>
          <cell r="BS644">
            <v>-9</v>
          </cell>
          <cell r="BT644">
            <v>-11</v>
          </cell>
          <cell r="BU644">
            <v>5</v>
          </cell>
          <cell r="BV644">
            <v>-22</v>
          </cell>
          <cell r="BW644">
            <v>-25</v>
          </cell>
          <cell r="BX644">
            <v>-20</v>
          </cell>
          <cell r="BY644">
            <v>-14</v>
          </cell>
          <cell r="BZ644">
            <v>22</v>
          </cell>
        </row>
        <row r="646">
          <cell r="B646" t="str">
            <v>D&amp;A</v>
          </cell>
          <cell r="H646">
            <v>-44</v>
          </cell>
          <cell r="I646">
            <v>-29</v>
          </cell>
          <cell r="J646" t="str">
            <v>ND</v>
          </cell>
          <cell r="K646" t="str">
            <v>ND</v>
          </cell>
          <cell r="L646" t="str">
            <v>ND</v>
          </cell>
          <cell r="M646" t="str">
            <v>ND</v>
          </cell>
          <cell r="N646" t="str">
            <v>ND</v>
          </cell>
          <cell r="O646" t="str">
            <v>ND</v>
          </cell>
          <cell r="AU646" t="str">
            <v>ND</v>
          </cell>
          <cell r="AV646" t="str">
            <v>ND</v>
          </cell>
          <cell r="AW646" t="str">
            <v>ND</v>
          </cell>
          <cell r="AX646" t="str">
            <v>ND</v>
          </cell>
          <cell r="AY646" t="str">
            <v>ND</v>
          </cell>
          <cell r="AZ646" t="str">
            <v>ND</v>
          </cell>
          <cell r="BA646" t="str">
            <v>ND</v>
          </cell>
          <cell r="BB646" t="str">
            <v>ND</v>
          </cell>
          <cell r="BC646" t="str">
            <v>ND</v>
          </cell>
          <cell r="BD646" t="str">
            <v>ND</v>
          </cell>
          <cell r="BE646" t="str">
            <v>ND</v>
          </cell>
          <cell r="BF646" t="str">
            <v>ND</v>
          </cell>
          <cell r="BG646" t="str">
            <v>ND</v>
          </cell>
          <cell r="BH646" t="str">
            <v>ND</v>
          </cell>
          <cell r="BI646" t="str">
            <v>ND</v>
          </cell>
          <cell r="BJ646" t="str">
            <v>ND</v>
          </cell>
          <cell r="BK646" t="str">
            <v>ND</v>
          </cell>
          <cell r="BL646" t="str">
            <v>ND</v>
          </cell>
          <cell r="BM646" t="str">
            <v>ND</v>
          </cell>
          <cell r="BN646" t="str">
            <v>ND</v>
          </cell>
          <cell r="BO646" t="str">
            <v>ND</v>
          </cell>
          <cell r="BP646" t="str">
            <v>ND</v>
          </cell>
          <cell r="BQ646" t="str">
            <v>ND</v>
          </cell>
          <cell r="BR646" t="str">
            <v>ND</v>
          </cell>
          <cell r="BS646" t="str">
            <v>ND</v>
          </cell>
          <cell r="BT646" t="str">
            <v>ND</v>
          </cell>
          <cell r="BU646" t="str">
            <v>ND</v>
          </cell>
          <cell r="BV646" t="str">
            <v>ND</v>
          </cell>
          <cell r="BW646" t="str">
            <v>ND</v>
          </cell>
          <cell r="BX646" t="str">
            <v>ND</v>
          </cell>
          <cell r="BY646" t="str">
            <v>ND</v>
          </cell>
          <cell r="BZ646" t="str">
            <v>ND</v>
          </cell>
        </row>
        <row r="647">
          <cell r="B647" t="str">
            <v>% of revenue</v>
          </cell>
          <cell r="H647">
            <v>-5.6194125159642401E-2</v>
          </cell>
          <cell r="I647">
            <v>-3.7662337662337661E-2</v>
          </cell>
          <cell r="J647" t="str">
            <v>NM</v>
          </cell>
          <cell r="K647" t="str">
            <v>NM</v>
          </cell>
          <cell r="L647" t="str">
            <v>NM</v>
          </cell>
          <cell r="M647" t="str">
            <v>NM</v>
          </cell>
          <cell r="N647" t="str">
            <v>NM</v>
          </cell>
          <cell r="O647" t="str">
            <v>NM</v>
          </cell>
          <cell r="AU647" t="str">
            <v>NM</v>
          </cell>
          <cell r="AV647" t="str">
            <v>NM</v>
          </cell>
          <cell r="AW647" t="str">
            <v>NM</v>
          </cell>
          <cell r="AX647" t="str">
            <v>NM</v>
          </cell>
          <cell r="AY647" t="str">
            <v>NM</v>
          </cell>
          <cell r="AZ647" t="str">
            <v>NM</v>
          </cell>
          <cell r="BA647" t="str">
            <v>NM</v>
          </cell>
          <cell r="BB647" t="str">
            <v>NM</v>
          </cell>
          <cell r="BC647" t="str">
            <v>NM</v>
          </cell>
          <cell r="BD647" t="str">
            <v>NM</v>
          </cell>
          <cell r="BE647" t="str">
            <v>NM</v>
          </cell>
          <cell r="BF647" t="str">
            <v>NM</v>
          </cell>
          <cell r="BG647" t="str">
            <v>NM</v>
          </cell>
          <cell r="BH647" t="str">
            <v>NM</v>
          </cell>
          <cell r="BI647" t="str">
            <v>NM</v>
          </cell>
          <cell r="BJ647" t="str">
            <v>NM</v>
          </cell>
          <cell r="BK647" t="str">
            <v>NM</v>
          </cell>
          <cell r="BL647" t="str">
            <v>NM</v>
          </cell>
          <cell r="BM647" t="str">
            <v>NM</v>
          </cell>
          <cell r="BN647" t="str">
            <v>NM</v>
          </cell>
          <cell r="BO647" t="str">
            <v>NM</v>
          </cell>
          <cell r="BP647" t="str">
            <v>NM</v>
          </cell>
          <cell r="BQ647" t="str">
            <v>NM</v>
          </cell>
          <cell r="BR647" t="str">
            <v>NM</v>
          </cell>
          <cell r="BS647" t="str">
            <v>NM</v>
          </cell>
          <cell r="BT647" t="str">
            <v>NM</v>
          </cell>
          <cell r="BU647" t="str">
            <v>NM</v>
          </cell>
          <cell r="BV647" t="str">
            <v>NM</v>
          </cell>
          <cell r="BW647" t="str">
            <v>NM</v>
          </cell>
          <cell r="BX647" t="str">
            <v>NM</v>
          </cell>
          <cell r="BY647" t="str">
            <v>NM</v>
          </cell>
          <cell r="BZ647" t="str">
            <v>NM</v>
          </cell>
        </row>
        <row r="649">
          <cell r="B649" t="str">
            <v>Capex</v>
          </cell>
          <cell r="H649">
            <v>-57</v>
          </cell>
          <cell r="I649">
            <v>-13</v>
          </cell>
          <cell r="J649" t="str">
            <v>ND</v>
          </cell>
          <cell r="K649" t="str">
            <v>ND</v>
          </cell>
          <cell r="L649" t="str">
            <v>ND</v>
          </cell>
          <cell r="M649" t="str">
            <v>ND</v>
          </cell>
          <cell r="N649" t="str">
            <v>ND</v>
          </cell>
          <cell r="O649" t="str">
            <v>ND</v>
          </cell>
          <cell r="AU649" t="str">
            <v>ND</v>
          </cell>
          <cell r="AV649" t="str">
            <v>ND</v>
          </cell>
          <cell r="AW649" t="str">
            <v>ND</v>
          </cell>
          <cell r="AX649" t="str">
            <v>ND</v>
          </cell>
          <cell r="AY649" t="str">
            <v>ND</v>
          </cell>
          <cell r="AZ649" t="str">
            <v>ND</v>
          </cell>
          <cell r="BA649" t="str">
            <v>ND</v>
          </cell>
          <cell r="BB649" t="str">
            <v>ND</v>
          </cell>
          <cell r="BC649" t="str">
            <v>ND</v>
          </cell>
          <cell r="BD649" t="str">
            <v>ND</v>
          </cell>
          <cell r="BE649" t="str">
            <v>ND</v>
          </cell>
          <cell r="BF649" t="str">
            <v>ND</v>
          </cell>
          <cell r="BG649" t="str">
            <v>ND</v>
          </cell>
          <cell r="BH649" t="str">
            <v>ND</v>
          </cell>
          <cell r="BI649" t="str">
            <v>ND</v>
          </cell>
          <cell r="BJ649" t="str">
            <v>ND</v>
          </cell>
          <cell r="BK649" t="str">
            <v>ND</v>
          </cell>
          <cell r="BL649" t="str">
            <v>ND</v>
          </cell>
          <cell r="BM649" t="str">
            <v>ND</v>
          </cell>
          <cell r="BN649" t="str">
            <v>ND</v>
          </cell>
          <cell r="BO649" t="str">
            <v>ND</v>
          </cell>
          <cell r="BP649" t="str">
            <v>ND</v>
          </cell>
          <cell r="BQ649" t="str">
            <v>ND</v>
          </cell>
          <cell r="BR649" t="str">
            <v>ND</v>
          </cell>
          <cell r="BS649" t="str">
            <v>ND</v>
          </cell>
          <cell r="BT649" t="str">
            <v>ND</v>
          </cell>
          <cell r="BU649" t="str">
            <v>ND</v>
          </cell>
          <cell r="BV649" t="str">
            <v>ND</v>
          </cell>
          <cell r="BW649" t="str">
            <v>ND</v>
          </cell>
          <cell r="BX649" t="str">
            <v>ND</v>
          </cell>
          <cell r="BY649" t="str">
            <v>ND</v>
          </cell>
          <cell r="BZ649" t="str">
            <v>ND</v>
          </cell>
        </row>
        <row r="650">
          <cell r="B650" t="str">
            <v>% of revenue</v>
          </cell>
          <cell r="H650">
            <v>-7.2796934865900387E-2</v>
          </cell>
          <cell r="I650">
            <v>-1.6883116883116882E-2</v>
          </cell>
          <cell r="J650" t="str">
            <v>NM</v>
          </cell>
          <cell r="K650" t="str">
            <v>NM</v>
          </cell>
          <cell r="L650" t="str">
            <v>NM</v>
          </cell>
          <cell r="M650" t="str">
            <v>NM</v>
          </cell>
          <cell r="N650" t="str">
            <v>NM</v>
          </cell>
          <cell r="O650" t="str">
            <v>NM</v>
          </cell>
          <cell r="AU650" t="str">
            <v>NM</v>
          </cell>
          <cell r="AV650" t="str">
            <v>NM</v>
          </cell>
          <cell r="AW650" t="str">
            <v>NM</v>
          </cell>
          <cell r="AX650" t="str">
            <v>NM</v>
          </cell>
          <cell r="AY650" t="str">
            <v>NM</v>
          </cell>
          <cell r="AZ650" t="str">
            <v>NM</v>
          </cell>
          <cell r="BA650" t="str">
            <v>NM</v>
          </cell>
          <cell r="BB650" t="str">
            <v>NM</v>
          </cell>
          <cell r="BC650" t="str">
            <v>NM</v>
          </cell>
          <cell r="BD650" t="str">
            <v>NM</v>
          </cell>
          <cell r="BE650" t="str">
            <v>NM</v>
          </cell>
          <cell r="BF650" t="str">
            <v>NM</v>
          </cell>
          <cell r="BG650" t="str">
            <v>NM</v>
          </cell>
          <cell r="BH650" t="str">
            <v>NM</v>
          </cell>
          <cell r="BI650" t="str">
            <v>NM</v>
          </cell>
          <cell r="BJ650" t="str">
            <v>NM</v>
          </cell>
          <cell r="BK650" t="str">
            <v>NM</v>
          </cell>
          <cell r="BL650" t="str">
            <v>NM</v>
          </cell>
          <cell r="BM650" t="str">
            <v>NM</v>
          </cell>
          <cell r="BN650" t="str">
            <v>NM</v>
          </cell>
          <cell r="BO650" t="str">
            <v>NM</v>
          </cell>
          <cell r="BP650" t="str">
            <v>NM</v>
          </cell>
          <cell r="BQ650" t="str">
            <v>NM</v>
          </cell>
          <cell r="BR650" t="str">
            <v>NM</v>
          </cell>
          <cell r="BS650" t="str">
            <v>NM</v>
          </cell>
          <cell r="BT650" t="str">
            <v>NM</v>
          </cell>
          <cell r="BU650" t="str">
            <v>NM</v>
          </cell>
          <cell r="BV650" t="str">
            <v>NM</v>
          </cell>
          <cell r="BW650" t="str">
            <v>NM</v>
          </cell>
          <cell r="BX650" t="str">
            <v>NM</v>
          </cell>
          <cell r="BY650" t="str">
            <v>NM</v>
          </cell>
          <cell r="BZ650" t="str">
            <v>NM</v>
          </cell>
        </row>
        <row r="652">
          <cell r="B652" t="str">
            <v>Total Assets</v>
          </cell>
          <cell r="H652">
            <v>870</v>
          </cell>
          <cell r="I652">
            <v>349</v>
          </cell>
          <cell r="J652">
            <v>201</v>
          </cell>
          <cell r="K652">
            <v>140</v>
          </cell>
          <cell r="L652">
            <v>140</v>
          </cell>
          <cell r="M652">
            <v>115</v>
          </cell>
          <cell r="N652">
            <v>337</v>
          </cell>
          <cell r="O652">
            <v>337</v>
          </cell>
          <cell r="AU652" t="str">
            <v>ND</v>
          </cell>
          <cell r="AV652" t="str">
            <v>ND</v>
          </cell>
          <cell r="AW652" t="str">
            <v>ND</v>
          </cell>
          <cell r="AX652">
            <v>870</v>
          </cell>
          <cell r="AY652" t="str">
            <v>ND</v>
          </cell>
          <cell r="AZ652" t="str">
            <v>ND</v>
          </cell>
          <cell r="BA652" t="str">
            <v>ND</v>
          </cell>
          <cell r="BB652">
            <v>349</v>
          </cell>
          <cell r="BC652" t="str">
            <v>ND</v>
          </cell>
          <cell r="BD652" t="str">
            <v>ND</v>
          </cell>
          <cell r="BE652" t="str">
            <v>ND</v>
          </cell>
          <cell r="BF652">
            <v>201</v>
          </cell>
          <cell r="BG652" t="str">
            <v>ND</v>
          </cell>
          <cell r="BH652" t="str">
            <v>ND</v>
          </cell>
          <cell r="BI652" t="str">
            <v>ND</v>
          </cell>
          <cell r="BJ652">
            <v>140</v>
          </cell>
          <cell r="BK652" t="str">
            <v>ND</v>
          </cell>
          <cell r="BL652" t="str">
            <v>ND</v>
          </cell>
          <cell r="BM652" t="str">
            <v>ND</v>
          </cell>
          <cell r="BN652">
            <v>140</v>
          </cell>
          <cell r="BO652" t="str">
            <v>ND</v>
          </cell>
          <cell r="BP652" t="str">
            <v>ND</v>
          </cell>
          <cell r="BQ652" t="str">
            <v>ND</v>
          </cell>
          <cell r="BR652">
            <v>115</v>
          </cell>
          <cell r="BS652" t="str">
            <v>ND</v>
          </cell>
          <cell r="BT652" t="str">
            <v>ND</v>
          </cell>
          <cell r="BU652" t="str">
            <v>ND</v>
          </cell>
          <cell r="BV652">
            <v>337</v>
          </cell>
          <cell r="BW652" t="str">
            <v>ND</v>
          </cell>
          <cell r="BX652" t="str">
            <v>ND</v>
          </cell>
          <cell r="BY652" t="str">
            <v>ND</v>
          </cell>
          <cell r="BZ652">
            <v>337</v>
          </cell>
        </row>
        <row r="654">
          <cell r="B654" t="str">
            <v>Refining</v>
          </cell>
        </row>
        <row r="656">
          <cell r="B656" t="str">
            <v>Customers</v>
          </cell>
          <cell r="C656">
            <v>4069</v>
          </cell>
          <cell r="D656">
            <v>3400</v>
          </cell>
          <cell r="E656">
            <v>2524</v>
          </cell>
          <cell r="F656">
            <v>2074</v>
          </cell>
          <cell r="G656">
            <v>2470</v>
          </cell>
          <cell r="H656">
            <v>2641</v>
          </cell>
          <cell r="I656">
            <v>0</v>
          </cell>
          <cell r="J656" t="str">
            <v>ND</v>
          </cell>
          <cell r="K656" t="str">
            <v>ND</v>
          </cell>
          <cell r="L656" t="str">
            <v>ND</v>
          </cell>
          <cell r="M656" t="str">
            <v>ND</v>
          </cell>
          <cell r="N656" t="str">
            <v>ND</v>
          </cell>
          <cell r="O656" t="str">
            <v>ND</v>
          </cell>
          <cell r="AI656" t="str">
            <v>ND</v>
          </cell>
          <cell r="AJ656" t="str">
            <v>ND</v>
          </cell>
          <cell r="AK656" t="str">
            <v>ND</v>
          </cell>
          <cell r="AL656" t="str">
            <v>ND</v>
          </cell>
          <cell r="AM656" t="str">
            <v>ND</v>
          </cell>
          <cell r="AN656" t="str">
            <v>ND</v>
          </cell>
          <cell r="AO656" t="str">
            <v>ND</v>
          </cell>
          <cell r="AP656" t="str">
            <v>ND</v>
          </cell>
          <cell r="AQ656" t="str">
            <v>ND</v>
          </cell>
          <cell r="AR656" t="str">
            <v>ND</v>
          </cell>
          <cell r="AS656" t="str">
            <v>ND</v>
          </cell>
          <cell r="AT656" t="str">
            <v>ND</v>
          </cell>
          <cell r="AU656" t="str">
            <v>ND</v>
          </cell>
          <cell r="AV656" t="str">
            <v>ND</v>
          </cell>
          <cell r="AW656" t="str">
            <v>ND</v>
          </cell>
          <cell r="AX656" t="str">
            <v>ND</v>
          </cell>
          <cell r="AY656">
            <v>0</v>
          </cell>
          <cell r="AZ656">
            <v>0</v>
          </cell>
          <cell r="BA656">
            <v>0</v>
          </cell>
          <cell r="BB656">
            <v>0</v>
          </cell>
        </row>
        <row r="657">
          <cell r="B657" t="str">
            <v>Intersegment</v>
          </cell>
          <cell r="C657">
            <v>455</v>
          </cell>
          <cell r="D657">
            <v>334</v>
          </cell>
          <cell r="E657">
            <v>237</v>
          </cell>
          <cell r="F657">
            <v>198</v>
          </cell>
          <cell r="G657">
            <v>178</v>
          </cell>
          <cell r="H657">
            <v>171</v>
          </cell>
          <cell r="I657">
            <v>0</v>
          </cell>
          <cell r="J657" t="str">
            <v>ND</v>
          </cell>
          <cell r="K657" t="str">
            <v>ND</v>
          </cell>
          <cell r="L657" t="str">
            <v>ND</v>
          </cell>
          <cell r="M657" t="str">
            <v>ND</v>
          </cell>
          <cell r="N657" t="str">
            <v>ND</v>
          </cell>
          <cell r="O657" t="str">
            <v>ND</v>
          </cell>
          <cell r="AI657" t="str">
            <v>ND</v>
          </cell>
          <cell r="AJ657" t="str">
            <v>ND</v>
          </cell>
          <cell r="AK657" t="str">
            <v>ND</v>
          </cell>
          <cell r="AL657" t="str">
            <v>ND</v>
          </cell>
          <cell r="AM657" t="str">
            <v>ND</v>
          </cell>
          <cell r="AN657" t="str">
            <v>ND</v>
          </cell>
          <cell r="AO657" t="str">
            <v>ND</v>
          </cell>
          <cell r="AP657" t="str">
            <v>ND</v>
          </cell>
          <cell r="AQ657" t="str">
            <v>ND</v>
          </cell>
          <cell r="AR657" t="str">
            <v>ND</v>
          </cell>
          <cell r="AS657" t="str">
            <v>ND</v>
          </cell>
          <cell r="AT657" t="str">
            <v>ND</v>
          </cell>
          <cell r="AU657" t="str">
            <v>ND</v>
          </cell>
          <cell r="AV657" t="str">
            <v>ND</v>
          </cell>
          <cell r="AW657" t="str">
            <v>ND</v>
          </cell>
          <cell r="AX657" t="str">
            <v>ND</v>
          </cell>
          <cell r="AY657">
            <v>0</v>
          </cell>
          <cell r="AZ657">
            <v>0</v>
          </cell>
          <cell r="BA657">
            <v>0</v>
          </cell>
          <cell r="BB657">
            <v>0</v>
          </cell>
        </row>
        <row r="658">
          <cell r="B658" t="str">
            <v>Revenue</v>
          </cell>
          <cell r="C658">
            <v>4524</v>
          </cell>
          <cell r="D658">
            <v>3734</v>
          </cell>
          <cell r="E658">
            <v>2761</v>
          </cell>
          <cell r="F658">
            <v>2272</v>
          </cell>
          <cell r="G658">
            <v>2648</v>
          </cell>
          <cell r="H658">
            <v>2812</v>
          </cell>
          <cell r="I658">
            <v>0</v>
          </cell>
          <cell r="J658">
            <v>0</v>
          </cell>
          <cell r="K658">
            <v>0</v>
          </cell>
          <cell r="L658">
            <v>0</v>
          </cell>
          <cell r="M658">
            <v>0</v>
          </cell>
          <cell r="N658">
            <v>0</v>
          </cell>
          <cell r="O658">
            <v>0</v>
          </cell>
          <cell r="AI658">
            <v>814</v>
          </cell>
          <cell r="AJ658">
            <v>789</v>
          </cell>
          <cell r="AK658">
            <v>614</v>
          </cell>
          <cell r="AL658">
            <v>544</v>
          </cell>
          <cell r="AM658">
            <v>535</v>
          </cell>
          <cell r="AN658">
            <v>570</v>
          </cell>
          <cell r="AO658">
            <v>601</v>
          </cell>
          <cell r="AP658">
            <v>566</v>
          </cell>
          <cell r="AQ658">
            <v>629</v>
          </cell>
          <cell r="AR658">
            <v>709</v>
          </cell>
          <cell r="AS658">
            <v>644</v>
          </cell>
          <cell r="AT658">
            <v>666</v>
          </cell>
          <cell r="AU658">
            <v>0</v>
          </cell>
          <cell r="AV658">
            <v>0</v>
          </cell>
          <cell r="AW658">
            <v>0</v>
          </cell>
          <cell r="AX658">
            <v>2812</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cell r="BM658">
            <v>0</v>
          </cell>
          <cell r="BN658">
            <v>0</v>
          </cell>
          <cell r="BO658">
            <v>0</v>
          </cell>
          <cell r="BP658">
            <v>0</v>
          </cell>
          <cell r="BQ658">
            <v>0</v>
          </cell>
          <cell r="BR658">
            <v>0</v>
          </cell>
          <cell r="BS658">
            <v>0</v>
          </cell>
          <cell r="BT658">
            <v>0</v>
          </cell>
          <cell r="BU658">
            <v>0</v>
          </cell>
          <cell r="BV658">
            <v>0</v>
          </cell>
          <cell r="BW658">
            <v>0</v>
          </cell>
          <cell r="BX658">
            <v>0</v>
          </cell>
          <cell r="BY658">
            <v>0</v>
          </cell>
          <cell r="BZ658">
            <v>0</v>
          </cell>
        </row>
        <row r="659">
          <cell r="B659" t="str">
            <v>Growth</v>
          </cell>
          <cell r="D659">
            <v>-0.17462422634836428</v>
          </cell>
          <cell r="E659">
            <v>-0.26057846813069097</v>
          </cell>
          <cell r="F659">
            <v>-0.17710974284679459</v>
          </cell>
          <cell r="G659">
            <v>0.16549295774647876</v>
          </cell>
          <cell r="H659">
            <v>6.1933534743202401E-2</v>
          </cell>
          <cell r="I659">
            <v>-1</v>
          </cell>
          <cell r="J659" t="str">
            <v>NM</v>
          </cell>
          <cell r="K659" t="str">
            <v>NM</v>
          </cell>
          <cell r="L659" t="str">
            <v>NM</v>
          </cell>
          <cell r="M659" t="str">
            <v>NM</v>
          </cell>
          <cell r="N659" t="str">
            <v>NM</v>
          </cell>
          <cell r="O659" t="str">
            <v>NM</v>
          </cell>
          <cell r="AI659" t="str">
            <v>NM</v>
          </cell>
          <cell r="AJ659">
            <v>-3.0712530712530661E-2</v>
          </cell>
          <cell r="AK659">
            <v>-0.22179974651457546</v>
          </cell>
          <cell r="AL659">
            <v>-0.11400651465798051</v>
          </cell>
          <cell r="AM659">
            <v>-1.6544117647058876E-2</v>
          </cell>
          <cell r="AN659">
            <v>6.5420560747663448E-2</v>
          </cell>
          <cell r="AO659">
            <v>5.4385964912280649E-2</v>
          </cell>
          <cell r="AP659">
            <v>-5.8236272878535722E-2</v>
          </cell>
          <cell r="AQ659">
            <v>0.11130742049469955</v>
          </cell>
          <cell r="AR659">
            <v>0.12718600953895076</v>
          </cell>
          <cell r="AS659">
            <v>-9.167842031029616E-2</v>
          </cell>
          <cell r="AT659">
            <v>3.4161490683229712E-2</v>
          </cell>
          <cell r="AU659">
            <v>-1</v>
          </cell>
          <cell r="AV659" t="str">
            <v>NM</v>
          </cell>
          <cell r="AW659" t="str">
            <v>NM</v>
          </cell>
          <cell r="AX659" t="str">
            <v>NM</v>
          </cell>
          <cell r="AY659">
            <v>-1</v>
          </cell>
          <cell r="AZ659" t="str">
            <v>NM</v>
          </cell>
          <cell r="BA659" t="str">
            <v>NM</v>
          </cell>
          <cell r="BB659" t="str">
            <v>NM</v>
          </cell>
          <cell r="BC659" t="str">
            <v>NM</v>
          </cell>
          <cell r="BD659" t="str">
            <v>NM</v>
          </cell>
          <cell r="BE659" t="str">
            <v>NM</v>
          </cell>
          <cell r="BF659" t="str">
            <v>NM</v>
          </cell>
          <cell r="BG659" t="str">
            <v>NM</v>
          </cell>
          <cell r="BH659" t="str">
            <v>NM</v>
          </cell>
          <cell r="BI659" t="str">
            <v>NM</v>
          </cell>
          <cell r="BJ659" t="str">
            <v>NM</v>
          </cell>
          <cell r="BK659" t="str">
            <v>NM</v>
          </cell>
          <cell r="BL659" t="str">
            <v>NM</v>
          </cell>
          <cell r="BM659" t="str">
            <v>NM</v>
          </cell>
          <cell r="BN659" t="str">
            <v>NM</v>
          </cell>
          <cell r="BO659" t="str">
            <v>NM</v>
          </cell>
          <cell r="BP659" t="str">
            <v>NM</v>
          </cell>
          <cell r="BQ659" t="str">
            <v>NM</v>
          </cell>
          <cell r="BR659" t="str">
            <v>NM</v>
          </cell>
          <cell r="BS659" t="str">
            <v>NM</v>
          </cell>
          <cell r="BT659" t="str">
            <v>NM</v>
          </cell>
          <cell r="BU659" t="str">
            <v>NM</v>
          </cell>
          <cell r="BV659" t="str">
            <v>NM</v>
          </cell>
          <cell r="BW659" t="str">
            <v>NM</v>
          </cell>
          <cell r="BX659" t="str">
            <v>NM</v>
          </cell>
          <cell r="BY659" t="str">
            <v>NM</v>
          </cell>
          <cell r="BZ659" t="str">
            <v>NM</v>
          </cell>
        </row>
        <row r="661">
          <cell r="B661" t="str">
            <v>Cost of Sales</v>
          </cell>
          <cell r="C661">
            <v>-4247</v>
          </cell>
          <cell r="D661">
            <v>-3642</v>
          </cell>
          <cell r="E661">
            <v>-2632</v>
          </cell>
          <cell r="F661">
            <v>-2164</v>
          </cell>
          <cell r="G661">
            <v>-2457</v>
          </cell>
          <cell r="H661">
            <v>-2749</v>
          </cell>
          <cell r="I661" t="str">
            <v>ND</v>
          </cell>
          <cell r="J661" t="str">
            <v>ND</v>
          </cell>
          <cell r="K661" t="str">
            <v>ND</v>
          </cell>
          <cell r="L661" t="str">
            <v>ND</v>
          </cell>
          <cell r="M661" t="str">
            <v>ND</v>
          </cell>
          <cell r="N661" t="str">
            <v>ND</v>
          </cell>
          <cell r="O661" t="str">
            <v>ND</v>
          </cell>
          <cell r="AI661">
            <v>-799</v>
          </cell>
          <cell r="AJ661">
            <v>-756</v>
          </cell>
          <cell r="AK661">
            <v>-569</v>
          </cell>
          <cell r="AL661">
            <v>-508</v>
          </cell>
          <cell r="AM661">
            <v>-496</v>
          </cell>
          <cell r="AN661">
            <v>-541</v>
          </cell>
          <cell r="AO661">
            <v>-573</v>
          </cell>
          <cell r="AP661">
            <v>-554</v>
          </cell>
          <cell r="AQ661">
            <v>-571</v>
          </cell>
          <cell r="AR661">
            <v>-673</v>
          </cell>
          <cell r="AS661">
            <v>-595</v>
          </cell>
          <cell r="AT661">
            <v>-618</v>
          </cell>
          <cell r="AU661">
            <v>0</v>
          </cell>
          <cell r="AV661">
            <v>0</v>
          </cell>
          <cell r="AW661">
            <v>0</v>
          </cell>
          <cell r="AX661">
            <v>-2749</v>
          </cell>
          <cell r="AY661">
            <v>0</v>
          </cell>
          <cell r="AZ661">
            <v>0</v>
          </cell>
          <cell r="BA661">
            <v>0</v>
          </cell>
          <cell r="BB661" t="str">
            <v>ND</v>
          </cell>
          <cell r="BC661" t="str">
            <v>ND</v>
          </cell>
          <cell r="BD661" t="str">
            <v>ND</v>
          </cell>
          <cell r="BE661" t="str">
            <v>ND</v>
          </cell>
          <cell r="BF661" t="str">
            <v>ND</v>
          </cell>
          <cell r="BG661" t="str">
            <v>ND</v>
          </cell>
          <cell r="BH661" t="str">
            <v>ND</v>
          </cell>
          <cell r="BI661" t="str">
            <v>ND</v>
          </cell>
          <cell r="BJ661" t="str">
            <v>ND</v>
          </cell>
          <cell r="BK661" t="str">
            <v>ND</v>
          </cell>
          <cell r="BL661" t="str">
            <v>ND</v>
          </cell>
          <cell r="BM661" t="str">
            <v>ND</v>
          </cell>
          <cell r="BN661" t="str">
            <v>ND</v>
          </cell>
          <cell r="BO661" t="str">
            <v>ND</v>
          </cell>
          <cell r="BP661" t="str">
            <v>ND</v>
          </cell>
          <cell r="BQ661" t="str">
            <v>ND</v>
          </cell>
          <cell r="BR661" t="str">
            <v>ND</v>
          </cell>
          <cell r="BS661" t="str">
            <v>ND</v>
          </cell>
          <cell r="BT661" t="str">
            <v>ND</v>
          </cell>
          <cell r="BU661" t="str">
            <v>ND</v>
          </cell>
          <cell r="BV661" t="str">
            <v>ND</v>
          </cell>
          <cell r="BW661" t="str">
            <v>ND</v>
          </cell>
          <cell r="BX661" t="str">
            <v>ND</v>
          </cell>
          <cell r="BY661" t="str">
            <v>ND</v>
          </cell>
          <cell r="BZ661" t="str">
            <v>ND</v>
          </cell>
        </row>
        <row r="662">
          <cell r="B662" t="str">
            <v>Selling, General and Administrative expense</v>
          </cell>
          <cell r="C662">
            <v>-42</v>
          </cell>
          <cell r="D662">
            <v>-43</v>
          </cell>
          <cell r="E662">
            <v>-48</v>
          </cell>
          <cell r="F662">
            <v>-54</v>
          </cell>
          <cell r="G662">
            <v>-61</v>
          </cell>
          <cell r="H662">
            <v>-62</v>
          </cell>
          <cell r="I662" t="str">
            <v>ND</v>
          </cell>
          <cell r="J662" t="str">
            <v>ND</v>
          </cell>
          <cell r="K662" t="str">
            <v>ND</v>
          </cell>
          <cell r="L662" t="str">
            <v>ND</v>
          </cell>
          <cell r="M662" t="str">
            <v>ND</v>
          </cell>
          <cell r="N662" t="str">
            <v>ND</v>
          </cell>
          <cell r="O662" t="str">
            <v>ND</v>
          </cell>
          <cell r="AI662">
            <v>-10</v>
          </cell>
          <cell r="AJ662">
            <v>-12</v>
          </cell>
          <cell r="AK662">
            <v>-13</v>
          </cell>
          <cell r="AL662">
            <v>-13</v>
          </cell>
          <cell r="AM662">
            <v>-13</v>
          </cell>
          <cell r="AN662">
            <v>-14</v>
          </cell>
          <cell r="AO662">
            <v>-14</v>
          </cell>
          <cell r="AP662">
            <v>-13</v>
          </cell>
          <cell r="AQ662">
            <v>-15</v>
          </cell>
          <cell r="AR662">
            <v>-14</v>
          </cell>
          <cell r="AS662">
            <v>-14</v>
          </cell>
          <cell r="AT662">
            <v>-18</v>
          </cell>
          <cell r="AU662">
            <v>-17</v>
          </cell>
          <cell r="AV662">
            <v>0</v>
          </cell>
          <cell r="AW662">
            <v>0</v>
          </cell>
          <cell r="AX662">
            <v>-45</v>
          </cell>
          <cell r="AY662">
            <v>0</v>
          </cell>
          <cell r="AZ662">
            <v>0</v>
          </cell>
          <cell r="BA662">
            <v>0</v>
          </cell>
          <cell r="BB662" t="str">
            <v>ND</v>
          </cell>
          <cell r="BC662" t="str">
            <v>ND</v>
          </cell>
          <cell r="BD662" t="str">
            <v>ND</v>
          </cell>
          <cell r="BE662" t="str">
            <v>ND</v>
          </cell>
          <cell r="BF662" t="str">
            <v>ND</v>
          </cell>
          <cell r="BG662" t="str">
            <v>ND</v>
          </cell>
          <cell r="BH662" t="str">
            <v>ND</v>
          </cell>
          <cell r="BI662" t="str">
            <v>ND</v>
          </cell>
          <cell r="BJ662" t="str">
            <v>ND</v>
          </cell>
          <cell r="BK662" t="str">
            <v>ND</v>
          </cell>
          <cell r="BL662" t="str">
            <v>ND</v>
          </cell>
          <cell r="BM662" t="str">
            <v>ND</v>
          </cell>
          <cell r="BN662" t="str">
            <v>ND</v>
          </cell>
          <cell r="BO662" t="str">
            <v>ND</v>
          </cell>
          <cell r="BP662" t="str">
            <v>ND</v>
          </cell>
          <cell r="BQ662" t="str">
            <v>ND</v>
          </cell>
          <cell r="BR662" t="str">
            <v>ND</v>
          </cell>
          <cell r="BS662" t="str">
            <v>ND</v>
          </cell>
          <cell r="BT662" t="str">
            <v>ND</v>
          </cell>
          <cell r="BU662" t="str">
            <v>ND</v>
          </cell>
          <cell r="BV662" t="str">
            <v>ND</v>
          </cell>
          <cell r="BW662" t="str">
            <v>ND</v>
          </cell>
          <cell r="BX662" t="str">
            <v>ND</v>
          </cell>
          <cell r="BY662" t="str">
            <v>ND</v>
          </cell>
          <cell r="BZ662" t="str">
            <v>ND</v>
          </cell>
        </row>
        <row r="664">
          <cell r="B664" t="str">
            <v>Operating Income</v>
          </cell>
          <cell r="C664">
            <v>235</v>
          </cell>
          <cell r="D664">
            <v>49</v>
          </cell>
          <cell r="E664">
            <v>81</v>
          </cell>
          <cell r="F664">
            <v>54</v>
          </cell>
          <cell r="G664">
            <v>130</v>
          </cell>
          <cell r="H664">
            <v>1</v>
          </cell>
          <cell r="I664">
            <v>102</v>
          </cell>
          <cell r="J664" t="str">
            <v>ND</v>
          </cell>
          <cell r="K664">
            <v>0</v>
          </cell>
          <cell r="L664">
            <v>0</v>
          </cell>
          <cell r="M664">
            <v>0</v>
          </cell>
          <cell r="N664">
            <v>0</v>
          </cell>
          <cell r="O664">
            <v>0</v>
          </cell>
          <cell r="AI664" t="str">
            <v>ND</v>
          </cell>
          <cell r="AJ664" t="str">
            <v>ND</v>
          </cell>
          <cell r="AK664" t="str">
            <v>ND</v>
          </cell>
          <cell r="AL664" t="str">
            <v>ND</v>
          </cell>
          <cell r="AM664" t="str">
            <v>ND</v>
          </cell>
          <cell r="AN664" t="str">
            <v>ND</v>
          </cell>
          <cell r="AO664" t="str">
            <v>ND</v>
          </cell>
          <cell r="AP664" t="str">
            <v>ND</v>
          </cell>
          <cell r="AQ664">
            <v>43</v>
          </cell>
          <cell r="AR664">
            <v>22</v>
          </cell>
          <cell r="AS664">
            <v>35</v>
          </cell>
          <cell r="AT664">
            <v>30</v>
          </cell>
          <cell r="AU664">
            <v>0</v>
          </cell>
          <cell r="AV664">
            <v>0</v>
          </cell>
          <cell r="AW664">
            <v>0</v>
          </cell>
          <cell r="AX664">
            <v>1</v>
          </cell>
          <cell r="AY664">
            <v>0</v>
          </cell>
          <cell r="AZ664">
            <v>0</v>
          </cell>
          <cell r="BA664">
            <v>0</v>
          </cell>
          <cell r="BB664">
            <v>102</v>
          </cell>
          <cell r="BC664">
            <v>0</v>
          </cell>
          <cell r="BD664">
            <v>0</v>
          </cell>
          <cell r="BE664">
            <v>0</v>
          </cell>
          <cell r="BF664">
            <v>0</v>
          </cell>
          <cell r="BG664">
            <v>0</v>
          </cell>
          <cell r="BH664">
            <v>0</v>
          </cell>
          <cell r="BI664">
            <v>0</v>
          </cell>
          <cell r="BJ664">
            <v>0</v>
          </cell>
          <cell r="BK664">
            <v>0</v>
          </cell>
          <cell r="BL664">
            <v>0</v>
          </cell>
          <cell r="BM664">
            <v>0</v>
          </cell>
          <cell r="BN664">
            <v>0</v>
          </cell>
          <cell r="BO664">
            <v>0</v>
          </cell>
          <cell r="BP664">
            <v>0</v>
          </cell>
          <cell r="BQ664">
            <v>0</v>
          </cell>
          <cell r="BR664">
            <v>0</v>
          </cell>
          <cell r="BS664">
            <v>0</v>
          </cell>
          <cell r="BT664">
            <v>0</v>
          </cell>
          <cell r="BU664">
            <v>0</v>
          </cell>
          <cell r="BV664">
            <v>0</v>
          </cell>
          <cell r="BW664">
            <v>0</v>
          </cell>
          <cell r="BX664">
            <v>0</v>
          </cell>
          <cell r="BY664">
            <v>0</v>
          </cell>
          <cell r="BZ664">
            <v>0</v>
          </cell>
        </row>
        <row r="665">
          <cell r="B665" t="str">
            <v>Margin</v>
          </cell>
          <cell r="C665">
            <v>5.1945181255526086E-2</v>
          </cell>
          <cell r="D665">
            <v>1.3122656668452063E-2</v>
          </cell>
          <cell r="E665">
            <v>2.933719666787396E-2</v>
          </cell>
          <cell r="F665">
            <v>2.3767605633802816E-2</v>
          </cell>
          <cell r="G665">
            <v>4.9093655589123868E-2</v>
          </cell>
          <cell r="H665">
            <v>3.5561877667140827E-4</v>
          </cell>
          <cell r="I665" t="str">
            <v>NM</v>
          </cell>
          <cell r="J665" t="str">
            <v>NM</v>
          </cell>
          <cell r="K665" t="str">
            <v>NM</v>
          </cell>
          <cell r="L665" t="str">
            <v>NM</v>
          </cell>
          <cell r="M665" t="str">
            <v>NM</v>
          </cell>
          <cell r="N665" t="str">
            <v>NM</v>
          </cell>
          <cell r="O665" t="str">
            <v>NM</v>
          </cell>
          <cell r="AI665" t="str">
            <v>NM</v>
          </cell>
          <cell r="AJ665" t="str">
            <v>NM</v>
          </cell>
          <cell r="AK665" t="str">
            <v>NM</v>
          </cell>
          <cell r="AL665" t="str">
            <v>NM</v>
          </cell>
          <cell r="AM665" t="str">
            <v>NM</v>
          </cell>
          <cell r="AN665" t="str">
            <v>NM</v>
          </cell>
          <cell r="AO665" t="str">
            <v>NM</v>
          </cell>
          <cell r="AP665" t="str">
            <v>NM</v>
          </cell>
          <cell r="AQ665">
            <v>6.8362480127186015E-2</v>
          </cell>
          <cell r="AR665">
            <v>3.1029619181946404E-2</v>
          </cell>
          <cell r="AS665">
            <v>5.434782608695652E-2</v>
          </cell>
          <cell r="AT665">
            <v>4.5045045045045043E-2</v>
          </cell>
          <cell r="AU665" t="str">
            <v>NM</v>
          </cell>
          <cell r="AV665" t="str">
            <v>NM</v>
          </cell>
          <cell r="AW665" t="str">
            <v>NM</v>
          </cell>
          <cell r="AX665">
            <v>3.5561877667140827E-4</v>
          </cell>
          <cell r="AY665" t="str">
            <v>NM</v>
          </cell>
          <cell r="AZ665" t="str">
            <v>NM</v>
          </cell>
          <cell r="BA665" t="str">
            <v>NM</v>
          </cell>
          <cell r="BB665" t="str">
            <v>NM</v>
          </cell>
          <cell r="BC665" t="str">
            <v>NM</v>
          </cell>
          <cell r="BD665" t="str">
            <v>NM</v>
          </cell>
          <cell r="BE665" t="str">
            <v>NM</v>
          </cell>
          <cell r="BF665" t="str">
            <v>NM</v>
          </cell>
          <cell r="BG665" t="str">
            <v>NM</v>
          </cell>
          <cell r="BH665" t="str">
            <v>NM</v>
          </cell>
          <cell r="BI665" t="str">
            <v>NM</v>
          </cell>
          <cell r="BJ665" t="str">
            <v>NM</v>
          </cell>
          <cell r="BK665" t="str">
            <v>NM</v>
          </cell>
          <cell r="BL665" t="str">
            <v>NM</v>
          </cell>
          <cell r="BM665" t="str">
            <v>NM</v>
          </cell>
          <cell r="BN665" t="str">
            <v>NM</v>
          </cell>
          <cell r="BO665" t="str">
            <v>NM</v>
          </cell>
          <cell r="BP665" t="str">
            <v>NM</v>
          </cell>
          <cell r="BQ665" t="str">
            <v>NM</v>
          </cell>
          <cell r="BR665" t="str">
            <v>NM</v>
          </cell>
          <cell r="BS665" t="str">
            <v>NM</v>
          </cell>
          <cell r="BT665" t="str">
            <v>NM</v>
          </cell>
          <cell r="BU665" t="str">
            <v>NM</v>
          </cell>
          <cell r="BV665" t="str">
            <v>NM</v>
          </cell>
          <cell r="BW665" t="str">
            <v>NM</v>
          </cell>
          <cell r="BX665" t="str">
            <v>NM</v>
          </cell>
          <cell r="BY665" t="str">
            <v>NM</v>
          </cell>
          <cell r="BZ665" t="str">
            <v>NM</v>
          </cell>
        </row>
        <row r="667">
          <cell r="B667" t="str">
            <v>Income (loss) from equity investments</v>
          </cell>
          <cell r="C667" t="str">
            <v>ND</v>
          </cell>
          <cell r="D667" t="str">
            <v>ND</v>
          </cell>
          <cell r="E667" t="str">
            <v>ND</v>
          </cell>
          <cell r="F667" t="str">
            <v>ND</v>
          </cell>
          <cell r="G667" t="str">
            <v>ND</v>
          </cell>
          <cell r="H667" t="str">
            <v>ND</v>
          </cell>
          <cell r="I667">
            <v>102</v>
          </cell>
          <cell r="J667">
            <v>110</v>
          </cell>
          <cell r="K667">
            <v>23</v>
          </cell>
          <cell r="L667">
            <v>86</v>
          </cell>
          <cell r="M667">
            <v>129</v>
          </cell>
          <cell r="N667">
            <v>135</v>
          </cell>
          <cell r="O667">
            <v>135</v>
          </cell>
          <cell r="AI667" t="str">
            <v>ND</v>
          </cell>
          <cell r="AJ667" t="str">
            <v>ND</v>
          </cell>
          <cell r="AK667" t="str">
            <v>ND</v>
          </cell>
          <cell r="AL667" t="str">
            <v>ND</v>
          </cell>
          <cell r="AM667" t="str">
            <v>ND</v>
          </cell>
          <cell r="AN667" t="str">
            <v>ND</v>
          </cell>
          <cell r="AO667" t="str">
            <v>ND</v>
          </cell>
          <cell r="AP667" t="str">
            <v>ND</v>
          </cell>
          <cell r="AQ667" t="str">
            <v>ND</v>
          </cell>
          <cell r="AR667" t="str">
            <v>ND</v>
          </cell>
          <cell r="AS667" t="str">
            <v>ND</v>
          </cell>
          <cell r="AT667" t="str">
            <v>ND</v>
          </cell>
          <cell r="AU667" t="str">
            <v>ND</v>
          </cell>
          <cell r="AV667" t="str">
            <v>ND</v>
          </cell>
          <cell r="AW667" t="str">
            <v>ND</v>
          </cell>
          <cell r="AX667" t="str">
            <v>ND</v>
          </cell>
          <cell r="AY667" t="str">
            <v>ND</v>
          </cell>
          <cell r="AZ667" t="str">
            <v>ND</v>
          </cell>
          <cell r="BA667" t="str">
            <v>ND</v>
          </cell>
          <cell r="BB667">
            <v>102</v>
          </cell>
          <cell r="BC667">
            <v>35</v>
          </cell>
          <cell r="BD667">
            <v>19</v>
          </cell>
          <cell r="BE667">
            <v>35</v>
          </cell>
          <cell r="BF667">
            <v>-89</v>
          </cell>
          <cell r="BG667">
            <v>11</v>
          </cell>
          <cell r="BH667">
            <v>-20</v>
          </cell>
          <cell r="BI667">
            <v>14</v>
          </cell>
          <cell r="BJ667">
            <v>18</v>
          </cell>
          <cell r="BK667">
            <v>16</v>
          </cell>
          <cell r="BL667">
            <v>-10</v>
          </cell>
          <cell r="BM667">
            <v>42</v>
          </cell>
          <cell r="BN667">
            <v>38</v>
          </cell>
          <cell r="BO667">
            <v>27</v>
          </cell>
          <cell r="BP667">
            <v>41</v>
          </cell>
          <cell r="BQ667">
            <v>48</v>
          </cell>
          <cell r="BR667">
            <v>13</v>
          </cell>
          <cell r="BS667">
            <v>27</v>
          </cell>
          <cell r="BT667">
            <v>39</v>
          </cell>
          <cell r="BU667">
            <v>32</v>
          </cell>
          <cell r="BV667">
            <v>37</v>
          </cell>
          <cell r="BW667">
            <v>19</v>
          </cell>
          <cell r="BX667">
            <v>37</v>
          </cell>
          <cell r="BY667">
            <v>43</v>
          </cell>
          <cell r="BZ667">
            <v>36</v>
          </cell>
        </row>
        <row r="669">
          <cell r="B669" t="str">
            <v>D&amp;A</v>
          </cell>
          <cell r="C669">
            <v>-4</v>
          </cell>
          <cell r="D669">
            <v>-5</v>
          </cell>
          <cell r="E669">
            <v>-13</v>
          </cell>
          <cell r="F669">
            <v>-20</v>
          </cell>
          <cell r="G669">
            <v>-30</v>
          </cell>
          <cell r="H669">
            <v>-34</v>
          </cell>
          <cell r="I669">
            <v>0</v>
          </cell>
          <cell r="J669" t="str">
            <v>ND</v>
          </cell>
          <cell r="K669" t="str">
            <v>ND</v>
          </cell>
          <cell r="L669" t="str">
            <v>ND</v>
          </cell>
          <cell r="M669" t="str">
            <v>ND</v>
          </cell>
          <cell r="N669" t="str">
            <v>ND</v>
          </cell>
          <cell r="O669" t="str">
            <v>ND</v>
          </cell>
          <cell r="AI669" t="str">
            <v>ND</v>
          </cell>
          <cell r="AJ669" t="str">
            <v>ND</v>
          </cell>
          <cell r="AK669" t="str">
            <v>ND</v>
          </cell>
          <cell r="AL669" t="str">
            <v>ND</v>
          </cell>
          <cell r="AM669" t="str">
            <v>ND</v>
          </cell>
          <cell r="AN669" t="str">
            <v>ND</v>
          </cell>
          <cell r="AO669" t="str">
            <v>ND</v>
          </cell>
          <cell r="AP669" t="str">
            <v>ND</v>
          </cell>
          <cell r="AQ669" t="str">
            <v>ND</v>
          </cell>
          <cell r="AR669" t="str">
            <v>ND</v>
          </cell>
          <cell r="AS669" t="str">
            <v>ND</v>
          </cell>
          <cell r="AT669" t="str">
            <v>ND</v>
          </cell>
          <cell r="AU669" t="str">
            <v>ND</v>
          </cell>
          <cell r="AV669" t="str">
            <v>ND</v>
          </cell>
          <cell r="AW669" t="str">
            <v>ND</v>
          </cell>
          <cell r="AX669" t="str">
            <v>ND</v>
          </cell>
          <cell r="AY669" t="str">
            <v>ND</v>
          </cell>
          <cell r="AZ669" t="str">
            <v>ND</v>
          </cell>
          <cell r="BA669" t="str">
            <v>ND</v>
          </cell>
          <cell r="BB669" t="str">
            <v>ND</v>
          </cell>
          <cell r="BC669" t="str">
            <v>ND</v>
          </cell>
          <cell r="BD669" t="str">
            <v>ND</v>
          </cell>
          <cell r="BE669" t="str">
            <v>ND</v>
          </cell>
          <cell r="BF669" t="str">
            <v>ND</v>
          </cell>
          <cell r="BG669" t="str">
            <v>ND</v>
          </cell>
          <cell r="BH669" t="str">
            <v>ND</v>
          </cell>
          <cell r="BI669" t="str">
            <v>ND</v>
          </cell>
          <cell r="BJ669" t="str">
            <v>ND</v>
          </cell>
          <cell r="BK669" t="str">
            <v>ND</v>
          </cell>
          <cell r="BL669" t="str">
            <v>ND</v>
          </cell>
          <cell r="BM669" t="str">
            <v>ND</v>
          </cell>
          <cell r="BN669" t="str">
            <v>ND</v>
          </cell>
          <cell r="BO669" t="str">
            <v>ND</v>
          </cell>
          <cell r="BP669" t="str">
            <v>ND</v>
          </cell>
          <cell r="BQ669" t="str">
            <v>ND</v>
          </cell>
          <cell r="BR669" t="str">
            <v>ND</v>
          </cell>
          <cell r="BS669" t="str">
            <v>ND</v>
          </cell>
          <cell r="BT669" t="str">
            <v>ND</v>
          </cell>
          <cell r="BU669" t="str">
            <v>ND</v>
          </cell>
          <cell r="BV669" t="str">
            <v>ND</v>
          </cell>
          <cell r="BW669" t="str">
            <v>ND</v>
          </cell>
          <cell r="BX669" t="str">
            <v>ND</v>
          </cell>
          <cell r="BY669" t="str">
            <v>ND</v>
          </cell>
          <cell r="BZ669" t="str">
            <v>ND</v>
          </cell>
        </row>
        <row r="670">
          <cell r="B670" t="str">
            <v>% of revenue</v>
          </cell>
          <cell r="C670">
            <v>-8.8417329796640137E-4</v>
          </cell>
          <cell r="D670">
            <v>-1.339046598821639E-3</v>
          </cell>
          <cell r="E670">
            <v>-4.7084389713871787E-3</v>
          </cell>
          <cell r="F670">
            <v>-8.8028169014084511E-3</v>
          </cell>
          <cell r="G670">
            <v>-1.1329305135951661E-2</v>
          </cell>
          <cell r="H670">
            <v>-1.2091038406827881E-2</v>
          </cell>
          <cell r="I670" t="str">
            <v>NM</v>
          </cell>
          <cell r="J670" t="str">
            <v>NM</v>
          </cell>
          <cell r="K670" t="str">
            <v>NM</v>
          </cell>
          <cell r="L670" t="str">
            <v>NM</v>
          </cell>
          <cell r="M670" t="str">
            <v>NM</v>
          </cell>
          <cell r="N670" t="str">
            <v>NM</v>
          </cell>
          <cell r="O670" t="str">
            <v>NM</v>
          </cell>
          <cell r="AI670" t="str">
            <v>NM</v>
          </cell>
          <cell r="AJ670" t="str">
            <v>NM</v>
          </cell>
          <cell r="AK670" t="str">
            <v>NM</v>
          </cell>
          <cell r="AL670" t="str">
            <v>NM</v>
          </cell>
          <cell r="AM670" t="str">
            <v>NM</v>
          </cell>
          <cell r="AN670" t="str">
            <v>NM</v>
          </cell>
          <cell r="AO670" t="str">
            <v>NM</v>
          </cell>
          <cell r="AP670" t="str">
            <v>NM</v>
          </cell>
          <cell r="AQ670" t="str">
            <v>NM</v>
          </cell>
          <cell r="AR670" t="str">
            <v>NM</v>
          </cell>
          <cell r="AS670" t="str">
            <v>NM</v>
          </cell>
          <cell r="AT670" t="str">
            <v>NM</v>
          </cell>
          <cell r="AU670" t="str">
            <v>NM</v>
          </cell>
          <cell r="AV670" t="str">
            <v>NM</v>
          </cell>
          <cell r="AW670" t="str">
            <v>NM</v>
          </cell>
          <cell r="AX670" t="str">
            <v>NM</v>
          </cell>
          <cell r="AY670" t="str">
            <v>NM</v>
          </cell>
          <cell r="AZ670" t="str">
            <v>NM</v>
          </cell>
          <cell r="BA670" t="str">
            <v>NM</v>
          </cell>
          <cell r="BB670" t="str">
            <v>NM</v>
          </cell>
          <cell r="BC670" t="str">
            <v>NM</v>
          </cell>
          <cell r="BD670" t="str">
            <v>NM</v>
          </cell>
          <cell r="BE670" t="str">
            <v>NM</v>
          </cell>
          <cell r="BF670" t="str">
            <v>NM</v>
          </cell>
          <cell r="BG670" t="str">
            <v>NM</v>
          </cell>
          <cell r="BH670" t="str">
            <v>NM</v>
          </cell>
          <cell r="BI670" t="str">
            <v>NM</v>
          </cell>
          <cell r="BJ670" t="str">
            <v>NM</v>
          </cell>
          <cell r="BK670" t="str">
            <v>NM</v>
          </cell>
          <cell r="BL670" t="str">
            <v>NM</v>
          </cell>
          <cell r="BM670" t="str">
            <v>NM</v>
          </cell>
          <cell r="BN670" t="str">
            <v>NM</v>
          </cell>
          <cell r="BO670" t="str">
            <v>NM</v>
          </cell>
          <cell r="BP670" t="str">
            <v>NM</v>
          </cell>
          <cell r="BQ670" t="str">
            <v>NM</v>
          </cell>
          <cell r="BR670" t="str">
            <v>NM</v>
          </cell>
          <cell r="BS670" t="str">
            <v>NM</v>
          </cell>
          <cell r="BT670" t="str">
            <v>NM</v>
          </cell>
          <cell r="BU670" t="str">
            <v>NM</v>
          </cell>
          <cell r="BV670" t="str">
            <v>NM</v>
          </cell>
          <cell r="BW670" t="str">
            <v>NM</v>
          </cell>
          <cell r="BX670" t="str">
            <v>NM</v>
          </cell>
          <cell r="BY670" t="str">
            <v>NM</v>
          </cell>
          <cell r="BZ670" t="str">
            <v>NM</v>
          </cell>
        </row>
        <row r="672">
          <cell r="B672" t="str">
            <v>Capex</v>
          </cell>
          <cell r="C672">
            <v>-21</v>
          </cell>
          <cell r="D672">
            <v>-53</v>
          </cell>
          <cell r="E672">
            <v>-54</v>
          </cell>
          <cell r="F672">
            <v>-210</v>
          </cell>
          <cell r="G672">
            <v>-505</v>
          </cell>
          <cell r="H672">
            <v>-529</v>
          </cell>
          <cell r="I672">
            <v>0</v>
          </cell>
          <cell r="J672" t="str">
            <v>ND</v>
          </cell>
          <cell r="K672" t="str">
            <v>ND</v>
          </cell>
          <cell r="L672" t="str">
            <v>ND</v>
          </cell>
          <cell r="M672" t="str">
            <v>ND</v>
          </cell>
          <cell r="N672" t="str">
            <v>ND</v>
          </cell>
          <cell r="O672" t="str">
            <v>ND</v>
          </cell>
          <cell r="AI672" t="str">
            <v>ND</v>
          </cell>
          <cell r="AJ672" t="str">
            <v>ND</v>
          </cell>
          <cell r="AK672" t="str">
            <v>ND</v>
          </cell>
          <cell r="AL672" t="str">
            <v>ND</v>
          </cell>
          <cell r="AM672" t="str">
            <v>ND</v>
          </cell>
          <cell r="AN672" t="str">
            <v>ND</v>
          </cell>
          <cell r="AO672" t="str">
            <v>ND</v>
          </cell>
          <cell r="AP672" t="str">
            <v>ND</v>
          </cell>
          <cell r="AQ672" t="str">
            <v>ND</v>
          </cell>
          <cell r="AR672" t="str">
            <v>ND</v>
          </cell>
          <cell r="AS672" t="str">
            <v>ND</v>
          </cell>
          <cell r="AT672" t="str">
            <v>ND</v>
          </cell>
          <cell r="AU672" t="str">
            <v>ND</v>
          </cell>
          <cell r="AV672" t="str">
            <v>ND</v>
          </cell>
          <cell r="AW672" t="str">
            <v>ND</v>
          </cell>
          <cell r="AX672" t="str">
            <v>ND</v>
          </cell>
          <cell r="AY672" t="str">
            <v>ND</v>
          </cell>
          <cell r="AZ672" t="str">
            <v>ND</v>
          </cell>
          <cell r="BA672" t="str">
            <v>ND</v>
          </cell>
          <cell r="BB672" t="str">
            <v>ND</v>
          </cell>
          <cell r="BC672" t="str">
            <v>ND</v>
          </cell>
          <cell r="BD672" t="str">
            <v>ND</v>
          </cell>
          <cell r="BE672" t="str">
            <v>ND</v>
          </cell>
          <cell r="BF672" t="str">
            <v>ND</v>
          </cell>
          <cell r="BG672" t="str">
            <v>ND</v>
          </cell>
          <cell r="BH672" t="str">
            <v>ND</v>
          </cell>
          <cell r="BI672" t="str">
            <v>ND</v>
          </cell>
          <cell r="BJ672" t="str">
            <v>ND</v>
          </cell>
          <cell r="BK672" t="str">
            <v>ND</v>
          </cell>
          <cell r="BL672" t="str">
            <v>ND</v>
          </cell>
          <cell r="BM672" t="str">
            <v>ND</v>
          </cell>
          <cell r="BN672" t="str">
            <v>ND</v>
          </cell>
          <cell r="BO672" t="str">
            <v>ND</v>
          </cell>
          <cell r="BP672" t="str">
            <v>ND</v>
          </cell>
          <cell r="BQ672" t="str">
            <v>ND</v>
          </cell>
          <cell r="BR672" t="str">
            <v>ND</v>
          </cell>
          <cell r="BS672" t="str">
            <v>ND</v>
          </cell>
          <cell r="BT672" t="str">
            <v>ND</v>
          </cell>
          <cell r="BU672" t="str">
            <v>ND</v>
          </cell>
          <cell r="BV672" t="str">
            <v>ND</v>
          </cell>
          <cell r="BW672" t="str">
            <v>ND</v>
          </cell>
          <cell r="BX672" t="str">
            <v>ND</v>
          </cell>
          <cell r="BY672" t="str">
            <v>ND</v>
          </cell>
          <cell r="BZ672" t="str">
            <v>ND</v>
          </cell>
        </row>
        <row r="673">
          <cell r="B673" t="str">
            <v>% of revenue</v>
          </cell>
          <cell r="C673">
            <v>-4.6419098143236073E-3</v>
          </cell>
          <cell r="D673">
            <v>-1.4193893947509374E-2</v>
          </cell>
          <cell r="E673">
            <v>-1.9558131111915972E-2</v>
          </cell>
          <cell r="F673">
            <v>-9.2429577464788734E-2</v>
          </cell>
          <cell r="G673">
            <v>-0.19070996978851965</v>
          </cell>
          <cell r="H673">
            <v>-0.18812233285917496</v>
          </cell>
          <cell r="I673" t="str">
            <v>NM</v>
          </cell>
          <cell r="J673" t="str">
            <v>NM</v>
          </cell>
          <cell r="K673" t="str">
            <v>NM</v>
          </cell>
          <cell r="L673" t="str">
            <v>NM</v>
          </cell>
          <cell r="M673" t="str">
            <v>NM</v>
          </cell>
          <cell r="N673" t="str">
            <v>NM</v>
          </cell>
          <cell r="O673" t="str">
            <v>NM</v>
          </cell>
          <cell r="AI673" t="str">
            <v>NM</v>
          </cell>
          <cell r="AJ673" t="str">
            <v>NM</v>
          </cell>
          <cell r="AK673" t="str">
            <v>NM</v>
          </cell>
          <cell r="AL673" t="str">
            <v>NM</v>
          </cell>
          <cell r="AM673" t="str">
            <v>NM</v>
          </cell>
          <cell r="AN673" t="str">
            <v>NM</v>
          </cell>
          <cell r="AO673" t="str">
            <v>NM</v>
          </cell>
          <cell r="AP673" t="str">
            <v>NM</v>
          </cell>
          <cell r="AQ673" t="str">
            <v>NM</v>
          </cell>
          <cell r="AR673" t="str">
            <v>NM</v>
          </cell>
          <cell r="AS673" t="str">
            <v>NM</v>
          </cell>
          <cell r="AT673" t="str">
            <v>NM</v>
          </cell>
          <cell r="AU673" t="str">
            <v>NM</v>
          </cell>
          <cell r="AV673" t="str">
            <v>NM</v>
          </cell>
          <cell r="AW673" t="str">
            <v>NM</v>
          </cell>
          <cell r="AX673" t="str">
            <v>NM</v>
          </cell>
          <cell r="AY673" t="str">
            <v>NM</v>
          </cell>
          <cell r="AZ673" t="str">
            <v>NM</v>
          </cell>
          <cell r="BA673" t="str">
            <v>NM</v>
          </cell>
          <cell r="BB673" t="str">
            <v>NM</v>
          </cell>
          <cell r="BC673" t="str">
            <v>NM</v>
          </cell>
          <cell r="BD673" t="str">
            <v>NM</v>
          </cell>
          <cell r="BE673" t="str">
            <v>NM</v>
          </cell>
          <cell r="BF673" t="str">
            <v>NM</v>
          </cell>
          <cell r="BG673" t="str">
            <v>NM</v>
          </cell>
          <cell r="BH673" t="str">
            <v>NM</v>
          </cell>
          <cell r="BI673" t="str">
            <v>NM</v>
          </cell>
          <cell r="BJ673" t="str">
            <v>NM</v>
          </cell>
          <cell r="BK673" t="str">
            <v>NM</v>
          </cell>
          <cell r="BL673" t="str">
            <v>NM</v>
          </cell>
          <cell r="BM673" t="str">
            <v>NM</v>
          </cell>
          <cell r="BN673" t="str">
            <v>NM</v>
          </cell>
          <cell r="BO673" t="str">
            <v>NM</v>
          </cell>
          <cell r="BP673" t="str">
            <v>NM</v>
          </cell>
          <cell r="BQ673" t="str">
            <v>NM</v>
          </cell>
          <cell r="BR673" t="str">
            <v>NM</v>
          </cell>
          <cell r="BS673" t="str">
            <v>NM</v>
          </cell>
          <cell r="BT673" t="str">
            <v>NM</v>
          </cell>
          <cell r="BU673" t="str">
            <v>NM</v>
          </cell>
          <cell r="BV673" t="str">
            <v>NM</v>
          </cell>
          <cell r="BW673" t="str">
            <v>NM</v>
          </cell>
          <cell r="BX673" t="str">
            <v>NM</v>
          </cell>
          <cell r="BY673" t="str">
            <v>NM</v>
          </cell>
          <cell r="BZ673" t="str">
            <v>NM</v>
          </cell>
        </row>
        <row r="674">
          <cell r="BS674" t="str">
            <v>ND</v>
          </cell>
          <cell r="BT674" t="str">
            <v>ND</v>
          </cell>
          <cell r="BU674" t="str">
            <v>ND</v>
          </cell>
          <cell r="BV674" t="str">
            <v>ND</v>
          </cell>
        </row>
        <row r="675">
          <cell r="B675" t="str">
            <v>PP&amp;E, net</v>
          </cell>
          <cell r="C675" t="str">
            <v>ND</v>
          </cell>
          <cell r="D675" t="str">
            <v>ND</v>
          </cell>
          <cell r="E675" t="str">
            <v>ND</v>
          </cell>
          <cell r="F675" t="str">
            <v>ND</v>
          </cell>
          <cell r="G675" t="str">
            <v>ND</v>
          </cell>
          <cell r="H675" t="str">
            <v>ND</v>
          </cell>
          <cell r="I675" t="str">
            <v>ND</v>
          </cell>
          <cell r="J675" t="str">
            <v>ND</v>
          </cell>
          <cell r="K675" t="str">
            <v>ND</v>
          </cell>
          <cell r="L675" t="str">
            <v>ND</v>
          </cell>
          <cell r="M675" t="str">
            <v>ND</v>
          </cell>
          <cell r="N675" t="str">
            <v>ND</v>
          </cell>
          <cell r="O675" t="str">
            <v>ND</v>
          </cell>
          <cell r="AI675" t="str">
            <v>ND</v>
          </cell>
          <cell r="AJ675" t="str">
            <v>ND</v>
          </cell>
          <cell r="AK675" t="str">
            <v>ND</v>
          </cell>
          <cell r="AL675" t="str">
            <v>ND</v>
          </cell>
          <cell r="AM675" t="str">
            <v>ND</v>
          </cell>
          <cell r="AN675" t="str">
            <v>ND</v>
          </cell>
          <cell r="AO675" t="str">
            <v>ND</v>
          </cell>
          <cell r="AP675" t="str">
            <v>ND</v>
          </cell>
          <cell r="AQ675" t="str">
            <v>ND</v>
          </cell>
          <cell r="AR675" t="str">
            <v>ND</v>
          </cell>
          <cell r="AS675" t="str">
            <v>ND</v>
          </cell>
          <cell r="AT675" t="str">
            <v>ND</v>
          </cell>
          <cell r="AU675" t="str">
            <v>ND</v>
          </cell>
          <cell r="AV675" t="str">
            <v>ND</v>
          </cell>
          <cell r="AW675" t="str">
            <v>ND</v>
          </cell>
          <cell r="AX675" t="str">
            <v>ND</v>
          </cell>
          <cell r="AY675" t="str">
            <v>ND</v>
          </cell>
          <cell r="AZ675" t="str">
            <v>ND</v>
          </cell>
          <cell r="BA675" t="str">
            <v>ND</v>
          </cell>
          <cell r="BB675" t="str">
            <v>ND</v>
          </cell>
          <cell r="BC675" t="str">
            <v>ND</v>
          </cell>
          <cell r="BD675" t="str">
            <v>ND</v>
          </cell>
          <cell r="BE675" t="str">
            <v>ND</v>
          </cell>
          <cell r="BF675" t="str">
            <v>ND</v>
          </cell>
          <cell r="BG675" t="str">
            <v>ND</v>
          </cell>
          <cell r="BH675" t="str">
            <v>ND</v>
          </cell>
          <cell r="BI675" t="str">
            <v>ND</v>
          </cell>
          <cell r="BJ675" t="str">
            <v>ND</v>
          </cell>
          <cell r="BK675" t="str">
            <v>ND</v>
          </cell>
          <cell r="BL675" t="str">
            <v>ND</v>
          </cell>
          <cell r="BM675" t="str">
            <v>ND</v>
          </cell>
          <cell r="BN675" t="str">
            <v>ND</v>
          </cell>
          <cell r="BO675" t="str">
            <v>ND</v>
          </cell>
          <cell r="BP675" t="str">
            <v>ND</v>
          </cell>
          <cell r="BQ675" t="str">
            <v>ND</v>
          </cell>
          <cell r="BR675" t="str">
            <v>ND</v>
          </cell>
          <cell r="BS675" t="str">
            <v>ND</v>
          </cell>
          <cell r="BT675" t="str">
            <v>ND</v>
          </cell>
          <cell r="BU675" t="str">
            <v>ND</v>
          </cell>
          <cell r="BV675" t="str">
            <v>ND</v>
          </cell>
          <cell r="BW675" t="str">
            <v>ND</v>
          </cell>
          <cell r="BX675" t="str">
            <v>ND</v>
          </cell>
          <cell r="BY675" t="str">
            <v>ND</v>
          </cell>
          <cell r="BZ675" t="str">
            <v>ND</v>
          </cell>
        </row>
        <row r="676">
          <cell r="B676" t="str">
            <v>Asset turnover</v>
          </cell>
          <cell r="C676" t="str">
            <v>NM</v>
          </cell>
          <cell r="D676" t="str">
            <v>NM</v>
          </cell>
          <cell r="E676" t="str">
            <v>NM</v>
          </cell>
          <cell r="F676" t="str">
            <v>NM</v>
          </cell>
          <cell r="G676" t="str">
            <v>NM</v>
          </cell>
          <cell r="H676" t="str">
            <v>NM</v>
          </cell>
          <cell r="I676" t="str">
            <v>NM</v>
          </cell>
          <cell r="J676" t="str">
            <v>NM</v>
          </cell>
          <cell r="K676" t="str">
            <v>NM</v>
          </cell>
          <cell r="L676" t="str">
            <v>NM</v>
          </cell>
          <cell r="M676" t="str">
            <v>NM</v>
          </cell>
          <cell r="N676" t="str">
            <v>NM</v>
          </cell>
          <cell r="O676" t="str">
            <v>NM</v>
          </cell>
          <cell r="AI676" t="str">
            <v>NM</v>
          </cell>
          <cell r="AJ676" t="str">
            <v>NM</v>
          </cell>
          <cell r="AK676" t="str">
            <v>NM</v>
          </cell>
          <cell r="AL676" t="str">
            <v>NM</v>
          </cell>
          <cell r="AM676" t="str">
            <v>NM</v>
          </cell>
          <cell r="AN676" t="str">
            <v>NM</v>
          </cell>
          <cell r="AO676" t="str">
            <v>NM</v>
          </cell>
          <cell r="AP676" t="str">
            <v>NM</v>
          </cell>
          <cell r="AQ676" t="str">
            <v>NM</v>
          </cell>
          <cell r="AR676" t="str">
            <v>NM</v>
          </cell>
          <cell r="AS676" t="str">
            <v>NM</v>
          </cell>
          <cell r="AT676" t="str">
            <v>NM</v>
          </cell>
          <cell r="AU676" t="str">
            <v>NM</v>
          </cell>
          <cell r="AV676" t="str">
            <v>NM</v>
          </cell>
          <cell r="AW676" t="str">
            <v>NM</v>
          </cell>
          <cell r="AX676" t="str">
            <v>NM</v>
          </cell>
          <cell r="AY676" t="str">
            <v>NM</v>
          </cell>
          <cell r="AZ676" t="str">
            <v>NM</v>
          </cell>
          <cell r="BA676" t="str">
            <v>NM</v>
          </cell>
          <cell r="BB676" t="str">
            <v>NM</v>
          </cell>
          <cell r="BC676" t="str">
            <v>NM</v>
          </cell>
          <cell r="BD676" t="str">
            <v>NM</v>
          </cell>
          <cell r="BE676" t="str">
            <v>NM</v>
          </cell>
          <cell r="BF676" t="str">
            <v>NM</v>
          </cell>
          <cell r="BG676" t="str">
            <v>NM</v>
          </cell>
          <cell r="BH676" t="str">
            <v>NM</v>
          </cell>
          <cell r="BI676" t="str">
            <v>NM</v>
          </cell>
          <cell r="BJ676" t="str">
            <v>NM</v>
          </cell>
          <cell r="BK676" t="str">
            <v>NM</v>
          </cell>
          <cell r="BL676" t="str">
            <v>NM</v>
          </cell>
          <cell r="BM676" t="str">
            <v>NM</v>
          </cell>
          <cell r="BN676" t="str">
            <v>NM</v>
          </cell>
          <cell r="BO676" t="str">
            <v>NM</v>
          </cell>
          <cell r="BP676" t="str">
            <v>NM</v>
          </cell>
          <cell r="BQ676" t="str">
            <v>NM</v>
          </cell>
          <cell r="BR676" t="str">
            <v>NM</v>
          </cell>
          <cell r="BS676" t="str">
            <v>NM</v>
          </cell>
          <cell r="BT676" t="str">
            <v>NM</v>
          </cell>
          <cell r="BU676" t="str">
            <v>NM</v>
          </cell>
          <cell r="BV676" t="str">
            <v>NM</v>
          </cell>
          <cell r="BW676" t="str">
            <v>NM</v>
          </cell>
          <cell r="BX676" t="str">
            <v>NM</v>
          </cell>
          <cell r="BY676" t="str">
            <v>NM</v>
          </cell>
          <cell r="BZ676" t="str">
            <v>NM</v>
          </cell>
        </row>
        <row r="678">
          <cell r="B678" t="str">
            <v>Total Assets</v>
          </cell>
          <cell r="C678">
            <v>390</v>
          </cell>
          <cell r="D678">
            <v>346</v>
          </cell>
          <cell r="E678">
            <v>514</v>
          </cell>
          <cell r="F678">
            <v>739</v>
          </cell>
          <cell r="G678">
            <v>1212</v>
          </cell>
          <cell r="H678">
            <v>1706</v>
          </cell>
          <cell r="I678">
            <v>300</v>
          </cell>
          <cell r="J678">
            <v>315</v>
          </cell>
          <cell r="K678">
            <v>271</v>
          </cell>
          <cell r="L678">
            <v>249</v>
          </cell>
          <cell r="M678">
            <v>258</v>
          </cell>
          <cell r="N678">
            <v>297</v>
          </cell>
          <cell r="O678">
            <v>297</v>
          </cell>
          <cell r="AI678" t="str">
            <v>ND</v>
          </cell>
          <cell r="AJ678" t="str">
            <v>ND</v>
          </cell>
          <cell r="AK678" t="str">
            <v>ND</v>
          </cell>
          <cell r="AL678" t="str">
            <v>ND</v>
          </cell>
          <cell r="AM678">
            <v>514</v>
          </cell>
          <cell r="AN678" t="str">
            <v>ND</v>
          </cell>
          <cell r="AO678" t="str">
            <v>ND</v>
          </cell>
          <cell r="AP678" t="str">
            <v>ND</v>
          </cell>
          <cell r="AQ678">
            <v>739</v>
          </cell>
          <cell r="AR678" t="str">
            <v>ND</v>
          </cell>
          <cell r="AS678" t="str">
            <v>ND</v>
          </cell>
          <cell r="AT678">
            <v>1212</v>
          </cell>
          <cell r="AU678" t="str">
            <v>ND</v>
          </cell>
          <cell r="AV678" t="str">
            <v>ND</v>
          </cell>
          <cell r="AW678" t="str">
            <v>ND</v>
          </cell>
          <cell r="AX678">
            <v>1706</v>
          </cell>
          <cell r="AY678" t="str">
            <v>ND</v>
          </cell>
          <cell r="AZ678" t="str">
            <v>ND</v>
          </cell>
          <cell r="BA678" t="str">
            <v>ND</v>
          </cell>
          <cell r="BB678">
            <v>300</v>
          </cell>
          <cell r="BC678" t="str">
            <v>ND</v>
          </cell>
          <cell r="BD678" t="str">
            <v>ND</v>
          </cell>
          <cell r="BE678" t="str">
            <v>ND</v>
          </cell>
          <cell r="BF678">
            <v>315</v>
          </cell>
          <cell r="BG678" t="str">
            <v>ND</v>
          </cell>
          <cell r="BH678" t="str">
            <v>ND</v>
          </cell>
          <cell r="BI678" t="str">
            <v>ND</v>
          </cell>
          <cell r="BJ678">
            <v>271</v>
          </cell>
          <cell r="BK678" t="str">
            <v>ND</v>
          </cell>
          <cell r="BL678" t="str">
            <v>ND</v>
          </cell>
          <cell r="BM678" t="str">
            <v>ND</v>
          </cell>
          <cell r="BN678">
            <v>249</v>
          </cell>
          <cell r="BO678" t="str">
            <v>ND</v>
          </cell>
          <cell r="BP678" t="str">
            <v>ND</v>
          </cell>
          <cell r="BQ678" t="str">
            <v>ND</v>
          </cell>
          <cell r="BR678">
            <v>258</v>
          </cell>
          <cell r="BS678" t="str">
            <v>ND</v>
          </cell>
          <cell r="BT678" t="str">
            <v>ND</v>
          </cell>
          <cell r="BU678" t="str">
            <v>ND</v>
          </cell>
          <cell r="BV678">
            <v>297</v>
          </cell>
          <cell r="BW678" t="str">
            <v>ND</v>
          </cell>
          <cell r="BX678" t="str">
            <v>ND</v>
          </cell>
          <cell r="BY678" t="str">
            <v>ND</v>
          </cell>
          <cell r="BZ678">
            <v>297</v>
          </cell>
        </row>
        <row r="680">
          <cell r="B680" t="str">
            <v>Other/Unallocated/Eliminations</v>
          </cell>
        </row>
        <row r="682">
          <cell r="B682" t="str">
            <v>Customers</v>
          </cell>
          <cell r="C682">
            <v>-748</v>
          </cell>
          <cell r="D682">
            <v>0</v>
          </cell>
          <cell r="E682">
            <v>0</v>
          </cell>
          <cell r="F682">
            <v>0</v>
          </cell>
          <cell r="G682">
            <v>0</v>
          </cell>
          <cell r="H682">
            <v>0</v>
          </cell>
          <cell r="I682">
            <v>0</v>
          </cell>
          <cell r="J682" t="str">
            <v>ND</v>
          </cell>
          <cell r="K682" t="str">
            <v>ND</v>
          </cell>
          <cell r="L682" t="str">
            <v>ND</v>
          </cell>
          <cell r="M682" t="str">
            <v>ND</v>
          </cell>
          <cell r="N682" t="str">
            <v>ND</v>
          </cell>
          <cell r="O682" t="str">
            <v>ND</v>
          </cell>
          <cell r="AI682" t="str">
            <v>ND</v>
          </cell>
          <cell r="AJ682" t="str">
            <v>ND</v>
          </cell>
          <cell r="AK682" t="str">
            <v>ND</v>
          </cell>
          <cell r="AL682" t="str">
            <v>ND</v>
          </cell>
          <cell r="AM682" t="str">
            <v>ND</v>
          </cell>
          <cell r="AN682" t="str">
            <v>ND</v>
          </cell>
          <cell r="AO682" t="str">
            <v>ND</v>
          </cell>
          <cell r="AP682" t="str">
            <v>ND</v>
          </cell>
          <cell r="AQ682" t="str">
            <v>ND</v>
          </cell>
          <cell r="AR682" t="str">
            <v>ND</v>
          </cell>
          <cell r="AS682" t="str">
            <v>ND</v>
          </cell>
          <cell r="AT682" t="str">
            <v>ND</v>
          </cell>
          <cell r="AU682" t="str">
            <v>ND</v>
          </cell>
          <cell r="AV682" t="str">
            <v>ND</v>
          </cell>
          <cell r="AW682" t="str">
            <v>ND</v>
          </cell>
          <cell r="AX682" t="str">
            <v>ND</v>
          </cell>
          <cell r="AY682" t="str">
            <v>ND</v>
          </cell>
          <cell r="AZ682" t="str">
            <v>ND</v>
          </cell>
          <cell r="BA682" t="str">
            <v>ND</v>
          </cell>
          <cell r="BB682" t="str">
            <v>ND</v>
          </cell>
        </row>
        <row r="683">
          <cell r="B683" t="str">
            <v>Intersegment</v>
          </cell>
          <cell r="C683">
            <v>0</v>
          </cell>
          <cell r="D683">
            <v>-600</v>
          </cell>
          <cell r="E683">
            <v>-417</v>
          </cell>
          <cell r="F683">
            <v>-388</v>
          </cell>
          <cell r="G683">
            <v>-369</v>
          </cell>
          <cell r="H683">
            <v>-836</v>
          </cell>
          <cell r="I683">
            <v>-424</v>
          </cell>
          <cell r="J683" t="str">
            <v>ND</v>
          </cell>
          <cell r="K683" t="str">
            <v>ND</v>
          </cell>
          <cell r="L683" t="str">
            <v>ND</v>
          </cell>
          <cell r="M683" t="str">
            <v>ND</v>
          </cell>
          <cell r="N683" t="str">
            <v>ND</v>
          </cell>
          <cell r="O683" t="str">
            <v>ND</v>
          </cell>
          <cell r="AI683" t="str">
            <v>ND</v>
          </cell>
          <cell r="AJ683" t="str">
            <v>ND</v>
          </cell>
          <cell r="AK683" t="str">
            <v>ND</v>
          </cell>
          <cell r="AL683" t="str">
            <v>ND</v>
          </cell>
          <cell r="AM683" t="str">
            <v>ND</v>
          </cell>
          <cell r="AN683" t="str">
            <v>ND</v>
          </cell>
          <cell r="AO683" t="str">
            <v>ND</v>
          </cell>
          <cell r="AP683" t="str">
            <v>ND</v>
          </cell>
          <cell r="AQ683" t="str">
            <v>ND</v>
          </cell>
          <cell r="AR683" t="str">
            <v>ND</v>
          </cell>
          <cell r="AS683" t="str">
            <v>ND</v>
          </cell>
          <cell r="AT683" t="str">
            <v>ND</v>
          </cell>
          <cell r="AU683" t="str">
            <v>ND</v>
          </cell>
          <cell r="AV683" t="str">
            <v>ND</v>
          </cell>
          <cell r="AW683" t="str">
            <v>ND</v>
          </cell>
          <cell r="AX683" t="str">
            <v>ND</v>
          </cell>
          <cell r="AY683" t="str">
            <v>ND</v>
          </cell>
          <cell r="AZ683" t="str">
            <v>ND</v>
          </cell>
          <cell r="BA683" t="str">
            <v>ND</v>
          </cell>
          <cell r="BB683" t="str">
            <v>ND</v>
          </cell>
        </row>
        <row r="684">
          <cell r="B684" t="str">
            <v>Revenue</v>
          </cell>
          <cell r="C684">
            <v>-748</v>
          </cell>
          <cell r="D684">
            <v>-600</v>
          </cell>
          <cell r="E684">
            <v>-417</v>
          </cell>
          <cell r="F684">
            <v>-388</v>
          </cell>
          <cell r="G684">
            <v>-369</v>
          </cell>
          <cell r="H684">
            <v>-836</v>
          </cell>
          <cell r="I684">
            <v>-424</v>
          </cell>
          <cell r="J684">
            <v>0</v>
          </cell>
          <cell r="K684">
            <v>0</v>
          </cell>
          <cell r="L684">
            <v>0</v>
          </cell>
          <cell r="M684">
            <v>0</v>
          </cell>
          <cell r="N684">
            <v>0</v>
          </cell>
          <cell r="O684">
            <v>0</v>
          </cell>
          <cell r="AI684">
            <v>-139</v>
          </cell>
          <cell r="AJ684">
            <v>-109</v>
          </cell>
          <cell r="AK684">
            <v>-91</v>
          </cell>
          <cell r="AL684">
            <v>-78</v>
          </cell>
          <cell r="AM684">
            <v>-95</v>
          </cell>
          <cell r="AN684">
            <v>-109</v>
          </cell>
          <cell r="AO684">
            <v>-101</v>
          </cell>
          <cell r="AP684">
            <v>-83</v>
          </cell>
          <cell r="AQ684">
            <v>-101</v>
          </cell>
          <cell r="AR684">
            <v>-108</v>
          </cell>
          <cell r="AS684">
            <v>-82</v>
          </cell>
          <cell r="AT684">
            <v>-78</v>
          </cell>
          <cell r="AU684">
            <v>-85</v>
          </cell>
          <cell r="AV684">
            <v>-106</v>
          </cell>
          <cell r="AW684">
            <v>-116</v>
          </cell>
          <cell r="AX684">
            <v>-529</v>
          </cell>
          <cell r="AY684">
            <v>-102</v>
          </cell>
          <cell r="AZ684">
            <v>-122</v>
          </cell>
          <cell r="BA684">
            <v>-124</v>
          </cell>
          <cell r="BB684">
            <v>-76</v>
          </cell>
          <cell r="BC684">
            <v>0</v>
          </cell>
          <cell r="BD684">
            <v>0</v>
          </cell>
          <cell r="BE684">
            <v>0</v>
          </cell>
          <cell r="BF684">
            <v>0</v>
          </cell>
          <cell r="BG684">
            <v>0</v>
          </cell>
          <cell r="BH684">
            <v>0</v>
          </cell>
          <cell r="BI684">
            <v>0</v>
          </cell>
          <cell r="BJ684">
            <v>0</v>
          </cell>
          <cell r="BK684">
            <v>0</v>
          </cell>
          <cell r="BL684">
            <v>0</v>
          </cell>
          <cell r="BM684">
            <v>0</v>
          </cell>
          <cell r="BN684">
            <v>0</v>
          </cell>
          <cell r="BO684">
            <v>0</v>
          </cell>
          <cell r="BP684">
            <v>0</v>
          </cell>
          <cell r="BQ684">
            <v>0</v>
          </cell>
          <cell r="BR684">
            <v>0</v>
          </cell>
          <cell r="BS684">
            <v>0</v>
          </cell>
          <cell r="BT684">
            <v>0</v>
          </cell>
          <cell r="BU684">
            <v>0</v>
          </cell>
          <cell r="BV684">
            <v>0</v>
          </cell>
          <cell r="BW684">
            <v>0</v>
          </cell>
          <cell r="BX684">
            <v>0</v>
          </cell>
          <cell r="BY684">
            <v>0</v>
          </cell>
          <cell r="BZ684">
            <v>0</v>
          </cell>
        </row>
        <row r="685">
          <cell r="B685" t="str">
            <v>Growth</v>
          </cell>
          <cell r="D685">
            <v>-0.19786096256684493</v>
          </cell>
          <cell r="E685">
            <v>-0.30500000000000005</v>
          </cell>
          <cell r="F685">
            <v>-6.9544364508393297E-2</v>
          </cell>
          <cell r="G685">
            <v>-4.8969072164948502E-2</v>
          </cell>
          <cell r="H685">
            <v>1.2655826558265582</v>
          </cell>
          <cell r="I685">
            <v>-0.49282296650717705</v>
          </cell>
          <cell r="J685">
            <v>-1</v>
          </cell>
          <cell r="K685" t="str">
            <v>NM</v>
          </cell>
          <cell r="L685" t="str">
            <v>NM</v>
          </cell>
          <cell r="M685" t="str">
            <v>NM</v>
          </cell>
          <cell r="N685" t="str">
            <v>NM</v>
          </cell>
          <cell r="O685" t="str">
            <v>NM</v>
          </cell>
          <cell r="AI685" t="str">
            <v>NM</v>
          </cell>
          <cell r="AJ685">
            <v>-0.21582733812949639</v>
          </cell>
          <cell r="AK685">
            <v>-0.16513761467889909</v>
          </cell>
          <cell r="AL685">
            <v>-0.1428571428571429</v>
          </cell>
          <cell r="AM685">
            <v>0.21794871794871784</v>
          </cell>
          <cell r="AN685">
            <v>0.14736842105263159</v>
          </cell>
          <cell r="AO685">
            <v>-7.3394495412844041E-2</v>
          </cell>
          <cell r="AP685">
            <v>-0.17821782178217827</v>
          </cell>
          <cell r="AQ685">
            <v>0.2168674698795181</v>
          </cell>
          <cell r="AR685">
            <v>6.9306930693069368E-2</v>
          </cell>
          <cell r="AS685">
            <v>-0.2407407407407407</v>
          </cell>
          <cell r="AT685">
            <v>-4.8780487804878092E-2</v>
          </cell>
          <cell r="AU685">
            <v>8.9743589743589647E-2</v>
          </cell>
          <cell r="AV685">
            <v>0.24705882352941178</v>
          </cell>
          <cell r="AW685">
            <v>9.4339622641509413E-2</v>
          </cell>
          <cell r="AX685">
            <v>3.5603448275862073</v>
          </cell>
          <cell r="AY685">
            <v>-0.80718336483931941</v>
          </cell>
          <cell r="AZ685">
            <v>0.19607843137254899</v>
          </cell>
          <cell r="BA685">
            <v>1.6393442622950838E-2</v>
          </cell>
          <cell r="BB685">
            <v>-0.38709677419354838</v>
          </cell>
          <cell r="BC685">
            <v>-1</v>
          </cell>
          <cell r="BD685" t="str">
            <v>NM</v>
          </cell>
          <cell r="BE685" t="str">
            <v>NM</v>
          </cell>
          <cell r="BF685" t="str">
            <v>NM</v>
          </cell>
          <cell r="BG685" t="str">
            <v>NM</v>
          </cell>
          <cell r="BH685" t="str">
            <v>NM</v>
          </cell>
          <cell r="BI685" t="str">
            <v>NM</v>
          </cell>
          <cell r="BJ685" t="str">
            <v>NM</v>
          </cell>
          <cell r="BK685" t="str">
            <v>NM</v>
          </cell>
          <cell r="BL685" t="str">
            <v>NM</v>
          </cell>
          <cell r="BM685" t="str">
            <v>NM</v>
          </cell>
          <cell r="BN685" t="str">
            <v>NM</v>
          </cell>
          <cell r="BO685" t="str">
            <v>NM</v>
          </cell>
          <cell r="BP685" t="str">
            <v>NM</v>
          </cell>
          <cell r="BQ685" t="str">
            <v>NM</v>
          </cell>
          <cell r="BR685" t="str">
            <v>NM</v>
          </cell>
          <cell r="BS685" t="str">
            <v>NM</v>
          </cell>
          <cell r="BT685" t="str">
            <v>NM</v>
          </cell>
          <cell r="BU685" t="str">
            <v>NM</v>
          </cell>
          <cell r="BV685" t="str">
            <v>NM</v>
          </cell>
          <cell r="BW685" t="str">
            <v>NM</v>
          </cell>
          <cell r="BX685" t="str">
            <v>NM</v>
          </cell>
          <cell r="BY685" t="str">
            <v>NM</v>
          </cell>
          <cell r="BZ685" t="str">
            <v>NM</v>
          </cell>
        </row>
        <row r="687">
          <cell r="B687" t="str">
            <v>Cost of Sales</v>
          </cell>
          <cell r="C687">
            <v>748</v>
          </cell>
          <cell r="D687">
            <v>600</v>
          </cell>
          <cell r="E687">
            <v>417</v>
          </cell>
          <cell r="F687">
            <v>0</v>
          </cell>
          <cell r="G687">
            <v>0</v>
          </cell>
          <cell r="H687">
            <v>836</v>
          </cell>
          <cell r="I687" t="str">
            <v>ND</v>
          </cell>
          <cell r="J687" t="str">
            <v>ND</v>
          </cell>
          <cell r="K687" t="str">
            <v>ND</v>
          </cell>
          <cell r="L687" t="str">
            <v>ND</v>
          </cell>
          <cell r="M687" t="str">
            <v>ND</v>
          </cell>
          <cell r="N687" t="str">
            <v>ND</v>
          </cell>
          <cell r="O687" t="str">
            <v>ND</v>
          </cell>
          <cell r="AI687">
            <v>139</v>
          </cell>
          <cell r="AJ687">
            <v>109</v>
          </cell>
          <cell r="AK687">
            <v>91</v>
          </cell>
          <cell r="AL687">
            <v>78</v>
          </cell>
          <cell r="AM687">
            <v>95</v>
          </cell>
          <cell r="AN687">
            <v>109</v>
          </cell>
          <cell r="AO687">
            <v>101</v>
          </cell>
          <cell r="AP687">
            <v>83</v>
          </cell>
          <cell r="AQ687">
            <v>101</v>
          </cell>
          <cell r="AR687">
            <v>108</v>
          </cell>
          <cell r="AS687">
            <v>82</v>
          </cell>
          <cell r="AT687">
            <v>-291</v>
          </cell>
          <cell r="AU687">
            <v>85</v>
          </cell>
          <cell r="AV687">
            <v>106</v>
          </cell>
          <cell r="AW687">
            <v>116</v>
          </cell>
          <cell r="AX687">
            <v>529</v>
          </cell>
          <cell r="AY687">
            <v>102</v>
          </cell>
          <cell r="AZ687">
            <v>122</v>
          </cell>
          <cell r="BA687">
            <v>124</v>
          </cell>
          <cell r="BB687" t="str">
            <v>ND</v>
          </cell>
          <cell r="BC687" t="str">
            <v>ND</v>
          </cell>
          <cell r="BD687" t="str">
            <v>ND</v>
          </cell>
          <cell r="BE687" t="str">
            <v>ND</v>
          </cell>
          <cell r="BF687" t="str">
            <v>ND</v>
          </cell>
          <cell r="BG687" t="str">
            <v>ND</v>
          </cell>
          <cell r="BH687" t="str">
            <v>ND</v>
          </cell>
          <cell r="BI687" t="str">
            <v>ND</v>
          </cell>
          <cell r="BJ687" t="str">
            <v>ND</v>
          </cell>
          <cell r="BK687" t="str">
            <v>ND</v>
          </cell>
          <cell r="BL687" t="str">
            <v>ND</v>
          </cell>
          <cell r="BM687" t="str">
            <v>ND</v>
          </cell>
          <cell r="BN687" t="str">
            <v>ND</v>
          </cell>
          <cell r="BO687" t="str">
            <v>ND</v>
          </cell>
          <cell r="BP687" t="str">
            <v>ND</v>
          </cell>
          <cell r="BQ687" t="str">
            <v>ND</v>
          </cell>
          <cell r="BR687" t="str">
            <v>ND</v>
          </cell>
          <cell r="BS687" t="str">
            <v>ND</v>
          </cell>
          <cell r="BT687" t="str">
            <v>ND</v>
          </cell>
          <cell r="BU687" t="str">
            <v>ND</v>
          </cell>
          <cell r="BV687" t="str">
            <v>ND</v>
          </cell>
          <cell r="BW687" t="str">
            <v>ND</v>
          </cell>
          <cell r="BX687" t="str">
            <v>ND</v>
          </cell>
          <cell r="BY687" t="str">
            <v>ND</v>
          </cell>
          <cell r="BZ687" t="str">
            <v>ND</v>
          </cell>
        </row>
        <row r="688">
          <cell r="B688" t="str">
            <v>Selling, General and Administrative expense</v>
          </cell>
          <cell r="C688">
            <v>-49</v>
          </cell>
          <cell r="D688">
            <v>-47</v>
          </cell>
          <cell r="E688">
            <v>-45</v>
          </cell>
          <cell r="F688">
            <v>-43</v>
          </cell>
          <cell r="G688">
            <v>-59</v>
          </cell>
          <cell r="H688">
            <v>-60</v>
          </cell>
          <cell r="I688" t="str">
            <v>ND</v>
          </cell>
          <cell r="J688" t="str">
            <v>ND</v>
          </cell>
          <cell r="K688" t="str">
            <v>ND</v>
          </cell>
          <cell r="L688" t="str">
            <v>ND</v>
          </cell>
          <cell r="M688" t="str">
            <v>ND</v>
          </cell>
          <cell r="N688" t="str">
            <v>ND</v>
          </cell>
          <cell r="O688" t="str">
            <v>ND</v>
          </cell>
          <cell r="AI688">
            <v>-10</v>
          </cell>
          <cell r="AJ688">
            <v>-14</v>
          </cell>
          <cell r="AK688">
            <v>-8</v>
          </cell>
          <cell r="AL688">
            <v>-13</v>
          </cell>
          <cell r="AM688">
            <v>-11</v>
          </cell>
          <cell r="AN688">
            <v>-12</v>
          </cell>
          <cell r="AO688">
            <v>-10</v>
          </cell>
          <cell r="AP688">
            <v>-10</v>
          </cell>
          <cell r="AQ688">
            <v>-17</v>
          </cell>
          <cell r="AR688">
            <v>-15</v>
          </cell>
          <cell r="AS688">
            <v>-15</v>
          </cell>
          <cell r="AT688">
            <v>-12</v>
          </cell>
          <cell r="AU688">
            <v>-17</v>
          </cell>
          <cell r="AV688">
            <v>-13</v>
          </cell>
          <cell r="AW688">
            <v>-14</v>
          </cell>
          <cell r="AX688">
            <v>-16</v>
          </cell>
          <cell r="AY688">
            <v>-20</v>
          </cell>
          <cell r="AZ688">
            <v>-21</v>
          </cell>
          <cell r="BA688">
            <v>-24</v>
          </cell>
          <cell r="BB688" t="str">
            <v>ND</v>
          </cell>
          <cell r="BC688" t="str">
            <v>ND</v>
          </cell>
          <cell r="BD688" t="str">
            <v>ND</v>
          </cell>
          <cell r="BE688" t="str">
            <v>ND</v>
          </cell>
          <cell r="BF688" t="str">
            <v>ND</v>
          </cell>
          <cell r="BG688" t="str">
            <v>ND</v>
          </cell>
          <cell r="BH688" t="str">
            <v>ND</v>
          </cell>
          <cell r="BI688" t="str">
            <v>ND</v>
          </cell>
          <cell r="BJ688" t="str">
            <v>ND</v>
          </cell>
          <cell r="BK688" t="str">
            <v>ND</v>
          </cell>
          <cell r="BL688" t="str">
            <v>ND</v>
          </cell>
          <cell r="BM688" t="str">
            <v>ND</v>
          </cell>
          <cell r="BN688" t="str">
            <v>ND</v>
          </cell>
          <cell r="BO688" t="str">
            <v>ND</v>
          </cell>
          <cell r="BP688" t="str">
            <v>ND</v>
          </cell>
          <cell r="BQ688" t="str">
            <v>ND</v>
          </cell>
          <cell r="BR688" t="str">
            <v>ND</v>
          </cell>
          <cell r="BS688" t="str">
            <v>ND</v>
          </cell>
          <cell r="BT688" t="str">
            <v>ND</v>
          </cell>
          <cell r="BU688" t="str">
            <v>ND</v>
          </cell>
          <cell r="BV688" t="str">
            <v>ND</v>
          </cell>
          <cell r="BW688" t="str">
            <v>ND</v>
          </cell>
          <cell r="BX688" t="str">
            <v>ND</v>
          </cell>
          <cell r="BY688" t="str">
            <v>ND</v>
          </cell>
          <cell r="BZ688" t="str">
            <v>ND</v>
          </cell>
        </row>
        <row r="690">
          <cell r="B690" t="str">
            <v>Unusual Charges</v>
          </cell>
          <cell r="C690" t="str">
            <v>ND</v>
          </cell>
          <cell r="D690" t="str">
            <v>ND</v>
          </cell>
          <cell r="E690" t="str">
            <v>ND</v>
          </cell>
          <cell r="F690" t="str">
            <v>ND</v>
          </cell>
          <cell r="G690" t="str">
            <v>ND</v>
          </cell>
          <cell r="H690" t="str">
            <v>ND</v>
          </cell>
          <cell r="I690">
            <v>-40</v>
          </cell>
          <cell r="J690">
            <v>-4</v>
          </cell>
          <cell r="K690" t="str">
            <v>ND</v>
          </cell>
          <cell r="L690" t="str">
            <v>ND</v>
          </cell>
          <cell r="M690" t="str">
            <v>ND</v>
          </cell>
          <cell r="N690" t="str">
            <v>ND</v>
          </cell>
          <cell r="O690" t="str">
            <v>ND</v>
          </cell>
          <cell r="AI690" t="str">
            <v>ND</v>
          </cell>
          <cell r="AJ690" t="str">
            <v>ND</v>
          </cell>
          <cell r="AK690" t="str">
            <v>ND</v>
          </cell>
          <cell r="AL690" t="str">
            <v>ND</v>
          </cell>
          <cell r="AM690" t="str">
            <v>ND</v>
          </cell>
          <cell r="AN690" t="str">
            <v>ND</v>
          </cell>
          <cell r="AO690" t="str">
            <v>ND</v>
          </cell>
          <cell r="AP690" t="str">
            <v>ND</v>
          </cell>
          <cell r="AQ690" t="str">
            <v>ND</v>
          </cell>
          <cell r="AR690" t="str">
            <v>ND</v>
          </cell>
          <cell r="AS690" t="str">
            <v>ND</v>
          </cell>
          <cell r="AT690" t="str">
            <v>ND</v>
          </cell>
          <cell r="AU690" t="str">
            <v>ND</v>
          </cell>
          <cell r="AV690" t="str">
            <v>ND</v>
          </cell>
          <cell r="AW690" t="str">
            <v>ND</v>
          </cell>
          <cell r="AX690" t="str">
            <v>ND</v>
          </cell>
          <cell r="AY690" t="str">
            <v>ND</v>
          </cell>
          <cell r="AZ690" t="str">
            <v>ND</v>
          </cell>
          <cell r="BA690" t="str">
            <v>ND</v>
          </cell>
          <cell r="BB690" t="str">
            <v>ND</v>
          </cell>
          <cell r="BC690" t="str">
            <v>ND</v>
          </cell>
          <cell r="BD690" t="str">
            <v>ND</v>
          </cell>
          <cell r="BE690" t="str">
            <v>ND</v>
          </cell>
          <cell r="BF690" t="str">
            <v>ND</v>
          </cell>
          <cell r="BG690" t="str">
            <v>ND</v>
          </cell>
          <cell r="BH690" t="str">
            <v>ND</v>
          </cell>
          <cell r="BI690" t="str">
            <v>ND</v>
          </cell>
          <cell r="BJ690" t="str">
            <v>ND</v>
          </cell>
          <cell r="BK690" t="str">
            <v>ND</v>
          </cell>
          <cell r="BL690" t="str">
            <v>ND</v>
          </cell>
          <cell r="BM690" t="str">
            <v>ND</v>
          </cell>
          <cell r="BN690" t="str">
            <v>ND</v>
          </cell>
          <cell r="BO690" t="str">
            <v>ND</v>
          </cell>
          <cell r="BP690" t="str">
            <v>ND</v>
          </cell>
          <cell r="BQ690" t="str">
            <v>ND</v>
          </cell>
          <cell r="BR690" t="str">
            <v>ND</v>
          </cell>
          <cell r="BS690" t="str">
            <v>ND</v>
          </cell>
          <cell r="BT690" t="str">
            <v>ND</v>
          </cell>
          <cell r="BU690" t="str">
            <v>ND</v>
          </cell>
          <cell r="BV690" t="str">
            <v>ND</v>
          </cell>
          <cell r="BW690" t="str">
            <v>ND</v>
          </cell>
          <cell r="BX690" t="str">
            <v>ND</v>
          </cell>
          <cell r="BY690" t="str">
            <v>ND</v>
          </cell>
          <cell r="BZ690" t="str">
            <v>ND</v>
          </cell>
        </row>
        <row r="692">
          <cell r="B692" t="str">
            <v>Operating Income</v>
          </cell>
          <cell r="C692">
            <v>-49</v>
          </cell>
          <cell r="D692">
            <v>-47</v>
          </cell>
          <cell r="E692">
            <v>-45</v>
          </cell>
          <cell r="F692">
            <v>-43</v>
          </cell>
          <cell r="G692">
            <v>-59</v>
          </cell>
          <cell r="H692">
            <v>-90</v>
          </cell>
          <cell r="I692">
            <v>-95</v>
          </cell>
          <cell r="J692">
            <v>57</v>
          </cell>
          <cell r="K692">
            <v>15</v>
          </cell>
          <cell r="L692">
            <v>0</v>
          </cell>
          <cell r="M692">
            <v>0</v>
          </cell>
          <cell r="N692">
            <v>0</v>
          </cell>
          <cell r="O692">
            <v>0</v>
          </cell>
          <cell r="AI692" t="str">
            <v>ND</v>
          </cell>
          <cell r="AJ692" t="str">
            <v>ND</v>
          </cell>
          <cell r="AK692" t="str">
            <v>ND</v>
          </cell>
          <cell r="AL692" t="str">
            <v>ND</v>
          </cell>
          <cell r="AM692" t="str">
            <v>ND</v>
          </cell>
          <cell r="AN692" t="str">
            <v>ND</v>
          </cell>
          <cell r="AO692" t="str">
            <v>ND</v>
          </cell>
          <cell r="AP692" t="str">
            <v>ND</v>
          </cell>
          <cell r="AQ692">
            <v>-17</v>
          </cell>
          <cell r="AR692">
            <v>-15</v>
          </cell>
          <cell r="AS692">
            <v>-15</v>
          </cell>
          <cell r="AT692">
            <v>-12</v>
          </cell>
          <cell r="AU692">
            <v>-17</v>
          </cell>
          <cell r="AV692">
            <v>-13</v>
          </cell>
          <cell r="AW692">
            <v>-14</v>
          </cell>
          <cell r="AX692">
            <v>-46</v>
          </cell>
          <cell r="AY692">
            <v>-20</v>
          </cell>
          <cell r="AZ692">
            <v>-21</v>
          </cell>
          <cell r="BA692">
            <v>-24</v>
          </cell>
          <cell r="BB692">
            <v>-30</v>
          </cell>
          <cell r="BC692">
            <v>-6</v>
          </cell>
          <cell r="BD692">
            <v>-5</v>
          </cell>
          <cell r="BE692">
            <v>57</v>
          </cell>
          <cell r="BF692">
            <v>11</v>
          </cell>
          <cell r="BG692">
            <v>0</v>
          </cell>
          <cell r="BH692">
            <v>0</v>
          </cell>
          <cell r="BI692">
            <v>0</v>
          </cell>
          <cell r="BJ692">
            <v>15</v>
          </cell>
          <cell r="BK692">
            <v>0</v>
          </cell>
          <cell r="BL692">
            <v>0</v>
          </cell>
          <cell r="BM692">
            <v>0</v>
          </cell>
          <cell r="BN692">
            <v>0</v>
          </cell>
          <cell r="BO692">
            <v>35</v>
          </cell>
          <cell r="BP692">
            <v>7</v>
          </cell>
          <cell r="BQ692">
            <v>0</v>
          </cell>
          <cell r="BR692">
            <v>-42</v>
          </cell>
          <cell r="BS692">
            <v>7</v>
          </cell>
          <cell r="BT692">
            <v>0</v>
          </cell>
          <cell r="BU692">
            <v>0</v>
          </cell>
          <cell r="BV692">
            <v>-7</v>
          </cell>
          <cell r="BW692">
            <v>0</v>
          </cell>
          <cell r="BX692">
            <v>0</v>
          </cell>
          <cell r="BY692">
            <v>0</v>
          </cell>
          <cell r="BZ692">
            <v>0</v>
          </cell>
        </row>
        <row r="693">
          <cell r="B693" t="str">
            <v>Margin</v>
          </cell>
          <cell r="C693">
            <v>6.550802139037433E-2</v>
          </cell>
          <cell r="D693">
            <v>7.8333333333333338E-2</v>
          </cell>
          <cell r="E693">
            <v>0.1079136690647482</v>
          </cell>
          <cell r="F693">
            <v>0.11082474226804123</v>
          </cell>
          <cell r="G693">
            <v>0.15989159891598917</v>
          </cell>
          <cell r="H693">
            <v>0.1076555023923445</v>
          </cell>
          <cell r="I693">
            <v>0.22405660377358491</v>
          </cell>
          <cell r="J693" t="str">
            <v>NM</v>
          </cell>
          <cell r="K693" t="str">
            <v>NM</v>
          </cell>
          <cell r="L693" t="str">
            <v>NM</v>
          </cell>
          <cell r="M693" t="str">
            <v>NM</v>
          </cell>
          <cell r="N693" t="str">
            <v>NM</v>
          </cell>
          <cell r="O693" t="str">
            <v>NM</v>
          </cell>
          <cell r="AI693" t="str">
            <v>NM</v>
          </cell>
          <cell r="AJ693" t="str">
            <v>NM</v>
          </cell>
          <cell r="AK693" t="str">
            <v>NM</v>
          </cell>
          <cell r="AL693" t="str">
            <v>NM</v>
          </cell>
          <cell r="AM693" t="str">
            <v>NM</v>
          </cell>
          <cell r="AN693" t="str">
            <v>NM</v>
          </cell>
          <cell r="AO693" t="str">
            <v>NM</v>
          </cell>
          <cell r="AP693" t="str">
            <v>NM</v>
          </cell>
          <cell r="AQ693">
            <v>0.16831683168316833</v>
          </cell>
          <cell r="AR693">
            <v>0.1388888888888889</v>
          </cell>
          <cell r="AS693">
            <v>0.18292682926829268</v>
          </cell>
          <cell r="AT693">
            <v>0.15384615384615385</v>
          </cell>
          <cell r="AU693">
            <v>0.2</v>
          </cell>
          <cell r="AV693">
            <v>0.12264150943396226</v>
          </cell>
          <cell r="AW693">
            <v>0.1206896551724138</v>
          </cell>
          <cell r="AX693">
            <v>8.6956521739130432E-2</v>
          </cell>
          <cell r="AY693">
            <v>0.19607843137254902</v>
          </cell>
          <cell r="AZ693">
            <v>0.1721311475409836</v>
          </cell>
          <cell r="BA693">
            <v>0.19354838709677419</v>
          </cell>
          <cell r="BB693">
            <v>0.39473684210526316</v>
          </cell>
          <cell r="BG693" t="str">
            <v>NM</v>
          </cell>
          <cell r="BH693" t="str">
            <v>NM</v>
          </cell>
          <cell r="BI693" t="str">
            <v>NM</v>
          </cell>
          <cell r="BJ693" t="str">
            <v>NM</v>
          </cell>
          <cell r="BK693" t="str">
            <v>NM</v>
          </cell>
          <cell r="BL693" t="str">
            <v>NM</v>
          </cell>
          <cell r="BM693" t="str">
            <v>NM</v>
          </cell>
          <cell r="BN693" t="str">
            <v>NM</v>
          </cell>
          <cell r="BO693" t="str">
            <v>NM</v>
          </cell>
          <cell r="BP693" t="str">
            <v>NM</v>
          </cell>
          <cell r="BQ693" t="str">
            <v>NM</v>
          </cell>
          <cell r="BR693" t="str">
            <v>NM</v>
          </cell>
          <cell r="BS693" t="str">
            <v>NM</v>
          </cell>
          <cell r="BT693" t="str">
            <v>NM</v>
          </cell>
          <cell r="BU693" t="str">
            <v>NM</v>
          </cell>
          <cell r="BV693" t="str">
            <v>NM</v>
          </cell>
          <cell r="BW693" t="str">
            <v>NM</v>
          </cell>
          <cell r="BX693" t="str">
            <v>NM</v>
          </cell>
          <cell r="BY693" t="str">
            <v>NM</v>
          </cell>
          <cell r="BZ693" t="str">
            <v>NM</v>
          </cell>
        </row>
        <row r="695">
          <cell r="B695" t="str">
            <v>Interest expense</v>
          </cell>
          <cell r="C695" t="str">
            <v>ND</v>
          </cell>
          <cell r="D695" t="str">
            <v>ND</v>
          </cell>
          <cell r="E695" t="str">
            <v>ND</v>
          </cell>
          <cell r="F695" t="str">
            <v>ND</v>
          </cell>
          <cell r="G695" t="str">
            <v>ND</v>
          </cell>
          <cell r="H695" t="str">
            <v>ND</v>
          </cell>
          <cell r="I695" t="str">
            <v>ND</v>
          </cell>
          <cell r="J695" t="str">
            <v>ND</v>
          </cell>
          <cell r="K695" t="str">
            <v>ND</v>
          </cell>
          <cell r="L695" t="str">
            <v>ND</v>
          </cell>
          <cell r="M695" t="str">
            <v>ND</v>
          </cell>
          <cell r="N695" t="str">
            <v>ND</v>
          </cell>
          <cell r="O695" t="str">
            <v>ND</v>
          </cell>
          <cell r="AI695" t="str">
            <v>ND</v>
          </cell>
          <cell r="AJ695" t="str">
            <v>ND</v>
          </cell>
          <cell r="AK695" t="str">
            <v>ND</v>
          </cell>
          <cell r="AL695" t="str">
            <v>ND</v>
          </cell>
          <cell r="AM695" t="str">
            <v>ND</v>
          </cell>
          <cell r="AN695" t="str">
            <v>ND</v>
          </cell>
          <cell r="AO695" t="str">
            <v>ND</v>
          </cell>
          <cell r="AP695" t="str">
            <v>ND</v>
          </cell>
          <cell r="AQ695" t="str">
            <v>ND</v>
          </cell>
          <cell r="AR695" t="str">
            <v>ND</v>
          </cell>
          <cell r="AS695" t="str">
            <v>ND</v>
          </cell>
          <cell r="AT695" t="str">
            <v>ND</v>
          </cell>
          <cell r="AU695" t="str">
            <v>ND</v>
          </cell>
          <cell r="AV695" t="str">
            <v>ND</v>
          </cell>
          <cell r="AW695" t="str">
            <v>ND</v>
          </cell>
          <cell r="AX695" t="str">
            <v>ND</v>
          </cell>
          <cell r="AY695" t="str">
            <v>ND</v>
          </cell>
          <cell r="AZ695" t="str">
            <v>ND</v>
          </cell>
          <cell r="BA695" t="str">
            <v>ND</v>
          </cell>
          <cell r="BB695" t="str">
            <v>ND</v>
          </cell>
          <cell r="BC695">
            <v>-7</v>
          </cell>
          <cell r="BD695">
            <v>-6</v>
          </cell>
          <cell r="BE695">
            <v>-119</v>
          </cell>
          <cell r="BF695" t="str">
            <v>ND</v>
          </cell>
          <cell r="BG695">
            <v>-146</v>
          </cell>
          <cell r="BH695">
            <v>-149</v>
          </cell>
          <cell r="BI695">
            <v>-156</v>
          </cell>
          <cell r="BJ695" t="str">
            <v>ND</v>
          </cell>
          <cell r="BK695">
            <v>-165</v>
          </cell>
          <cell r="BL695">
            <v>-123</v>
          </cell>
          <cell r="BM695">
            <v>-114</v>
          </cell>
          <cell r="BN695" t="str">
            <v>ND</v>
          </cell>
          <cell r="BO695">
            <v>-99</v>
          </cell>
          <cell r="BP695">
            <v>-98</v>
          </cell>
          <cell r="BQ695">
            <v>-95</v>
          </cell>
          <cell r="BR695" t="str">
            <v>ND</v>
          </cell>
          <cell r="BS695">
            <v>-93</v>
          </cell>
          <cell r="BT695">
            <v>-94</v>
          </cell>
          <cell r="BU695">
            <v>-98</v>
          </cell>
          <cell r="BV695" t="str">
            <v>ND</v>
          </cell>
          <cell r="BW695">
            <v>-100</v>
          </cell>
          <cell r="BX695" t="str">
            <v>ND</v>
          </cell>
          <cell r="BY695" t="str">
            <v>ND</v>
          </cell>
          <cell r="BZ695" t="str">
            <v>ND</v>
          </cell>
        </row>
        <row r="696">
          <cell r="B696" t="str">
            <v>Interest income</v>
          </cell>
          <cell r="C696" t="str">
            <v>ND</v>
          </cell>
          <cell r="D696" t="str">
            <v>ND</v>
          </cell>
          <cell r="E696" t="str">
            <v>ND</v>
          </cell>
          <cell r="F696" t="str">
            <v>ND</v>
          </cell>
          <cell r="G696" t="str">
            <v>ND</v>
          </cell>
          <cell r="H696" t="str">
            <v>ND</v>
          </cell>
          <cell r="I696" t="str">
            <v>ND</v>
          </cell>
          <cell r="J696" t="str">
            <v>ND</v>
          </cell>
          <cell r="K696" t="str">
            <v>ND</v>
          </cell>
          <cell r="L696" t="str">
            <v>ND</v>
          </cell>
          <cell r="M696" t="str">
            <v>ND</v>
          </cell>
          <cell r="N696" t="str">
            <v>ND</v>
          </cell>
          <cell r="O696" t="str">
            <v>ND</v>
          </cell>
          <cell r="AI696" t="str">
            <v>ND</v>
          </cell>
          <cell r="AJ696" t="str">
            <v>ND</v>
          </cell>
          <cell r="AK696" t="str">
            <v>ND</v>
          </cell>
          <cell r="AL696" t="str">
            <v>ND</v>
          </cell>
          <cell r="AM696" t="str">
            <v>ND</v>
          </cell>
          <cell r="AN696" t="str">
            <v>ND</v>
          </cell>
          <cell r="AO696" t="str">
            <v>ND</v>
          </cell>
          <cell r="AP696" t="str">
            <v>ND</v>
          </cell>
          <cell r="AQ696" t="str">
            <v>ND</v>
          </cell>
          <cell r="AR696" t="str">
            <v>ND</v>
          </cell>
          <cell r="AS696" t="str">
            <v>ND</v>
          </cell>
          <cell r="AT696" t="str">
            <v>ND</v>
          </cell>
          <cell r="AU696" t="str">
            <v>ND</v>
          </cell>
          <cell r="AV696" t="str">
            <v>ND</v>
          </cell>
          <cell r="AW696" t="str">
            <v>ND</v>
          </cell>
          <cell r="AX696" t="str">
            <v>ND</v>
          </cell>
          <cell r="AY696" t="str">
            <v>ND</v>
          </cell>
          <cell r="AZ696" t="str">
            <v>ND</v>
          </cell>
          <cell r="BA696" t="str">
            <v>ND</v>
          </cell>
          <cell r="BB696" t="str">
            <v>ND</v>
          </cell>
          <cell r="BC696">
            <v>4</v>
          </cell>
          <cell r="BD696">
            <v>3</v>
          </cell>
          <cell r="BE696">
            <v>7</v>
          </cell>
          <cell r="BF696" t="str">
            <v>ND</v>
          </cell>
          <cell r="BG696">
            <v>6</v>
          </cell>
          <cell r="BH696">
            <v>9</v>
          </cell>
          <cell r="BI696">
            <v>12</v>
          </cell>
          <cell r="BJ696" t="str">
            <v>ND</v>
          </cell>
          <cell r="BK696">
            <v>8</v>
          </cell>
          <cell r="BL696">
            <v>20</v>
          </cell>
          <cell r="BM696">
            <v>10</v>
          </cell>
          <cell r="BN696" t="str">
            <v>ND</v>
          </cell>
          <cell r="BO696">
            <v>7</v>
          </cell>
          <cell r="BP696">
            <v>4</v>
          </cell>
          <cell r="BQ696">
            <v>4</v>
          </cell>
          <cell r="BR696" t="str">
            <v>ND</v>
          </cell>
          <cell r="BS696">
            <v>2</v>
          </cell>
          <cell r="BT696">
            <v>3</v>
          </cell>
          <cell r="BU696">
            <v>3</v>
          </cell>
          <cell r="BV696" t="str">
            <v>ND</v>
          </cell>
          <cell r="BW696">
            <v>17</v>
          </cell>
          <cell r="BX696" t="str">
            <v>ND</v>
          </cell>
          <cell r="BY696" t="str">
            <v>ND</v>
          </cell>
          <cell r="BZ696" t="str">
            <v>ND</v>
          </cell>
        </row>
        <row r="697">
          <cell r="B697" t="str">
            <v>Other income, net</v>
          </cell>
          <cell r="C697" t="str">
            <v>ND</v>
          </cell>
          <cell r="D697" t="str">
            <v>ND</v>
          </cell>
          <cell r="E697" t="str">
            <v>ND</v>
          </cell>
          <cell r="F697" t="str">
            <v>ND</v>
          </cell>
          <cell r="G697" t="str">
            <v>ND</v>
          </cell>
          <cell r="H697" t="str">
            <v>ND</v>
          </cell>
          <cell r="I697" t="str">
            <v>ND</v>
          </cell>
          <cell r="J697" t="str">
            <v>ND</v>
          </cell>
          <cell r="K697" t="str">
            <v>ND</v>
          </cell>
          <cell r="L697" t="str">
            <v>ND</v>
          </cell>
          <cell r="M697" t="str">
            <v>ND</v>
          </cell>
          <cell r="N697" t="str">
            <v>ND</v>
          </cell>
          <cell r="O697" t="str">
            <v>ND</v>
          </cell>
          <cell r="AI697" t="str">
            <v>ND</v>
          </cell>
          <cell r="AJ697" t="str">
            <v>ND</v>
          </cell>
          <cell r="AK697" t="str">
            <v>ND</v>
          </cell>
          <cell r="AL697" t="str">
            <v>ND</v>
          </cell>
          <cell r="AM697" t="str">
            <v>ND</v>
          </cell>
          <cell r="AN697" t="str">
            <v>ND</v>
          </cell>
          <cell r="AO697" t="str">
            <v>ND</v>
          </cell>
          <cell r="AP697" t="str">
            <v>ND</v>
          </cell>
          <cell r="AQ697" t="str">
            <v>ND</v>
          </cell>
          <cell r="AR697" t="str">
            <v>ND</v>
          </cell>
          <cell r="AS697" t="str">
            <v>ND</v>
          </cell>
          <cell r="AT697" t="str">
            <v>ND</v>
          </cell>
          <cell r="AU697" t="str">
            <v>ND</v>
          </cell>
          <cell r="AV697" t="str">
            <v>ND</v>
          </cell>
          <cell r="AW697" t="str">
            <v>ND</v>
          </cell>
          <cell r="AX697" t="str">
            <v>ND</v>
          </cell>
          <cell r="AY697" t="str">
            <v>ND</v>
          </cell>
          <cell r="AZ697" t="str">
            <v>ND</v>
          </cell>
          <cell r="BA697" t="str">
            <v>ND</v>
          </cell>
          <cell r="BB697" t="str">
            <v>ND</v>
          </cell>
          <cell r="BC697">
            <v>0</v>
          </cell>
          <cell r="BD697">
            <v>5</v>
          </cell>
          <cell r="BE697">
            <v>1</v>
          </cell>
          <cell r="BF697" t="str">
            <v>ND</v>
          </cell>
          <cell r="BG697">
            <v>-7</v>
          </cell>
          <cell r="BH697">
            <v>14</v>
          </cell>
          <cell r="BI697">
            <v>2</v>
          </cell>
          <cell r="BJ697" t="str">
            <v>ND</v>
          </cell>
          <cell r="BK697">
            <v>-5</v>
          </cell>
          <cell r="BL697">
            <v>-1</v>
          </cell>
          <cell r="BM697">
            <v>14</v>
          </cell>
          <cell r="BN697" t="str">
            <v>ND</v>
          </cell>
          <cell r="BO697">
            <v>3</v>
          </cell>
          <cell r="BP697">
            <v>-1</v>
          </cell>
          <cell r="BQ697">
            <v>-4</v>
          </cell>
          <cell r="BR697" t="str">
            <v>ND</v>
          </cell>
          <cell r="BS697">
            <v>1</v>
          </cell>
          <cell r="BT697">
            <v>-4</v>
          </cell>
          <cell r="BU697">
            <v>-16</v>
          </cell>
          <cell r="BV697" t="str">
            <v>ND</v>
          </cell>
          <cell r="BW697">
            <v>0</v>
          </cell>
          <cell r="BX697" t="str">
            <v>ND</v>
          </cell>
          <cell r="BY697" t="str">
            <v>ND</v>
          </cell>
          <cell r="BZ697" t="str">
            <v>ND</v>
          </cell>
        </row>
        <row r="699">
          <cell r="B699" t="str">
            <v>Income (loss) from equity investments</v>
          </cell>
          <cell r="C699" t="str">
            <v>ND</v>
          </cell>
          <cell r="D699" t="str">
            <v>ND</v>
          </cell>
          <cell r="E699" t="str">
            <v>ND</v>
          </cell>
          <cell r="F699" t="str">
            <v>ND</v>
          </cell>
          <cell r="G699" t="str">
            <v>ND</v>
          </cell>
          <cell r="H699" t="str">
            <v>ND</v>
          </cell>
          <cell r="I699">
            <v>-11</v>
          </cell>
          <cell r="J699">
            <v>-123</v>
          </cell>
          <cell r="K699">
            <v>-151</v>
          </cell>
          <cell r="L699">
            <v>-96</v>
          </cell>
          <cell r="M699">
            <v>-125</v>
          </cell>
          <cell r="N699">
            <v>-150</v>
          </cell>
          <cell r="O699">
            <v>-150</v>
          </cell>
          <cell r="AI699" t="str">
            <v>ND</v>
          </cell>
          <cell r="AJ699" t="str">
            <v>ND</v>
          </cell>
          <cell r="AK699" t="str">
            <v>ND</v>
          </cell>
          <cell r="AL699" t="str">
            <v>ND</v>
          </cell>
          <cell r="AM699" t="str">
            <v>ND</v>
          </cell>
          <cell r="AN699" t="str">
            <v>ND</v>
          </cell>
          <cell r="AO699" t="str">
            <v>ND</v>
          </cell>
          <cell r="AP699" t="str">
            <v>ND</v>
          </cell>
          <cell r="AQ699" t="str">
            <v>ND</v>
          </cell>
          <cell r="AR699" t="str">
            <v>ND</v>
          </cell>
          <cell r="AS699" t="str">
            <v>ND</v>
          </cell>
          <cell r="AT699" t="str">
            <v>ND</v>
          </cell>
          <cell r="AU699" t="str">
            <v>ND</v>
          </cell>
          <cell r="AV699" t="str">
            <v>ND</v>
          </cell>
          <cell r="AW699" t="str">
            <v>ND</v>
          </cell>
          <cell r="AX699" t="str">
            <v>ND</v>
          </cell>
          <cell r="AY699" t="str">
            <v>ND</v>
          </cell>
          <cell r="AZ699" t="str">
            <v>ND</v>
          </cell>
          <cell r="BA699" t="str">
            <v>ND</v>
          </cell>
          <cell r="BB699" t="str">
            <v>ND</v>
          </cell>
          <cell r="BC699">
            <v>-33</v>
          </cell>
          <cell r="BD699">
            <v>-33</v>
          </cell>
          <cell r="BE699">
            <v>-26</v>
          </cell>
          <cell r="BF699" t="str">
            <v>ND</v>
          </cell>
          <cell r="BG699">
            <v>-32</v>
          </cell>
          <cell r="BH699">
            <v>-13</v>
          </cell>
          <cell r="BI699">
            <v>-27</v>
          </cell>
          <cell r="BJ699">
            <v>-79</v>
          </cell>
          <cell r="BK699">
            <v>-28</v>
          </cell>
          <cell r="BL699">
            <v>-26</v>
          </cell>
          <cell r="BM699">
            <v>-26</v>
          </cell>
          <cell r="BN699">
            <v>-16</v>
          </cell>
          <cell r="BO699">
            <v>-37</v>
          </cell>
          <cell r="BP699">
            <v>-23</v>
          </cell>
          <cell r="BQ699">
            <v>-31</v>
          </cell>
          <cell r="BR699">
            <v>-34</v>
          </cell>
          <cell r="BS699">
            <v>-29</v>
          </cell>
          <cell r="BT699">
            <v>-28</v>
          </cell>
          <cell r="BU699">
            <v>-40</v>
          </cell>
          <cell r="BV699">
            <v>-53</v>
          </cell>
          <cell r="BW699">
            <v>-53</v>
          </cell>
          <cell r="BX699">
            <v>-72</v>
          </cell>
          <cell r="BY699">
            <v>-58</v>
          </cell>
          <cell r="BZ699">
            <v>33</v>
          </cell>
        </row>
        <row r="701">
          <cell r="B701" t="str">
            <v>D&amp;A</v>
          </cell>
          <cell r="C701">
            <v>-1</v>
          </cell>
          <cell r="D701">
            <v>-1</v>
          </cell>
          <cell r="E701">
            <v>-1</v>
          </cell>
          <cell r="F701">
            <v>-1</v>
          </cell>
          <cell r="G701">
            <v>-2</v>
          </cell>
          <cell r="H701">
            <v>-3</v>
          </cell>
          <cell r="I701">
            <v>-5</v>
          </cell>
          <cell r="J701" t="str">
            <v>ND</v>
          </cell>
          <cell r="K701" t="str">
            <v>ND</v>
          </cell>
          <cell r="L701" t="str">
            <v>ND</v>
          </cell>
          <cell r="M701" t="str">
            <v>ND</v>
          </cell>
          <cell r="N701" t="str">
            <v>ND</v>
          </cell>
          <cell r="O701" t="str">
            <v>ND</v>
          </cell>
          <cell r="AI701" t="str">
            <v>ND</v>
          </cell>
          <cell r="AJ701" t="str">
            <v>ND</v>
          </cell>
          <cell r="AK701" t="str">
            <v>ND</v>
          </cell>
          <cell r="AL701" t="str">
            <v>ND</v>
          </cell>
          <cell r="AM701" t="str">
            <v>ND</v>
          </cell>
          <cell r="AN701" t="str">
            <v>ND</v>
          </cell>
          <cell r="AO701" t="str">
            <v>ND</v>
          </cell>
          <cell r="AP701" t="str">
            <v>ND</v>
          </cell>
          <cell r="AQ701" t="str">
            <v>ND</v>
          </cell>
          <cell r="AR701" t="str">
            <v>ND</v>
          </cell>
          <cell r="AS701" t="str">
            <v>ND</v>
          </cell>
          <cell r="AT701" t="str">
            <v>ND</v>
          </cell>
          <cell r="AU701" t="str">
            <v>ND</v>
          </cell>
          <cell r="AV701" t="str">
            <v>ND</v>
          </cell>
          <cell r="AW701" t="str">
            <v>ND</v>
          </cell>
          <cell r="AX701" t="str">
            <v>ND</v>
          </cell>
          <cell r="AY701" t="str">
            <v>ND</v>
          </cell>
          <cell r="AZ701" t="str">
            <v>ND</v>
          </cell>
          <cell r="BA701" t="str">
            <v>ND</v>
          </cell>
          <cell r="BB701" t="str">
            <v>ND</v>
          </cell>
          <cell r="BC701" t="str">
            <v>ND</v>
          </cell>
          <cell r="BD701" t="str">
            <v>ND</v>
          </cell>
          <cell r="BE701" t="str">
            <v>ND</v>
          </cell>
          <cell r="BF701" t="str">
            <v>ND</v>
          </cell>
          <cell r="BG701" t="str">
            <v>ND</v>
          </cell>
          <cell r="BH701" t="str">
            <v>ND</v>
          </cell>
          <cell r="BI701" t="str">
            <v>ND</v>
          </cell>
          <cell r="BJ701" t="str">
            <v>ND</v>
          </cell>
          <cell r="BK701" t="str">
            <v>ND</v>
          </cell>
          <cell r="BL701" t="str">
            <v>ND</v>
          </cell>
          <cell r="BM701" t="str">
            <v>ND</v>
          </cell>
          <cell r="BN701" t="str">
            <v>ND</v>
          </cell>
          <cell r="BO701" t="str">
            <v>ND</v>
          </cell>
          <cell r="BP701" t="str">
            <v>ND</v>
          </cell>
          <cell r="BQ701" t="str">
            <v>ND</v>
          </cell>
          <cell r="BR701" t="str">
            <v>ND</v>
          </cell>
          <cell r="BS701" t="str">
            <v>ND</v>
          </cell>
          <cell r="BT701" t="str">
            <v>ND</v>
          </cell>
          <cell r="BU701" t="str">
            <v>ND</v>
          </cell>
          <cell r="BV701" t="str">
            <v>ND</v>
          </cell>
          <cell r="BW701" t="str">
            <v>ND</v>
          </cell>
          <cell r="BX701" t="str">
            <v>ND</v>
          </cell>
          <cell r="BY701" t="str">
            <v>ND</v>
          </cell>
          <cell r="BZ701" t="str">
            <v>ND</v>
          </cell>
        </row>
        <row r="702">
          <cell r="B702" t="str">
            <v>% of revenue</v>
          </cell>
          <cell r="C702">
            <v>1.3368983957219251E-3</v>
          </cell>
          <cell r="D702">
            <v>1.6666666666666668E-3</v>
          </cell>
          <cell r="E702">
            <v>2.3980815347721821E-3</v>
          </cell>
          <cell r="F702">
            <v>2.5773195876288659E-3</v>
          </cell>
          <cell r="G702">
            <v>5.4200542005420054E-3</v>
          </cell>
          <cell r="H702">
            <v>3.5885167464114833E-3</v>
          </cell>
          <cell r="I702">
            <v>1.179245283018868E-2</v>
          </cell>
          <cell r="J702" t="str">
            <v>NM</v>
          </cell>
          <cell r="K702" t="str">
            <v>NM</v>
          </cell>
          <cell r="L702" t="str">
            <v>NM</v>
          </cell>
          <cell r="M702" t="str">
            <v>NM</v>
          </cell>
          <cell r="N702" t="str">
            <v>NM</v>
          </cell>
          <cell r="O702" t="str">
            <v>NM</v>
          </cell>
          <cell r="AI702" t="str">
            <v>NM</v>
          </cell>
          <cell r="AJ702" t="str">
            <v>NM</v>
          </cell>
          <cell r="AK702" t="str">
            <v>NM</v>
          </cell>
          <cell r="AL702" t="str">
            <v>NM</v>
          </cell>
          <cell r="AM702" t="str">
            <v>NM</v>
          </cell>
          <cell r="AN702" t="str">
            <v>NM</v>
          </cell>
          <cell r="AO702" t="str">
            <v>NM</v>
          </cell>
          <cell r="AP702" t="str">
            <v>NM</v>
          </cell>
          <cell r="AQ702" t="str">
            <v>NM</v>
          </cell>
          <cell r="AR702" t="str">
            <v>NM</v>
          </cell>
          <cell r="AS702" t="str">
            <v>NM</v>
          </cell>
          <cell r="AT702" t="str">
            <v>NM</v>
          </cell>
          <cell r="AU702" t="str">
            <v>NM</v>
          </cell>
          <cell r="AV702" t="str">
            <v>NM</v>
          </cell>
          <cell r="AW702" t="str">
            <v>NM</v>
          </cell>
          <cell r="AX702" t="str">
            <v>NM</v>
          </cell>
          <cell r="AY702" t="str">
            <v>NM</v>
          </cell>
          <cell r="AZ702" t="str">
            <v>NM</v>
          </cell>
          <cell r="BA702" t="str">
            <v>NM</v>
          </cell>
          <cell r="BB702" t="str">
            <v>NM</v>
          </cell>
          <cell r="BC702" t="str">
            <v>NM</v>
          </cell>
          <cell r="BD702" t="str">
            <v>NM</v>
          </cell>
          <cell r="BE702" t="str">
            <v>NM</v>
          </cell>
          <cell r="BF702" t="str">
            <v>NM</v>
          </cell>
          <cell r="BG702" t="str">
            <v>NM</v>
          </cell>
          <cell r="BH702" t="str">
            <v>NM</v>
          </cell>
          <cell r="BI702" t="str">
            <v>NM</v>
          </cell>
          <cell r="BJ702" t="str">
            <v>NM</v>
          </cell>
          <cell r="BK702" t="str">
            <v>NM</v>
          </cell>
          <cell r="BL702" t="str">
            <v>NM</v>
          </cell>
          <cell r="BM702" t="str">
            <v>NM</v>
          </cell>
          <cell r="BN702" t="str">
            <v>NM</v>
          </cell>
          <cell r="BO702" t="str">
            <v>NM</v>
          </cell>
          <cell r="BP702" t="str">
            <v>NM</v>
          </cell>
          <cell r="BQ702" t="str">
            <v>NM</v>
          </cell>
          <cell r="BR702" t="str">
            <v>NM</v>
          </cell>
          <cell r="BS702" t="str">
            <v>NM</v>
          </cell>
          <cell r="BT702" t="str">
            <v>NM</v>
          </cell>
          <cell r="BU702" t="str">
            <v>NM</v>
          </cell>
          <cell r="BV702" t="str">
            <v>NM</v>
          </cell>
          <cell r="BW702" t="str">
            <v>NM</v>
          </cell>
          <cell r="BX702" t="str">
            <v>NM</v>
          </cell>
          <cell r="BY702" t="str">
            <v>NM</v>
          </cell>
          <cell r="BZ702" t="str">
            <v>NM</v>
          </cell>
        </row>
        <row r="704">
          <cell r="B704" t="str">
            <v>Capex</v>
          </cell>
          <cell r="C704">
            <v>-1</v>
          </cell>
          <cell r="D704">
            <v>-1</v>
          </cell>
          <cell r="E704">
            <v>-1</v>
          </cell>
          <cell r="F704">
            <v>-3</v>
          </cell>
          <cell r="G704">
            <v>-6</v>
          </cell>
          <cell r="H704">
            <v>-3</v>
          </cell>
          <cell r="I704">
            <v>-9</v>
          </cell>
          <cell r="J704" t="str">
            <v>ND</v>
          </cell>
          <cell r="K704" t="str">
            <v>ND</v>
          </cell>
          <cell r="L704" t="str">
            <v>ND</v>
          </cell>
          <cell r="M704" t="str">
            <v>ND</v>
          </cell>
          <cell r="N704" t="str">
            <v>ND</v>
          </cell>
          <cell r="O704" t="str">
            <v>ND</v>
          </cell>
          <cell r="AI704" t="str">
            <v>ND</v>
          </cell>
          <cell r="AJ704" t="str">
            <v>ND</v>
          </cell>
          <cell r="AK704" t="str">
            <v>ND</v>
          </cell>
          <cell r="AL704" t="str">
            <v>ND</v>
          </cell>
          <cell r="AM704" t="str">
            <v>ND</v>
          </cell>
          <cell r="AN704" t="str">
            <v>ND</v>
          </cell>
          <cell r="AO704" t="str">
            <v>ND</v>
          </cell>
          <cell r="AP704" t="str">
            <v>ND</v>
          </cell>
          <cell r="AQ704" t="str">
            <v>ND</v>
          </cell>
          <cell r="AR704" t="str">
            <v>ND</v>
          </cell>
          <cell r="AS704" t="str">
            <v>ND</v>
          </cell>
          <cell r="AT704" t="str">
            <v>ND</v>
          </cell>
          <cell r="AU704" t="str">
            <v>ND</v>
          </cell>
          <cell r="AV704" t="str">
            <v>ND</v>
          </cell>
          <cell r="AW704" t="str">
            <v>ND</v>
          </cell>
          <cell r="AX704" t="str">
            <v>ND</v>
          </cell>
          <cell r="AY704" t="str">
            <v>ND</v>
          </cell>
          <cell r="AZ704" t="str">
            <v>ND</v>
          </cell>
          <cell r="BA704" t="str">
            <v>ND</v>
          </cell>
          <cell r="BB704" t="str">
            <v>ND</v>
          </cell>
          <cell r="BC704" t="str">
            <v>ND</v>
          </cell>
          <cell r="BD704" t="str">
            <v>ND</v>
          </cell>
          <cell r="BE704" t="str">
            <v>ND</v>
          </cell>
          <cell r="BF704" t="str">
            <v>ND</v>
          </cell>
          <cell r="BG704" t="str">
            <v>ND</v>
          </cell>
          <cell r="BH704" t="str">
            <v>ND</v>
          </cell>
          <cell r="BI704" t="str">
            <v>ND</v>
          </cell>
          <cell r="BJ704" t="str">
            <v>ND</v>
          </cell>
          <cell r="BK704" t="str">
            <v>ND</v>
          </cell>
          <cell r="BL704" t="str">
            <v>ND</v>
          </cell>
          <cell r="BM704" t="str">
            <v>ND</v>
          </cell>
          <cell r="BN704" t="str">
            <v>ND</v>
          </cell>
          <cell r="BO704" t="str">
            <v>ND</v>
          </cell>
          <cell r="BP704" t="str">
            <v>ND</v>
          </cell>
          <cell r="BQ704" t="str">
            <v>ND</v>
          </cell>
          <cell r="BR704" t="str">
            <v>ND</v>
          </cell>
          <cell r="BS704" t="str">
            <v>ND</v>
          </cell>
          <cell r="BT704" t="str">
            <v>ND</v>
          </cell>
          <cell r="BU704" t="str">
            <v>ND</v>
          </cell>
          <cell r="BV704" t="str">
            <v>ND</v>
          </cell>
          <cell r="BW704" t="str">
            <v>ND</v>
          </cell>
          <cell r="BX704" t="str">
            <v>ND</v>
          </cell>
          <cell r="BY704" t="str">
            <v>ND</v>
          </cell>
          <cell r="BZ704" t="str">
            <v>ND</v>
          </cell>
        </row>
        <row r="705">
          <cell r="B705" t="str">
            <v>% of revenue</v>
          </cell>
          <cell r="C705">
            <v>1.3368983957219251E-3</v>
          </cell>
          <cell r="D705">
            <v>1.6666666666666668E-3</v>
          </cell>
          <cell r="E705">
            <v>2.3980815347721821E-3</v>
          </cell>
          <cell r="F705">
            <v>7.7319587628865982E-3</v>
          </cell>
          <cell r="G705">
            <v>1.6260162601626018E-2</v>
          </cell>
          <cell r="H705">
            <v>3.5885167464114833E-3</v>
          </cell>
          <cell r="I705">
            <v>2.1226415094339621E-2</v>
          </cell>
          <cell r="J705" t="str">
            <v>NM</v>
          </cell>
          <cell r="K705" t="str">
            <v>NM</v>
          </cell>
          <cell r="L705" t="str">
            <v>NM</v>
          </cell>
          <cell r="M705" t="str">
            <v>NM</v>
          </cell>
          <cell r="N705" t="str">
            <v>NM</v>
          </cell>
          <cell r="O705" t="str">
            <v>NM</v>
          </cell>
          <cell r="AI705" t="str">
            <v>NM</v>
          </cell>
          <cell r="AJ705" t="str">
            <v>NM</v>
          </cell>
          <cell r="AK705" t="str">
            <v>NM</v>
          </cell>
          <cell r="AL705" t="str">
            <v>NM</v>
          </cell>
          <cell r="AM705" t="str">
            <v>NM</v>
          </cell>
          <cell r="AN705" t="str">
            <v>NM</v>
          </cell>
          <cell r="AO705" t="str">
            <v>NM</v>
          </cell>
          <cell r="AP705" t="str">
            <v>NM</v>
          </cell>
          <cell r="AQ705" t="str">
            <v>NM</v>
          </cell>
          <cell r="AR705" t="str">
            <v>NM</v>
          </cell>
          <cell r="AS705" t="str">
            <v>NM</v>
          </cell>
          <cell r="AT705" t="str">
            <v>NM</v>
          </cell>
          <cell r="AU705" t="str">
            <v>NM</v>
          </cell>
          <cell r="AV705" t="str">
            <v>NM</v>
          </cell>
          <cell r="AW705" t="str">
            <v>NM</v>
          </cell>
          <cell r="AX705" t="str">
            <v>NM</v>
          </cell>
          <cell r="AY705" t="str">
            <v>NM</v>
          </cell>
          <cell r="AZ705" t="str">
            <v>NM</v>
          </cell>
          <cell r="BA705" t="str">
            <v>NM</v>
          </cell>
          <cell r="BB705" t="str">
            <v>NM</v>
          </cell>
          <cell r="BC705" t="str">
            <v>NM</v>
          </cell>
          <cell r="BD705" t="str">
            <v>NM</v>
          </cell>
          <cell r="BE705" t="str">
            <v>NM</v>
          </cell>
          <cell r="BF705" t="str">
            <v>NM</v>
          </cell>
          <cell r="BG705" t="str">
            <v>NM</v>
          </cell>
          <cell r="BH705" t="str">
            <v>NM</v>
          </cell>
          <cell r="BI705" t="str">
            <v>NM</v>
          </cell>
          <cell r="BJ705" t="str">
            <v>NM</v>
          </cell>
          <cell r="BK705" t="str">
            <v>NM</v>
          </cell>
          <cell r="BL705" t="str">
            <v>NM</v>
          </cell>
          <cell r="BM705" t="str">
            <v>NM</v>
          </cell>
          <cell r="BN705" t="str">
            <v>NM</v>
          </cell>
        </row>
        <row r="707">
          <cell r="B707" t="str">
            <v>Total Assets</v>
          </cell>
          <cell r="C707">
            <v>335</v>
          </cell>
          <cell r="D707">
            <v>153</v>
          </cell>
          <cell r="E707">
            <v>-2</v>
          </cell>
          <cell r="F707">
            <v>-1</v>
          </cell>
          <cell r="G707">
            <v>69</v>
          </cell>
          <cell r="H707">
            <v>76</v>
          </cell>
          <cell r="I707">
            <v>463</v>
          </cell>
          <cell r="J707">
            <v>212</v>
          </cell>
          <cell r="K707">
            <v>216</v>
          </cell>
          <cell r="L707">
            <v>172</v>
          </cell>
          <cell r="M707">
            <v>157</v>
          </cell>
          <cell r="N707">
            <v>48</v>
          </cell>
          <cell r="O707">
            <v>48</v>
          </cell>
          <cell r="AI707" t="str">
            <v>ND</v>
          </cell>
          <cell r="AJ707" t="str">
            <v>ND</v>
          </cell>
          <cell r="AK707" t="str">
            <v>ND</v>
          </cell>
          <cell r="AL707" t="str">
            <v>ND</v>
          </cell>
          <cell r="AM707">
            <v>-2</v>
          </cell>
          <cell r="AN707" t="str">
            <v>ND</v>
          </cell>
          <cell r="AO707" t="str">
            <v>ND</v>
          </cell>
          <cell r="AP707" t="str">
            <v>ND</v>
          </cell>
          <cell r="AQ707">
            <v>-1</v>
          </cell>
          <cell r="AR707" t="str">
            <v>ND</v>
          </cell>
          <cell r="AS707" t="str">
            <v>ND</v>
          </cell>
          <cell r="AT707">
            <v>69</v>
          </cell>
          <cell r="AU707" t="str">
            <v>ND</v>
          </cell>
          <cell r="AV707" t="str">
            <v>ND</v>
          </cell>
          <cell r="AW707" t="str">
            <v>ND</v>
          </cell>
          <cell r="AX707">
            <v>76</v>
          </cell>
          <cell r="AY707" t="str">
            <v>ND</v>
          </cell>
          <cell r="AZ707" t="str">
            <v>ND</v>
          </cell>
          <cell r="BA707" t="str">
            <v>ND</v>
          </cell>
          <cell r="BB707">
            <v>463</v>
          </cell>
          <cell r="BC707" t="str">
            <v>ND</v>
          </cell>
          <cell r="BD707" t="str">
            <v>ND</v>
          </cell>
          <cell r="BE707" t="str">
            <v>ND</v>
          </cell>
          <cell r="BF707">
            <v>212</v>
          </cell>
          <cell r="BG707" t="str">
            <v>ND</v>
          </cell>
          <cell r="BH707" t="str">
            <v>ND</v>
          </cell>
          <cell r="BI707" t="str">
            <v>ND</v>
          </cell>
          <cell r="BJ707">
            <v>216</v>
          </cell>
          <cell r="BK707" t="str">
            <v>ND</v>
          </cell>
          <cell r="BL707" t="str">
            <v>ND</v>
          </cell>
          <cell r="BM707" t="str">
            <v>ND</v>
          </cell>
          <cell r="BN707">
            <v>172</v>
          </cell>
          <cell r="BO707" t="str">
            <v>ND</v>
          </cell>
          <cell r="BP707" t="str">
            <v>ND</v>
          </cell>
          <cell r="BQ707" t="str">
            <v>ND</v>
          </cell>
          <cell r="BR707">
            <v>157</v>
          </cell>
          <cell r="BS707" t="str">
            <v>ND</v>
          </cell>
          <cell r="BT707" t="str">
            <v>ND</v>
          </cell>
          <cell r="BU707" t="str">
            <v>ND</v>
          </cell>
          <cell r="BV707">
            <v>48</v>
          </cell>
          <cell r="BW707" t="str">
            <v>ND</v>
          </cell>
          <cell r="BX707" t="str">
            <v>ND</v>
          </cell>
          <cell r="BY707" t="str">
            <v>ND</v>
          </cell>
          <cell r="BZ707">
            <v>48</v>
          </cell>
        </row>
        <row r="709">
          <cell r="B709" t="str">
            <v>Total</v>
          </cell>
          <cell r="C709">
            <v>1991</v>
          </cell>
          <cell r="D709">
            <v>1992</v>
          </cell>
          <cell r="E709">
            <v>1993</v>
          </cell>
          <cell r="F709">
            <v>1994</v>
          </cell>
          <cell r="G709">
            <v>1995</v>
          </cell>
          <cell r="H709">
            <v>1996</v>
          </cell>
          <cell r="I709">
            <v>1997</v>
          </cell>
          <cell r="J709">
            <v>1998</v>
          </cell>
          <cell r="K709">
            <v>1999</v>
          </cell>
          <cell r="L709">
            <v>2000</v>
          </cell>
          <cell r="M709">
            <v>2001</v>
          </cell>
          <cell r="N709">
            <v>2002</v>
          </cell>
          <cell r="O709">
            <v>2003</v>
          </cell>
          <cell r="P709">
            <v>2004</v>
          </cell>
          <cell r="Q709">
            <v>2005</v>
          </cell>
          <cell r="R709">
            <v>2006</v>
          </cell>
          <cell r="S709">
            <v>2007</v>
          </cell>
          <cell r="T709">
            <v>2008</v>
          </cell>
          <cell r="U709" t="str">
            <v>2009</v>
          </cell>
          <cell r="V709" t="str">
            <v>2010</v>
          </cell>
          <cell r="W709" t="str">
            <v>2011</v>
          </cell>
          <cell r="X709" t="str">
            <v>2012</v>
          </cell>
          <cell r="Y709" t="str">
            <v>2013e</v>
          </cell>
          <cell r="Z709" t="str">
            <v>2014e</v>
          </cell>
          <cell r="AA709" t="str">
            <v>2015e</v>
          </cell>
          <cell r="AB709" t="str">
            <v>2016e</v>
          </cell>
          <cell r="AC709" t="str">
            <v>2017e</v>
          </cell>
          <cell r="AD709" t="str">
            <v>2018e</v>
          </cell>
          <cell r="AE709" t="str">
            <v>2019e</v>
          </cell>
          <cell r="AF709" t="str">
            <v>2020e</v>
          </cell>
          <cell r="AI709" t="str">
            <v>1993q1</v>
          </cell>
          <cell r="AJ709" t="str">
            <v>1993q2</v>
          </cell>
          <cell r="AK709" t="str">
            <v>1993q3</v>
          </cell>
          <cell r="AL709" t="str">
            <v>1993q4</v>
          </cell>
          <cell r="AM709" t="str">
            <v>1994q1</v>
          </cell>
          <cell r="AN709" t="str">
            <v>1994q2</v>
          </cell>
          <cell r="AO709" t="str">
            <v>1994q3</v>
          </cell>
          <cell r="AP709" t="str">
            <v>1994q4</v>
          </cell>
          <cell r="AQ709" t="str">
            <v>1995q1</v>
          </cell>
          <cell r="AR709" t="str">
            <v>1995q2</v>
          </cell>
          <cell r="AS709" t="str">
            <v>1995q3</v>
          </cell>
          <cell r="AT709" t="str">
            <v>1995q4</v>
          </cell>
          <cell r="AU709" t="str">
            <v>1996q1</v>
          </cell>
          <cell r="AV709" t="str">
            <v>1996q2</v>
          </cell>
          <cell r="AW709" t="str">
            <v>1996q3</v>
          </cell>
          <cell r="AX709" t="str">
            <v>1996q4</v>
          </cell>
          <cell r="AY709" t="str">
            <v>1997q1</v>
          </cell>
          <cell r="AZ709" t="str">
            <v>1997q2</v>
          </cell>
          <cell r="BA709" t="str">
            <v>1997q3</v>
          </cell>
          <cell r="BB709" t="str">
            <v>1997q4</v>
          </cell>
          <cell r="BC709" t="str">
            <v>1998q1</v>
          </cell>
          <cell r="BD709" t="str">
            <v>1998q2</v>
          </cell>
          <cell r="BE709" t="str">
            <v>1998q3</v>
          </cell>
          <cell r="BF709" t="str">
            <v>1998q4</v>
          </cell>
          <cell r="BG709" t="str">
            <v>1999q1</v>
          </cell>
          <cell r="BH709" t="str">
            <v>1999q2</v>
          </cell>
          <cell r="BI709" t="str">
            <v>1999q3</v>
          </cell>
          <cell r="BJ709" t="str">
            <v>1999q4</v>
          </cell>
          <cell r="BK709" t="str">
            <v>2000q1</v>
          </cell>
          <cell r="BL709" t="str">
            <v>2000q2</v>
          </cell>
          <cell r="BM709" t="str">
            <v>2000q3</v>
          </cell>
          <cell r="BN709" t="str">
            <v>2000q4</v>
          </cell>
          <cell r="BO709" t="str">
            <v>2001q1</v>
          </cell>
          <cell r="BP709" t="str">
            <v>2001q2</v>
          </cell>
          <cell r="BQ709" t="str">
            <v>2001q3</v>
          </cell>
          <cell r="BR709" t="str">
            <v>2001q4</v>
          </cell>
          <cell r="BS709" t="str">
            <v>2002q1</v>
          </cell>
          <cell r="BT709" t="str">
            <v>2002q2</v>
          </cell>
          <cell r="BU709" t="str">
            <v>2002q3</v>
          </cell>
          <cell r="BV709" t="str">
            <v>2002q4</v>
          </cell>
          <cell r="BW709" t="str">
            <v>2003q1</v>
          </cell>
          <cell r="BX709" t="str">
            <v>2003q2</v>
          </cell>
          <cell r="BY709" t="str">
            <v>2003q3</v>
          </cell>
          <cell r="BZ709" t="str">
            <v>2003q4</v>
          </cell>
          <cell r="CA709" t="str">
            <v>2004q1</v>
          </cell>
          <cell r="CB709" t="str">
            <v>2004q2</v>
          </cell>
          <cell r="CC709" t="str">
            <v>2004q3</v>
          </cell>
          <cell r="CD709" t="str">
            <v>2004q4</v>
          </cell>
          <cell r="CE709" t="str">
            <v>2005q1</v>
          </cell>
          <cell r="CF709" t="str">
            <v>2005q2</v>
          </cell>
          <cell r="CG709" t="str">
            <v>2005q3</v>
          </cell>
          <cell r="CH709" t="str">
            <v>2005q4</v>
          </cell>
          <cell r="CI709" t="str">
            <v>2006q1</v>
          </cell>
          <cell r="CJ709" t="str">
            <v>2006q2</v>
          </cell>
          <cell r="CK709" t="str">
            <v>2006q3</v>
          </cell>
          <cell r="CL709" t="str">
            <v>2006q4</v>
          </cell>
          <cell r="CM709" t="str">
            <v>2007q1</v>
          </cell>
          <cell r="CN709" t="str">
            <v>2007q2</v>
          </cell>
          <cell r="CO709" t="str">
            <v>2007q3</v>
          </cell>
          <cell r="CP709" t="str">
            <v>2007q4</v>
          </cell>
          <cell r="CQ709" t="str">
            <v>2008q1</v>
          </cell>
          <cell r="CR709" t="str">
            <v>2008q2</v>
          </cell>
          <cell r="CS709" t="str">
            <v>2008q3</v>
          </cell>
          <cell r="CT709" t="str">
            <v>2008q4</v>
          </cell>
          <cell r="CU709" t="str">
            <v>2009q1</v>
          </cell>
          <cell r="CV709" t="str">
            <v>2009q2</v>
          </cell>
          <cell r="CW709" t="str">
            <v>2009q3</v>
          </cell>
          <cell r="CX709" t="str">
            <v>2009q4</v>
          </cell>
          <cell r="CY709" t="str">
            <v>2010q1</v>
          </cell>
          <cell r="CZ709" t="str">
            <v>2010q2</v>
          </cell>
          <cell r="DA709" t="str">
            <v>2010q3</v>
          </cell>
          <cell r="DB709" t="str">
            <v>2010q4</v>
          </cell>
          <cell r="DC709" t="str">
            <v>2011q1</v>
          </cell>
          <cell r="DD709" t="str">
            <v>2011q2</v>
          </cell>
          <cell r="DE709" t="str">
            <v>2011q3</v>
          </cell>
          <cell r="DF709" t="str">
            <v>2011q4</v>
          </cell>
          <cell r="DG709" t="str">
            <v>2012q1</v>
          </cell>
          <cell r="DH709" t="str">
            <v>2012q2</v>
          </cell>
          <cell r="DI709" t="str">
            <v>2012q3</v>
          </cell>
          <cell r="DJ709" t="str">
            <v>2012q4e</v>
          </cell>
          <cell r="DK709" t="str">
            <v>2013q1e</v>
          </cell>
          <cell r="DL709" t="str">
            <v>2013q2e</v>
          </cell>
          <cell r="DM709" t="str">
            <v>2013q3e</v>
          </cell>
          <cell r="DN709" t="str">
            <v>2013q4e</v>
          </cell>
          <cell r="DO709" t="str">
            <v>2014q1e</v>
          </cell>
          <cell r="DP709" t="str">
            <v>2014q2e</v>
          </cell>
          <cell r="DQ709" t="str">
            <v>2014q3e</v>
          </cell>
          <cell r="DR709" t="str">
            <v>2014q4e</v>
          </cell>
          <cell r="DT709" t="str">
            <v>2013q2e</v>
          </cell>
        </row>
        <row r="711">
          <cell r="B711" t="str">
            <v>Total Revenue</v>
          </cell>
          <cell r="C711">
            <v>5735</v>
          </cell>
          <cell r="D711">
            <v>4809</v>
          </cell>
          <cell r="E711">
            <v>3850</v>
          </cell>
          <cell r="F711">
            <v>3857</v>
          </cell>
          <cell r="G711">
            <v>4936</v>
          </cell>
          <cell r="H711">
            <v>5052</v>
          </cell>
          <cell r="I711">
            <v>2878</v>
          </cell>
          <cell r="J711">
            <v>1447</v>
          </cell>
          <cell r="K711">
            <v>3693</v>
          </cell>
          <cell r="L711">
            <v>4036</v>
          </cell>
          <cell r="M711">
            <v>3193</v>
          </cell>
          <cell r="N711">
            <v>3262</v>
          </cell>
          <cell r="O711">
            <v>3801</v>
          </cell>
          <cell r="P711">
            <v>5946</v>
          </cell>
          <cell r="Q711">
            <v>18606</v>
          </cell>
          <cell r="R711">
            <v>20882</v>
          </cell>
          <cell r="S711">
            <v>17120</v>
          </cell>
          <cell r="T711">
            <v>50706</v>
          </cell>
          <cell r="U711">
            <v>30808</v>
          </cell>
          <cell r="V711">
            <v>41151</v>
          </cell>
          <cell r="W711">
            <v>51035</v>
          </cell>
          <cell r="X711">
            <v>45497</v>
          </cell>
          <cell r="Y711">
            <v>44062</v>
          </cell>
          <cell r="Z711">
            <v>45396.546093082739</v>
          </cell>
          <cell r="AA711">
            <v>50646.657072479749</v>
          </cell>
          <cell r="AB711">
            <v>50756.766540219469</v>
          </cell>
          <cell r="AC711">
            <v>49977.184351634925</v>
          </cell>
          <cell r="AD711">
            <v>49385.611601109151</v>
          </cell>
          <cell r="AE711">
            <v>48987.732052513718</v>
          </cell>
          <cell r="AF711">
            <v>48679.99538159059</v>
          </cell>
          <cell r="AI711">
            <v>1065</v>
          </cell>
          <cell r="AJ711">
            <v>1080</v>
          </cell>
          <cell r="AK711">
            <v>885</v>
          </cell>
          <cell r="AL711">
            <v>820</v>
          </cell>
          <cell r="AM711">
            <v>824</v>
          </cell>
          <cell r="AN711">
            <v>900</v>
          </cell>
          <cell r="AO711">
            <v>1037</v>
          </cell>
          <cell r="AP711">
            <v>1096</v>
          </cell>
          <cell r="AQ711">
            <v>1174</v>
          </cell>
          <cell r="AR711">
            <v>1370</v>
          </cell>
          <cell r="AS711">
            <v>1249</v>
          </cell>
          <cell r="AT711">
            <v>1143</v>
          </cell>
          <cell r="AU711">
            <v>579</v>
          </cell>
          <cell r="AV711">
            <v>613</v>
          </cell>
          <cell r="AW711">
            <v>682</v>
          </cell>
          <cell r="AX711">
            <v>3178</v>
          </cell>
          <cell r="AY711">
            <v>755</v>
          </cell>
          <cell r="AZ711">
            <v>789</v>
          </cell>
          <cell r="BA711">
            <v>799</v>
          </cell>
          <cell r="BB711">
            <v>535</v>
          </cell>
          <cell r="BC711">
            <v>0</v>
          </cell>
          <cell r="BD711">
            <v>0</v>
          </cell>
          <cell r="BE711">
            <v>566</v>
          </cell>
          <cell r="BF711">
            <v>881</v>
          </cell>
          <cell r="BG711">
            <v>855</v>
          </cell>
          <cell r="BH711">
            <v>854</v>
          </cell>
          <cell r="BI711">
            <v>976</v>
          </cell>
          <cell r="BJ711">
            <v>1008</v>
          </cell>
          <cell r="BK711">
            <v>1136</v>
          </cell>
          <cell r="BL711">
            <v>976</v>
          </cell>
          <cell r="BM711">
            <v>975</v>
          </cell>
          <cell r="BN711">
            <v>949</v>
          </cell>
          <cell r="BO711">
            <v>849</v>
          </cell>
          <cell r="BP711">
            <v>893</v>
          </cell>
          <cell r="BQ711">
            <v>742</v>
          </cell>
          <cell r="BR711">
            <v>709</v>
          </cell>
          <cell r="BS711">
            <v>674</v>
          </cell>
          <cell r="BT711">
            <v>843</v>
          </cell>
          <cell r="BU711">
            <v>855</v>
          </cell>
          <cell r="BV711">
            <v>890</v>
          </cell>
          <cell r="BW711">
            <v>989</v>
          </cell>
          <cell r="BX711">
            <v>913</v>
          </cell>
          <cell r="BY711">
            <v>954</v>
          </cell>
          <cell r="BZ711">
            <v>945</v>
          </cell>
          <cell r="CA711">
            <v>1105</v>
          </cell>
          <cell r="CB711">
            <v>1161</v>
          </cell>
          <cell r="CC711">
            <v>1307</v>
          </cell>
          <cell r="CD711">
            <v>2373</v>
          </cell>
          <cell r="CE711">
            <v>4440</v>
          </cell>
          <cell r="CF711">
            <v>4376</v>
          </cell>
          <cell r="CG711">
            <v>4790</v>
          </cell>
          <cell r="CH711">
            <v>5000</v>
          </cell>
          <cell r="CI711">
            <v>4418</v>
          </cell>
          <cell r="CJ711">
            <v>4715</v>
          </cell>
          <cell r="CK711">
            <v>5815</v>
          </cell>
          <cell r="CL711">
            <v>7280</v>
          </cell>
          <cell r="CM711">
            <v>3718</v>
          </cell>
          <cell r="CN711">
            <v>4092</v>
          </cell>
          <cell r="CO711">
            <v>4052</v>
          </cell>
          <cell r="CP711">
            <v>5258</v>
          </cell>
          <cell r="CQ711">
            <v>12765</v>
          </cell>
          <cell r="CR711">
            <v>15599</v>
          </cell>
          <cell r="CS711">
            <v>14086</v>
          </cell>
          <cell r="CT711">
            <v>8256</v>
          </cell>
          <cell r="CU711">
            <v>5900</v>
          </cell>
          <cell r="CV711">
            <v>7499</v>
          </cell>
          <cell r="CW711">
            <v>8612</v>
          </cell>
          <cell r="CY711">
            <v>9755</v>
          </cell>
          <cell r="CZ711">
            <v>10484</v>
          </cell>
          <cell r="DA711">
            <v>10302</v>
          </cell>
          <cell r="DB711">
            <v>10610</v>
          </cell>
          <cell r="DC711">
            <v>12252</v>
          </cell>
          <cell r="DD711">
            <v>14042</v>
          </cell>
          <cell r="DE711">
            <v>13297</v>
          </cell>
          <cell r="DF711">
            <v>11444</v>
          </cell>
          <cell r="DG711">
            <v>11879</v>
          </cell>
          <cell r="DH711">
            <v>11248</v>
          </cell>
          <cell r="DI711">
            <v>11273</v>
          </cell>
          <cell r="DJ711">
            <v>11097</v>
          </cell>
          <cell r="DK711">
            <v>10669</v>
          </cell>
          <cell r="DL711">
            <v>11103</v>
          </cell>
          <cell r="DM711">
            <v>11152</v>
          </cell>
          <cell r="DN711">
            <v>11138</v>
          </cell>
          <cell r="DO711">
            <v>11941.000969252538</v>
          </cell>
          <cell r="DP711">
            <v>11539.502018498013</v>
          </cell>
          <cell r="DQ711">
            <v>11212.978682602794</v>
          </cell>
          <cell r="DR711">
            <v>10703.064422729396</v>
          </cell>
          <cell r="DT711">
            <v>11197.416586544532</v>
          </cell>
        </row>
        <row r="712">
          <cell r="B712" t="str">
            <v>Total Segment operating income (loss)</v>
          </cell>
          <cell r="C712">
            <v>399</v>
          </cell>
          <cell r="D712">
            <v>104</v>
          </cell>
          <cell r="E712">
            <v>93</v>
          </cell>
          <cell r="F712">
            <v>424</v>
          </cell>
          <cell r="G712">
            <v>706</v>
          </cell>
          <cell r="H712">
            <v>391</v>
          </cell>
          <cell r="I712">
            <v>574</v>
          </cell>
          <cell r="J712">
            <v>165</v>
          </cell>
          <cell r="K712">
            <v>419</v>
          </cell>
          <cell r="L712">
            <v>339</v>
          </cell>
          <cell r="M712">
            <v>142</v>
          </cell>
          <cell r="N712">
            <v>174</v>
          </cell>
          <cell r="O712">
            <v>-1</v>
          </cell>
          <cell r="P712">
            <v>162</v>
          </cell>
          <cell r="Q712">
            <v>1594</v>
          </cell>
          <cell r="R712">
            <v>1982</v>
          </cell>
          <cell r="S712">
            <v>934</v>
          </cell>
          <cell r="T712">
            <v>1103</v>
          </cell>
          <cell r="U712">
            <v>432</v>
          </cell>
          <cell r="V712">
            <v>2765.0133229885059</v>
          </cell>
          <cell r="W712">
            <v>4542.7819469252872</v>
          </cell>
          <cell r="X712">
            <v>4670</v>
          </cell>
          <cell r="Y712">
            <v>5285.7699737472267</v>
          </cell>
          <cell r="Z712">
            <v>5354.2707053890435</v>
          </cell>
          <cell r="AA712">
            <v>5479.9209508387366</v>
          </cell>
          <cell r="AB712">
            <v>5602.1431298957605</v>
          </cell>
          <cell r="AC712">
            <v>5425.1877632312471</v>
          </cell>
          <cell r="AD712">
            <v>5129.479016967146</v>
          </cell>
          <cell r="AE712">
            <v>3423.0984165790446</v>
          </cell>
          <cell r="AF712">
            <v>3130.1340526491695</v>
          </cell>
          <cell r="AI712">
            <v>7</v>
          </cell>
          <cell r="AJ712">
            <v>5</v>
          </cell>
          <cell r="AK712">
            <v>38</v>
          </cell>
          <cell r="AL712">
            <v>43</v>
          </cell>
          <cell r="AM712">
            <v>54</v>
          </cell>
          <cell r="AN712">
            <v>71</v>
          </cell>
          <cell r="AO712">
            <v>124</v>
          </cell>
          <cell r="AP712">
            <v>175</v>
          </cell>
          <cell r="AQ712">
            <v>222</v>
          </cell>
          <cell r="AR712">
            <v>237</v>
          </cell>
          <cell r="AS712">
            <v>183</v>
          </cell>
          <cell r="AT712">
            <v>64</v>
          </cell>
          <cell r="AU712">
            <v>30</v>
          </cell>
          <cell r="AV712">
            <v>38</v>
          </cell>
          <cell r="AW712">
            <v>80</v>
          </cell>
          <cell r="AX712">
            <v>243</v>
          </cell>
          <cell r="AY712">
            <v>79</v>
          </cell>
          <cell r="AZ712">
            <v>146</v>
          </cell>
          <cell r="BA712">
            <v>153</v>
          </cell>
          <cell r="BB712">
            <v>196</v>
          </cell>
          <cell r="BC712">
            <v>-6</v>
          </cell>
          <cell r="BD712">
            <v>-5</v>
          </cell>
          <cell r="BE712">
            <v>87</v>
          </cell>
          <cell r="BF712">
            <v>89</v>
          </cell>
          <cell r="BG712">
            <v>129</v>
          </cell>
          <cell r="BH712">
            <v>100</v>
          </cell>
          <cell r="BI712">
            <v>100</v>
          </cell>
          <cell r="BJ712">
            <v>90</v>
          </cell>
          <cell r="BK712">
            <v>87</v>
          </cell>
          <cell r="BL712">
            <v>142</v>
          </cell>
          <cell r="BM712">
            <v>97</v>
          </cell>
          <cell r="BN712">
            <v>13</v>
          </cell>
          <cell r="BO712">
            <v>66</v>
          </cell>
          <cell r="BP712">
            <v>73</v>
          </cell>
          <cell r="BQ712">
            <v>60</v>
          </cell>
          <cell r="BR712">
            <v>-57</v>
          </cell>
          <cell r="BS712">
            <v>45</v>
          </cell>
          <cell r="BT712">
            <v>65</v>
          </cell>
          <cell r="BU712">
            <v>59</v>
          </cell>
          <cell r="BV712">
            <v>5</v>
          </cell>
          <cell r="BW712">
            <v>-18</v>
          </cell>
          <cell r="BX712">
            <v>-6</v>
          </cell>
          <cell r="BY712">
            <v>20</v>
          </cell>
          <cell r="BZ712">
            <v>3</v>
          </cell>
          <cell r="CA712">
            <v>23</v>
          </cell>
          <cell r="CB712">
            <v>20</v>
          </cell>
          <cell r="CC712">
            <v>49</v>
          </cell>
          <cell r="CD712">
            <v>70</v>
          </cell>
          <cell r="CE712">
            <v>501</v>
          </cell>
          <cell r="CF712">
            <v>353</v>
          </cell>
          <cell r="CG712">
            <v>290</v>
          </cell>
          <cell r="CH712">
            <v>450</v>
          </cell>
          <cell r="CI712">
            <v>417</v>
          </cell>
          <cell r="CJ712">
            <v>291</v>
          </cell>
          <cell r="CK712">
            <v>504</v>
          </cell>
          <cell r="CL712">
            <v>33</v>
          </cell>
          <cell r="CM712">
            <v>318</v>
          </cell>
          <cell r="CN712">
            <v>330</v>
          </cell>
          <cell r="CO712">
            <v>388</v>
          </cell>
          <cell r="CP712">
            <v>-102</v>
          </cell>
          <cell r="CQ712">
            <v>436</v>
          </cell>
          <cell r="CR712">
            <v>1026</v>
          </cell>
          <cell r="CS712">
            <v>-186</v>
          </cell>
          <cell r="CT712">
            <v>-5648</v>
          </cell>
          <cell r="CU712">
            <v>-100</v>
          </cell>
          <cell r="CV712">
            <v>71</v>
          </cell>
          <cell r="CW712">
            <v>332</v>
          </cell>
          <cell r="CX712">
            <v>-15</v>
          </cell>
          <cell r="CY712">
            <v>183</v>
          </cell>
          <cell r="CZ712">
            <v>730</v>
          </cell>
          <cell r="DA712">
            <v>988</v>
          </cell>
          <cell r="DB712">
            <v>841</v>
          </cell>
          <cell r="DC712">
            <v>1065</v>
          </cell>
          <cell r="DD712">
            <v>1265</v>
          </cell>
          <cell r="DE712">
            <v>1467</v>
          </cell>
          <cell r="DF712">
            <v>222</v>
          </cell>
          <cell r="DG712">
            <v>947</v>
          </cell>
          <cell r="DH712">
            <v>1447</v>
          </cell>
          <cell r="DI712">
            <v>1322</v>
          </cell>
          <cell r="DJ712">
            <v>954</v>
          </cell>
          <cell r="DK712">
            <v>1270</v>
          </cell>
          <cell r="DL712">
            <v>1369</v>
          </cell>
          <cell r="DM712">
            <v>1206</v>
          </cell>
          <cell r="DN712">
            <v>1264</v>
          </cell>
          <cell r="DO712">
            <v>1311.8027357842029</v>
          </cell>
          <cell r="DP712">
            <v>1227.0007018516869</v>
          </cell>
          <cell r="DQ712">
            <v>1416.7349237254125</v>
          </cell>
          <cell r="DR712">
            <v>1398.7323440277416</v>
          </cell>
          <cell r="DT712">
            <v>1352.3205189680696</v>
          </cell>
        </row>
        <row r="713">
          <cell r="B713" t="str">
            <v>LIFO adjustment</v>
          </cell>
          <cell r="C713">
            <v>0</v>
          </cell>
          <cell r="D713">
            <v>0</v>
          </cell>
          <cell r="E713">
            <v>0</v>
          </cell>
          <cell r="F713">
            <v>0</v>
          </cell>
          <cell r="G713">
            <v>0</v>
          </cell>
          <cell r="H713">
            <v>0</v>
          </cell>
          <cell r="I713">
            <v>0</v>
          </cell>
          <cell r="J713">
            <v>0</v>
          </cell>
          <cell r="K713">
            <v>0</v>
          </cell>
          <cell r="L713">
            <v>0</v>
          </cell>
          <cell r="M713">
            <v>0</v>
          </cell>
          <cell r="N713">
            <v>0</v>
          </cell>
          <cell r="O713">
            <v>0</v>
          </cell>
          <cell r="P713">
            <v>0</v>
          </cell>
          <cell r="Q713">
            <v>0</v>
          </cell>
          <cell r="R713">
            <v>-166</v>
          </cell>
          <cell r="S713">
            <v>0</v>
          </cell>
          <cell r="T713">
            <v>-568</v>
          </cell>
          <cell r="U713">
            <v>29</v>
          </cell>
          <cell r="X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cell r="BM713">
            <v>0</v>
          </cell>
          <cell r="BN713">
            <v>0</v>
          </cell>
          <cell r="BO713">
            <v>0</v>
          </cell>
          <cell r="BP713">
            <v>0</v>
          </cell>
          <cell r="BQ713">
            <v>0</v>
          </cell>
          <cell r="BR713">
            <v>0</v>
          </cell>
          <cell r="BS713">
            <v>0</v>
          </cell>
          <cell r="BT713">
            <v>0</v>
          </cell>
          <cell r="BU713">
            <v>0</v>
          </cell>
          <cell r="BV713">
            <v>0</v>
          </cell>
          <cell r="BW713">
            <v>0</v>
          </cell>
          <cell r="BX713">
            <v>0</v>
          </cell>
          <cell r="BY713">
            <v>0</v>
          </cell>
          <cell r="BZ713">
            <v>0</v>
          </cell>
          <cell r="CA713">
            <v>0</v>
          </cell>
          <cell r="CB713">
            <v>0</v>
          </cell>
          <cell r="CC713">
            <v>0</v>
          </cell>
          <cell r="CD713">
            <v>0</v>
          </cell>
          <cell r="CE713">
            <v>0</v>
          </cell>
          <cell r="CF713">
            <v>0</v>
          </cell>
          <cell r="CG713">
            <v>0</v>
          </cell>
          <cell r="CH713">
            <v>0</v>
          </cell>
          <cell r="CI713">
            <v>0</v>
          </cell>
          <cell r="CJ713">
            <v>0</v>
          </cell>
          <cell r="CK713">
            <v>0</v>
          </cell>
          <cell r="CL713">
            <v>0</v>
          </cell>
          <cell r="CM713">
            <v>0</v>
          </cell>
          <cell r="CN713">
            <v>0</v>
          </cell>
          <cell r="CO713">
            <v>0</v>
          </cell>
          <cell r="CQ713">
            <v>-60</v>
          </cell>
          <cell r="CR713">
            <v>-598</v>
          </cell>
          <cell r="CS713">
            <v>460</v>
          </cell>
          <cell r="CT713">
            <v>198</v>
          </cell>
          <cell r="CU713">
            <v>-41</v>
          </cell>
          <cell r="CV713">
            <v>18</v>
          </cell>
          <cell r="CW713">
            <v>88</v>
          </cell>
          <cell r="CX713">
            <v>-36</v>
          </cell>
          <cell r="CY713">
            <v>184</v>
          </cell>
          <cell r="CZ713">
            <v>15</v>
          </cell>
          <cell r="DA713">
            <v>0</v>
          </cell>
          <cell r="DB713">
            <v>0</v>
          </cell>
          <cell r="DC713">
            <v>0</v>
          </cell>
        </row>
        <row r="714">
          <cell r="B714" t="str">
            <v>Total operating income (loss)</v>
          </cell>
          <cell r="C714">
            <v>399</v>
          </cell>
          <cell r="D714">
            <v>104</v>
          </cell>
          <cell r="E714">
            <v>93</v>
          </cell>
          <cell r="F714">
            <v>424</v>
          </cell>
          <cell r="G714">
            <v>706</v>
          </cell>
          <cell r="H714">
            <v>391</v>
          </cell>
          <cell r="I714">
            <v>574</v>
          </cell>
          <cell r="J714">
            <v>165</v>
          </cell>
          <cell r="K714">
            <v>419</v>
          </cell>
          <cell r="L714">
            <v>339</v>
          </cell>
          <cell r="M714">
            <v>142</v>
          </cell>
          <cell r="N714">
            <v>174</v>
          </cell>
          <cell r="O714">
            <v>-1</v>
          </cell>
          <cell r="P714">
            <v>162</v>
          </cell>
          <cell r="Q714">
            <v>1594</v>
          </cell>
          <cell r="R714">
            <v>1816</v>
          </cell>
          <cell r="S714">
            <v>934</v>
          </cell>
          <cell r="T714">
            <v>535</v>
          </cell>
          <cell r="U714">
            <v>461</v>
          </cell>
          <cell r="V714">
            <v>2765.0133229885059</v>
          </cell>
          <cell r="W714">
            <v>4542.7819469252872</v>
          </cell>
          <cell r="X714">
            <v>4670</v>
          </cell>
          <cell r="Y714">
            <v>5285.7699737472267</v>
          </cell>
          <cell r="Z714">
            <v>5354.2707053890435</v>
          </cell>
          <cell r="AA714">
            <v>5479.9209508387366</v>
          </cell>
          <cell r="AB714">
            <v>5602.1431298957605</v>
          </cell>
          <cell r="AC714">
            <v>5425.1877632312471</v>
          </cell>
          <cell r="AD714">
            <v>5129.479016967146</v>
          </cell>
          <cell r="AE714">
            <v>3423.0984165790446</v>
          </cell>
          <cell r="AF714">
            <v>3130.1340526491695</v>
          </cell>
          <cell r="AI714">
            <v>7</v>
          </cell>
          <cell r="AJ714">
            <v>5</v>
          </cell>
          <cell r="AK714">
            <v>38</v>
          </cell>
          <cell r="AL714">
            <v>43</v>
          </cell>
          <cell r="AM714">
            <v>54</v>
          </cell>
          <cell r="AN714">
            <v>71</v>
          </cell>
          <cell r="AO714">
            <v>124</v>
          </cell>
          <cell r="AP714">
            <v>175</v>
          </cell>
          <cell r="AQ714">
            <v>222</v>
          </cell>
          <cell r="AR714">
            <v>237</v>
          </cell>
          <cell r="AS714">
            <v>183</v>
          </cell>
          <cell r="AT714">
            <v>64</v>
          </cell>
          <cell r="AU714">
            <v>30</v>
          </cell>
          <cell r="AV714">
            <v>38</v>
          </cell>
          <cell r="AW714">
            <v>80</v>
          </cell>
          <cell r="AX714">
            <v>243</v>
          </cell>
          <cell r="AY714">
            <v>79</v>
          </cell>
          <cell r="AZ714">
            <v>146</v>
          </cell>
          <cell r="BA714">
            <v>153</v>
          </cell>
          <cell r="BB714">
            <v>196</v>
          </cell>
          <cell r="BC714">
            <v>-6</v>
          </cell>
          <cell r="BD714">
            <v>-5</v>
          </cell>
          <cell r="BE714">
            <v>87</v>
          </cell>
          <cell r="BF714">
            <v>89</v>
          </cell>
          <cell r="BG714">
            <v>129</v>
          </cell>
          <cell r="BH714">
            <v>100</v>
          </cell>
          <cell r="BI714">
            <v>100</v>
          </cell>
          <cell r="BJ714">
            <v>90</v>
          </cell>
          <cell r="BK714">
            <v>87</v>
          </cell>
          <cell r="BL714">
            <v>142</v>
          </cell>
          <cell r="BM714">
            <v>97</v>
          </cell>
          <cell r="BN714">
            <v>13</v>
          </cell>
          <cell r="BO714">
            <v>66</v>
          </cell>
          <cell r="BP714">
            <v>73</v>
          </cell>
          <cell r="BQ714">
            <v>60</v>
          </cell>
          <cell r="BR714">
            <v>-57</v>
          </cell>
          <cell r="BS714">
            <v>45</v>
          </cell>
          <cell r="BT714">
            <v>65</v>
          </cell>
          <cell r="BU714">
            <v>59</v>
          </cell>
          <cell r="BV714">
            <v>5</v>
          </cell>
          <cell r="BW714">
            <v>-18</v>
          </cell>
          <cell r="BX714">
            <v>-6</v>
          </cell>
          <cell r="BY714">
            <v>20</v>
          </cell>
          <cell r="BZ714">
            <v>3</v>
          </cell>
          <cell r="CA714">
            <v>23</v>
          </cell>
          <cell r="CB714">
            <v>20</v>
          </cell>
          <cell r="CC714">
            <v>49</v>
          </cell>
          <cell r="CD714">
            <v>70</v>
          </cell>
          <cell r="CE714">
            <v>501</v>
          </cell>
          <cell r="CF714">
            <v>353</v>
          </cell>
          <cell r="CG714">
            <v>290</v>
          </cell>
          <cell r="CH714">
            <v>450</v>
          </cell>
          <cell r="CI714">
            <v>417</v>
          </cell>
          <cell r="CJ714">
            <v>291</v>
          </cell>
          <cell r="CK714">
            <v>504</v>
          </cell>
          <cell r="CL714">
            <v>33</v>
          </cell>
          <cell r="CM714">
            <v>318</v>
          </cell>
          <cell r="CN714">
            <v>330</v>
          </cell>
          <cell r="CO714">
            <v>388</v>
          </cell>
          <cell r="CP714">
            <v>-102</v>
          </cell>
          <cell r="CQ714">
            <v>376</v>
          </cell>
          <cell r="CR714">
            <v>428</v>
          </cell>
          <cell r="CS714">
            <v>274</v>
          </cell>
          <cell r="CT714">
            <v>-5450</v>
          </cell>
          <cell r="CU714">
            <v>-141</v>
          </cell>
          <cell r="CV714">
            <v>89</v>
          </cell>
          <cell r="CW714">
            <v>420</v>
          </cell>
          <cell r="CX714">
            <v>-51</v>
          </cell>
          <cell r="CY714">
            <v>367</v>
          </cell>
          <cell r="CZ714">
            <v>745</v>
          </cell>
          <cell r="DA714">
            <v>988</v>
          </cell>
          <cell r="DB714">
            <v>841</v>
          </cell>
          <cell r="DC714">
            <v>1065</v>
          </cell>
          <cell r="DD714">
            <v>1265</v>
          </cell>
          <cell r="DE714">
            <v>1467</v>
          </cell>
          <cell r="DF714">
            <v>222</v>
          </cell>
          <cell r="DG714">
            <v>947</v>
          </cell>
          <cell r="DH714">
            <v>1447</v>
          </cell>
          <cell r="DI714">
            <v>1322</v>
          </cell>
          <cell r="DJ714">
            <v>954</v>
          </cell>
          <cell r="DK714">
            <v>1270</v>
          </cell>
          <cell r="DL714">
            <v>1369</v>
          </cell>
          <cell r="DM714">
            <v>1206</v>
          </cell>
          <cell r="DN714">
            <v>1264</v>
          </cell>
          <cell r="DO714">
            <v>1311.8027357842029</v>
          </cell>
          <cell r="DP714">
            <v>1227.0007018516869</v>
          </cell>
          <cell r="DQ714">
            <v>1416.7349237254125</v>
          </cell>
          <cell r="DR714">
            <v>1398.7323440277416</v>
          </cell>
          <cell r="DT714">
            <v>1352.3205189680696</v>
          </cell>
        </row>
        <row r="715">
          <cell r="B715" t="str">
            <v>Total EBITDA (reported)</v>
          </cell>
          <cell r="U715">
            <v>1946</v>
          </cell>
          <cell r="V715">
            <v>4005</v>
          </cell>
          <cell r="W715">
            <v>5390.4409759598129</v>
          </cell>
          <cell r="X715">
            <v>5740</v>
          </cell>
          <cell r="Y715">
            <v>6311</v>
          </cell>
          <cell r="Z715">
            <v>6374.1382199977124</v>
          </cell>
          <cell r="AA715">
            <v>6525.9792035768969</v>
          </cell>
          <cell r="AB715">
            <v>6634.03500280548</v>
          </cell>
          <cell r="AC715">
            <v>6443.6090130066314</v>
          </cell>
          <cell r="AD715">
            <v>6135.5121264816871</v>
          </cell>
          <cell r="AE715">
            <v>4410.6599026975364</v>
          </cell>
          <cell r="AF715">
            <v>4089.7107189453986</v>
          </cell>
          <cell r="CY715">
            <v>640</v>
          </cell>
          <cell r="CZ715">
            <v>1403</v>
          </cell>
          <cell r="DA715">
            <v>1230</v>
          </cell>
          <cell r="DB715">
            <v>762</v>
          </cell>
          <cell r="DC715">
            <v>1402</v>
          </cell>
          <cell r="DD715">
            <v>1572</v>
          </cell>
          <cell r="DE715">
            <v>1788</v>
          </cell>
          <cell r="DF715">
            <v>672</v>
          </cell>
          <cell r="DG715">
            <v>1236</v>
          </cell>
          <cell r="DH715">
            <v>1745</v>
          </cell>
          <cell r="DI715">
            <v>1470</v>
          </cell>
          <cell r="DJ715">
            <v>1289</v>
          </cell>
          <cell r="DK715">
            <v>1585</v>
          </cell>
          <cell r="DL715">
            <v>1652</v>
          </cell>
          <cell r="DM715">
            <v>1531</v>
          </cell>
          <cell r="DN715">
            <v>1543</v>
          </cell>
          <cell r="DO715">
            <v>1565.4897144363699</v>
          </cell>
          <cell r="DP715">
            <v>1484.081280503854</v>
          </cell>
          <cell r="DQ715">
            <v>1671.5123023775795</v>
          </cell>
          <cell r="DR715">
            <v>1653.0549226799085</v>
          </cell>
          <cell r="DT715">
            <v>1608.6787647015844</v>
          </cell>
        </row>
        <row r="716">
          <cell r="B716" t="str">
            <v>less dividends receieved</v>
          </cell>
          <cell r="X716">
            <v>-147</v>
          </cell>
          <cell r="CY716">
            <v>-13</v>
          </cell>
          <cell r="CZ716">
            <v>-33</v>
          </cell>
          <cell r="DA716">
            <v>0</v>
          </cell>
          <cell r="DB716">
            <v>-6</v>
          </cell>
          <cell r="DC716">
            <v>-96</v>
          </cell>
          <cell r="DD716">
            <v>-11</v>
          </cell>
          <cell r="DE716">
            <v>-55</v>
          </cell>
          <cell r="DF716">
            <v>-44</v>
          </cell>
          <cell r="DG716">
            <v>-14</v>
          </cell>
          <cell r="DH716">
            <v>-73</v>
          </cell>
          <cell r="DI716">
            <v>-10</v>
          </cell>
          <cell r="DJ716">
            <v>-50</v>
          </cell>
          <cell r="DK716">
            <v>-2.1197453108347855</v>
          </cell>
          <cell r="DL716">
            <v>-7.0539243152544984</v>
          </cell>
          <cell r="DM716">
            <v>-8.480942087618466</v>
          </cell>
          <cell r="DN716">
            <v>6.8702129537722998</v>
          </cell>
          <cell r="DO716">
            <v>1.5280395327858702</v>
          </cell>
          <cell r="DP716">
            <v>2.1344395327858496</v>
          </cell>
          <cell r="DQ716">
            <v>2.4376395327858678</v>
          </cell>
          <cell r="DR716">
            <v>4.4571508950534451</v>
          </cell>
          <cell r="DT716">
            <v>-3.0518592461808458</v>
          </cell>
        </row>
        <row r="717">
          <cell r="B717" t="str">
            <v>plus JV income</v>
          </cell>
          <cell r="X717">
            <v>143</v>
          </cell>
          <cell r="CY717">
            <v>55</v>
          </cell>
          <cell r="CZ717">
            <v>56</v>
          </cell>
          <cell r="DA717">
            <v>29</v>
          </cell>
          <cell r="DB717">
            <v>30</v>
          </cell>
          <cell r="DC717">
            <v>58</v>
          </cell>
          <cell r="DD717">
            <v>73</v>
          </cell>
          <cell r="DE717">
            <v>52</v>
          </cell>
          <cell r="DF717">
            <v>33</v>
          </cell>
          <cell r="DG717">
            <v>46</v>
          </cell>
          <cell r="DH717">
            <v>27</v>
          </cell>
          <cell r="DI717">
            <v>32</v>
          </cell>
          <cell r="DJ717">
            <v>38</v>
          </cell>
          <cell r="DK717">
            <v>2.1197453108347855</v>
          </cell>
          <cell r="DL717">
            <v>7.0539243152544984</v>
          </cell>
          <cell r="DM717">
            <v>8.480942087618466</v>
          </cell>
          <cell r="DN717">
            <v>-6.8702129537722998</v>
          </cell>
          <cell r="DO717">
            <v>-1.5280395327858702</v>
          </cell>
          <cell r="DP717">
            <v>-2.1344395327858496</v>
          </cell>
          <cell r="DQ717">
            <v>-2.4376395327858678</v>
          </cell>
          <cell r="DR717">
            <v>-4.4571508950534451</v>
          </cell>
          <cell r="DT717">
            <v>3.0518592461808458</v>
          </cell>
        </row>
        <row r="718">
          <cell r="B718" t="str">
            <v>Total EBITDA (clean)</v>
          </cell>
          <cell r="X718">
            <v>5736</v>
          </cell>
          <cell r="CY718">
            <v>682</v>
          </cell>
          <cell r="CZ718">
            <v>1426</v>
          </cell>
          <cell r="DA718">
            <v>1259</v>
          </cell>
          <cell r="DB718">
            <v>786</v>
          </cell>
          <cell r="DC718">
            <v>1364</v>
          </cell>
          <cell r="DD718">
            <v>1634</v>
          </cell>
          <cell r="DE718">
            <v>1785</v>
          </cell>
          <cell r="DF718">
            <v>661</v>
          </cell>
          <cell r="DG718">
            <v>1268</v>
          </cell>
          <cell r="DH718">
            <v>1699</v>
          </cell>
          <cell r="DI718">
            <v>1492</v>
          </cell>
          <cell r="DJ718">
            <v>1277</v>
          </cell>
          <cell r="DK718">
            <v>1585</v>
          </cell>
          <cell r="DL718">
            <v>1652</v>
          </cell>
          <cell r="DM718">
            <v>1531</v>
          </cell>
          <cell r="DN718">
            <v>1543</v>
          </cell>
          <cell r="DO718">
            <v>1565.4897144363699</v>
          </cell>
          <cell r="DP718">
            <v>1484.081280503854</v>
          </cell>
          <cell r="DQ718">
            <v>1671.5123023775795</v>
          </cell>
          <cell r="DR718">
            <v>1653.0549226799085</v>
          </cell>
          <cell r="DT718">
            <v>1608.6787647015844</v>
          </cell>
        </row>
        <row r="719">
          <cell r="B719" t="str">
            <v>Checks:</v>
          </cell>
        </row>
        <row r="720">
          <cell r="B720" t="str">
            <v xml:space="preserve"> Revenue</v>
          </cell>
          <cell r="C720">
            <v>0</v>
          </cell>
          <cell r="D720">
            <v>0</v>
          </cell>
          <cell r="E720">
            <v>0</v>
          </cell>
          <cell r="F720">
            <v>0</v>
          </cell>
          <cell r="G720">
            <v>0</v>
          </cell>
          <cell r="H720">
            <v>2408</v>
          </cell>
          <cell r="I720">
            <v>0</v>
          </cell>
          <cell r="J720">
            <v>0</v>
          </cell>
          <cell r="K720">
            <v>0</v>
          </cell>
          <cell r="L720">
            <v>0</v>
          </cell>
          <cell r="M720">
            <v>0</v>
          </cell>
          <cell r="N720">
            <v>0</v>
          </cell>
          <cell r="O720">
            <v>0</v>
          </cell>
          <cell r="P720">
            <v>0</v>
          </cell>
          <cell r="Q720">
            <v>0</v>
          </cell>
          <cell r="R720">
            <v>0</v>
          </cell>
          <cell r="S720">
            <v>0</v>
          </cell>
          <cell r="T720">
            <v>0</v>
          </cell>
          <cell r="U720">
            <v>-20</v>
          </cell>
          <cell r="V720">
            <v>0</v>
          </cell>
          <cell r="W720">
            <v>0</v>
          </cell>
          <cell r="X720">
            <v>0</v>
          </cell>
          <cell r="Y720">
            <v>0</v>
          </cell>
          <cell r="Z720">
            <v>0</v>
          </cell>
          <cell r="AA720">
            <v>0</v>
          </cell>
          <cell r="AB720">
            <v>0</v>
          </cell>
          <cell r="AC720">
            <v>0</v>
          </cell>
          <cell r="AD720">
            <v>0</v>
          </cell>
          <cell r="AE720">
            <v>0</v>
          </cell>
          <cell r="AF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2408</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cell r="BM720">
            <v>0</v>
          </cell>
          <cell r="BN720">
            <v>0</v>
          </cell>
          <cell r="BO720">
            <v>0</v>
          </cell>
          <cell r="BP720">
            <v>0</v>
          </cell>
          <cell r="BQ720">
            <v>0</v>
          </cell>
          <cell r="BR720">
            <v>0</v>
          </cell>
          <cell r="BS720">
            <v>0</v>
          </cell>
          <cell r="BT720">
            <v>0</v>
          </cell>
          <cell r="BU720">
            <v>0</v>
          </cell>
          <cell r="BV720">
            <v>0</v>
          </cell>
          <cell r="BW720">
            <v>0</v>
          </cell>
          <cell r="BX720">
            <v>0</v>
          </cell>
          <cell r="BY720">
            <v>0</v>
          </cell>
          <cell r="BZ720">
            <v>0</v>
          </cell>
          <cell r="CA720">
            <v>0</v>
          </cell>
          <cell r="CB720">
            <v>0</v>
          </cell>
          <cell r="CC720">
            <v>0</v>
          </cell>
          <cell r="CD720">
            <v>0</v>
          </cell>
          <cell r="CE720">
            <v>0</v>
          </cell>
          <cell r="CF720">
            <v>0</v>
          </cell>
          <cell r="CG720">
            <v>0</v>
          </cell>
          <cell r="CH720">
            <v>0</v>
          </cell>
          <cell r="CI720">
            <v>0</v>
          </cell>
          <cell r="CJ720">
            <v>0</v>
          </cell>
          <cell r="CK720">
            <v>0</v>
          </cell>
          <cell r="CL720">
            <v>1346</v>
          </cell>
          <cell r="CM720">
            <v>0</v>
          </cell>
          <cell r="CN720">
            <v>0</v>
          </cell>
          <cell r="CO720">
            <v>0</v>
          </cell>
          <cell r="CP720">
            <v>0</v>
          </cell>
          <cell r="CQ720">
            <v>0</v>
          </cell>
          <cell r="CR720">
            <v>0</v>
          </cell>
          <cell r="CS720">
            <v>0</v>
          </cell>
          <cell r="CT720">
            <v>0</v>
          </cell>
          <cell r="CU720">
            <v>0</v>
          </cell>
          <cell r="CV720">
            <v>0</v>
          </cell>
          <cell r="CW720">
            <v>0</v>
          </cell>
          <cell r="CY720">
            <v>0</v>
          </cell>
          <cell r="CZ720">
            <v>0</v>
          </cell>
          <cell r="DA720">
            <v>0</v>
          </cell>
          <cell r="DB720">
            <v>0</v>
          </cell>
          <cell r="DC720">
            <v>0</v>
          </cell>
          <cell r="DD720">
            <v>0</v>
          </cell>
          <cell r="DE720">
            <v>0</v>
          </cell>
          <cell r="DF720">
            <v>0</v>
          </cell>
          <cell r="DG720">
            <v>0</v>
          </cell>
          <cell r="DH720">
            <v>0</v>
          </cell>
          <cell r="DI720">
            <v>0</v>
          </cell>
          <cell r="DJ720">
            <v>0</v>
          </cell>
          <cell r="DK720">
            <v>0</v>
          </cell>
          <cell r="DL720">
            <v>0</v>
          </cell>
          <cell r="DM720">
            <v>0</v>
          </cell>
          <cell r="DN720">
            <v>0</v>
          </cell>
          <cell r="DO720">
            <v>0</v>
          </cell>
          <cell r="DP720">
            <v>0</v>
          </cell>
          <cell r="DQ720">
            <v>0</v>
          </cell>
          <cell r="DR720">
            <v>0</v>
          </cell>
          <cell r="DT720">
            <v>0</v>
          </cell>
        </row>
        <row r="721">
          <cell r="B721" t="str">
            <v xml:space="preserve"> Operating income</v>
          </cell>
          <cell r="C721">
            <v>0</v>
          </cell>
          <cell r="D721">
            <v>0</v>
          </cell>
          <cell r="E721">
            <v>0</v>
          </cell>
          <cell r="F721">
            <v>0</v>
          </cell>
          <cell r="G721">
            <v>0</v>
          </cell>
          <cell r="H721">
            <v>145</v>
          </cell>
          <cell r="I721">
            <v>0</v>
          </cell>
          <cell r="J721">
            <v>-235</v>
          </cell>
          <cell r="K721">
            <v>-76</v>
          </cell>
          <cell r="L721">
            <v>-199</v>
          </cell>
          <cell r="M721">
            <v>-40</v>
          </cell>
          <cell r="N721">
            <v>-14</v>
          </cell>
          <cell r="O721">
            <v>103</v>
          </cell>
          <cell r="P721">
            <v>-451</v>
          </cell>
          <cell r="Q721">
            <v>-124</v>
          </cell>
          <cell r="R721">
            <v>-78</v>
          </cell>
          <cell r="S721">
            <v>-162</v>
          </cell>
          <cell r="T721">
            <v>-38</v>
          </cell>
          <cell r="U721">
            <v>181</v>
          </cell>
          <cell r="V721">
            <v>-264.98667701149407</v>
          </cell>
          <cell r="W721">
            <v>44.78194692528723</v>
          </cell>
          <cell r="X721">
            <v>-78</v>
          </cell>
          <cell r="Y721">
            <v>-4.2300262527733139</v>
          </cell>
          <cell r="Z721">
            <v>-13.407004804862481</v>
          </cell>
          <cell r="AA721">
            <v>-30.571074077007324</v>
          </cell>
          <cell r="AB721">
            <v>-20.697718985066786</v>
          </cell>
          <cell r="AC721">
            <v>-11.891658211688991</v>
          </cell>
          <cell r="AD721">
            <v>-4.3566109035273257</v>
          </cell>
          <cell r="AE721">
            <v>9.2366353537508985</v>
          </cell>
          <cell r="AF721">
            <v>28.782262225527575</v>
          </cell>
          <cell r="AI721">
            <v>0</v>
          </cell>
          <cell r="AJ721">
            <v>0</v>
          </cell>
          <cell r="AK721">
            <v>0</v>
          </cell>
          <cell r="AL721">
            <v>0</v>
          </cell>
          <cell r="AM721">
            <v>0</v>
          </cell>
          <cell r="AN721">
            <v>0</v>
          </cell>
          <cell r="AO721">
            <v>0</v>
          </cell>
          <cell r="AP721">
            <v>0</v>
          </cell>
          <cell r="AQ721">
            <v>0</v>
          </cell>
          <cell r="AR721">
            <v>0</v>
          </cell>
          <cell r="AS721">
            <v>0</v>
          </cell>
          <cell r="AT721">
            <v>0</v>
          </cell>
          <cell r="AU721">
            <v>-26</v>
          </cell>
          <cell r="AV721">
            <v>-7</v>
          </cell>
          <cell r="AW721">
            <v>8</v>
          </cell>
          <cell r="AX721">
            <v>170</v>
          </cell>
          <cell r="AY721">
            <v>-6</v>
          </cell>
          <cell r="AZ721">
            <v>-21</v>
          </cell>
          <cell r="BA721">
            <v>-29</v>
          </cell>
          <cell r="BB721">
            <v>56</v>
          </cell>
          <cell r="BC721">
            <v>-117</v>
          </cell>
          <cell r="BD721">
            <v>-53</v>
          </cell>
          <cell r="BE721">
            <v>-73</v>
          </cell>
          <cell r="BF721">
            <v>-33</v>
          </cell>
          <cell r="BG721">
            <v>-45</v>
          </cell>
          <cell r="BH721">
            <v>10</v>
          </cell>
          <cell r="BI721">
            <v>-68</v>
          </cell>
          <cell r="BJ721">
            <v>-73</v>
          </cell>
          <cell r="BK721">
            <v>-78</v>
          </cell>
          <cell r="BL721">
            <v>-91</v>
          </cell>
          <cell r="BM721">
            <v>-111</v>
          </cell>
          <cell r="BN721">
            <v>-20</v>
          </cell>
          <cell r="BO721">
            <v>-11</v>
          </cell>
          <cell r="BP721">
            <v>-42</v>
          </cell>
          <cell r="BQ721">
            <v>-17</v>
          </cell>
          <cell r="BR721">
            <v>30</v>
          </cell>
          <cell r="BS721">
            <v>21</v>
          </cell>
          <cell r="BT721">
            <v>-65</v>
          </cell>
          <cell r="BU721">
            <v>-44</v>
          </cell>
          <cell r="BV721">
            <v>74</v>
          </cell>
          <cell r="BW721">
            <v>56</v>
          </cell>
          <cell r="BX721">
            <v>-23</v>
          </cell>
          <cell r="BY721">
            <v>-13</v>
          </cell>
          <cell r="BZ721">
            <v>83</v>
          </cell>
          <cell r="CA721">
            <v>-63</v>
          </cell>
          <cell r="CB721">
            <v>-97</v>
          </cell>
          <cell r="CC721">
            <v>-144</v>
          </cell>
          <cell r="CD721">
            <v>-147</v>
          </cell>
          <cell r="CE721">
            <v>-68</v>
          </cell>
          <cell r="CF721">
            <v>-18</v>
          </cell>
          <cell r="CG721">
            <v>-58</v>
          </cell>
          <cell r="CH721">
            <v>5</v>
          </cell>
          <cell r="CI721">
            <v>-20</v>
          </cell>
          <cell r="CJ721">
            <v>-89</v>
          </cell>
          <cell r="CK721">
            <v>-74</v>
          </cell>
          <cell r="CL721">
            <v>-466</v>
          </cell>
          <cell r="CM721">
            <v>-42</v>
          </cell>
          <cell r="CN721">
            <v>-43</v>
          </cell>
          <cell r="CO721">
            <v>-35</v>
          </cell>
          <cell r="CP721">
            <v>-62</v>
          </cell>
          <cell r="CQ721">
            <v>-33</v>
          </cell>
          <cell r="CR721">
            <v>-39</v>
          </cell>
          <cell r="CS721">
            <v>-22</v>
          </cell>
          <cell r="CT721">
            <v>-4851</v>
          </cell>
          <cell r="CU721">
            <v>20</v>
          </cell>
          <cell r="CV721">
            <v>-22</v>
          </cell>
          <cell r="CW721">
            <v>168</v>
          </cell>
          <cell r="CX721">
            <v>15</v>
          </cell>
          <cell r="CY721">
            <v>109</v>
          </cell>
          <cell r="CZ721">
            <v>-78</v>
          </cell>
          <cell r="DA721">
            <v>-17</v>
          </cell>
          <cell r="DB721">
            <v>-3</v>
          </cell>
          <cell r="DC721">
            <v>-52</v>
          </cell>
          <cell r="DD721">
            <v>-90</v>
          </cell>
          <cell r="DE721">
            <v>-62</v>
          </cell>
          <cell r="DF721">
            <v>21</v>
          </cell>
          <cell r="DG721">
            <v>1</v>
          </cell>
          <cell r="DH721">
            <v>-7</v>
          </cell>
          <cell r="DI721">
            <v>62</v>
          </cell>
          <cell r="DJ721">
            <v>-52</v>
          </cell>
          <cell r="DK721">
            <v>-62</v>
          </cell>
          <cell r="DL721">
            <v>-29</v>
          </cell>
          <cell r="DM721">
            <v>-63</v>
          </cell>
          <cell r="DN721">
            <v>-27</v>
          </cell>
          <cell r="DO721">
            <v>1311.8027357842029</v>
          </cell>
          <cell r="DP721">
            <v>445.73883324402664</v>
          </cell>
          <cell r="DQ721">
            <v>1416.7349237254125</v>
          </cell>
          <cell r="DR721">
            <v>1398.7323440277416</v>
          </cell>
          <cell r="DT721">
            <v>-8.6082457335148774</v>
          </cell>
        </row>
        <row r="725">
          <cell r="C725">
            <v>1991</v>
          </cell>
          <cell r="D725">
            <v>1992</v>
          </cell>
          <cell r="E725">
            <v>1993</v>
          </cell>
          <cell r="F725">
            <v>1994</v>
          </cell>
          <cell r="G725">
            <v>1995</v>
          </cell>
          <cell r="H725">
            <v>1996</v>
          </cell>
          <cell r="I725">
            <v>1997</v>
          </cell>
          <cell r="J725">
            <v>1998</v>
          </cell>
          <cell r="K725">
            <v>1999</v>
          </cell>
          <cell r="L725">
            <v>2000</v>
          </cell>
          <cell r="M725">
            <v>2001</v>
          </cell>
          <cell r="N725">
            <v>2002</v>
          </cell>
          <cell r="O725">
            <v>2003</v>
          </cell>
          <cell r="P725">
            <v>2004</v>
          </cell>
          <cell r="Q725">
            <v>2005</v>
          </cell>
          <cell r="R725">
            <v>2006</v>
          </cell>
          <cell r="S725">
            <v>2007</v>
          </cell>
          <cell r="T725">
            <v>2008</v>
          </cell>
          <cell r="U725" t="str">
            <v>2009</v>
          </cell>
          <cell r="V725" t="str">
            <v>2010</v>
          </cell>
          <cell r="W725" t="str">
            <v>2011</v>
          </cell>
          <cell r="X725" t="str">
            <v>2012</v>
          </cell>
          <cell r="Y725" t="str">
            <v>2013e</v>
          </cell>
          <cell r="Z725" t="str">
            <v>2014e</v>
          </cell>
          <cell r="AA725" t="str">
            <v>2015e</v>
          </cell>
          <cell r="AB725" t="str">
            <v>2016e</v>
          </cell>
          <cell r="AC725" t="str">
            <v>2017e</v>
          </cell>
          <cell r="AD725" t="str">
            <v>2018e</v>
          </cell>
          <cell r="AE725" t="str">
            <v>2019e</v>
          </cell>
          <cell r="AF725" t="str">
            <v>2020e</v>
          </cell>
          <cell r="AI725" t="str">
            <v>1993q1</v>
          </cell>
          <cell r="AJ725" t="str">
            <v>1993q2</v>
          </cell>
          <cell r="AK725" t="str">
            <v>1993q3</v>
          </cell>
          <cell r="AL725" t="str">
            <v>1993q4</v>
          </cell>
          <cell r="AM725" t="str">
            <v>1994q1</v>
          </cell>
          <cell r="AN725" t="str">
            <v>1994q2</v>
          </cell>
          <cell r="AO725" t="str">
            <v>1994q3</v>
          </cell>
          <cell r="AP725" t="str">
            <v>1994q4</v>
          </cell>
          <cell r="AQ725" t="str">
            <v>1995q1</v>
          </cell>
          <cell r="AR725" t="str">
            <v>1995q2</v>
          </cell>
          <cell r="AS725" t="str">
            <v>1995q3</v>
          </cell>
          <cell r="AT725" t="str">
            <v>1995q4</v>
          </cell>
          <cell r="AU725" t="str">
            <v>1996q1</v>
          </cell>
          <cell r="AV725" t="str">
            <v>1996q2</v>
          </cell>
          <cell r="AW725" t="str">
            <v>1996q3</v>
          </cell>
          <cell r="AX725" t="str">
            <v>1996q4</v>
          </cell>
          <cell r="AY725" t="str">
            <v>1997q1</v>
          </cell>
          <cell r="AZ725" t="str">
            <v>1997q2</v>
          </cell>
          <cell r="BA725" t="str">
            <v>1997q3</v>
          </cell>
          <cell r="BB725" t="str">
            <v>1997q4</v>
          </cell>
          <cell r="BC725" t="str">
            <v>1998q1</v>
          </cell>
          <cell r="BD725" t="str">
            <v>1998q2</v>
          </cell>
          <cell r="BE725" t="str">
            <v>1998q3</v>
          </cell>
          <cell r="BF725" t="str">
            <v>1998q4</v>
          </cell>
          <cell r="BG725" t="str">
            <v>1999q1</v>
          </cell>
          <cell r="BH725" t="str">
            <v>1999q2</v>
          </cell>
          <cell r="BI725" t="str">
            <v>1999q3</v>
          </cell>
          <cell r="BJ725" t="str">
            <v>1999q4</v>
          </cell>
          <cell r="BK725" t="str">
            <v>2000q1</v>
          </cell>
          <cell r="BL725" t="str">
            <v>2000q2</v>
          </cell>
          <cell r="BM725" t="str">
            <v>2000q3</v>
          </cell>
          <cell r="BN725" t="str">
            <v>2000q4</v>
          </cell>
          <cell r="BO725" t="str">
            <v>2001q1</v>
          </cell>
          <cell r="BP725" t="str">
            <v>2001q2</v>
          </cell>
          <cell r="BQ725" t="str">
            <v>2001q3</v>
          </cell>
          <cell r="BR725" t="str">
            <v>2001q4</v>
          </cell>
          <cell r="BS725" t="str">
            <v>2002q1</v>
          </cell>
          <cell r="BT725" t="str">
            <v>2002q2</v>
          </cell>
          <cell r="BU725" t="str">
            <v>2002q3</v>
          </cell>
          <cell r="BV725" t="str">
            <v>2002q4</v>
          </cell>
          <cell r="BW725" t="str">
            <v>2003q1</v>
          </cell>
          <cell r="BX725" t="str">
            <v>2003q2</v>
          </cell>
          <cell r="BY725" t="str">
            <v>2003q3</v>
          </cell>
          <cell r="BZ725" t="str">
            <v>2003q4</v>
          </cell>
          <cell r="CA725" t="str">
            <v>2004q1</v>
          </cell>
          <cell r="CB725" t="str">
            <v>2004q2</v>
          </cell>
          <cell r="CC725" t="str">
            <v>2004q3</v>
          </cell>
          <cell r="CD725" t="str">
            <v>2004q4</v>
          </cell>
          <cell r="CE725" t="str">
            <v>2005q1</v>
          </cell>
          <cell r="CF725" t="str">
            <v>2005q2</v>
          </cell>
          <cell r="CG725" t="str">
            <v>2005q3</v>
          </cell>
          <cell r="CH725" t="str">
            <v>2005q4</v>
          </cell>
          <cell r="CI725" t="str">
            <v>2006q1</v>
          </cell>
          <cell r="CJ725" t="str">
            <v>2006q2</v>
          </cell>
          <cell r="CK725" t="str">
            <v>2006q3</v>
          </cell>
          <cell r="CL725" t="str">
            <v>2006q4</v>
          </cell>
          <cell r="CM725" t="str">
            <v>2007q1</v>
          </cell>
          <cell r="CN725" t="str">
            <v>2007q2</v>
          </cell>
          <cell r="CO725" t="str">
            <v>2007q3</v>
          </cell>
          <cell r="CP725" t="str">
            <v>2007q4</v>
          </cell>
          <cell r="CQ725" t="str">
            <v>2008q1</v>
          </cell>
          <cell r="CR725" t="str">
            <v>2008q2</v>
          </cell>
          <cell r="CS725" t="str">
            <v>2008q3</v>
          </cell>
          <cell r="CT725" t="str">
            <v>2008q4</v>
          </cell>
          <cell r="CU725" t="str">
            <v>2009q1</v>
          </cell>
          <cell r="CV725" t="str">
            <v>2009q2</v>
          </cell>
          <cell r="CW725" t="str">
            <v>2009q3</v>
          </cell>
          <cell r="CX725" t="str">
            <v>2009q4</v>
          </cell>
          <cell r="CY725" t="str">
            <v>2010q1</v>
          </cell>
          <cell r="CZ725" t="str">
            <v>2010q2</v>
          </cell>
          <cell r="DA725" t="str">
            <v>2010q3</v>
          </cell>
          <cell r="DB725" t="str">
            <v>2010q4</v>
          </cell>
          <cell r="DC725" t="str">
            <v>2011q1</v>
          </cell>
          <cell r="DD725" t="str">
            <v>2011q2</v>
          </cell>
          <cell r="DE725" t="str">
            <v>2011q3</v>
          </cell>
          <cell r="DF725" t="str">
            <v>2011q4</v>
          </cell>
          <cell r="DG725" t="str">
            <v>2012q1</v>
          </cell>
          <cell r="DH725" t="str">
            <v>2012q2</v>
          </cell>
          <cell r="DI725" t="str">
            <v>2012q3</v>
          </cell>
          <cell r="DJ725" t="str">
            <v>2012q4e</v>
          </cell>
          <cell r="DK725" t="str">
            <v>2013q1e</v>
          </cell>
          <cell r="DL725" t="str">
            <v>2013q2e</v>
          </cell>
          <cell r="DM725" t="str">
            <v>2013q3e</v>
          </cell>
          <cell r="DN725" t="str">
            <v>2013q4e</v>
          </cell>
          <cell r="DO725" t="str">
            <v>2014q1e</v>
          </cell>
          <cell r="DP725" t="str">
            <v>2014q2e</v>
          </cell>
          <cell r="DQ725" t="str">
            <v>2014q3e</v>
          </cell>
          <cell r="DR725" t="str">
            <v>2014q4e</v>
          </cell>
          <cell r="DT725" t="str">
            <v>2013q2e</v>
          </cell>
        </row>
        <row r="727">
          <cell r="B727" t="str">
            <v>Revenue</v>
          </cell>
        </row>
        <row r="729">
          <cell r="B729" t="str">
            <v>Olefins and Polyolefins - Americas</v>
          </cell>
          <cell r="T729">
            <v>16412</v>
          </cell>
          <cell r="U729">
            <v>8614</v>
          </cell>
          <cell r="V729">
            <v>12589</v>
          </cell>
          <cell r="W729">
            <v>14880</v>
          </cell>
          <cell r="X729">
            <v>12934</v>
          </cell>
          <cell r="Y729">
            <v>13089</v>
          </cell>
          <cell r="Z729">
            <v>13443.625726727501</v>
          </cell>
          <cell r="AA729">
            <v>13912.020460308326</v>
          </cell>
          <cell r="AB729">
            <v>14946.16290191414</v>
          </cell>
          <cell r="AC729">
            <v>14793.160065535243</v>
          </cell>
          <cell r="AD729">
            <v>14682.141978739481</v>
          </cell>
          <cell r="AE729">
            <v>14571.957048317421</v>
          </cell>
          <cell r="AF729">
            <v>14502.522191683789</v>
          </cell>
          <cell r="CU729">
            <v>1578</v>
          </cell>
          <cell r="CV729">
            <v>2037</v>
          </cell>
          <cell r="CW729">
            <v>2404</v>
          </cell>
          <cell r="CX729">
            <v>2595</v>
          </cell>
          <cell r="CY729">
            <v>3020</v>
          </cell>
          <cell r="CZ729">
            <v>3167</v>
          </cell>
          <cell r="DA729">
            <v>3247</v>
          </cell>
          <cell r="DB729">
            <v>3155</v>
          </cell>
          <cell r="DC729">
            <v>3572</v>
          </cell>
          <cell r="DD729">
            <v>4010</v>
          </cell>
          <cell r="DE729">
            <v>3875</v>
          </cell>
          <cell r="DF729">
            <v>3423</v>
          </cell>
          <cell r="DG729">
            <v>3349</v>
          </cell>
          <cell r="DH729">
            <v>3283</v>
          </cell>
          <cell r="DI729">
            <v>3217</v>
          </cell>
          <cell r="DJ729">
            <v>3085</v>
          </cell>
          <cell r="DK729">
            <v>3244</v>
          </cell>
          <cell r="DL729">
            <v>3251</v>
          </cell>
          <cell r="DM729">
            <v>3315</v>
          </cell>
          <cell r="DN729">
            <v>3279</v>
          </cell>
          <cell r="DO729">
            <v>3558.2095419558364</v>
          </cell>
          <cell r="DP729">
            <v>3400.5202298780487</v>
          </cell>
          <cell r="DQ729">
            <v>3347.1775999999995</v>
          </cell>
          <cell r="DR729">
            <v>3137.7183548936173</v>
          </cell>
          <cell r="DT729">
            <v>3419.791666666667</v>
          </cell>
        </row>
        <row r="730">
          <cell r="B730" t="str">
            <v>Olefins and Polyolefins - Rest of World</v>
          </cell>
          <cell r="T730">
            <v>13489</v>
          </cell>
          <cell r="U730">
            <v>9401</v>
          </cell>
          <cell r="V730">
            <v>12914</v>
          </cell>
          <cell r="W730">
            <v>15514</v>
          </cell>
          <cell r="X730">
            <v>14489</v>
          </cell>
          <cell r="Y730">
            <v>14685</v>
          </cell>
          <cell r="Z730">
            <v>14472.996244987353</v>
          </cell>
          <cell r="AA730">
            <v>21044.225309315567</v>
          </cell>
          <cell r="AB730">
            <v>20943.950324804347</v>
          </cell>
          <cell r="AC730">
            <v>20729.548553212295</v>
          </cell>
          <cell r="AD730">
            <v>20573.97970853528</v>
          </cell>
          <cell r="AE730">
            <v>20419.578359878356</v>
          </cell>
          <cell r="AF730">
            <v>20322.279795846349</v>
          </cell>
          <cell r="CU730">
            <v>1719</v>
          </cell>
          <cell r="CV730">
            <v>2170</v>
          </cell>
          <cell r="CW730">
            <v>2651</v>
          </cell>
          <cell r="CX730">
            <v>2861</v>
          </cell>
          <cell r="CY730">
            <v>3119</v>
          </cell>
          <cell r="CZ730">
            <v>3206</v>
          </cell>
          <cell r="DA730">
            <v>3247</v>
          </cell>
          <cell r="DB730">
            <v>3342</v>
          </cell>
          <cell r="DC730">
            <v>3998</v>
          </cell>
          <cell r="DD730">
            <v>4264</v>
          </cell>
          <cell r="DE730">
            <v>3918</v>
          </cell>
          <cell r="DF730">
            <v>3334</v>
          </cell>
          <cell r="DG730">
            <v>3866</v>
          </cell>
          <cell r="DH730">
            <v>3575</v>
          </cell>
          <cell r="DI730">
            <v>3448</v>
          </cell>
          <cell r="DJ730">
            <v>3600</v>
          </cell>
          <cell r="DK730">
            <v>3800</v>
          </cell>
          <cell r="DL730">
            <v>3708</v>
          </cell>
          <cell r="DM730">
            <v>3594</v>
          </cell>
          <cell r="DN730">
            <v>3583</v>
          </cell>
          <cell r="DO730">
            <v>3731.2212745230981</v>
          </cell>
          <cell r="DP730">
            <v>3872.704612792134</v>
          </cell>
          <cell r="DQ730">
            <v>3492.7138947742174</v>
          </cell>
          <cell r="DR730">
            <v>3376.3564628979034</v>
          </cell>
          <cell r="DT730">
            <v>3403.7495213982197</v>
          </cell>
        </row>
        <row r="731">
          <cell r="B731" t="str">
            <v>Olefins and Polyolefins - Total</v>
          </cell>
          <cell r="T731">
            <v>29901</v>
          </cell>
          <cell r="U731">
            <v>18015</v>
          </cell>
          <cell r="V731">
            <v>25503</v>
          </cell>
          <cell r="W731">
            <v>30394</v>
          </cell>
          <cell r="X731">
            <v>27423</v>
          </cell>
          <cell r="Y731">
            <v>27774</v>
          </cell>
          <cell r="Z731">
            <v>27916.621971714856</v>
          </cell>
          <cell r="AA731">
            <v>34956.245769623893</v>
          </cell>
          <cell r="AB731">
            <v>35890.113226718488</v>
          </cell>
          <cell r="AC731">
            <v>35522.708618747536</v>
          </cell>
          <cell r="AD731">
            <v>35256.121687274761</v>
          </cell>
          <cell r="AE731">
            <v>34991.535408195778</v>
          </cell>
          <cell r="AF731">
            <v>34824.80198753014</v>
          </cell>
          <cell r="CU731">
            <v>3297</v>
          </cell>
          <cell r="CV731">
            <v>4207</v>
          </cell>
          <cell r="CW731">
            <v>5055</v>
          </cell>
          <cell r="CX731">
            <v>5456</v>
          </cell>
          <cell r="CY731">
            <v>6139</v>
          </cell>
          <cell r="CZ731">
            <v>6373</v>
          </cell>
          <cell r="DA731">
            <v>6494</v>
          </cell>
          <cell r="DB731">
            <v>6497</v>
          </cell>
          <cell r="DC731">
            <v>7570</v>
          </cell>
          <cell r="DD731">
            <v>8274</v>
          </cell>
          <cell r="DE731">
            <v>7793</v>
          </cell>
          <cell r="DF731">
            <v>6757</v>
          </cell>
          <cell r="DG731">
            <v>7215</v>
          </cell>
          <cell r="DH731">
            <v>6858</v>
          </cell>
          <cell r="DI731">
            <v>6665</v>
          </cell>
          <cell r="DJ731">
            <v>6685</v>
          </cell>
          <cell r="DK731">
            <v>7044</v>
          </cell>
          <cell r="DL731">
            <v>6959</v>
          </cell>
          <cell r="DM731">
            <v>6909</v>
          </cell>
          <cell r="DN731">
            <v>6862</v>
          </cell>
          <cell r="DO731">
            <v>7289.4308164789345</v>
          </cell>
          <cell r="DP731">
            <v>7273.2248426701826</v>
          </cell>
          <cell r="DQ731">
            <v>6839.8914947742169</v>
          </cell>
          <cell r="DR731">
            <v>6514.0748177915211</v>
          </cell>
          <cell r="DT731">
            <v>6823.5411880648862</v>
          </cell>
        </row>
        <row r="733">
          <cell r="B733" t="str">
            <v>Intermediates &amp; Derivatives</v>
          </cell>
          <cell r="T733">
            <v>6218</v>
          </cell>
          <cell r="U733">
            <v>3778</v>
          </cell>
          <cell r="V733">
            <v>5574</v>
          </cell>
          <cell r="W733">
            <v>9557</v>
          </cell>
          <cell r="X733">
            <v>9658</v>
          </cell>
          <cell r="Y733">
            <v>9472</v>
          </cell>
          <cell r="Z733">
            <v>9436.6484072048152</v>
          </cell>
          <cell r="AA733">
            <v>8876.349623998427</v>
          </cell>
          <cell r="AB733">
            <v>8503.5929287638064</v>
          </cell>
          <cell r="AC733">
            <v>8270.9569203905849</v>
          </cell>
          <cell r="AD733">
            <v>8085.0211483557468</v>
          </cell>
          <cell r="AE733">
            <v>7992.124012156456</v>
          </cell>
          <cell r="AF733">
            <v>7899.2626477796548</v>
          </cell>
          <cell r="CU733">
            <v>761</v>
          </cell>
          <cell r="CV733">
            <v>810</v>
          </cell>
          <cell r="CW733">
            <v>1051</v>
          </cell>
          <cell r="CX733">
            <v>1156</v>
          </cell>
          <cell r="CY733">
            <v>1316</v>
          </cell>
          <cell r="CZ733">
            <v>1444</v>
          </cell>
          <cell r="DA733">
            <v>1453</v>
          </cell>
          <cell r="DB733">
            <v>1361</v>
          </cell>
          <cell r="DC733">
            <v>2341</v>
          </cell>
          <cell r="DD733">
            <v>2556</v>
          </cell>
          <cell r="DE733">
            <v>2511</v>
          </cell>
          <cell r="DF733">
            <v>2149</v>
          </cell>
          <cell r="DG733">
            <v>2485</v>
          </cell>
          <cell r="DH733">
            <v>2285</v>
          </cell>
          <cell r="DI733">
            <v>2637</v>
          </cell>
          <cell r="DJ733">
            <v>2251</v>
          </cell>
          <cell r="DK733">
            <v>2282</v>
          </cell>
          <cell r="DL733">
            <v>2217</v>
          </cell>
          <cell r="DM733">
            <v>2452</v>
          </cell>
          <cell r="DN733">
            <v>2521</v>
          </cell>
          <cell r="DO733">
            <v>2233.3618771437982</v>
          </cell>
          <cell r="DP733">
            <v>2341.6084668765834</v>
          </cell>
          <cell r="DQ733">
            <v>2396.5112983320596</v>
          </cell>
          <cell r="DR733">
            <v>2465.1667648523753</v>
          </cell>
          <cell r="DT733">
            <v>2167.2619850416868</v>
          </cell>
        </row>
        <row r="735">
          <cell r="B735" t="str">
            <v>Refining</v>
          </cell>
          <cell r="T735">
            <v>18362</v>
          </cell>
          <cell r="U735">
            <v>12078</v>
          </cell>
          <cell r="V735">
            <v>15069</v>
          </cell>
          <cell r="W735">
            <v>13706</v>
          </cell>
          <cell r="X735">
            <v>13291</v>
          </cell>
          <cell r="Y735">
            <v>11698</v>
          </cell>
          <cell r="Z735">
            <v>12383.437521853613</v>
          </cell>
          <cell r="AA735">
            <v>11673.276230277779</v>
          </cell>
          <cell r="AB735">
            <v>11199.835369227223</v>
          </cell>
          <cell r="AC735">
            <v>10903.934831070625</v>
          </cell>
          <cell r="AD735">
            <v>10667.214400545347</v>
          </cell>
          <cell r="AE735">
            <v>10548.854185282707</v>
          </cell>
          <cell r="AF735">
            <v>10430.493970020068</v>
          </cell>
          <cell r="CU735">
            <v>2265</v>
          </cell>
          <cell r="CV735">
            <v>3167</v>
          </cell>
          <cell r="CW735">
            <v>3506</v>
          </cell>
          <cell r="CX735">
            <v>3140</v>
          </cell>
          <cell r="CY735">
            <v>3415</v>
          </cell>
          <cell r="CZ735">
            <v>3736</v>
          </cell>
          <cell r="DA735">
            <v>3867</v>
          </cell>
          <cell r="DB735">
            <v>4051</v>
          </cell>
          <cell r="DC735">
            <v>2867</v>
          </cell>
          <cell r="DD735">
            <v>3996</v>
          </cell>
          <cell r="DE735">
            <v>3955</v>
          </cell>
          <cell r="DF735">
            <v>2888</v>
          </cell>
          <cell r="DG735">
            <v>3203</v>
          </cell>
          <cell r="DH735">
            <v>3496</v>
          </cell>
          <cell r="DI735">
            <v>3272</v>
          </cell>
          <cell r="DJ735">
            <v>3320</v>
          </cell>
          <cell r="DK735">
            <v>2468</v>
          </cell>
          <cell r="DL735">
            <v>3077</v>
          </cell>
          <cell r="DM735">
            <v>3177</v>
          </cell>
          <cell r="DN735">
            <v>2976</v>
          </cell>
          <cell r="DO735">
            <v>3503.2487275524418</v>
          </cell>
          <cell r="DP735">
            <v>3009.7091608738829</v>
          </cell>
          <cell r="DQ735">
            <v>3061.6163414191519</v>
          </cell>
          <cell r="DR735">
            <v>2808.8632920081359</v>
          </cell>
          <cell r="DT735">
            <v>3315.8634134379595</v>
          </cell>
        </row>
        <row r="737">
          <cell r="B737" t="str">
            <v>Technology</v>
          </cell>
          <cell r="T737">
            <v>583</v>
          </cell>
          <cell r="U737">
            <v>523</v>
          </cell>
          <cell r="V737">
            <v>510</v>
          </cell>
          <cell r="W737">
            <v>506</v>
          </cell>
          <cell r="X737">
            <v>498</v>
          </cell>
          <cell r="Y737">
            <v>532</v>
          </cell>
          <cell r="Z737">
            <v>576.72</v>
          </cell>
          <cell r="AA737">
            <v>605.55600000000004</v>
          </cell>
          <cell r="AB737">
            <v>635.83380000000011</v>
          </cell>
          <cell r="AC737">
            <v>667.62549000000013</v>
          </cell>
          <cell r="AD737">
            <v>701.00676450000014</v>
          </cell>
          <cell r="AE737">
            <v>736.05710272500016</v>
          </cell>
          <cell r="AF737">
            <v>772.85995786125022</v>
          </cell>
          <cell r="CU737">
            <v>116</v>
          </cell>
          <cell r="CV737">
            <v>150</v>
          </cell>
          <cell r="CW737">
            <v>135</v>
          </cell>
          <cell r="CX737">
            <v>142</v>
          </cell>
          <cell r="CY737">
            <v>110</v>
          </cell>
          <cell r="CZ737">
            <v>110</v>
          </cell>
          <cell r="DA737">
            <v>157</v>
          </cell>
          <cell r="DB737">
            <v>133</v>
          </cell>
          <cell r="DC737">
            <v>139</v>
          </cell>
          <cell r="DD737">
            <v>126</v>
          </cell>
          <cell r="DE737">
            <v>129</v>
          </cell>
          <cell r="DF737">
            <v>112</v>
          </cell>
          <cell r="DG737">
            <v>119</v>
          </cell>
          <cell r="DH737">
            <v>115</v>
          </cell>
          <cell r="DI737">
            <v>124</v>
          </cell>
          <cell r="DJ737">
            <v>140</v>
          </cell>
          <cell r="DK737">
            <v>134</v>
          </cell>
          <cell r="DL737">
            <v>132</v>
          </cell>
          <cell r="DM737">
            <v>124</v>
          </cell>
          <cell r="DN737">
            <v>142</v>
          </cell>
          <cell r="DO737">
            <v>144.18</v>
          </cell>
          <cell r="DP737">
            <v>144.18</v>
          </cell>
          <cell r="DQ737">
            <v>144.18</v>
          </cell>
          <cell r="DR737">
            <v>144.18</v>
          </cell>
          <cell r="DT737">
            <v>134</v>
          </cell>
        </row>
        <row r="739">
          <cell r="B739" t="str">
            <v>Other</v>
          </cell>
          <cell r="T739">
            <v>-4360</v>
          </cell>
          <cell r="U739">
            <v>-3586</v>
          </cell>
          <cell r="V739">
            <v>-5505</v>
          </cell>
          <cell r="W739">
            <v>-7041</v>
          </cell>
          <cell r="X739">
            <v>-5645</v>
          </cell>
          <cell r="Y739">
            <v>-5414</v>
          </cell>
          <cell r="Z739">
            <v>-4916.8818076905445</v>
          </cell>
          <cell r="AA739">
            <v>-5464.7705514203453</v>
          </cell>
          <cell r="AB739">
            <v>-5472.6087844900467</v>
          </cell>
          <cell r="AC739">
            <v>-5388.0415085738223</v>
          </cell>
          <cell r="AD739">
            <v>-5323.7523995667098</v>
          </cell>
          <cell r="AE739">
            <v>-5280.8386558462253</v>
          </cell>
          <cell r="AF739">
            <v>-5247.4231816005267</v>
          </cell>
          <cell r="CU739">
            <v>-539</v>
          </cell>
          <cell r="CV739">
            <v>-835</v>
          </cell>
          <cell r="CW739">
            <v>-1135</v>
          </cell>
          <cell r="CX739">
            <v>-1077</v>
          </cell>
          <cell r="CY739">
            <v>-1225</v>
          </cell>
          <cell r="CZ739">
            <v>-1179</v>
          </cell>
          <cell r="DA739">
            <v>-1669</v>
          </cell>
          <cell r="DB739">
            <v>-1432</v>
          </cell>
          <cell r="DC739">
            <v>-1825</v>
          </cell>
          <cell r="DD739">
            <v>-1968</v>
          </cell>
          <cell r="DE739">
            <v>-2111</v>
          </cell>
          <cell r="DF739">
            <v>-1137</v>
          </cell>
          <cell r="DG739">
            <v>-1415</v>
          </cell>
          <cell r="DH739">
            <v>-1506</v>
          </cell>
          <cell r="DI739">
            <v>-1425</v>
          </cell>
          <cell r="DJ739">
            <v>-1299</v>
          </cell>
          <cell r="DK739">
            <v>-1259</v>
          </cell>
          <cell r="DL739">
            <v>-1282</v>
          </cell>
          <cell r="DM739">
            <v>-1510</v>
          </cell>
          <cell r="DN739">
            <v>-1363</v>
          </cell>
          <cell r="DO739">
            <v>-1229.2204519226361</v>
          </cell>
          <cell r="DP739">
            <v>-1229.2204519226361</v>
          </cell>
          <cell r="DQ739">
            <v>-1229.2204519226361</v>
          </cell>
          <cell r="DR739">
            <v>-1229.2204519226361</v>
          </cell>
          <cell r="DT739">
            <v>-1243.25</v>
          </cell>
        </row>
        <row r="741">
          <cell r="B741" t="str">
            <v>Total LyondellBasell</v>
          </cell>
          <cell r="T741">
            <v>50706</v>
          </cell>
          <cell r="U741">
            <v>30808</v>
          </cell>
          <cell r="V741">
            <v>41151</v>
          </cell>
          <cell r="W741">
            <v>51035</v>
          </cell>
          <cell r="X741">
            <v>45497</v>
          </cell>
          <cell r="Y741">
            <v>44062</v>
          </cell>
          <cell r="Z741">
            <v>45396.546093082739</v>
          </cell>
          <cell r="AA741">
            <v>50646.657072479749</v>
          </cell>
          <cell r="AB741">
            <v>50756.766540219469</v>
          </cell>
          <cell r="AC741">
            <v>49977.184351634925</v>
          </cell>
          <cell r="AD741">
            <v>49385.611601109151</v>
          </cell>
          <cell r="AE741">
            <v>48987.732052513718</v>
          </cell>
          <cell r="AF741">
            <v>48679.99538159059</v>
          </cell>
          <cell r="CU741">
            <v>5900</v>
          </cell>
          <cell r="CV741">
            <v>7499</v>
          </cell>
          <cell r="CW741">
            <v>8612</v>
          </cell>
          <cell r="CX741">
            <v>8817</v>
          </cell>
          <cell r="CY741">
            <v>9755</v>
          </cell>
          <cell r="CZ741">
            <v>10484</v>
          </cell>
          <cell r="DA741">
            <v>10302</v>
          </cell>
          <cell r="DB741">
            <v>10610</v>
          </cell>
          <cell r="DC741">
            <v>12252</v>
          </cell>
          <cell r="DD741">
            <v>14042</v>
          </cell>
          <cell r="DE741">
            <v>13297</v>
          </cell>
          <cell r="DF741">
            <v>11444</v>
          </cell>
          <cell r="DG741">
            <v>11879</v>
          </cell>
          <cell r="DH741">
            <v>11248</v>
          </cell>
          <cell r="DI741">
            <v>11273</v>
          </cell>
          <cell r="DJ741">
            <v>11097</v>
          </cell>
          <cell r="DK741">
            <v>10669</v>
          </cell>
          <cell r="DL741">
            <v>11103</v>
          </cell>
          <cell r="DM741">
            <v>11152</v>
          </cell>
          <cell r="DN741">
            <v>11138</v>
          </cell>
          <cell r="DO741">
            <v>0</v>
          </cell>
          <cell r="DP741">
            <v>9373.3934692811745</v>
          </cell>
          <cell r="DQ741">
            <v>0</v>
          </cell>
          <cell r="DR741">
            <v>0</v>
          </cell>
          <cell r="DT741">
            <v>11197.416586544532</v>
          </cell>
        </row>
        <row r="742">
          <cell r="B742" t="str">
            <v>Growth</v>
          </cell>
          <cell r="U742">
            <v>-0.39241904311126885</v>
          </cell>
          <cell r="V742">
            <v>0.33572448714619574</v>
          </cell>
          <cell r="W742">
            <v>0.24018857378921532</v>
          </cell>
          <cell r="X742">
            <v>-0.10851376506319188</v>
          </cell>
          <cell r="Y742">
            <v>-3.1540541134580269E-2</v>
          </cell>
          <cell r="Z742">
            <v>3.0287914599490318E-2</v>
          </cell>
          <cell r="AA742">
            <v>0.11565000933401381</v>
          </cell>
          <cell r="AB742">
            <v>2.1740717769811457E-3</v>
          </cell>
          <cell r="AC742">
            <v>-1.5359177538758373E-2</v>
          </cell>
          <cell r="AD742">
            <v>-1.1836856321547073E-2</v>
          </cell>
          <cell r="AE742">
            <v>-8.0565884616177197E-3</v>
          </cell>
          <cell r="AF742">
            <v>-6.2819130020805858E-3</v>
          </cell>
          <cell r="CY742">
            <v>0.65338983050847466</v>
          </cell>
          <cell r="CZ742">
            <v>0.39805307374316579</v>
          </cell>
          <cell r="DA742">
            <v>0.19623780771017185</v>
          </cell>
          <cell r="DB742">
            <v>0.20335715095837581</v>
          </cell>
          <cell r="DC742">
            <v>0.2559712967708867</v>
          </cell>
          <cell r="DD742">
            <v>0.33937428462418917</v>
          </cell>
          <cell r="DE742">
            <v>0.29072024849543787</v>
          </cell>
          <cell r="DF742">
            <v>7.860508953817158E-2</v>
          </cell>
          <cell r="DG742">
            <v>-3.0444009141364692E-2</v>
          </cell>
          <cell r="DH742">
            <v>-0.1989745050562598</v>
          </cell>
          <cell r="DI742">
            <v>-0.15221478528991506</v>
          </cell>
          <cell r="DJ742">
            <v>-3.0321565886053836E-2</v>
          </cell>
          <cell r="DK742">
            <v>-0.10186042596178124</v>
          </cell>
          <cell r="DL742">
            <v>-1.2891180654338585E-2</v>
          </cell>
          <cell r="DM742">
            <v>-1.0733611283597955E-2</v>
          </cell>
          <cell r="DN742">
            <v>3.6946922591691855E-3</v>
          </cell>
          <cell r="DO742">
            <v>-1</v>
          </cell>
          <cell r="DP742">
            <v>-0.15577830592802178</v>
          </cell>
          <cell r="DQ742">
            <v>-1</v>
          </cell>
          <cell r="DR742">
            <v>-1</v>
          </cell>
          <cell r="DT742">
            <v>-4.4971029032243592E-3</v>
          </cell>
        </row>
        <row r="744">
          <cell r="B744" t="str">
            <v>EBITDA (inc. JV income)</v>
          </cell>
        </row>
        <row r="746">
          <cell r="B746" t="str">
            <v>Olefins and Polyolefins - Americas</v>
          </cell>
          <cell r="T746">
            <v>-160</v>
          </cell>
          <cell r="U746">
            <v>681</v>
          </cell>
          <cell r="V746">
            <v>1719</v>
          </cell>
          <cell r="W746">
            <v>2142</v>
          </cell>
          <cell r="X746">
            <v>2934</v>
          </cell>
          <cell r="Y746">
            <v>3573</v>
          </cell>
          <cell r="Z746">
            <v>3633.7862585498383</v>
          </cell>
          <cell r="AA746">
            <v>3545.6021329979662</v>
          </cell>
          <cell r="AB746">
            <v>3669.3312624104624</v>
          </cell>
          <cell r="AC746">
            <v>3497.3512832997903</v>
          </cell>
          <cell r="AD746">
            <v>3198.3885364236548</v>
          </cell>
          <cell r="AE746">
            <v>1449.9649677102461</v>
          </cell>
          <cell r="AF746">
            <v>1216.141264868912</v>
          </cell>
          <cell r="CU746">
            <v>18</v>
          </cell>
          <cell r="CV746">
            <v>207</v>
          </cell>
          <cell r="CW746">
            <v>267</v>
          </cell>
          <cell r="CX746">
            <v>189</v>
          </cell>
          <cell r="CY746">
            <v>274</v>
          </cell>
          <cell r="CZ746">
            <v>585</v>
          </cell>
          <cell r="DA746">
            <v>518</v>
          </cell>
          <cell r="DB746">
            <v>342</v>
          </cell>
          <cell r="DC746">
            <v>484</v>
          </cell>
          <cell r="DD746">
            <v>578</v>
          </cell>
          <cell r="DE746">
            <v>673</v>
          </cell>
          <cell r="DF746">
            <v>407</v>
          </cell>
          <cell r="DG746">
            <v>598</v>
          </cell>
          <cell r="DH746">
            <v>818</v>
          </cell>
          <cell r="DI746">
            <v>749</v>
          </cell>
          <cell r="DJ746">
            <v>769</v>
          </cell>
          <cell r="DK746">
            <v>898</v>
          </cell>
          <cell r="DL746">
            <v>951</v>
          </cell>
          <cell r="DM746">
            <v>841</v>
          </cell>
          <cell r="DN746">
            <v>883</v>
          </cell>
          <cell r="DO746">
            <v>874.72214413640688</v>
          </cell>
          <cell r="DP746">
            <v>797.06376490330763</v>
          </cell>
          <cell r="DQ746">
            <v>989.74181010876703</v>
          </cell>
          <cell r="DR746">
            <v>972.25853940135676</v>
          </cell>
          <cell r="DT746">
            <v>903.35139377343432</v>
          </cell>
        </row>
        <row r="747">
          <cell r="B747" t="str">
            <v>Olefins and Polyolefins - Rest of World</v>
          </cell>
          <cell r="T747">
            <v>610</v>
          </cell>
          <cell r="U747">
            <v>43</v>
          </cell>
          <cell r="V747">
            <v>818</v>
          </cell>
          <cell r="W747">
            <v>991</v>
          </cell>
          <cell r="X747">
            <v>563</v>
          </cell>
          <cell r="Y747">
            <v>839</v>
          </cell>
          <cell r="Z747">
            <v>859.85038983557615</v>
          </cell>
          <cell r="AA747">
            <v>1174.7056787793617</v>
          </cell>
          <cell r="AB747">
            <v>1205.6487474168075</v>
          </cell>
          <cell r="AC747">
            <v>1208.7619834777452</v>
          </cell>
          <cell r="AD747">
            <v>1243.1729352976861</v>
          </cell>
          <cell r="AE747">
            <v>1280.46886163002</v>
          </cell>
          <cell r="AF747">
            <v>1207.6602573000951</v>
          </cell>
          <cell r="CU747">
            <v>-15</v>
          </cell>
          <cell r="CV747">
            <v>100</v>
          </cell>
          <cell r="CW747">
            <v>180</v>
          </cell>
          <cell r="CX747">
            <v>42</v>
          </cell>
          <cell r="CY747">
            <v>152</v>
          </cell>
          <cell r="CZ747">
            <v>257</v>
          </cell>
          <cell r="DA747">
            <v>294</v>
          </cell>
          <cell r="DB747">
            <v>115</v>
          </cell>
          <cell r="DC747">
            <v>333</v>
          </cell>
          <cell r="DD747">
            <v>335</v>
          </cell>
          <cell r="DE747">
            <v>261</v>
          </cell>
          <cell r="DF747">
            <v>62</v>
          </cell>
          <cell r="DG747">
            <v>103</v>
          </cell>
          <cell r="DH747">
            <v>335</v>
          </cell>
          <cell r="DI747">
            <v>75</v>
          </cell>
          <cell r="DJ747">
            <v>50</v>
          </cell>
          <cell r="DK747">
            <v>225</v>
          </cell>
          <cell r="DL747">
            <v>295</v>
          </cell>
          <cell r="DM747">
            <v>204</v>
          </cell>
          <cell r="DN747">
            <v>115</v>
          </cell>
          <cell r="DO747">
            <v>217.77618469156036</v>
          </cell>
          <cell r="DP747">
            <v>215.19200232423663</v>
          </cell>
          <cell r="DQ747">
            <v>214.30228704316198</v>
          </cell>
          <cell r="DR747">
            <v>212.57991577661727</v>
          </cell>
          <cell r="DT747">
            <v>234.28765928119208</v>
          </cell>
        </row>
        <row r="748">
          <cell r="B748" t="str">
            <v>Olefins and Polyolefins - Total</v>
          </cell>
          <cell r="T748">
            <v>450</v>
          </cell>
          <cell r="U748">
            <v>724</v>
          </cell>
          <cell r="V748">
            <v>2537</v>
          </cell>
          <cell r="W748">
            <v>3133</v>
          </cell>
          <cell r="X748">
            <v>3497</v>
          </cell>
          <cell r="Y748">
            <v>4412</v>
          </cell>
          <cell r="Z748">
            <v>4493.6366483854144</v>
          </cell>
          <cell r="AA748">
            <v>4720.3078117773275</v>
          </cell>
          <cell r="AB748">
            <v>4874.9800098272699</v>
          </cell>
          <cell r="AC748">
            <v>4706.1132667775355</v>
          </cell>
          <cell r="AD748">
            <v>4441.5614717213411</v>
          </cell>
          <cell r="AE748">
            <v>2730.4338293402661</v>
          </cell>
          <cell r="AF748">
            <v>2423.8015221690071</v>
          </cell>
          <cell r="CU748">
            <v>3</v>
          </cell>
          <cell r="CV748">
            <v>307</v>
          </cell>
          <cell r="CW748">
            <v>447</v>
          </cell>
          <cell r="CX748">
            <v>231</v>
          </cell>
          <cell r="CY748">
            <v>426</v>
          </cell>
          <cell r="CZ748">
            <v>842</v>
          </cell>
          <cell r="DA748">
            <v>812</v>
          </cell>
          <cell r="DB748">
            <v>457</v>
          </cell>
          <cell r="DC748">
            <v>817</v>
          </cell>
          <cell r="DD748">
            <v>913</v>
          </cell>
          <cell r="DE748">
            <v>934</v>
          </cell>
          <cell r="DF748">
            <v>469</v>
          </cell>
          <cell r="DG748">
            <v>701</v>
          </cell>
          <cell r="DH748">
            <v>1153</v>
          </cell>
          <cell r="DI748">
            <v>824</v>
          </cell>
          <cell r="DJ748">
            <v>819</v>
          </cell>
          <cell r="DK748">
            <v>1123</v>
          </cell>
          <cell r="DL748">
            <v>1246</v>
          </cell>
          <cell r="DM748">
            <v>1045</v>
          </cell>
          <cell r="DN748">
            <v>998</v>
          </cell>
          <cell r="DO748">
            <v>1092.4983288279673</v>
          </cell>
          <cell r="DP748">
            <v>1012.2557672275443</v>
          </cell>
          <cell r="DQ748">
            <v>1204.044097151929</v>
          </cell>
          <cell r="DR748">
            <v>1184.8384551779741</v>
          </cell>
          <cell r="DT748">
            <v>1137.6390530546264</v>
          </cell>
        </row>
        <row r="750">
          <cell r="B750" t="str">
            <v>Intermediates &amp; Derivatives</v>
          </cell>
          <cell r="T750">
            <v>435</v>
          </cell>
          <cell r="U750">
            <v>565</v>
          </cell>
          <cell r="V750">
            <v>828</v>
          </cell>
          <cell r="W750">
            <v>1386</v>
          </cell>
          <cell r="X750">
            <v>1635</v>
          </cell>
          <cell r="Y750">
            <v>1492</v>
          </cell>
          <cell r="Z750">
            <v>1415.3021816122973</v>
          </cell>
          <cell r="AA750">
            <v>1280.3225967995695</v>
          </cell>
          <cell r="AB750">
            <v>1227.8626100782101</v>
          </cell>
          <cell r="AC750">
            <v>1187.9736740040958</v>
          </cell>
          <cell r="AD750">
            <v>1152.8645953530963</v>
          </cell>
          <cell r="AE750">
            <v>1129.2874445122077</v>
          </cell>
          <cell r="AF750">
            <v>1103.7040293637483</v>
          </cell>
          <cell r="CU750">
            <v>140</v>
          </cell>
          <cell r="CV750">
            <v>109</v>
          </cell>
          <cell r="CW750">
            <v>141</v>
          </cell>
          <cell r="CX750">
            <v>129</v>
          </cell>
          <cell r="CY750">
            <v>191</v>
          </cell>
          <cell r="CZ750">
            <v>209</v>
          </cell>
          <cell r="DA750">
            <v>243</v>
          </cell>
          <cell r="DB750">
            <v>211</v>
          </cell>
          <cell r="DC750">
            <v>320</v>
          </cell>
          <cell r="DD750">
            <v>415</v>
          </cell>
          <cell r="DE750">
            <v>415</v>
          </cell>
          <cell r="DF750">
            <v>236</v>
          </cell>
          <cell r="DG750">
            <v>418</v>
          </cell>
          <cell r="DH750">
            <v>437</v>
          </cell>
          <cell r="DI750">
            <v>475</v>
          </cell>
          <cell r="DJ750">
            <v>305</v>
          </cell>
          <cell r="DK750">
            <v>373</v>
          </cell>
          <cell r="DL750">
            <v>338</v>
          </cell>
          <cell r="DM750">
            <v>427</v>
          </cell>
          <cell r="DN750">
            <v>354</v>
          </cell>
          <cell r="DO750">
            <v>369.52399560840263</v>
          </cell>
          <cell r="DP750">
            <v>363.6803332763098</v>
          </cell>
          <cell r="DQ750">
            <v>339.85967522565051</v>
          </cell>
          <cell r="DR750">
            <v>342.2381775019345</v>
          </cell>
          <cell r="DT750">
            <v>353.44705164695802</v>
          </cell>
        </row>
        <row r="752">
          <cell r="B752" t="str">
            <v>Refining</v>
          </cell>
          <cell r="T752">
            <v>711</v>
          </cell>
          <cell r="U752">
            <v>208</v>
          </cell>
          <cell r="V752">
            <v>456</v>
          </cell>
          <cell r="W752">
            <v>977</v>
          </cell>
          <cell r="X752">
            <v>404</v>
          </cell>
          <cell r="Y752">
            <v>182</v>
          </cell>
          <cell r="Z752">
            <v>212.33422999999999</v>
          </cell>
          <cell r="AA752">
            <v>265.274225</v>
          </cell>
          <cell r="AB752">
            <v>263.27624000000003</v>
          </cell>
          <cell r="AC752">
            <v>273.11417</v>
          </cell>
          <cell r="AD752">
            <v>255.51660750000002</v>
          </cell>
          <cell r="AE752">
            <v>255.51660750000002</v>
          </cell>
          <cell r="AF752">
            <v>256.21665300000001</v>
          </cell>
          <cell r="CU752">
            <v>93</v>
          </cell>
          <cell r="CV752">
            <v>62</v>
          </cell>
          <cell r="CW752">
            <v>106</v>
          </cell>
          <cell r="CX752">
            <v>-61</v>
          </cell>
          <cell r="CY752">
            <v>7</v>
          </cell>
          <cell r="CZ752">
            <v>229</v>
          </cell>
          <cell r="DA752">
            <v>141</v>
          </cell>
          <cell r="DB752">
            <v>79</v>
          </cell>
          <cell r="DC752">
            <v>190</v>
          </cell>
          <cell r="DD752">
            <v>293</v>
          </cell>
          <cell r="DE752">
            <v>427</v>
          </cell>
          <cell r="DF752">
            <v>67</v>
          </cell>
          <cell r="DG752">
            <v>48</v>
          </cell>
          <cell r="DH752">
            <v>108</v>
          </cell>
          <cell r="DI752">
            <v>126</v>
          </cell>
          <cell r="DJ752">
            <v>122</v>
          </cell>
          <cell r="DK752">
            <v>20</v>
          </cell>
          <cell r="DL752">
            <v>20</v>
          </cell>
          <cell r="DM752">
            <v>8</v>
          </cell>
          <cell r="DN752">
            <v>134</v>
          </cell>
          <cell r="DO752">
            <v>42.251099999999994</v>
          </cell>
          <cell r="DP752">
            <v>42.928889999999996</v>
          </cell>
          <cell r="DQ752">
            <v>64.392240000000001</v>
          </cell>
          <cell r="DR752">
            <v>62.762</v>
          </cell>
          <cell r="DT752">
            <v>61.842659999999995</v>
          </cell>
        </row>
        <row r="754">
          <cell r="B754" t="str">
            <v>Technology</v>
          </cell>
          <cell r="T754">
            <v>299</v>
          </cell>
          <cell r="U754">
            <v>311</v>
          </cell>
          <cell r="V754">
            <v>209</v>
          </cell>
          <cell r="W754">
            <v>191</v>
          </cell>
          <cell r="X754">
            <v>213</v>
          </cell>
          <cell r="Y754">
            <v>232</v>
          </cell>
          <cell r="Z754">
            <v>252.86516</v>
          </cell>
          <cell r="AA754">
            <v>260.07456999999999</v>
          </cell>
          <cell r="AB754">
            <v>267.91614290000001</v>
          </cell>
          <cell r="AC754">
            <v>276.40790222499999</v>
          </cell>
          <cell r="AD754">
            <v>285.56945190725003</v>
          </cell>
          <cell r="AE754">
            <v>295.42202134506249</v>
          </cell>
          <cell r="AF754">
            <v>305.98851441264316</v>
          </cell>
          <cell r="CU754">
            <v>66</v>
          </cell>
          <cell r="CV754">
            <v>98</v>
          </cell>
          <cell r="CW754">
            <v>66</v>
          </cell>
          <cell r="CX754">
            <v>80</v>
          </cell>
          <cell r="CY754">
            <v>48</v>
          </cell>
          <cell r="CZ754">
            <v>43</v>
          </cell>
          <cell r="DA754">
            <v>78</v>
          </cell>
          <cell r="DB754">
            <v>44</v>
          </cell>
          <cell r="DC754">
            <v>91</v>
          </cell>
          <cell r="DD754">
            <v>42</v>
          </cell>
          <cell r="DE754">
            <v>45</v>
          </cell>
          <cell r="DF754">
            <v>36</v>
          </cell>
          <cell r="DG754">
            <v>57</v>
          </cell>
          <cell r="DH754">
            <v>49</v>
          </cell>
          <cell r="DI754">
            <v>48</v>
          </cell>
          <cell r="DJ754">
            <v>43</v>
          </cell>
          <cell r="DK754">
            <v>66</v>
          </cell>
          <cell r="DL754">
            <v>59</v>
          </cell>
          <cell r="DM754">
            <v>52</v>
          </cell>
          <cell r="DN754">
            <v>55</v>
          </cell>
          <cell r="DO754">
            <v>63.216290000000001</v>
          </cell>
          <cell r="DP754">
            <v>63.216290000000001</v>
          </cell>
          <cell r="DQ754">
            <v>63.216290000000001</v>
          </cell>
          <cell r="DR754">
            <v>63.216290000000001</v>
          </cell>
          <cell r="DT754">
            <v>57.75</v>
          </cell>
        </row>
        <row r="756">
          <cell r="B756" t="str">
            <v>Other</v>
          </cell>
          <cell r="T756">
            <v>1157</v>
          </cell>
          <cell r="U756">
            <v>138</v>
          </cell>
          <cell r="V756">
            <v>-25</v>
          </cell>
          <cell r="W756">
            <v>-34</v>
          </cell>
          <cell r="X756">
            <v>-1</v>
          </cell>
          <cell r="Y756">
            <v>-7</v>
          </cell>
          <cell r="Z756">
            <v>0</v>
          </cell>
          <cell r="AA756">
            <v>0</v>
          </cell>
          <cell r="AB756">
            <v>0</v>
          </cell>
          <cell r="AC756">
            <v>0</v>
          </cell>
          <cell r="AD756">
            <v>0</v>
          </cell>
          <cell r="AE756">
            <v>0</v>
          </cell>
          <cell r="AF756">
            <v>0</v>
          </cell>
          <cell r="CU756">
            <v>-47</v>
          </cell>
          <cell r="CV756">
            <v>14</v>
          </cell>
          <cell r="CW756">
            <v>-66</v>
          </cell>
          <cell r="CX756">
            <v>136</v>
          </cell>
          <cell r="CY756">
            <v>10</v>
          </cell>
          <cell r="CZ756">
            <v>103</v>
          </cell>
          <cell r="DA756">
            <v>-15</v>
          </cell>
          <cell r="DB756">
            <v>-5</v>
          </cell>
          <cell r="DC756">
            <v>14</v>
          </cell>
          <cell r="DD756">
            <v>-9</v>
          </cell>
          <cell r="DE756">
            <v>-7</v>
          </cell>
          <cell r="DF756">
            <v>-32</v>
          </cell>
          <cell r="DG756">
            <v>4</v>
          </cell>
          <cell r="DH756">
            <v>-2</v>
          </cell>
          <cell r="DI756">
            <v>-3</v>
          </cell>
          <cell r="DJ756">
            <v>0</v>
          </cell>
          <cell r="DK756">
            <v>3</v>
          </cell>
          <cell r="DL756">
            <v>-11</v>
          </cell>
          <cell r="DM756">
            <v>-1</v>
          </cell>
          <cell r="DN756">
            <v>2</v>
          </cell>
          <cell r="DO756">
            <v>-2</v>
          </cell>
          <cell r="DP756">
            <v>2</v>
          </cell>
          <cell r="DQ756">
            <v>0</v>
          </cell>
          <cell r="DR756">
            <v>0</v>
          </cell>
          <cell r="DT756">
            <v>-2</v>
          </cell>
        </row>
        <row r="758">
          <cell r="B758" t="str">
            <v>Total LyondellBasell</v>
          </cell>
          <cell r="T758">
            <v>3052</v>
          </cell>
          <cell r="U758">
            <v>1946</v>
          </cell>
          <cell r="V758">
            <v>4005</v>
          </cell>
          <cell r="W758">
            <v>5653</v>
          </cell>
          <cell r="X758">
            <v>5748</v>
          </cell>
          <cell r="Y758">
            <v>6311</v>
          </cell>
          <cell r="Z758">
            <v>6374.1382199977115</v>
          </cell>
          <cell r="AA758">
            <v>6525.9792035768969</v>
          </cell>
          <cell r="AB758">
            <v>6634.03500280548</v>
          </cell>
          <cell r="AC758">
            <v>6443.6090130066314</v>
          </cell>
          <cell r="AD758">
            <v>6135.512126481688</v>
          </cell>
          <cell r="AE758">
            <v>4410.6599026975364</v>
          </cell>
          <cell r="AF758">
            <v>4089.7107189453986</v>
          </cell>
          <cell r="CU758">
            <v>255</v>
          </cell>
          <cell r="CV758">
            <v>590</v>
          </cell>
          <cell r="CW758">
            <v>694</v>
          </cell>
          <cell r="CX758">
            <v>515</v>
          </cell>
          <cell r="CY758">
            <v>682</v>
          </cell>
          <cell r="CZ758">
            <v>1426</v>
          </cell>
          <cell r="DA758">
            <v>1259</v>
          </cell>
          <cell r="DB758">
            <v>786</v>
          </cell>
          <cell r="DC758">
            <v>1432</v>
          </cell>
          <cell r="DD758">
            <v>1654</v>
          </cell>
          <cell r="DE758">
            <v>1814</v>
          </cell>
          <cell r="DF758">
            <v>776</v>
          </cell>
          <cell r="DG758">
            <v>1228</v>
          </cell>
          <cell r="DH758">
            <v>1745</v>
          </cell>
          <cell r="DI758">
            <v>1470</v>
          </cell>
          <cell r="DJ758">
            <v>1289</v>
          </cell>
          <cell r="DK758">
            <v>1585</v>
          </cell>
          <cell r="DL758">
            <v>1652</v>
          </cell>
          <cell r="DM758">
            <v>1531</v>
          </cell>
          <cell r="DN758">
            <v>1543</v>
          </cell>
          <cell r="DO758">
            <v>1565.4897144363699</v>
          </cell>
          <cell r="DP758">
            <v>1484.081280503854</v>
          </cell>
          <cell r="DQ758">
            <v>1671.5123023775795</v>
          </cell>
          <cell r="DR758">
            <v>1653.0549226799085</v>
          </cell>
          <cell r="DT758">
            <v>1608.6787647015844</v>
          </cell>
        </row>
        <row r="759">
          <cell r="B759" t="str">
            <v>Growth</v>
          </cell>
          <cell r="U759">
            <v>-0.36238532110091748</v>
          </cell>
          <cell r="V759">
            <v>1.0580678314491263</v>
          </cell>
          <cell r="W759">
            <v>0.41148564294631718</v>
          </cell>
          <cell r="X759">
            <v>1.6805236157792391E-2</v>
          </cell>
          <cell r="Y759">
            <v>9.7947112038970108E-2</v>
          </cell>
          <cell r="Z759">
            <v>1.0004471557235162E-2</v>
          </cell>
          <cell r="AA759">
            <v>2.3821413709356198E-2</v>
          </cell>
          <cell r="AB759">
            <v>1.6557790924212279E-2</v>
          </cell>
          <cell r="AC759">
            <v>-2.870439931630131E-2</v>
          </cell>
          <cell r="AD759">
            <v>-4.7814336019308401E-2</v>
          </cell>
          <cell r="AE759">
            <v>-0.28112603939603664</v>
          </cell>
          <cell r="AF759">
            <v>-7.2766704038061736E-2</v>
          </cell>
          <cell r="CV759">
            <v>1.3137254901960786</v>
          </cell>
          <cell r="CW759">
            <v>0.17627118644067807</v>
          </cell>
          <cell r="CX759">
            <v>-0.25792507204610948</v>
          </cell>
          <cell r="CY759">
            <v>0.32427184466019421</v>
          </cell>
          <cell r="CZ759">
            <v>1.0909090909090908</v>
          </cell>
          <cell r="DA759">
            <v>-0.11711079943899017</v>
          </cell>
          <cell r="DB759">
            <v>-0.37569499602859413</v>
          </cell>
          <cell r="DC759">
            <v>0.82188295165394409</v>
          </cell>
          <cell r="DD759">
            <v>0.1550279329608939</v>
          </cell>
          <cell r="DE759">
            <v>9.6735187424425551E-2</v>
          </cell>
          <cell r="DF759">
            <v>-0.57221609702315324</v>
          </cell>
          <cell r="DG759">
            <v>0.58247422680412364</v>
          </cell>
          <cell r="DH759">
            <v>0.42100977198697076</v>
          </cell>
          <cell r="DI759">
            <v>-0.15759312320916907</v>
          </cell>
          <cell r="DJ759">
            <v>-0.12312925170068023</v>
          </cell>
          <cell r="DK759">
            <v>0.2296353762606671</v>
          </cell>
          <cell r="DL759">
            <v>4.227129337539437E-2</v>
          </cell>
          <cell r="DM759">
            <v>-7.3244552058111423E-2</v>
          </cell>
          <cell r="DN759">
            <v>7.8380143696930027E-3</v>
          </cell>
          <cell r="DO759">
            <v>1.4575317197906612E-2</v>
          </cell>
          <cell r="DP759">
            <v>-5.2001896391779101E-2</v>
          </cell>
          <cell r="DQ759">
            <v>0.12629431038311578</v>
          </cell>
          <cell r="DR759">
            <v>-1.1042323572143076E-2</v>
          </cell>
          <cell r="DT759">
            <v>1.4939283723397034E-2</v>
          </cell>
        </row>
        <row r="760">
          <cell r="B760" t="str">
            <v>Margin</v>
          </cell>
          <cell r="T760">
            <v>6.0190115568177334E-2</v>
          </cell>
          <cell r="U760">
            <v>6.3165411581407427E-2</v>
          </cell>
          <cell r="V760">
            <v>9.7324487861777359E-2</v>
          </cell>
          <cell r="W760">
            <v>0.11076712060350739</v>
          </cell>
          <cell r="X760">
            <v>0.12633800030771258</v>
          </cell>
          <cell r="Y760">
            <v>0.14322999409922382</v>
          </cell>
          <cell r="Z760">
            <v>0.1404102022856088</v>
          </cell>
          <cell r="AA760">
            <v>0.12885310859189888</v>
          </cell>
          <cell r="AB760">
            <v>0.13070247486211903</v>
          </cell>
          <cell r="AC760">
            <v>0.12893101315332181</v>
          </cell>
          <cell r="AD760">
            <v>0.12423683594401189</v>
          </cell>
          <cell r="AE760">
            <v>9.0036009382296181E-2</v>
          </cell>
          <cell r="AF760">
            <v>8.4012142706406515E-2</v>
          </cell>
          <cell r="CU760">
            <v>4.3220338983050846E-2</v>
          </cell>
          <cell r="CV760">
            <v>7.8677156954260571E-2</v>
          </cell>
          <cell r="CW760">
            <v>8.0585229911751044E-2</v>
          </cell>
          <cell r="CX760">
            <v>5.8409889985255758E-2</v>
          </cell>
          <cell r="CY760">
            <v>6.9912865197334695E-2</v>
          </cell>
          <cell r="CZ760">
            <v>0.13601678748569249</v>
          </cell>
          <cell r="DA760">
            <v>0.12220927975150456</v>
          </cell>
          <cell r="DB760">
            <v>7.4081055607917057E-2</v>
          </cell>
          <cell r="DC760">
            <v>0.11687887691805419</v>
          </cell>
          <cell r="DD760">
            <v>0.11778948867682666</v>
          </cell>
          <cell r="DE760">
            <v>0.13642174926675191</v>
          </cell>
          <cell r="DF760">
            <v>6.7808458580915762E-2</v>
          </cell>
          <cell r="DG760">
            <v>0.10337570502567556</v>
          </cell>
          <cell r="DH760">
            <v>0.15513869132290184</v>
          </cell>
          <cell r="DI760">
            <v>0.13040007096602502</v>
          </cell>
          <cell r="DJ760">
            <v>0.11615752005046409</v>
          </cell>
          <cell r="DK760">
            <v>0.14856125222607555</v>
          </cell>
          <cell r="DL760">
            <v>0.14878861568945331</v>
          </cell>
          <cell r="DM760">
            <v>0.13728479196556673</v>
          </cell>
          <cell r="DN760">
            <v>0.13853474591488599</v>
          </cell>
          <cell r="DO760" t="str">
            <v>NM</v>
          </cell>
          <cell r="DP760">
            <v>0.15832913505312021</v>
          </cell>
          <cell r="DQ760" t="str">
            <v>NM</v>
          </cell>
          <cell r="DR760" t="str">
            <v>NM</v>
          </cell>
          <cell r="DT760">
            <v>0.14366517064611731</v>
          </cell>
        </row>
        <row r="762">
          <cell r="B762" t="str">
            <v>% of Profits</v>
          </cell>
        </row>
        <row r="764">
          <cell r="B764" t="str">
            <v>Olefins and Polyolefins - Americas</v>
          </cell>
          <cell r="T764">
            <v>-5.242463958060288E-2</v>
          </cell>
          <cell r="U764">
            <v>0.34994861253854059</v>
          </cell>
          <cell r="V764">
            <v>0.42921348314606744</v>
          </cell>
          <cell r="W764">
            <v>0.3789138510525385</v>
          </cell>
          <cell r="X764">
            <v>0.51043841336116913</v>
          </cell>
          <cell r="Y764">
            <v>0.56615433370305812</v>
          </cell>
          <cell r="Z764">
            <v>0.57008275207297632</v>
          </cell>
          <cell r="AA764">
            <v>0.54330576644415562</v>
          </cell>
          <cell r="AB764">
            <v>0.55310700966436444</v>
          </cell>
          <cell r="AC764">
            <v>0.5427628020632963</v>
          </cell>
          <cell r="AD764">
            <v>0.52129120935463291</v>
          </cell>
          <cell r="AE764">
            <v>0.32874105002370624</v>
          </cell>
          <cell r="AF764">
            <v>0.29736608490062461</v>
          </cell>
          <cell r="CU764">
            <v>7.0588235294117646E-2</v>
          </cell>
          <cell r="CV764">
            <v>0.35084745762711866</v>
          </cell>
          <cell r="CW764">
            <v>0.38472622478386165</v>
          </cell>
          <cell r="CX764">
            <v>0.36699029126213595</v>
          </cell>
          <cell r="CY764">
            <v>0.40175953079178883</v>
          </cell>
          <cell r="CZ764">
            <v>0.41023842917251052</v>
          </cell>
          <cell r="DA764">
            <v>0.41143764892772039</v>
          </cell>
          <cell r="DB764">
            <v>0.4351145038167939</v>
          </cell>
          <cell r="DC764">
            <v>0.33798882681564246</v>
          </cell>
          <cell r="DD764">
            <v>0.34945586457073763</v>
          </cell>
          <cell r="DE764">
            <v>0.37100330760749722</v>
          </cell>
          <cell r="DF764">
            <v>0.52448453608247425</v>
          </cell>
          <cell r="DG764">
            <v>0.48697068403908794</v>
          </cell>
          <cell r="DH764">
            <v>0.46876790830945558</v>
          </cell>
          <cell r="DI764">
            <v>0.50952380952380949</v>
          </cell>
          <cell r="DJ764">
            <v>0.59658650116369283</v>
          </cell>
          <cell r="DK764">
            <v>0.56656151419558365</v>
          </cell>
          <cell r="DL764">
            <v>0.57566585956416461</v>
          </cell>
          <cell r="DM764">
            <v>0.5493141737426519</v>
          </cell>
          <cell r="DN764">
            <v>0.57226182760855482</v>
          </cell>
          <cell r="DO764">
            <v>0.55875304453938035</v>
          </cell>
          <cell r="DP764">
            <v>0.53707554658508994</v>
          </cell>
          <cell r="DQ764">
            <v>0.5921235570333202</v>
          </cell>
          <cell r="DR764">
            <v>0.58815864256049366</v>
          </cell>
          <cell r="DT764">
            <v>0.56154865321480707</v>
          </cell>
        </row>
        <row r="765">
          <cell r="B765" t="str">
            <v>Olefins and Polyolefins - Rest of World</v>
          </cell>
          <cell r="T765">
            <v>0.1998689384010485</v>
          </cell>
          <cell r="U765">
            <v>2.2096608427543678E-2</v>
          </cell>
          <cell r="V765">
            <v>0.20424469413233459</v>
          </cell>
          <cell r="W765">
            <v>0.17530514770918096</v>
          </cell>
          <cell r="X765">
            <v>9.794711203897008E-2</v>
          </cell>
          <cell r="Y765">
            <v>0.13294248138171447</v>
          </cell>
          <cell r="Z765">
            <v>0.13489672802167205</v>
          </cell>
          <cell r="AA765">
            <v>0.18000450846296048</v>
          </cell>
          <cell r="AB765">
            <v>0.18173686857349236</v>
          </cell>
          <cell r="AC765">
            <v>0.18759083318646746</v>
          </cell>
          <cell r="AD765">
            <v>0.20261926138683453</v>
          </cell>
          <cell r="AE765">
            <v>0.29031230924127521</v>
          </cell>
          <cell r="AF765">
            <v>0.29529234224456608</v>
          </cell>
          <cell r="CU765">
            <v>-5.8823529411764705E-2</v>
          </cell>
          <cell r="CV765">
            <v>0.16949152542372881</v>
          </cell>
          <cell r="CW765">
            <v>0.25936599423631124</v>
          </cell>
          <cell r="CX765">
            <v>8.155339805825243E-2</v>
          </cell>
          <cell r="CY765">
            <v>0.22287390029325513</v>
          </cell>
          <cell r="CZ765">
            <v>0.18022440392706873</v>
          </cell>
          <cell r="DA765">
            <v>0.2335186656076251</v>
          </cell>
          <cell r="DB765">
            <v>0.14631043256997456</v>
          </cell>
          <cell r="DC765">
            <v>0.23254189944134079</v>
          </cell>
          <cell r="DD765">
            <v>0.20253929866989118</v>
          </cell>
          <cell r="DE765">
            <v>0.14388092613009923</v>
          </cell>
          <cell r="DF765">
            <v>7.9896907216494839E-2</v>
          </cell>
          <cell r="DG765">
            <v>8.3876221498371331E-2</v>
          </cell>
          <cell r="DH765">
            <v>0.19197707736389685</v>
          </cell>
          <cell r="DI765">
            <v>5.1020408163265307E-2</v>
          </cell>
          <cell r="DJ765">
            <v>3.8789759503491075E-2</v>
          </cell>
          <cell r="DK765">
            <v>0.14195583596214512</v>
          </cell>
          <cell r="DL765">
            <v>0.17857142857142858</v>
          </cell>
          <cell r="DM765">
            <v>0.13324624428478118</v>
          </cell>
          <cell r="DN765">
            <v>7.4530136098509392E-2</v>
          </cell>
          <cell r="DO765">
            <v>0.13911058161756576</v>
          </cell>
          <cell r="DP765">
            <v>0.145000145983364</v>
          </cell>
          <cell r="DQ765">
            <v>0.12820862086287715</v>
          </cell>
          <cell r="DR765">
            <v>0.1285982170707225</v>
          </cell>
          <cell r="DT765">
            <v>0.14563980355932232</v>
          </cell>
        </row>
        <row r="766">
          <cell r="B766" t="str">
            <v>Olefins and Polyolefins - Total</v>
          </cell>
          <cell r="T766">
            <v>0.1474442988204456</v>
          </cell>
          <cell r="U766">
            <v>0.37204522096608428</v>
          </cell>
          <cell r="V766">
            <v>0.63345817727840203</v>
          </cell>
          <cell r="W766">
            <v>0.55421899876171943</v>
          </cell>
          <cell r="X766">
            <v>0.60838552540013913</v>
          </cell>
          <cell r="Y766">
            <v>0.69909681508477262</v>
          </cell>
          <cell r="Z766">
            <v>0.70497948009464839</v>
          </cell>
          <cell r="AA766">
            <v>0.72331027490711608</v>
          </cell>
          <cell r="AB766">
            <v>0.7348438782378568</v>
          </cell>
          <cell r="AC766">
            <v>0.73035363524976371</v>
          </cell>
          <cell r="AD766">
            <v>0.72391047074146753</v>
          </cell>
          <cell r="AE766">
            <v>0.61905335926498151</v>
          </cell>
          <cell r="AF766">
            <v>0.59265842714519068</v>
          </cell>
          <cell r="CU766">
            <v>1.1764705882352941E-2</v>
          </cell>
          <cell r="CV766">
            <v>0.52033898305084747</v>
          </cell>
          <cell r="CW766">
            <v>0.64409221902017288</v>
          </cell>
          <cell r="CX766">
            <v>0.44854368932038835</v>
          </cell>
          <cell r="CY766">
            <v>0.62463343108504399</v>
          </cell>
          <cell r="CZ766">
            <v>0.59046283309957925</v>
          </cell>
          <cell r="DA766">
            <v>0.64495631453534552</v>
          </cell>
          <cell r="DB766">
            <v>0.5814249363867684</v>
          </cell>
          <cell r="DC766">
            <v>0.5705307262569832</v>
          </cell>
          <cell r="DD766">
            <v>0.55199516324062881</v>
          </cell>
          <cell r="DE766">
            <v>0.51488423373759651</v>
          </cell>
          <cell r="DF766">
            <v>0.60438144329896903</v>
          </cell>
          <cell r="DG766">
            <v>0.57084690553745931</v>
          </cell>
          <cell r="DH766">
            <v>0.66074498567335238</v>
          </cell>
          <cell r="DI766">
            <v>0.56054421768707485</v>
          </cell>
          <cell r="DJ766">
            <v>0.63537626066718389</v>
          </cell>
          <cell r="DK766">
            <v>0.70851735015772865</v>
          </cell>
          <cell r="DL766">
            <v>0.75423728813559321</v>
          </cell>
          <cell r="DM766">
            <v>0.68256041802743306</v>
          </cell>
          <cell r="DN766">
            <v>0.64679196370706415</v>
          </cell>
          <cell r="DO766">
            <v>0.69786362615694619</v>
          </cell>
          <cell r="DP766">
            <v>0.68207569256845402</v>
          </cell>
          <cell r="DQ766">
            <v>0.7203321778961973</v>
          </cell>
          <cell r="DR766">
            <v>0.71675685963121616</v>
          </cell>
          <cell r="DT766">
            <v>0.70718845677412945</v>
          </cell>
        </row>
        <row r="768">
          <cell r="B768" t="str">
            <v>Intermediates &amp; Derivatives</v>
          </cell>
          <cell r="T768">
            <v>0.1425294888597641</v>
          </cell>
          <cell r="U768">
            <v>0.29033915724563208</v>
          </cell>
          <cell r="V768">
            <v>0.20674157303370785</v>
          </cell>
          <cell r="W768">
            <v>0.24517955068105432</v>
          </cell>
          <cell r="X768">
            <v>0.28444676409185804</v>
          </cell>
          <cell r="Y768">
            <v>0.23641261289811441</v>
          </cell>
          <cell r="Z768">
            <v>0.22203820073622524</v>
          </cell>
          <cell r="AA768">
            <v>0.19618858057313807</v>
          </cell>
          <cell r="AB768">
            <v>0.1850853378914879</v>
          </cell>
          <cell r="AC768">
            <v>0.18436464279662729</v>
          </cell>
          <cell r="AD768">
            <v>0.18790030425939167</v>
          </cell>
          <cell r="AE768">
            <v>0.25603593780185624</v>
          </cell>
          <cell r="AF768">
            <v>0.26987337374521131</v>
          </cell>
          <cell r="CU768">
            <v>0.5490196078431373</v>
          </cell>
          <cell r="CV768">
            <v>0.18474576271186441</v>
          </cell>
          <cell r="CW768">
            <v>0.20317002881844382</v>
          </cell>
          <cell r="CX768">
            <v>0.25048543689320391</v>
          </cell>
          <cell r="CY768">
            <v>0.28005865102639294</v>
          </cell>
          <cell r="CZ768">
            <v>0.14656381486676018</v>
          </cell>
          <cell r="DA768">
            <v>0.19301032565528198</v>
          </cell>
          <cell r="DB768">
            <v>0.26844783715012721</v>
          </cell>
          <cell r="DC768">
            <v>0.22346368715083798</v>
          </cell>
          <cell r="DD768">
            <v>0.25090689238210401</v>
          </cell>
          <cell r="DE768">
            <v>0.22877618522601983</v>
          </cell>
          <cell r="DF768">
            <v>0.30412371134020616</v>
          </cell>
          <cell r="DG768">
            <v>0.34039087947882735</v>
          </cell>
          <cell r="DH768">
            <v>0.25042979942693411</v>
          </cell>
          <cell r="DI768">
            <v>0.3231292517006803</v>
          </cell>
          <cell r="DJ768">
            <v>0.23661753297129559</v>
          </cell>
          <cell r="DK768">
            <v>0.23533123028391167</v>
          </cell>
          <cell r="DL768">
            <v>0.20460048426150121</v>
          </cell>
          <cell r="DM768">
            <v>0.27890267798824298</v>
          </cell>
          <cell r="DN768">
            <v>0.22942320155541154</v>
          </cell>
          <cell r="DO768">
            <v>0.23604370709100697</v>
          </cell>
          <cell r="DP768">
            <v>0.24505418810541041</v>
          </cell>
          <cell r="DQ768">
            <v>0.20332466278724359</v>
          </cell>
          <cell r="DR768">
            <v>0.20703376083058569</v>
          </cell>
          <cell r="DT768">
            <v>0.21971263586146964</v>
          </cell>
        </row>
        <row r="770">
          <cell r="B770" t="str">
            <v xml:space="preserve">Refining </v>
          </cell>
          <cell r="T770">
            <v>0.23296199213630406</v>
          </cell>
          <cell r="U770">
            <v>0.10688591983556012</v>
          </cell>
          <cell r="V770">
            <v>0.11385767790262172</v>
          </cell>
          <cell r="W770">
            <v>0.17282858659119052</v>
          </cell>
          <cell r="X770">
            <v>7.0285316631871958E-2</v>
          </cell>
          <cell r="Y770">
            <v>2.8838535889716368E-2</v>
          </cell>
          <cell r="Z770">
            <v>3.3311833328910183E-2</v>
          </cell>
          <cell r="AA770">
            <v>4.0648953471166885E-2</v>
          </cell>
          <cell r="AB770">
            <v>3.9685687502200792E-2</v>
          </cell>
          <cell r="AC770">
            <v>4.2385279654415763E-2</v>
          </cell>
          <cell r="AD770">
            <v>4.1645522367587916E-2</v>
          </cell>
          <cell r="AE770">
            <v>5.7931605051599513E-2</v>
          </cell>
          <cell r="AF770">
            <v>6.2649089534154101E-2</v>
          </cell>
          <cell r="CU770">
            <v>0.36470588235294116</v>
          </cell>
          <cell r="CV770">
            <v>0.10508474576271186</v>
          </cell>
          <cell r="CW770">
            <v>0.15273775216138327</v>
          </cell>
          <cell r="CX770">
            <v>-0.11844660194174757</v>
          </cell>
          <cell r="CY770">
            <v>1.0263929618768328E-2</v>
          </cell>
          <cell r="CZ770">
            <v>0.16058906030855541</v>
          </cell>
          <cell r="DA770">
            <v>0.11199364575059571</v>
          </cell>
          <cell r="DB770">
            <v>0.1005089058524173</v>
          </cell>
          <cell r="DC770">
            <v>0.13268156424581007</v>
          </cell>
          <cell r="DD770">
            <v>0.17714631197097944</v>
          </cell>
          <cell r="DE770">
            <v>0.23539140022050717</v>
          </cell>
          <cell r="DF770">
            <v>8.6340206185567009E-2</v>
          </cell>
          <cell r="DG770">
            <v>3.9087947882736153E-2</v>
          </cell>
          <cell r="DH770">
            <v>6.1891117478510026E-2</v>
          </cell>
          <cell r="DI770">
            <v>8.5714285714285715E-2</v>
          </cell>
          <cell r="DJ770">
            <v>9.4647013188518231E-2</v>
          </cell>
          <cell r="DK770">
            <v>1.2618296529968454E-2</v>
          </cell>
          <cell r="DL770">
            <v>1.2106537530266344E-2</v>
          </cell>
          <cell r="DM770">
            <v>5.2253429131286742E-3</v>
          </cell>
          <cell r="DN770">
            <v>8.6843810758263126E-2</v>
          </cell>
          <cell r="DO770">
            <v>2.6989062662230164E-2</v>
          </cell>
          <cell r="DP770">
            <v>2.8926239124467221E-2</v>
          </cell>
          <cell r="DQ770">
            <v>3.852334195112276E-2</v>
          </cell>
          <cell r="DR770">
            <v>3.7967280541563113E-2</v>
          </cell>
          <cell r="DT770">
            <v>3.8443138155971134E-2</v>
          </cell>
        </row>
        <row r="772">
          <cell r="B772" t="str">
            <v>Technology</v>
          </cell>
          <cell r="T772">
            <v>9.7968545216251632E-2</v>
          </cell>
          <cell r="U772">
            <v>0.15981500513874614</v>
          </cell>
          <cell r="V772">
            <v>5.2184769038701624E-2</v>
          </cell>
          <cell r="W772">
            <v>3.3787369538298251E-2</v>
          </cell>
          <cell r="X772">
            <v>3.7056367432150315E-2</v>
          </cell>
          <cell r="Y772">
            <v>3.6761210584693393E-2</v>
          </cell>
          <cell r="Z772">
            <v>3.9670485840216187E-2</v>
          </cell>
          <cell r="AA772">
            <v>3.9852191048579011E-2</v>
          </cell>
          <cell r="AB772">
            <v>4.0385096368454561E-2</v>
          </cell>
          <cell r="AC772">
            <v>4.2896442299193163E-2</v>
          </cell>
          <cell r="AD772">
            <v>4.654370263155283E-2</v>
          </cell>
          <cell r="AE772">
            <v>6.6979097881562782E-2</v>
          </cell>
          <cell r="AF772">
            <v>7.4819109575443882E-2</v>
          </cell>
          <cell r="CU772">
            <v>0.25882352941176473</v>
          </cell>
          <cell r="CV772">
            <v>0.16610169491525423</v>
          </cell>
          <cell r="CW772">
            <v>9.5100864553314124E-2</v>
          </cell>
          <cell r="CX772">
            <v>0.1553398058252427</v>
          </cell>
          <cell r="CY772">
            <v>7.0381231671554259E-2</v>
          </cell>
          <cell r="CZ772">
            <v>3.0154277699859747E-2</v>
          </cell>
          <cell r="DA772">
            <v>6.1953931691818905E-2</v>
          </cell>
          <cell r="DB772">
            <v>5.5979643765903309E-2</v>
          </cell>
          <cell r="DC772">
            <v>6.3547486033519548E-2</v>
          </cell>
          <cell r="DD772">
            <v>2.539298669891173E-2</v>
          </cell>
          <cell r="DE772">
            <v>2.4807056229327454E-2</v>
          </cell>
          <cell r="DF772">
            <v>4.6391752577319589E-2</v>
          </cell>
          <cell r="DG772">
            <v>4.6416938110749185E-2</v>
          </cell>
          <cell r="DH772">
            <v>2.8080229226361032E-2</v>
          </cell>
          <cell r="DI772">
            <v>3.2653061224489799E-2</v>
          </cell>
          <cell r="DJ772">
            <v>3.335919317300233E-2</v>
          </cell>
          <cell r="DK772">
            <v>4.16403785488959E-2</v>
          </cell>
          <cell r="DL772">
            <v>3.5714285714285712E-2</v>
          </cell>
          <cell r="DM772">
            <v>3.3964728935336384E-2</v>
          </cell>
          <cell r="DN772">
            <v>3.5644847699287101E-2</v>
          </cell>
          <cell r="DO772">
            <v>4.0381159593092589E-2</v>
          </cell>
          <cell r="DP772">
            <v>4.2596245118419467E-2</v>
          </cell>
          <cell r="DQ772">
            <v>3.7819817365436305E-2</v>
          </cell>
          <cell r="DR772">
            <v>3.8242098996635075E-2</v>
          </cell>
          <cell r="DT772">
            <v>3.5899025502902582E-2</v>
          </cell>
        </row>
        <row r="774">
          <cell r="B774" t="str">
            <v>Other</v>
          </cell>
          <cell r="T774">
            <v>0.37909567496723462</v>
          </cell>
          <cell r="U774">
            <v>7.0914696813977385E-2</v>
          </cell>
          <cell r="V774">
            <v>-6.2421972534332081E-3</v>
          </cell>
          <cell r="W774">
            <v>-6.0145055722625159E-3</v>
          </cell>
          <cell r="X774">
            <v>-1.7397355601948505E-4</v>
          </cell>
          <cell r="Y774">
            <v>-1.1091744572967834E-3</v>
          </cell>
          <cell r="Z774">
            <v>0</v>
          </cell>
          <cell r="AA774">
            <v>0</v>
          </cell>
          <cell r="AB774">
            <v>0</v>
          </cell>
          <cell r="AC774">
            <v>0</v>
          </cell>
          <cell r="AD774">
            <v>0</v>
          </cell>
          <cell r="AE774">
            <v>0</v>
          </cell>
          <cell r="AF774">
            <v>0</v>
          </cell>
          <cell r="CU774">
            <v>-0.18431372549019609</v>
          </cell>
          <cell r="CV774">
            <v>2.3728813559322035E-2</v>
          </cell>
          <cell r="CW774">
            <v>-9.5100864553314124E-2</v>
          </cell>
          <cell r="CX774">
            <v>0.26407766990291265</v>
          </cell>
          <cell r="CY774">
            <v>1.466275659824047E-2</v>
          </cell>
          <cell r="CZ774">
            <v>7.223001402524544E-2</v>
          </cell>
          <cell r="DA774">
            <v>-1.1914217633042097E-2</v>
          </cell>
          <cell r="DB774">
            <v>-6.3613231552162846E-3</v>
          </cell>
          <cell r="DC774">
            <v>9.7765363128491621E-3</v>
          </cell>
          <cell r="DD774">
            <v>-5.4413542926239422E-3</v>
          </cell>
          <cell r="DE774">
            <v>-3.858875413450937E-3</v>
          </cell>
          <cell r="DF774">
            <v>-4.1237113402061855E-2</v>
          </cell>
          <cell r="DG774">
            <v>3.2573289902280132E-3</v>
          </cell>
          <cell r="DH774">
            <v>-1.146131805157593E-3</v>
          </cell>
          <cell r="DI774">
            <v>-2.0408163265306124E-3</v>
          </cell>
          <cell r="DJ774">
            <v>0</v>
          </cell>
          <cell r="DK774">
            <v>1.8927444794952682E-3</v>
          </cell>
          <cell r="DL774">
            <v>-6.6585956416464892E-3</v>
          </cell>
          <cell r="DM774">
            <v>-6.5316786414108428E-4</v>
          </cell>
          <cell r="DN774">
            <v>1.2961762799740765E-3</v>
          </cell>
          <cell r="DO774">
            <v>-1.2775555032758989E-3</v>
          </cell>
          <cell r="DP774">
            <v>1.3476350832489368E-3</v>
          </cell>
          <cell r="DQ774">
            <v>0</v>
          </cell>
          <cell r="DR774">
            <v>0</v>
          </cell>
          <cell r="DT774">
            <v>-1.2432562944728167E-3</v>
          </cell>
        </row>
        <row r="777">
          <cell r="B777" t="str">
            <v>% of Revenue</v>
          </cell>
        </row>
        <row r="779">
          <cell r="B779" t="str">
            <v>Olefins and Polyolefins - Americas</v>
          </cell>
          <cell r="T779">
            <v>0.32366978266871771</v>
          </cell>
          <cell r="U779">
            <v>0.27960270059724746</v>
          </cell>
          <cell r="V779">
            <v>0.3059220918082185</v>
          </cell>
          <cell r="W779">
            <v>0.29156461252081906</v>
          </cell>
          <cell r="X779">
            <v>0.28428248016352725</v>
          </cell>
          <cell r="Y779">
            <v>0.29705869002768825</v>
          </cell>
          <cell r="Z779">
            <v>0.29613763344819666</v>
          </cell>
          <cell r="AA779">
            <v>0.27468783261250629</v>
          </cell>
          <cell r="AB779">
            <v>0.29446641148960617</v>
          </cell>
          <cell r="AC779">
            <v>0.29599826915922101</v>
          </cell>
          <cell r="AD779">
            <v>0.29729594314490043</v>
          </cell>
          <cell r="AE779">
            <v>0.29746135282802272</v>
          </cell>
          <cell r="AF779">
            <v>0.29791543893959027</v>
          </cell>
        </row>
        <row r="780">
          <cell r="B780" t="str">
            <v>Olefins and Polyolefins - Rest of World</v>
          </cell>
          <cell r="T780">
            <v>0.2660237447244902</v>
          </cell>
          <cell r="U780">
            <v>0.30514801350298626</v>
          </cell>
          <cell r="V780">
            <v>0.31381983426891208</v>
          </cell>
          <cell r="W780">
            <v>0.30398745958655826</v>
          </cell>
          <cell r="X780">
            <v>0.31846055783897842</v>
          </cell>
          <cell r="Y780">
            <v>0.33328037764967544</v>
          </cell>
          <cell r="Z780">
            <v>0.31881271793918842</v>
          </cell>
          <cell r="AA780">
            <v>0.41551064819933642</v>
          </cell>
          <cell r="AB780">
            <v>0.41263365955765602</v>
          </cell>
          <cell r="AC780">
            <v>0.41478024066664254</v>
          </cell>
          <cell r="AD780">
            <v>0.41659866186760375</v>
          </cell>
          <cell r="AE780">
            <v>0.41683044926409413</v>
          </cell>
          <cell r="AF780">
            <v>0.4174667568586431</v>
          </cell>
        </row>
        <row r="781">
          <cell r="B781" t="str">
            <v>Olefins and Polyolefins - Total</v>
          </cell>
          <cell r="T781">
            <v>0.58969352739320791</v>
          </cell>
          <cell r="U781">
            <v>0.58475071410023371</v>
          </cell>
          <cell r="V781">
            <v>0.61974192607713052</v>
          </cell>
          <cell r="W781">
            <v>0.59555207210737726</v>
          </cell>
          <cell r="X781">
            <v>0.60274303800250562</v>
          </cell>
          <cell r="Y781">
            <v>0.6303390676773637</v>
          </cell>
          <cell r="Z781">
            <v>0.61495035138738507</v>
          </cell>
          <cell r="AA781">
            <v>0.69019848081184276</v>
          </cell>
          <cell r="AB781">
            <v>0.70710007104726225</v>
          </cell>
          <cell r="AC781">
            <v>0.71077850982586355</v>
          </cell>
          <cell r="AD781">
            <v>0.71389460501250412</v>
          </cell>
          <cell r="AE781">
            <v>0.71429180209211685</v>
          </cell>
          <cell r="AF781">
            <v>0.71538219579823348</v>
          </cell>
        </row>
        <row r="783">
          <cell r="B783" t="str">
            <v>Intermediates &amp; Derivatives</v>
          </cell>
          <cell r="T783">
            <v>0.12262848578077545</v>
          </cell>
          <cell r="U783">
            <v>0.12263048558815892</v>
          </cell>
          <cell r="V783">
            <v>0.13545235838740249</v>
          </cell>
          <cell r="W783">
            <v>0.1872636425982169</v>
          </cell>
          <cell r="X783">
            <v>0.2122777325977537</v>
          </cell>
          <cell r="Y783">
            <v>0.214969815260315</v>
          </cell>
          <cell r="Z783">
            <v>0.20787150608012261</v>
          </cell>
          <cell r="AA783">
            <v>0.17526032589467064</v>
          </cell>
          <cell r="AB783">
            <v>0.1675361436198973</v>
          </cell>
          <cell r="AC783">
            <v>0.16549465576525649</v>
          </cell>
          <cell r="AD783">
            <v>0.16371207900914536</v>
          </cell>
          <cell r="AE783">
            <v>0.16314541778723463</v>
          </cell>
          <cell r="AF783">
            <v>0.16226917414143663</v>
          </cell>
        </row>
        <row r="785">
          <cell r="B785" t="str">
            <v>Refining and Oxyfuels</v>
          </cell>
          <cell r="T785">
            <v>0.36212677000749416</v>
          </cell>
          <cell r="U785">
            <v>0.39204102830433651</v>
          </cell>
          <cell r="V785">
            <v>0.36618794196981846</v>
          </cell>
          <cell r="W785">
            <v>0.26856079161359853</v>
          </cell>
          <cell r="X785">
            <v>0.29212915137261797</v>
          </cell>
          <cell r="Y785">
            <v>0.26548953746992876</v>
          </cell>
          <cell r="Z785">
            <v>0.27278369364185018</v>
          </cell>
          <cell r="AA785">
            <v>0.23048463422911231</v>
          </cell>
          <cell r="AB785">
            <v>0.22065699083397119</v>
          </cell>
          <cell r="AC785">
            <v>0.21817825418798167</v>
          </cell>
          <cell r="AD785">
            <v>0.21599842656005036</v>
          </cell>
          <cell r="AE785">
            <v>0.21533665151051654</v>
          </cell>
          <cell r="AF785">
            <v>0.21426653573522295</v>
          </cell>
        </row>
        <row r="787">
          <cell r="B787" t="str">
            <v>Technology</v>
          </cell>
          <cell r="T787">
            <v>1.1497653137695737E-2</v>
          </cell>
          <cell r="U787">
            <v>1.6976110101272396E-2</v>
          </cell>
          <cell r="V787">
            <v>1.2393380476780637E-2</v>
          </cell>
          <cell r="W787">
            <v>9.9147643773880665E-3</v>
          </cell>
          <cell r="X787">
            <v>1.0945776644613931E-2</v>
          </cell>
          <cell r="Y787">
            <v>1.2073895873995733E-2</v>
          </cell>
          <cell r="Z787">
            <v>1.2704050189577688E-2</v>
          </cell>
          <cell r="AA787">
            <v>1.1956485087128198E-2</v>
          </cell>
          <cell r="AB787">
            <v>1.2527074582187339E-2</v>
          </cell>
          <cell r="AC787">
            <v>1.3358605504916961E-2</v>
          </cell>
          <cell r="AD787">
            <v>1.4194554684511718E-2</v>
          </cell>
          <cell r="AE787">
            <v>1.5025335362248735E-2</v>
          </cell>
          <cell r="AF787">
            <v>1.5876335891221637E-2</v>
          </cell>
        </row>
        <row r="789">
          <cell r="B789" t="str">
            <v>Other</v>
          </cell>
          <cell r="T789">
            <v>-8.5985879383110475E-2</v>
          </cell>
          <cell r="U789">
            <v>-0.11639833809400156</v>
          </cell>
          <cell r="V789">
            <v>-0.13377560691113216</v>
          </cell>
          <cell r="W789">
            <v>-0.13796414225531498</v>
          </cell>
          <cell r="X789">
            <v>-0.12407411477679847</v>
          </cell>
          <cell r="Y789">
            <v>-0.12287231628160319</v>
          </cell>
          <cell r="Z789">
            <v>-0.1083096012989356</v>
          </cell>
          <cell r="AA789">
            <v>-0.10789992602275379</v>
          </cell>
          <cell r="AB789">
            <v>-0.107820280083318</v>
          </cell>
          <cell r="AC789">
            <v>-0.10781002528401865</v>
          </cell>
          <cell r="AD789">
            <v>-0.10779966526621174</v>
          </cell>
          <cell r="AE789">
            <v>-0.10779920675211679</v>
          </cell>
          <cell r="AF789">
            <v>-0.10779424156611475</v>
          </cell>
        </row>
        <row r="801">
          <cell r="B801" t="str">
            <v>Intermediates &amp; Derivatives (old)</v>
          </cell>
          <cell r="C801">
            <v>1991</v>
          </cell>
          <cell r="D801">
            <v>1992</v>
          </cell>
          <cell r="E801">
            <v>1993</v>
          </cell>
          <cell r="F801">
            <v>1994</v>
          </cell>
          <cell r="G801">
            <v>1995</v>
          </cell>
          <cell r="H801">
            <v>1996</v>
          </cell>
          <cell r="I801">
            <v>1997</v>
          </cell>
          <cell r="J801">
            <v>1998</v>
          </cell>
          <cell r="K801">
            <v>1999</v>
          </cell>
          <cell r="L801">
            <v>2000</v>
          </cell>
          <cell r="M801">
            <v>2001</v>
          </cell>
          <cell r="N801">
            <v>2002</v>
          </cell>
          <cell r="O801">
            <v>2003</v>
          </cell>
          <cell r="P801">
            <v>2004</v>
          </cell>
          <cell r="Q801">
            <v>2005</v>
          </cell>
          <cell r="R801">
            <v>2006</v>
          </cell>
          <cell r="S801">
            <v>2007</v>
          </cell>
          <cell r="T801">
            <v>2008</v>
          </cell>
          <cell r="U801" t="str">
            <v>2009</v>
          </cell>
          <cell r="V801" t="str">
            <v>2010</v>
          </cell>
          <cell r="W801" t="str">
            <v>2011</v>
          </cell>
          <cell r="X801" t="str">
            <v>2012</v>
          </cell>
          <cell r="Y801" t="str">
            <v>2013e</v>
          </cell>
          <cell r="Z801" t="str">
            <v>2014e</v>
          </cell>
          <cell r="AA801" t="str">
            <v>2015e</v>
          </cell>
          <cell r="AB801" t="str">
            <v>2016e</v>
          </cell>
          <cell r="AC801" t="str">
            <v>2017e</v>
          </cell>
          <cell r="AD801" t="str">
            <v>2018e</v>
          </cell>
          <cell r="AE801" t="str">
            <v>2019e</v>
          </cell>
          <cell r="AF801" t="str">
            <v>2020e</v>
          </cell>
          <cell r="AI801" t="str">
            <v>1993q1</v>
          </cell>
          <cell r="AJ801" t="str">
            <v>1993q2</v>
          </cell>
          <cell r="AK801" t="str">
            <v>1993q3</v>
          </cell>
          <cell r="AL801" t="str">
            <v>1993q4</v>
          </cell>
          <cell r="AM801" t="str">
            <v>1994q1</v>
          </cell>
          <cell r="AN801" t="str">
            <v>1994q2</v>
          </cell>
          <cell r="AO801" t="str">
            <v>1994q3</v>
          </cell>
          <cell r="AP801" t="str">
            <v>1994q4</v>
          </cell>
          <cell r="AQ801" t="str">
            <v>1995q1</v>
          </cell>
          <cell r="AR801" t="str">
            <v>1995q2</v>
          </cell>
          <cell r="AS801" t="str">
            <v>1995q3</v>
          </cell>
          <cell r="AT801" t="str">
            <v>1995q4</v>
          </cell>
          <cell r="AU801" t="str">
            <v>1996q1</v>
          </cell>
          <cell r="AV801" t="str">
            <v>1996q2</v>
          </cell>
          <cell r="AW801" t="str">
            <v>1996q3</v>
          </cell>
          <cell r="AX801" t="str">
            <v>1996q4</v>
          </cell>
          <cell r="AY801" t="str">
            <v>1997q1</v>
          </cell>
          <cell r="AZ801" t="str">
            <v>1997q2</v>
          </cell>
          <cell r="BA801" t="str">
            <v>1997q3</v>
          </cell>
          <cell r="BB801" t="str">
            <v>1997q4</v>
          </cell>
          <cell r="BC801" t="str">
            <v>1998q1</v>
          </cell>
          <cell r="BD801" t="str">
            <v>1998q2</v>
          </cell>
          <cell r="BE801" t="str">
            <v>1998q3</v>
          </cell>
          <cell r="BF801" t="str">
            <v>1998q4</v>
          </cell>
          <cell r="BG801" t="str">
            <v>1999q1</v>
          </cell>
          <cell r="BH801" t="str">
            <v>1999q2</v>
          </cell>
          <cell r="BI801" t="str">
            <v>1999q3</v>
          </cell>
          <cell r="BJ801" t="str">
            <v>1999q4</v>
          </cell>
          <cell r="BK801" t="str">
            <v>2000q1</v>
          </cell>
          <cell r="BL801" t="str">
            <v>2000q2</v>
          </cell>
          <cell r="BM801" t="str">
            <v>2000q3</v>
          </cell>
          <cell r="BN801" t="str">
            <v>2000q4</v>
          </cell>
          <cell r="BO801" t="str">
            <v>2001q1</v>
          </cell>
          <cell r="BP801" t="str">
            <v>2001q2</v>
          </cell>
          <cell r="BQ801" t="str">
            <v>2001q3</v>
          </cell>
          <cell r="BR801" t="str">
            <v>2001q4</v>
          </cell>
          <cell r="BS801" t="str">
            <v>2002q1</v>
          </cell>
          <cell r="BT801" t="str">
            <v>2002q2</v>
          </cell>
          <cell r="BU801" t="str">
            <v>2002q3</v>
          </cell>
          <cell r="BV801" t="str">
            <v>2002q4</v>
          </cell>
          <cell r="BW801" t="str">
            <v>2003q1</v>
          </cell>
          <cell r="BX801" t="str">
            <v>2003q2</v>
          </cell>
          <cell r="BY801" t="str">
            <v>2003q3</v>
          </cell>
          <cell r="BZ801" t="str">
            <v>2003q4</v>
          </cell>
          <cell r="CA801" t="str">
            <v>2004q1</v>
          </cell>
          <cell r="CB801" t="str">
            <v>2004q2</v>
          </cell>
          <cell r="CC801" t="str">
            <v>2004q3</v>
          </cell>
          <cell r="CD801" t="str">
            <v>2004q4</v>
          </cell>
          <cell r="CE801" t="str">
            <v>2005q1</v>
          </cell>
          <cell r="CF801" t="str">
            <v>2005q2</v>
          </cell>
          <cell r="CG801" t="str">
            <v>2005q3</v>
          </cell>
          <cell r="CH801" t="str">
            <v>2005q4</v>
          </cell>
          <cell r="CI801" t="str">
            <v>2006q1</v>
          </cell>
          <cell r="CJ801" t="str">
            <v>2006q2</v>
          </cell>
          <cell r="CK801" t="str">
            <v>2006q3</v>
          </cell>
          <cell r="CL801" t="str">
            <v>2006q4</v>
          </cell>
          <cell r="CM801" t="str">
            <v>2007q1</v>
          </cell>
          <cell r="CN801" t="str">
            <v>2007q2</v>
          </cell>
          <cell r="CO801" t="str">
            <v>2007q3</v>
          </cell>
          <cell r="CP801" t="str">
            <v>2007q4</v>
          </cell>
          <cell r="CQ801" t="str">
            <v>2008q1</v>
          </cell>
          <cell r="CR801" t="str">
            <v>2008q2</v>
          </cell>
          <cell r="CS801" t="str">
            <v>2008q3</v>
          </cell>
          <cell r="CT801" t="str">
            <v>2008q4</v>
          </cell>
          <cell r="CU801" t="str">
            <v>2009q1</v>
          </cell>
          <cell r="CV801" t="str">
            <v>2009q2</v>
          </cell>
          <cell r="CW801" t="str">
            <v>2009q3</v>
          </cell>
          <cell r="CX801" t="str">
            <v>2009q4</v>
          </cell>
          <cell r="CY801" t="str">
            <v>2010q1</v>
          </cell>
          <cell r="CZ801" t="str">
            <v>2010q2</v>
          </cell>
          <cell r="DA801" t="str">
            <v>2010q3</v>
          </cell>
          <cell r="DB801" t="str">
            <v>2010q4</v>
          </cell>
          <cell r="DC801" t="str">
            <v>2011q1</v>
          </cell>
          <cell r="DD801" t="str">
            <v>2011q2</v>
          </cell>
          <cell r="DE801" t="str">
            <v>2011q3</v>
          </cell>
          <cell r="DF801" t="str">
            <v>2011q4</v>
          </cell>
          <cell r="DG801" t="str">
            <v>2012q1</v>
          </cell>
          <cell r="DH801" t="str">
            <v>2012q2</v>
          </cell>
          <cell r="DI801" t="str">
            <v>2012q3</v>
          </cell>
          <cell r="DJ801" t="str">
            <v>2012q4e</v>
          </cell>
          <cell r="DK801" t="str">
            <v>2013q1e</v>
          </cell>
          <cell r="DL801" t="str">
            <v>2013q2e</v>
          </cell>
          <cell r="DM801" t="str">
            <v>2013q3e</v>
          </cell>
          <cell r="DN801" t="str">
            <v>2013q4e</v>
          </cell>
          <cell r="DO801" t="str">
            <v>2014q1e</v>
          </cell>
          <cell r="DP801" t="str">
            <v>2014q2e</v>
          </cell>
          <cell r="DQ801" t="str">
            <v>2014q3e</v>
          </cell>
          <cell r="DR801" t="str">
            <v>2014q4e</v>
          </cell>
          <cell r="DT801" t="str">
            <v>2013q2e</v>
          </cell>
        </row>
        <row r="803">
          <cell r="B803" t="str">
            <v>Revenue</v>
          </cell>
          <cell r="S803">
            <v>429</v>
          </cell>
          <cell r="T803">
            <v>6218</v>
          </cell>
          <cell r="U803">
            <v>3778</v>
          </cell>
          <cell r="V803">
            <v>5574</v>
          </cell>
          <cell r="W803">
            <v>6443</v>
          </cell>
          <cell r="X803">
            <v>7160.9396040638439</v>
          </cell>
          <cell r="Y803">
            <v>8051.992764507494</v>
          </cell>
          <cell r="Z803">
            <v>7783.6864938570443</v>
          </cell>
          <cell r="AA803">
            <v>7337.3102074709777</v>
          </cell>
          <cell r="AB803">
            <v>7039.7260165469334</v>
          </cell>
          <cell r="AC803">
            <v>6853.7358972194052</v>
          </cell>
          <cell r="AD803">
            <v>6704.943801757383</v>
          </cell>
          <cell r="AE803">
            <v>6630.5477540263719</v>
          </cell>
          <cell r="AF803">
            <v>6556.1517062953608</v>
          </cell>
          <cell r="CU803">
            <v>761</v>
          </cell>
          <cell r="CV803">
            <v>810</v>
          </cell>
          <cell r="CW803">
            <v>1051</v>
          </cell>
          <cell r="CX803">
            <v>1156</v>
          </cell>
          <cell r="CY803">
            <v>1316</v>
          </cell>
          <cell r="CZ803">
            <v>1444</v>
          </cell>
          <cell r="DA803">
            <v>1453</v>
          </cell>
          <cell r="DB803">
            <v>1361</v>
          </cell>
          <cell r="DC803">
            <v>1648</v>
          </cell>
          <cell r="DD803">
            <v>1777</v>
          </cell>
          <cell r="DE803">
            <v>1617</v>
          </cell>
          <cell r="DF803">
            <v>1401</v>
          </cell>
          <cell r="DG803">
            <v>1699</v>
          </cell>
          <cell r="DH803">
            <v>2285</v>
          </cell>
          <cell r="DI803">
            <v>1626.7912567675758</v>
          </cell>
          <cell r="DJ803">
            <v>1550.1483472962682</v>
          </cell>
          <cell r="DK803">
            <v>1878.2528199932456</v>
          </cell>
          <cell r="DL803">
            <v>2514.5646150073567</v>
          </cell>
          <cell r="DM803">
            <v>1897.960690477156</v>
          </cell>
          <cell r="DN803">
            <v>1761.2146390297355</v>
          </cell>
          <cell r="DO803">
            <v>1775.8509475945682</v>
          </cell>
          <cell r="DP803">
            <v>2554.4628925674583</v>
          </cell>
          <cell r="DQ803">
            <v>1791.0705203220396</v>
          </cell>
          <cell r="DR803">
            <v>1662.3021333729782</v>
          </cell>
          <cell r="DT803">
            <v>2510.0119850416868</v>
          </cell>
        </row>
        <row r="804">
          <cell r="B804" t="str">
            <v>Growth</v>
          </cell>
          <cell r="T804">
            <v>13.494172494172494</v>
          </cell>
          <cell r="U804">
            <v>-0.39240913477002248</v>
          </cell>
          <cell r="V804">
            <v>0.47538380095288502</v>
          </cell>
          <cell r="W804">
            <v>0.15590240401865807</v>
          </cell>
          <cell r="X804">
            <v>0.11142939687472353</v>
          </cell>
          <cell r="Y804">
            <v>0.12443243620403899</v>
          </cell>
          <cell r="Z804">
            <v>-3.3321722770681239E-2</v>
          </cell>
          <cell r="AA804">
            <v>-5.7347670250896043E-2</v>
          </cell>
          <cell r="AB804">
            <v>-4.0557667934093766E-2</v>
          </cell>
          <cell r="AC804">
            <v>-2.6420079260237816E-2</v>
          </cell>
          <cell r="AD804">
            <v>-2.170963364993217E-2</v>
          </cell>
          <cell r="AE804">
            <v>-1.1095700416088761E-2</v>
          </cell>
          <cell r="AF804">
            <v>-1.1220196353436185E-2</v>
          </cell>
          <cell r="CY804">
            <v>0.7293035479632064</v>
          </cell>
          <cell r="CZ804">
            <v>0.78271604938271611</v>
          </cell>
          <cell r="DA804">
            <v>0.38249286393910564</v>
          </cell>
          <cell r="DB804">
            <v>0.1773356401384083</v>
          </cell>
          <cell r="DC804">
            <v>0.25227963525835873</v>
          </cell>
          <cell r="DD804">
            <v>0.23060941828254844</v>
          </cell>
          <cell r="DE804">
            <v>0.112869924294563</v>
          </cell>
          <cell r="DF804">
            <v>2.9390154298310156E-2</v>
          </cell>
          <cell r="DG804">
            <v>3.0946601941747476E-2</v>
          </cell>
          <cell r="DH804">
            <v>0.28587507034327508</v>
          </cell>
          <cell r="DI804">
            <v>6.0551989904610998E-3</v>
          </cell>
          <cell r="DJ804">
            <v>0.10645849200304638</v>
          </cell>
          <cell r="DK804">
            <v>0.10550489699425877</v>
          </cell>
          <cell r="DL804">
            <v>0.10046591466405094</v>
          </cell>
          <cell r="DM804">
            <v>0.16668975357563229</v>
          </cell>
          <cell r="DN804">
            <v>0.13615876964395321</v>
          </cell>
          <cell r="DO804">
            <v>-5.4519749050101596E-2</v>
          </cell>
          <cell r="DP804">
            <v>1.5866873065015552E-2</v>
          </cell>
          <cell r="DQ804">
            <v>-5.6318432036779331E-2</v>
          </cell>
          <cell r="DR804">
            <v>-5.6161528223072632E-2</v>
          </cell>
          <cell r="DT804">
            <v>9.8473516429622293E-2</v>
          </cell>
        </row>
        <row r="806">
          <cell r="B806" t="str">
            <v xml:space="preserve">   Base Growth</v>
          </cell>
          <cell r="Z806">
            <v>-3.8673040940883086E-2</v>
          </cell>
          <cell r="AA806">
            <v>-5.7347670250896043E-2</v>
          </cell>
          <cell r="AB806">
            <v>-4.0557667934093766E-2</v>
          </cell>
          <cell r="AC806">
            <v>-2.6420079260237816E-2</v>
          </cell>
          <cell r="AD806">
            <v>-2.170963364993217E-2</v>
          </cell>
          <cell r="AE806">
            <v>-1.1095700416088761E-2</v>
          </cell>
          <cell r="AF806">
            <v>-1.1220196353436185E-2</v>
          </cell>
          <cell r="DG806">
            <v>0.12521375641269228</v>
          </cell>
          <cell r="DH806">
            <v>-7.1810629338795895E-2</v>
          </cell>
          <cell r="DI806">
            <v>6.0551989904610998E-3</v>
          </cell>
          <cell r="DJ806">
            <v>0.10645849200304638</v>
          </cell>
          <cell r="DK806">
            <v>0.10550489699425877</v>
          </cell>
          <cell r="DL806">
            <v>0.10046591466405094</v>
          </cell>
          <cell r="DM806">
            <v>0.16668975357563229</v>
          </cell>
          <cell r="DN806">
            <v>0.13615876964395321</v>
          </cell>
          <cell r="DO806">
            <v>-5.4519749050101596E-2</v>
          </cell>
          <cell r="DP806">
            <v>1.5866873065015552E-2</v>
          </cell>
          <cell r="DQ806">
            <v>-5.6318432036779331E-2</v>
          </cell>
          <cell r="DR806">
            <v>-5.6161528223072632E-2</v>
          </cell>
          <cell r="DT806">
            <v>9.8473516429622293E-2</v>
          </cell>
        </row>
        <row r="807">
          <cell r="B807" t="str">
            <v>Revenue</v>
          </cell>
          <cell r="Z807">
            <v>7740.5977186700011</v>
          </cell>
          <cell r="AA807">
            <v>7337.3102074709777</v>
          </cell>
          <cell r="AB807">
            <v>7039.7260165469334</v>
          </cell>
          <cell r="AC807">
            <v>6853.7358972194052</v>
          </cell>
          <cell r="AD807">
            <v>6704.943801757383</v>
          </cell>
          <cell r="AE807">
            <v>6630.5477540263719</v>
          </cell>
          <cell r="AF807">
            <v>6556.1517062953608</v>
          </cell>
          <cell r="DG807">
            <v>1854.3522705681169</v>
          </cell>
          <cell r="DH807">
            <v>1649.3925116649598</v>
          </cell>
          <cell r="DI807">
            <v>1626.7912567675758</v>
          </cell>
          <cell r="DJ807">
            <v>1550.1483472962682</v>
          </cell>
          <cell r="DK807">
            <v>1878.2528199932456</v>
          </cell>
          <cell r="DL807">
            <v>2514.5646150073567</v>
          </cell>
          <cell r="DM807">
            <v>1897.960690477156</v>
          </cell>
          <cell r="DN807">
            <v>1761.2146390297355</v>
          </cell>
          <cell r="DO807">
            <v>1775.8509475945682</v>
          </cell>
          <cell r="DP807">
            <v>2554.4628925674583</v>
          </cell>
          <cell r="DQ807">
            <v>1791.0705203220396</v>
          </cell>
          <cell r="DR807">
            <v>1662.3021333729782</v>
          </cell>
          <cell r="DT807">
            <v>2510.0119850416868</v>
          </cell>
        </row>
        <row r="809">
          <cell r="B809" t="str">
            <v xml:space="preserve">   Bull</v>
          </cell>
          <cell r="Z809">
            <v>-3.0343313416858808E-2</v>
          </cell>
          <cell r="AA809">
            <v>-4.4609112650400906E-2</v>
          </cell>
          <cell r="AB809">
            <v>-3.112800093384005E-2</v>
          </cell>
          <cell r="AC809">
            <v>-2.0080052475870525E-2</v>
          </cell>
          <cell r="AD809">
            <v>-1.6393218671876042E-2</v>
          </cell>
          <cell r="AE809">
            <v>-8.3332175942000264E-3</v>
          </cell>
          <cell r="AF809">
            <v>-8.4032436520496967E-3</v>
          </cell>
          <cell r="DG809">
            <v>0.12521375641269228</v>
          </cell>
          <cell r="DH809">
            <v>6.691703653123926E-2</v>
          </cell>
          <cell r="DI809">
            <v>0.19068618804021886</v>
          </cell>
          <cell r="DJ809">
            <v>0.27951256664127944</v>
          </cell>
          <cell r="DK809">
            <v>0.20775638860745249</v>
          </cell>
          <cell r="DL809">
            <v>6.5893333333333359E-2</v>
          </cell>
          <cell r="DM809">
            <v>3.7654320987654089E-2</v>
          </cell>
          <cell r="DN809">
            <v>-1.0887445887445724E-2</v>
          </cell>
          <cell r="DO809">
            <v>-4.3132777182271598E-2</v>
          </cell>
          <cell r="DP809">
            <v>1.2308923969878149E-2</v>
          </cell>
          <cell r="DQ809">
            <v>-4.4306960142772023E-2</v>
          </cell>
          <cell r="DR809">
            <v>-4.4044466814014194E-2</v>
          </cell>
          <cell r="DT809">
            <v>6.4159999999999773E-2</v>
          </cell>
        </row>
        <row r="810">
          <cell r="B810" t="str">
            <v>Revenue</v>
          </cell>
          <cell r="Z810">
            <v>7807.6686244237635</v>
          </cell>
          <cell r="AA810">
            <v>7436.463146217171</v>
          </cell>
          <cell r="AB810">
            <v>7108.9144084809468</v>
          </cell>
          <cell r="AC810">
            <v>6898.3679487189202</v>
          </cell>
          <cell r="AD810">
            <v>6741.3811059370009</v>
          </cell>
          <cell r="AE810">
            <v>6649.0700461004562</v>
          </cell>
          <cell r="AF810">
            <v>6574.8296457027373</v>
          </cell>
          <cell r="DG810">
            <v>1854.3522705681169</v>
          </cell>
          <cell r="DH810">
            <v>1895.9115739160122</v>
          </cell>
          <cell r="DI810">
            <v>1925.3395660610338</v>
          </cell>
          <cell r="DJ810">
            <v>1792.5971058644325</v>
          </cell>
          <cell r="DK810">
            <v>2051.9781042440618</v>
          </cell>
          <cell r="DL810">
            <v>2435.5662666666667</v>
          </cell>
          <cell r="DM810">
            <v>1688.0469769298113</v>
          </cell>
          <cell r="DN810">
            <v>1533.2711910475666</v>
          </cell>
          <cell r="DO810">
            <v>1797.2385596165036</v>
          </cell>
          <cell r="DP810">
            <v>2545.516199670828</v>
          </cell>
          <cell r="DQ810">
            <v>1813.8678218116365</v>
          </cell>
          <cell r="DR810">
            <v>1683.6428793086343</v>
          </cell>
          <cell r="DT810">
            <v>2431.6055999999994</v>
          </cell>
        </row>
        <row r="812">
          <cell r="B812" t="str">
            <v xml:space="preserve">   Bear</v>
          </cell>
          <cell r="Z812">
            <v>-5.3473599106816039E-2</v>
          </cell>
          <cell r="AA812">
            <v>-8.0535111071340593E-2</v>
          </cell>
          <cell r="AB812">
            <v>-5.8392739836013674E-2</v>
          </cell>
          <cell r="AC812">
            <v>-3.8758688405984287E-2</v>
          </cell>
          <cell r="AD812">
            <v>-3.2257197387167036E-2</v>
          </cell>
          <cell r="AE812">
            <v>-1.6666203716563466E-2</v>
          </cell>
          <cell r="AF812">
            <v>-1.6948673766277733E-2</v>
          </cell>
          <cell r="DG812">
            <v>0.12521375641269228</v>
          </cell>
          <cell r="DH812">
            <v>-0.19984067372254466</v>
          </cell>
          <cell r="DI812">
            <v>-0.30546245663550298</v>
          </cell>
          <cell r="DJ812">
            <v>-0.26884996191926891</v>
          </cell>
          <cell r="DK812">
            <v>-0.29882922436113912</v>
          </cell>
          <cell r="DL812">
            <v>-0.21878111221732299</v>
          </cell>
          <cell r="DM812">
            <v>1.6974263460887595E-2</v>
          </cell>
          <cell r="DN812">
            <v>-1.9053030303029517E-2</v>
          </cell>
          <cell r="DO812">
            <v>-7.4295576784137118E-2</v>
          </cell>
          <cell r="DP812">
            <v>2.2393154612899258E-2</v>
          </cell>
          <cell r="DQ812">
            <v>-7.7502601456815423E-2</v>
          </cell>
          <cell r="DR812">
            <v>-7.7719426960651816E-2</v>
          </cell>
          <cell r="DT812">
            <v>-0.22109230550419579</v>
          </cell>
        </row>
        <row r="813">
          <cell r="B813" t="str">
            <v>Revenue</v>
          </cell>
          <cell r="Z813">
            <v>7621.423731407237</v>
          </cell>
          <cell r="AA813">
            <v>7156.826437529774</v>
          </cell>
          <cell r="AB813">
            <v>6908.8645614299976</v>
          </cell>
          <cell r="AC813">
            <v>6766.8754694080899</v>
          </cell>
          <cell r="AD813">
            <v>6632.6535855432867</v>
          </cell>
          <cell r="AE813">
            <v>6593.1978424491845</v>
          </cell>
          <cell r="AF813">
            <v>6518.1687632516532</v>
          </cell>
          <cell r="DG813">
            <v>1854.3522705681169</v>
          </cell>
          <cell r="DH813">
            <v>1421.8831227950382</v>
          </cell>
          <cell r="DI813">
            <v>1123.0672076203916</v>
          </cell>
          <cell r="DJ813">
            <v>1024.3412033511042</v>
          </cell>
          <cell r="DK813">
            <v>1191.2891478104245</v>
          </cell>
          <cell r="DL813">
            <v>1785.0851585834171</v>
          </cell>
          <cell r="DM813">
            <v>1654.4048401558171</v>
          </cell>
          <cell r="DN813">
            <v>1520.6133238610412</v>
          </cell>
          <cell r="DO813">
            <v>1738.7069433854153</v>
          </cell>
          <cell r="DP813">
            <v>2570.8736492153421</v>
          </cell>
          <cell r="DQ813">
            <v>1750.8637995024028</v>
          </cell>
          <cell r="DR813">
            <v>1624.3340465296333</v>
          </cell>
          <cell r="DT813">
            <v>1779.8040819229127</v>
          </cell>
        </row>
        <row r="815">
          <cell r="B815" t="str">
            <v>Operating Income</v>
          </cell>
          <cell r="S815">
            <v>-42</v>
          </cell>
          <cell r="T815">
            <v>77</v>
          </cell>
          <cell r="U815">
            <v>250</v>
          </cell>
          <cell r="V815">
            <v>666</v>
          </cell>
          <cell r="W815">
            <v>862</v>
          </cell>
          <cell r="X815">
            <v>1079.7715445689382</v>
          </cell>
          <cell r="Y815">
            <v>814.59054055071567</v>
          </cell>
          <cell r="Z815">
            <v>770.58496289184734</v>
          </cell>
          <cell r="AA815">
            <v>660.357918672388</v>
          </cell>
          <cell r="AB815">
            <v>633.575341489224</v>
          </cell>
          <cell r="AC815">
            <v>616.83623074974639</v>
          </cell>
          <cell r="AD815">
            <v>603.44494215816439</v>
          </cell>
          <cell r="AE815">
            <v>596.7492978623734</v>
          </cell>
          <cell r="AF815">
            <v>590.0536535665824</v>
          </cell>
          <cell r="CU815">
            <v>78</v>
          </cell>
          <cell r="CV815">
            <v>41</v>
          </cell>
          <cell r="CW815">
            <v>72</v>
          </cell>
          <cell r="CX815">
            <v>59</v>
          </cell>
          <cell r="CY815">
            <v>123</v>
          </cell>
          <cell r="CZ815">
            <v>143</v>
          </cell>
          <cell r="DA815">
            <v>207</v>
          </cell>
          <cell r="DB815">
            <v>193</v>
          </cell>
          <cell r="DC815">
            <v>234</v>
          </cell>
          <cell r="DD815">
            <v>235</v>
          </cell>
          <cell r="DE815">
            <v>259</v>
          </cell>
          <cell r="DF815">
            <v>134</v>
          </cell>
          <cell r="DG815">
            <v>245</v>
          </cell>
          <cell r="DH815">
            <v>390</v>
          </cell>
          <cell r="DI815">
            <v>227.75077594746062</v>
          </cell>
          <cell r="DJ815">
            <v>217.02076862147757</v>
          </cell>
          <cell r="DK815">
            <v>197.21654609929078</v>
          </cell>
          <cell r="DL815">
            <v>251.45646150073568</v>
          </cell>
          <cell r="DM815">
            <v>189.7960690477156</v>
          </cell>
          <cell r="DN815">
            <v>176.12146390297357</v>
          </cell>
          <cell r="DO815">
            <v>175.80924381186227</v>
          </cell>
          <cell r="DP815">
            <v>252.89182636417837</v>
          </cell>
          <cell r="DQ815">
            <v>177.31598151188192</v>
          </cell>
          <cell r="DR815">
            <v>164.56791120392487</v>
          </cell>
          <cell r="DT815">
            <v>251.00119850416868</v>
          </cell>
        </row>
        <row r="816">
          <cell r="B816" t="str">
            <v>Margin</v>
          </cell>
          <cell r="S816">
            <v>-9.7902097902097904E-2</v>
          </cell>
          <cell r="T816">
            <v>1.2383403023480219E-2</v>
          </cell>
          <cell r="U816">
            <v>6.6172578083642145E-2</v>
          </cell>
          <cell r="V816">
            <v>0.11948331539289558</v>
          </cell>
          <cell r="W816">
            <v>0.13378860779140153</v>
          </cell>
          <cell r="X816">
            <v>0.15078629401596491</v>
          </cell>
          <cell r="Y816">
            <v>0.10116632793578283</v>
          </cell>
          <cell r="Z816">
            <v>9.8999999999999991E-2</v>
          </cell>
          <cell r="AA816">
            <v>0.09</v>
          </cell>
          <cell r="AB816">
            <v>0.09</v>
          </cell>
          <cell r="AC816">
            <v>0.09</v>
          </cell>
          <cell r="AD816">
            <v>0.09</v>
          </cell>
          <cell r="AE816">
            <v>0.09</v>
          </cell>
          <cell r="AF816">
            <v>0.09</v>
          </cell>
          <cell r="CU816">
            <v>0.10249671484888305</v>
          </cell>
          <cell r="CV816">
            <v>5.0617283950617285E-2</v>
          </cell>
          <cell r="CW816">
            <v>6.8506184586108465E-2</v>
          </cell>
          <cell r="CX816">
            <v>5.1038062283737022E-2</v>
          </cell>
          <cell r="CY816">
            <v>9.3465045592705173E-2</v>
          </cell>
          <cell r="CZ816">
            <v>9.9030470914127422E-2</v>
          </cell>
          <cell r="DA816">
            <v>0.14246386785960083</v>
          </cell>
          <cell r="DB816">
            <v>0.14180749448934607</v>
          </cell>
          <cell r="DC816">
            <v>0.14199029126213591</v>
          </cell>
          <cell r="DD816">
            <v>0.13224535734383794</v>
          </cell>
          <cell r="DE816">
            <v>0.16017316017316016</v>
          </cell>
          <cell r="DF816">
            <v>9.5645967166309784E-2</v>
          </cell>
          <cell r="DG816">
            <v>0.14420247204237788</v>
          </cell>
          <cell r="DH816">
            <v>0.115</v>
          </cell>
          <cell r="DI816">
            <v>0.14000000000000001</v>
          </cell>
          <cell r="DJ816">
            <v>0.14000000000000001</v>
          </cell>
          <cell r="DK816">
            <v>0.105</v>
          </cell>
          <cell r="DL816">
            <v>0.1</v>
          </cell>
          <cell r="DM816">
            <v>0.1</v>
          </cell>
          <cell r="DN816">
            <v>0.1</v>
          </cell>
          <cell r="DO816">
            <v>9.9000000000000005E-2</v>
          </cell>
          <cell r="DP816">
            <v>9.9000000000000005E-2</v>
          </cell>
          <cell r="DQ816">
            <v>9.9000000000000005E-2</v>
          </cell>
          <cell r="DR816">
            <v>9.9000000000000005E-2</v>
          </cell>
          <cell r="DT816">
            <v>0.1</v>
          </cell>
        </row>
        <row r="818">
          <cell r="B818" t="str">
            <v>Base</v>
          </cell>
        </row>
        <row r="819">
          <cell r="B819" t="str">
            <v>Operating Income</v>
          </cell>
          <cell r="Z819">
            <v>766.31917414833015</v>
          </cell>
          <cell r="AA819">
            <v>660.357918672388</v>
          </cell>
          <cell r="AB819">
            <v>633.575341489224</v>
          </cell>
          <cell r="AC819">
            <v>616.83623074974639</v>
          </cell>
          <cell r="AD819">
            <v>603.44494215816439</v>
          </cell>
          <cell r="AE819">
            <v>596.7492978623734</v>
          </cell>
          <cell r="AF819">
            <v>590.0536535665824</v>
          </cell>
          <cell r="DG819">
            <v>250.33755652669581</v>
          </cell>
          <cell r="DH819">
            <v>189.68013884147038</v>
          </cell>
          <cell r="DI819">
            <v>227.75077594746062</v>
          </cell>
          <cell r="DJ819">
            <v>217.02076862147757</v>
          </cell>
          <cell r="DK819">
            <v>197.21654609929078</v>
          </cell>
          <cell r="DL819">
            <v>251.45646150073568</v>
          </cell>
          <cell r="DM819">
            <v>189.7960690477156</v>
          </cell>
          <cell r="DN819">
            <v>176.12146390297357</v>
          </cell>
          <cell r="DO819">
            <v>175.80924381186227</v>
          </cell>
          <cell r="DP819">
            <v>252.89182636417837</v>
          </cell>
          <cell r="DQ819">
            <v>177.31598151188192</v>
          </cell>
          <cell r="DR819">
            <v>164.56791120392487</v>
          </cell>
          <cell r="DT819">
            <v>251.00119850416868</v>
          </cell>
        </row>
        <row r="820">
          <cell r="B820" t="str">
            <v>Margin</v>
          </cell>
          <cell r="Z820">
            <v>9.9000000000000005E-2</v>
          </cell>
          <cell r="AA820">
            <v>0.09</v>
          </cell>
          <cell r="AB820">
            <v>0.09</v>
          </cell>
          <cell r="AC820">
            <v>0.09</v>
          </cell>
          <cell r="AD820">
            <v>0.09</v>
          </cell>
          <cell r="AE820">
            <v>0.09</v>
          </cell>
          <cell r="AF820">
            <v>0.09</v>
          </cell>
          <cell r="DG820">
            <v>0.13500000000000001</v>
          </cell>
          <cell r="DH820">
            <v>0.115</v>
          </cell>
          <cell r="DI820">
            <v>0.14000000000000001</v>
          </cell>
          <cell r="DJ820">
            <v>0.14000000000000001</v>
          </cell>
          <cell r="DK820">
            <v>0.105</v>
          </cell>
          <cell r="DL820">
            <v>0.1</v>
          </cell>
          <cell r="DM820">
            <v>0.1</v>
          </cell>
          <cell r="DN820">
            <v>0.1</v>
          </cell>
          <cell r="DO820">
            <v>9.9000000000000005E-2</v>
          </cell>
          <cell r="DP820">
            <v>9.9000000000000005E-2</v>
          </cell>
          <cell r="DQ820">
            <v>9.9000000000000005E-2</v>
          </cell>
          <cell r="DR820">
            <v>9.9000000000000005E-2</v>
          </cell>
          <cell r="DT820">
            <v>0.1</v>
          </cell>
        </row>
        <row r="822">
          <cell r="B822" t="str">
            <v>Bull</v>
          </cell>
        </row>
        <row r="823">
          <cell r="B823" t="str">
            <v>Operating Income</v>
          </cell>
          <cell r="Z823">
            <v>1007.1892525506655</v>
          </cell>
          <cell r="AA823">
            <v>892.37557754606053</v>
          </cell>
          <cell r="AB823">
            <v>853.0697290177136</v>
          </cell>
          <cell r="AC823">
            <v>827.80415384627042</v>
          </cell>
          <cell r="AD823">
            <v>808.96573271244006</v>
          </cell>
          <cell r="AE823">
            <v>797.88840553205478</v>
          </cell>
          <cell r="AF823">
            <v>788.97955748432844</v>
          </cell>
          <cell r="DG823">
            <v>305.96812464373932</v>
          </cell>
          <cell r="DH823">
            <v>274.90717821782181</v>
          </cell>
          <cell r="DI823">
            <v>327.30772623037575</v>
          </cell>
          <cell r="DJ823">
            <v>304.74150799695354</v>
          </cell>
          <cell r="DK823">
            <v>277.01704407294835</v>
          </cell>
          <cell r="DL823">
            <v>316.6236146666667</v>
          </cell>
          <cell r="DM823">
            <v>219.44610700087549</v>
          </cell>
          <cell r="DN823">
            <v>199.32525483618366</v>
          </cell>
          <cell r="DO823">
            <v>231.84377419052896</v>
          </cell>
          <cell r="DP823">
            <v>328.37158975753681</v>
          </cell>
          <cell r="DQ823">
            <v>233.98894901370113</v>
          </cell>
          <cell r="DR823">
            <v>217.18993143081383</v>
          </cell>
          <cell r="DT823">
            <v>316.10872799999993</v>
          </cell>
        </row>
        <row r="824">
          <cell r="B824" t="str">
            <v>Margin</v>
          </cell>
          <cell r="Z824">
            <v>0.129</v>
          </cell>
          <cell r="AA824">
            <v>0.12</v>
          </cell>
          <cell r="AB824">
            <v>0.12</v>
          </cell>
          <cell r="AC824">
            <v>0.12</v>
          </cell>
          <cell r="AD824">
            <v>0.12</v>
          </cell>
          <cell r="AE824">
            <v>0.12</v>
          </cell>
          <cell r="AF824">
            <v>0.12</v>
          </cell>
          <cell r="DG824">
            <v>0.16500000000000001</v>
          </cell>
          <cell r="DH824">
            <v>0.14500000000000002</v>
          </cell>
          <cell r="DI824">
            <v>0.17</v>
          </cell>
          <cell r="DJ824">
            <v>0.17</v>
          </cell>
          <cell r="DK824">
            <v>0.13500000000000001</v>
          </cell>
          <cell r="DL824">
            <v>0.13</v>
          </cell>
          <cell r="DM824">
            <v>0.13</v>
          </cell>
          <cell r="DN824">
            <v>0.13</v>
          </cell>
          <cell r="DO824">
            <v>0.129</v>
          </cell>
          <cell r="DP824">
            <v>0.129</v>
          </cell>
          <cell r="DQ824">
            <v>0.129</v>
          </cell>
          <cell r="DR824">
            <v>0.129</v>
          </cell>
          <cell r="DT824">
            <v>0.13</v>
          </cell>
        </row>
        <row r="826">
          <cell r="B826" t="str">
            <v>Bear</v>
          </cell>
        </row>
        <row r="827">
          <cell r="B827" t="str">
            <v>Operating Income</v>
          </cell>
          <cell r="Z827">
            <v>525.87823746709944</v>
          </cell>
          <cell r="AA827">
            <v>429.40958625178644</v>
          </cell>
          <cell r="AB827">
            <v>414.53187368579984</v>
          </cell>
          <cell r="AC827">
            <v>406.01252816448539</v>
          </cell>
          <cell r="AD827">
            <v>397.95921513259719</v>
          </cell>
          <cell r="AE827">
            <v>395.59187054695104</v>
          </cell>
          <cell r="AF827">
            <v>391.0901257950992</v>
          </cell>
          <cell r="DG827">
            <v>194.7069884096523</v>
          </cell>
          <cell r="DH827">
            <v>120.86006543757826</v>
          </cell>
          <cell r="DI827">
            <v>123.53739283824309</v>
          </cell>
          <cell r="DJ827">
            <v>112.67753236862148</v>
          </cell>
          <cell r="DK827">
            <v>89.34668608578184</v>
          </cell>
          <cell r="DL827">
            <v>124.9559611008392</v>
          </cell>
          <cell r="DM827">
            <v>115.8083388109072</v>
          </cell>
          <cell r="DN827">
            <v>106.4429326702729</v>
          </cell>
          <cell r="DO827">
            <v>119.97077909359366</v>
          </cell>
          <cell r="DP827">
            <v>177.39028179585861</v>
          </cell>
          <cell r="DQ827">
            <v>120.80960216566581</v>
          </cell>
          <cell r="DR827">
            <v>112.07904921054471</v>
          </cell>
          <cell r="DT827">
            <v>124.5862857346039</v>
          </cell>
        </row>
        <row r="828">
          <cell r="B828" t="str">
            <v>Margin</v>
          </cell>
          <cell r="Z828">
            <v>6.9000000000000006E-2</v>
          </cell>
          <cell r="AA828">
            <v>0.06</v>
          </cell>
          <cell r="AB828">
            <v>0.06</v>
          </cell>
          <cell r="AC828">
            <v>0.06</v>
          </cell>
          <cell r="AD828">
            <v>0.06</v>
          </cell>
          <cell r="AE828">
            <v>0.06</v>
          </cell>
          <cell r="AF828">
            <v>0.06</v>
          </cell>
          <cell r="DG828">
            <v>0.10500000000000001</v>
          </cell>
          <cell r="DH828">
            <v>8.5000000000000006E-2</v>
          </cell>
          <cell r="DI828">
            <v>0.11000000000000001</v>
          </cell>
          <cell r="DJ828">
            <v>0.11000000000000001</v>
          </cell>
          <cell r="DK828">
            <v>7.4999999999999997E-2</v>
          </cell>
          <cell r="DL828">
            <v>7.0000000000000007E-2</v>
          </cell>
          <cell r="DM828">
            <v>7.0000000000000007E-2</v>
          </cell>
          <cell r="DN828">
            <v>7.0000000000000007E-2</v>
          </cell>
          <cell r="DO828">
            <v>6.9000000000000006E-2</v>
          </cell>
          <cell r="DP828">
            <v>6.9000000000000006E-2</v>
          </cell>
          <cell r="DQ828">
            <v>6.9000000000000006E-2</v>
          </cell>
          <cell r="DR828">
            <v>6.9000000000000006E-2</v>
          </cell>
          <cell r="DT828">
            <v>7.0000000000000007E-2</v>
          </cell>
        </row>
        <row r="830">
          <cell r="B830" t="str">
            <v>Income (loss) from equity investments</v>
          </cell>
          <cell r="S830">
            <v>0</v>
          </cell>
          <cell r="T830">
            <v>-2</v>
          </cell>
          <cell r="U830">
            <v>-16</v>
          </cell>
          <cell r="V830">
            <v>-10</v>
          </cell>
          <cell r="W830">
            <v>-11.55902404018658</v>
          </cell>
          <cell r="X830">
            <v>-12.847039117445</v>
          </cell>
          <cell r="Y830">
            <v>-14.445627492837268</v>
          </cell>
          <cell r="Z830">
            <v>-13.964274298272413</v>
          </cell>
          <cell r="AA830">
            <v>52.828633493791038</v>
          </cell>
          <cell r="AB830">
            <v>50.686027319137921</v>
          </cell>
          <cell r="AC830">
            <v>49.34689845997972</v>
          </cell>
          <cell r="AD830">
            <v>48.275595372653157</v>
          </cell>
          <cell r="AE830">
            <v>47.73994382898988</v>
          </cell>
          <cell r="AF830">
            <v>47.204292285326602</v>
          </cell>
          <cell r="CU830">
            <v>-7</v>
          </cell>
          <cell r="CY830">
            <v>-1</v>
          </cell>
          <cell r="CZ830">
            <v>-4</v>
          </cell>
          <cell r="DA830">
            <v>6</v>
          </cell>
          <cell r="DB830">
            <v>-11</v>
          </cell>
          <cell r="DC830">
            <v>-3</v>
          </cell>
          <cell r="DD830">
            <v>-3</v>
          </cell>
          <cell r="DE830">
            <v>-3</v>
          </cell>
          <cell r="DF830">
            <v>-2.5590240401865803</v>
          </cell>
          <cell r="DG830">
            <v>-3</v>
          </cell>
          <cell r="DH830">
            <v>-3</v>
          </cell>
          <cell r="DI830">
            <v>-3</v>
          </cell>
          <cell r="DJ830">
            <v>-3.847039117445</v>
          </cell>
          <cell r="DK830">
            <v>-4.5985883753922678</v>
          </cell>
          <cell r="DL830">
            <v>-2.5186468054351447</v>
          </cell>
          <cell r="DM830">
            <v>-3</v>
          </cell>
          <cell r="DN830">
            <v>-4.3283923120098553</v>
          </cell>
          <cell r="DO830">
            <v>-3.0998907340012103</v>
          </cell>
          <cell r="DP830">
            <v>-3.0998907340012103</v>
          </cell>
          <cell r="DQ830">
            <v>-3.0998907340012103</v>
          </cell>
          <cell r="DR830">
            <v>-4.6646020962687818</v>
          </cell>
          <cell r="DT830">
            <v>-2.5563864873339366</v>
          </cell>
        </row>
        <row r="832">
          <cell r="B832" t="str">
            <v>D&amp;A</v>
          </cell>
          <cell r="S832">
            <v>0</v>
          </cell>
          <cell r="T832">
            <v>-360</v>
          </cell>
          <cell r="U832">
            <v>-331</v>
          </cell>
          <cell r="V832">
            <v>-172</v>
          </cell>
          <cell r="W832">
            <v>-142</v>
          </cell>
          <cell r="X832">
            <v>-143</v>
          </cell>
          <cell r="Y832">
            <v>-140</v>
          </cell>
          <cell r="Z832">
            <v>-146.16110803393067</v>
          </cell>
          <cell r="AA832">
            <v>-144.35603528783736</v>
          </cell>
          <cell r="AB832">
            <v>-142.41802803585568</v>
          </cell>
          <cell r="AC832">
            <v>-140.43742855697744</v>
          </cell>
          <cell r="AD832">
            <v>-138.4442649804466</v>
          </cell>
          <cell r="AE832">
            <v>-136.49496254694404</v>
          </cell>
          <cell r="AF832">
            <v>-134.58732819931834</v>
          </cell>
          <cell r="CU832">
            <v>-69</v>
          </cell>
          <cell r="CV832">
            <v>-68</v>
          </cell>
          <cell r="CW832">
            <v>-69</v>
          </cell>
          <cell r="CX832">
            <v>-70</v>
          </cell>
          <cell r="CY832">
            <v>-69</v>
          </cell>
          <cell r="CZ832">
            <v>-45</v>
          </cell>
          <cell r="DA832">
            <v>-30</v>
          </cell>
          <cell r="DB832">
            <v>-28</v>
          </cell>
          <cell r="DC832">
            <v>-34</v>
          </cell>
          <cell r="DD832">
            <v>-37</v>
          </cell>
          <cell r="DE832">
            <v>-35</v>
          </cell>
          <cell r="DF832">
            <v>-36</v>
          </cell>
          <cell r="DG832">
            <v>-35</v>
          </cell>
          <cell r="DH832">
            <v>-48</v>
          </cell>
          <cell r="DI832">
            <v>-33</v>
          </cell>
          <cell r="DJ832">
            <v>-30</v>
          </cell>
          <cell r="DK832">
            <v>-35</v>
          </cell>
          <cell r="DL832">
            <v>-35</v>
          </cell>
          <cell r="DM832">
            <v>-35</v>
          </cell>
          <cell r="DN832">
            <v>-35</v>
          </cell>
          <cell r="DO832">
            <v>-36.540277008482668</v>
          </cell>
          <cell r="DP832">
            <v>-36.540277008482668</v>
          </cell>
          <cell r="DQ832">
            <v>-36.540277008482668</v>
          </cell>
          <cell r="DR832">
            <v>-36.540277008482668</v>
          </cell>
          <cell r="DT832">
            <v>-35</v>
          </cell>
        </row>
        <row r="833">
          <cell r="B833" t="str">
            <v>% of revenue</v>
          </cell>
          <cell r="S833">
            <v>0</v>
          </cell>
          <cell r="T833">
            <v>5.7896429720167258E-2</v>
          </cell>
          <cell r="U833">
            <v>8.7612493382742185E-2</v>
          </cell>
          <cell r="V833">
            <v>3.0857552924291352E-2</v>
          </cell>
          <cell r="W833">
            <v>2.2039422629209996E-2</v>
          </cell>
          <cell r="X833">
            <v>1.9969446456278905E-2</v>
          </cell>
          <cell r="Y833">
            <v>1.7387000223982839E-2</v>
          </cell>
          <cell r="Z833">
            <v>1.8777877057263592E-2</v>
          </cell>
          <cell r="AA833">
            <v>1.9674244540029331E-2</v>
          </cell>
          <cell r="AB833">
            <v>2.0230620865229833E-2</v>
          </cell>
          <cell r="AC833">
            <v>2.0490639070868431E-2</v>
          </cell>
          <cell r="AD833">
            <v>2.064808730300767E-2</v>
          </cell>
          <cell r="AE833">
            <v>2.0585774752026793E-2</v>
          </cell>
          <cell r="AF833">
            <v>2.0528403586220347E-2</v>
          </cell>
          <cell r="CU833" t="str">
            <v>NM</v>
          </cell>
          <cell r="CY833" t="str">
            <v>NM</v>
          </cell>
        </row>
        <row r="835">
          <cell r="B835" t="str">
            <v>EBITDA</v>
          </cell>
          <cell r="T835">
            <v>435</v>
          </cell>
          <cell r="U835">
            <v>565</v>
          </cell>
          <cell r="V835">
            <v>828</v>
          </cell>
          <cell r="W835">
            <v>992.44097595981339</v>
          </cell>
          <cell r="X835">
            <v>1209.9245054514931</v>
          </cell>
          <cell r="Y835">
            <v>940.1449130578784</v>
          </cell>
          <cell r="Z835">
            <v>902.78179662750563</v>
          </cell>
          <cell r="AA835">
            <v>857.54258745401637</v>
          </cell>
          <cell r="AB835">
            <v>826.67939684421765</v>
          </cell>
          <cell r="AC835">
            <v>806.62055776670354</v>
          </cell>
          <cell r="AD835">
            <v>790.16480251126416</v>
          </cell>
          <cell r="AE835">
            <v>780.98420423830737</v>
          </cell>
          <cell r="AF835">
            <v>771.84527405122731</v>
          </cell>
          <cell r="CU835">
            <v>140</v>
          </cell>
          <cell r="CV835">
            <v>109</v>
          </cell>
          <cell r="CW835">
            <v>141</v>
          </cell>
          <cell r="CX835">
            <v>129</v>
          </cell>
          <cell r="CY835">
            <v>191</v>
          </cell>
          <cell r="CZ835">
            <v>209</v>
          </cell>
          <cell r="DA835">
            <v>243</v>
          </cell>
          <cell r="DB835">
            <v>211</v>
          </cell>
          <cell r="DC835">
            <v>270</v>
          </cell>
          <cell r="DD835">
            <v>273</v>
          </cell>
          <cell r="DE835">
            <v>297</v>
          </cell>
          <cell r="DF835">
            <v>173</v>
          </cell>
          <cell r="DG835">
            <v>282</v>
          </cell>
          <cell r="DH835">
            <v>437</v>
          </cell>
          <cell r="DI835">
            <v>257.75077594746062</v>
          </cell>
          <cell r="DJ835">
            <v>243.17372950403256</v>
          </cell>
          <cell r="DK835">
            <v>227.61795772389851</v>
          </cell>
          <cell r="DL835">
            <v>283.93781469530057</v>
          </cell>
          <cell r="DM835">
            <v>221.7960690477156</v>
          </cell>
          <cell r="DN835">
            <v>206.79307159096371</v>
          </cell>
          <cell r="DO835">
            <v>209.24963008634373</v>
          </cell>
          <cell r="DP835">
            <v>286.33221263865983</v>
          </cell>
          <cell r="DQ835">
            <v>210.75636778636337</v>
          </cell>
          <cell r="DR835">
            <v>196.44358611613873</v>
          </cell>
          <cell r="DT835">
            <v>283.4448120168347</v>
          </cell>
        </row>
        <row r="836">
          <cell r="B836" t="str">
            <v>Margin</v>
          </cell>
          <cell r="T836">
            <v>6.9958185911868767E-2</v>
          </cell>
          <cell r="U836">
            <v>0.14955002646903123</v>
          </cell>
          <cell r="V836">
            <v>0.14854682454251883</v>
          </cell>
          <cell r="W836">
            <v>0.15403398664594342</v>
          </cell>
          <cell r="X836">
            <v>0.16896169669757571</v>
          </cell>
          <cell r="Y836">
            <v>0.11675928438509756</v>
          </cell>
          <cell r="Z836">
            <v>0.11598383328259548</v>
          </cell>
          <cell r="AA836">
            <v>0.11687424454002933</v>
          </cell>
          <cell r="AB836">
            <v>0.11743062086522985</v>
          </cell>
          <cell r="AC836">
            <v>0.11769063907086842</v>
          </cell>
          <cell r="AD836">
            <v>0.11784808730300766</v>
          </cell>
          <cell r="AE836">
            <v>0.11778577475202678</v>
          </cell>
          <cell r="AF836">
            <v>0.11772840358622033</v>
          </cell>
          <cell r="CU836">
            <v>0.18396846254927726</v>
          </cell>
          <cell r="CV836">
            <v>0.13456790123456791</v>
          </cell>
          <cell r="CW836">
            <v>0.13415794481446242</v>
          </cell>
          <cell r="CX836">
            <v>0.11159169550173011</v>
          </cell>
          <cell r="CY836">
            <v>0.14513677811550152</v>
          </cell>
          <cell r="CZ836">
            <v>0.14473684210526316</v>
          </cell>
          <cell r="DA836">
            <v>0.1672401927047488</v>
          </cell>
          <cell r="DB836">
            <v>0.1550330639235856</v>
          </cell>
          <cell r="DC836">
            <v>0.16383495145631069</v>
          </cell>
          <cell r="DD836">
            <v>0.15362971299943726</v>
          </cell>
          <cell r="DE836">
            <v>0.18367346938775511</v>
          </cell>
          <cell r="DF836">
            <v>0.12348322626695217</v>
          </cell>
          <cell r="DG836">
            <v>0.16597998822836962</v>
          </cell>
          <cell r="DH836">
            <v>0.1912472647702407</v>
          </cell>
          <cell r="DI836">
            <v>0.15844121049655124</v>
          </cell>
          <cell r="DJ836">
            <v>0.15687126327500875</v>
          </cell>
          <cell r="DK836">
            <v>0.12118600611216815</v>
          </cell>
          <cell r="DL836">
            <v>0.11291728715210203</v>
          </cell>
          <cell r="DM836">
            <v>0.11686020166832595</v>
          </cell>
          <cell r="DN836">
            <v>0.11741503108609598</v>
          </cell>
          <cell r="DO836">
            <v>0.11783062670308973</v>
          </cell>
          <cell r="DP836">
            <v>0.1120909657649679</v>
          </cell>
          <cell r="DQ836">
            <v>0.11767061396804676</v>
          </cell>
          <cell r="DR836">
            <v>0.11817562052786092</v>
          </cell>
          <cell r="DT836">
            <v>0.11292568071627243</v>
          </cell>
        </row>
        <row r="837">
          <cell r="B837" t="str">
            <v>Growth</v>
          </cell>
          <cell r="U837">
            <v>0.29885057471264376</v>
          </cell>
          <cell r="V837">
            <v>0.46548672566371674</v>
          </cell>
          <cell r="W837">
            <v>0.198600212511852</v>
          </cell>
          <cell r="X837">
            <v>0.21914001412662976</v>
          </cell>
          <cell r="Y837">
            <v>-0.22297225254805819</v>
          </cell>
          <cell r="Z837">
            <v>-3.9741869483553294E-2</v>
          </cell>
          <cell r="AA837">
            <v>-5.01109009314189E-2</v>
          </cell>
          <cell r="AB837">
            <v>-3.5990271575233823E-2</v>
          </cell>
          <cell r="AC837">
            <v>-2.4264351033891907E-2</v>
          </cell>
          <cell r="AD837">
            <v>-2.0400862706748457E-2</v>
          </cell>
          <cell r="AE837">
            <v>-1.1618586709733814E-2</v>
          </cell>
          <cell r="AF837">
            <v>-1.1701811813202068E-2</v>
          </cell>
          <cell r="DC837">
            <v>0.41361256544502623</v>
          </cell>
          <cell r="DD837">
            <v>0.30622009569377995</v>
          </cell>
          <cell r="DE837">
            <v>0.22222222222222232</v>
          </cell>
          <cell r="DF837">
            <v>-0.18009478672985779</v>
          </cell>
        </row>
        <row r="839">
          <cell r="B839" t="str">
            <v>Capex</v>
          </cell>
          <cell r="S839">
            <v>-6</v>
          </cell>
          <cell r="T839">
            <v>-37</v>
          </cell>
          <cell r="U839">
            <v>-21</v>
          </cell>
          <cell r="V839">
            <v>-84</v>
          </cell>
          <cell r="W839">
            <v>-99</v>
          </cell>
          <cell r="X839">
            <v>-214.8281881219153</v>
          </cell>
          <cell r="Y839">
            <v>-322.07971058029977</v>
          </cell>
          <cell r="Z839">
            <v>-272.42902728499655</v>
          </cell>
          <cell r="AA839">
            <v>-110.05965311206467</v>
          </cell>
          <cell r="AB839">
            <v>-105.595890248204</v>
          </cell>
          <cell r="AC839">
            <v>-102.80603845829107</v>
          </cell>
          <cell r="AD839">
            <v>-100.57415702636074</v>
          </cell>
          <cell r="AE839">
            <v>-99.458216310395571</v>
          </cell>
          <cell r="AF839">
            <v>-98.342275594430404</v>
          </cell>
          <cell r="CU839">
            <v>-4</v>
          </cell>
          <cell r="CV839">
            <v>-3</v>
          </cell>
          <cell r="CW839">
            <v>-3</v>
          </cell>
          <cell r="CX839">
            <v>-11</v>
          </cell>
          <cell r="CY839">
            <v>-4</v>
          </cell>
          <cell r="CZ839">
            <v>-9</v>
          </cell>
          <cell r="DA839">
            <v>-39</v>
          </cell>
          <cell r="DB839">
            <v>-32</v>
          </cell>
          <cell r="DC839">
            <v>-5</v>
          </cell>
          <cell r="DD839">
            <v>-15</v>
          </cell>
          <cell r="DE839">
            <v>-25</v>
          </cell>
          <cell r="DF839">
            <v>-54</v>
          </cell>
          <cell r="DG839">
            <v>-18</v>
          </cell>
          <cell r="DH839">
            <v>-24</v>
          </cell>
        </row>
        <row r="840">
          <cell r="B840" t="str">
            <v>% of revenue</v>
          </cell>
          <cell r="S840">
            <v>1.3986013986013986E-2</v>
          </cell>
          <cell r="T840">
            <v>5.9504663879060794E-3</v>
          </cell>
          <cell r="U840">
            <v>5.5584965590259397E-3</v>
          </cell>
          <cell r="V840">
            <v>1.5069967707212056E-2</v>
          </cell>
          <cell r="W840">
            <v>1.5365512959801335E-2</v>
          </cell>
          <cell r="X840">
            <v>0.03</v>
          </cell>
          <cell r="Y840">
            <v>0.04</v>
          </cell>
          <cell r="Z840">
            <v>3.5000000000000003E-2</v>
          </cell>
          <cell r="AA840">
            <v>1.4999999999999999E-2</v>
          </cell>
          <cell r="AB840">
            <v>1.4999999999999999E-2</v>
          </cell>
          <cell r="AC840">
            <v>1.4999999999999999E-2</v>
          </cell>
          <cell r="AD840">
            <v>1.4999999999999999E-2</v>
          </cell>
          <cell r="AE840">
            <v>1.4999999999999999E-2</v>
          </cell>
          <cell r="AF840">
            <v>1.4999999999999999E-2</v>
          </cell>
          <cell r="CU840">
            <v>5.2562417871222077E-3</v>
          </cell>
          <cell r="CY840">
            <v>3.0395136778115501E-3</v>
          </cell>
          <cell r="CZ840">
            <v>6.2326869806094186E-3</v>
          </cell>
          <cell r="DA840">
            <v>2.6841018582243633E-2</v>
          </cell>
          <cell r="DB840">
            <v>2.3512123438648051E-2</v>
          </cell>
          <cell r="DC840">
            <v>3.0339805825242718E-3</v>
          </cell>
          <cell r="DD840">
            <v>8.4411930219471017E-3</v>
          </cell>
          <cell r="DE840">
            <v>1.5460729746444033E-2</v>
          </cell>
          <cell r="DF840">
            <v>3.8543897216274089E-2</v>
          </cell>
          <cell r="DG840">
            <v>1.059446733372572E-2</v>
          </cell>
          <cell r="DH840">
            <v>1.050328227571116E-2</v>
          </cell>
        </row>
        <row r="842">
          <cell r="B842" t="str">
            <v>PP&amp;E, net</v>
          </cell>
          <cell r="S842" t="str">
            <v>ND</v>
          </cell>
          <cell r="T842">
            <v>2746</v>
          </cell>
          <cell r="U842">
            <v>2583</v>
          </cell>
          <cell r="V842">
            <v>2495</v>
          </cell>
          <cell r="W842">
            <v>2452</v>
          </cell>
          <cell r="X842">
            <v>2523.8281881219154</v>
          </cell>
          <cell r="Y842">
            <v>2705.9078987022153</v>
          </cell>
          <cell r="Z842">
            <v>2832.1758179532812</v>
          </cell>
          <cell r="AA842">
            <v>2797.8794357775087</v>
          </cell>
          <cell r="AB842">
            <v>2761.057297989857</v>
          </cell>
          <cell r="AC842">
            <v>2723.4259078911705</v>
          </cell>
          <cell r="AD842">
            <v>2685.5557999370849</v>
          </cell>
          <cell r="AE842">
            <v>2648.5190537005365</v>
          </cell>
          <cell r="AF842">
            <v>2612.2740010956486</v>
          </cell>
          <cell r="CU842" t="str">
            <v>ND</v>
          </cell>
          <cell r="CV842" t="str">
            <v>ND</v>
          </cell>
          <cell r="CW842" t="str">
            <v>ND</v>
          </cell>
          <cell r="CX842" t="str">
            <v>ND</v>
          </cell>
          <cell r="CY842" t="str">
            <v>ND</v>
          </cell>
          <cell r="CZ842" t="str">
            <v>ND</v>
          </cell>
        </row>
        <row r="843">
          <cell r="B843" t="str">
            <v>Asset turnover</v>
          </cell>
          <cell r="T843">
            <v>2.2643845593590677</v>
          </cell>
          <cell r="U843">
            <v>1.4626403406891211</v>
          </cell>
          <cell r="V843">
            <v>2.234068136272545</v>
          </cell>
          <cell r="W843">
            <v>2.6276508972267538</v>
          </cell>
          <cell r="X843">
            <v>2.8373324451188551</v>
          </cell>
          <cell r="Y843">
            <v>2.9757083633073109</v>
          </cell>
          <cell r="Z843">
            <v>2.7483062472731845</v>
          </cell>
          <cell r="AA843">
            <v>2.62245403202372</v>
          </cell>
          <cell r="AB843">
            <v>2.5496486515046577</v>
          </cell>
          <cell r="AC843">
            <v>2.5165861415067674</v>
          </cell>
          <cell r="AD843">
            <v>2.4966689584012594</v>
          </cell>
          <cell r="AE843">
            <v>2.5034925630465472</v>
          </cell>
          <cell r="AF843">
            <v>2.5097488638425975</v>
          </cell>
          <cell r="CU843" t="str">
            <v>NM</v>
          </cell>
          <cell r="CV843" t="str">
            <v>NM</v>
          </cell>
          <cell r="CW843" t="str">
            <v>NM</v>
          </cell>
          <cell r="CX843" t="str">
            <v>NM</v>
          </cell>
          <cell r="CY843" t="str">
            <v>NM</v>
          </cell>
          <cell r="CZ843" t="str">
            <v>NM</v>
          </cell>
        </row>
        <row r="845">
          <cell r="B845" t="str">
            <v>Investment in joint ventures</v>
          </cell>
          <cell r="S845" t="str">
            <v>ND</v>
          </cell>
          <cell r="T845">
            <v>954</v>
          </cell>
          <cell r="U845">
            <v>922</v>
          </cell>
          <cell r="CU845" t="str">
            <v>ND</v>
          </cell>
          <cell r="CV845" t="str">
            <v>ND</v>
          </cell>
          <cell r="CW845" t="str">
            <v>ND</v>
          </cell>
          <cell r="CX845" t="str">
            <v>ND</v>
          </cell>
          <cell r="CY845" t="str">
            <v>ND</v>
          </cell>
          <cell r="CZ845" t="str">
            <v>ND</v>
          </cell>
        </row>
        <row r="847">
          <cell r="B847" t="str">
            <v>Equity and other investments</v>
          </cell>
          <cell r="S847" t="str">
            <v>ND</v>
          </cell>
          <cell r="T847">
            <v>114</v>
          </cell>
          <cell r="U847">
            <v>99</v>
          </cell>
          <cell r="CU847" t="str">
            <v>ND</v>
          </cell>
          <cell r="CV847" t="str">
            <v>ND</v>
          </cell>
          <cell r="CW847" t="str">
            <v>ND</v>
          </cell>
          <cell r="CX847" t="str">
            <v>ND</v>
          </cell>
          <cell r="CY847" t="str">
            <v>ND</v>
          </cell>
          <cell r="CZ847" t="str">
            <v>ND</v>
          </cell>
        </row>
        <row r="849">
          <cell r="B849" t="str">
            <v>Sales volumes (mn pounds)</v>
          </cell>
        </row>
        <row r="850">
          <cell r="B850" t="str">
            <v>PO and derivatives</v>
          </cell>
          <cell r="CU850">
            <v>681</v>
          </cell>
          <cell r="CV850">
            <v>576</v>
          </cell>
          <cell r="CW850">
            <v>737</v>
          </cell>
          <cell r="CX850">
            <v>701</v>
          </cell>
          <cell r="CY850">
            <v>869</v>
          </cell>
          <cell r="CZ850">
            <v>781</v>
          </cell>
          <cell r="DA850">
            <v>872</v>
          </cell>
          <cell r="DB850">
            <v>860</v>
          </cell>
          <cell r="DC850">
            <v>838</v>
          </cell>
          <cell r="DD850">
            <v>791</v>
          </cell>
          <cell r="DE850">
            <v>758</v>
          </cell>
          <cell r="DF850">
            <v>716</v>
          </cell>
          <cell r="DG850">
            <v>828</v>
          </cell>
          <cell r="DH850">
            <v>800</v>
          </cell>
          <cell r="DI850">
            <v>758</v>
          </cell>
          <cell r="DJ850">
            <v>716</v>
          </cell>
          <cell r="DK850">
            <v>828</v>
          </cell>
          <cell r="DL850">
            <v>800</v>
          </cell>
          <cell r="DM850">
            <v>758</v>
          </cell>
          <cell r="DN850">
            <v>716</v>
          </cell>
          <cell r="DO850">
            <v>828</v>
          </cell>
          <cell r="DP850">
            <v>800</v>
          </cell>
          <cell r="DQ850">
            <v>758</v>
          </cell>
          <cell r="DR850">
            <v>716</v>
          </cell>
          <cell r="DT850">
            <v>800</v>
          </cell>
        </row>
        <row r="851">
          <cell r="B851" t="str">
            <v>EO and derivatives</v>
          </cell>
          <cell r="CU851">
            <v>224</v>
          </cell>
          <cell r="CV851">
            <v>275</v>
          </cell>
          <cell r="CW851">
            <v>299</v>
          </cell>
          <cell r="CX851">
            <v>265</v>
          </cell>
          <cell r="CY851">
            <v>265</v>
          </cell>
          <cell r="CZ851">
            <v>250</v>
          </cell>
          <cell r="DA851">
            <v>206</v>
          </cell>
          <cell r="DB851">
            <v>251</v>
          </cell>
          <cell r="DC851">
            <v>288</v>
          </cell>
          <cell r="DD851">
            <v>277</v>
          </cell>
          <cell r="DE851">
            <v>281</v>
          </cell>
          <cell r="DF851">
            <v>254</v>
          </cell>
          <cell r="DG851">
            <v>312</v>
          </cell>
          <cell r="DH851">
            <v>275</v>
          </cell>
          <cell r="DI851">
            <v>281</v>
          </cell>
          <cell r="DJ851">
            <v>254</v>
          </cell>
          <cell r="DK851">
            <v>312</v>
          </cell>
          <cell r="DL851">
            <v>275</v>
          </cell>
          <cell r="DM851">
            <v>281</v>
          </cell>
          <cell r="DN851">
            <v>254</v>
          </cell>
          <cell r="DO851">
            <v>312</v>
          </cell>
          <cell r="DP851">
            <v>275</v>
          </cell>
          <cell r="DQ851">
            <v>281</v>
          </cell>
          <cell r="DR851">
            <v>254</v>
          </cell>
          <cell r="DT851">
            <v>275</v>
          </cell>
        </row>
        <row r="852">
          <cell r="B852" t="str">
            <v>Styrene</v>
          </cell>
          <cell r="CU852">
            <v>394</v>
          </cell>
          <cell r="CV852">
            <v>514</v>
          </cell>
          <cell r="CW852">
            <v>666</v>
          </cell>
          <cell r="CX852">
            <v>717</v>
          </cell>
          <cell r="CY852">
            <v>589</v>
          </cell>
          <cell r="CZ852">
            <v>780</v>
          </cell>
          <cell r="DA852">
            <v>827</v>
          </cell>
          <cell r="DB852">
            <v>685</v>
          </cell>
          <cell r="DC852">
            <v>852</v>
          </cell>
          <cell r="DD852">
            <v>817</v>
          </cell>
          <cell r="DE852">
            <v>714</v>
          </cell>
          <cell r="DF852">
            <v>682</v>
          </cell>
          <cell r="DG852">
            <v>704</v>
          </cell>
          <cell r="DH852">
            <v>678</v>
          </cell>
          <cell r="DI852">
            <v>714</v>
          </cell>
          <cell r="DJ852">
            <v>682</v>
          </cell>
          <cell r="DK852">
            <v>704</v>
          </cell>
          <cell r="DL852">
            <v>678</v>
          </cell>
          <cell r="DM852">
            <v>714</v>
          </cell>
          <cell r="DN852">
            <v>682</v>
          </cell>
          <cell r="DO852">
            <v>704</v>
          </cell>
          <cell r="DP852">
            <v>678</v>
          </cell>
          <cell r="DQ852">
            <v>714</v>
          </cell>
          <cell r="DR852">
            <v>682</v>
          </cell>
          <cell r="DT852">
            <v>678</v>
          </cell>
        </row>
        <row r="853">
          <cell r="B853" t="str">
            <v>Acetyls</v>
          </cell>
          <cell r="CU853">
            <v>290</v>
          </cell>
          <cell r="CV853">
            <v>464</v>
          </cell>
          <cell r="CW853">
            <v>495</v>
          </cell>
          <cell r="CX853">
            <v>433</v>
          </cell>
          <cell r="CY853">
            <v>379</v>
          </cell>
          <cell r="CZ853">
            <v>439</v>
          </cell>
          <cell r="DA853">
            <v>405</v>
          </cell>
          <cell r="DB853">
            <v>484</v>
          </cell>
          <cell r="DC853">
            <v>439</v>
          </cell>
          <cell r="DD853">
            <v>471</v>
          </cell>
          <cell r="DE853">
            <v>411</v>
          </cell>
          <cell r="DF853">
            <v>370</v>
          </cell>
          <cell r="DG853">
            <v>489</v>
          </cell>
          <cell r="DH853">
            <v>444</v>
          </cell>
          <cell r="DI853">
            <v>411</v>
          </cell>
          <cell r="DJ853">
            <v>370</v>
          </cell>
          <cell r="DK853">
            <v>489</v>
          </cell>
          <cell r="DL853">
            <v>444</v>
          </cell>
          <cell r="DM853">
            <v>411</v>
          </cell>
          <cell r="DN853">
            <v>370</v>
          </cell>
          <cell r="DO853">
            <v>489</v>
          </cell>
          <cell r="DP853">
            <v>444</v>
          </cell>
          <cell r="DQ853">
            <v>411</v>
          </cell>
          <cell r="DR853">
            <v>370</v>
          </cell>
          <cell r="DT853">
            <v>444</v>
          </cell>
        </row>
        <row r="854">
          <cell r="B854" t="str">
            <v>C4 chemicals</v>
          </cell>
          <cell r="CU854">
            <v>290</v>
          </cell>
          <cell r="CV854">
            <v>274</v>
          </cell>
          <cell r="CW854">
            <v>386</v>
          </cell>
          <cell r="CX854">
            <v>431</v>
          </cell>
          <cell r="CY854">
            <v>472</v>
          </cell>
          <cell r="CZ854">
            <v>470</v>
          </cell>
          <cell r="DA854">
            <v>454</v>
          </cell>
          <cell r="DB854">
            <v>425</v>
          </cell>
          <cell r="DC854">
            <v>485</v>
          </cell>
          <cell r="DD854">
            <v>459</v>
          </cell>
          <cell r="DE854">
            <v>433</v>
          </cell>
          <cell r="DF854">
            <v>418</v>
          </cell>
          <cell r="DG854">
            <v>462</v>
          </cell>
          <cell r="DH854">
            <v>448</v>
          </cell>
          <cell r="DI854">
            <v>433</v>
          </cell>
          <cell r="DJ854">
            <v>418</v>
          </cell>
          <cell r="DK854">
            <v>462</v>
          </cell>
          <cell r="DL854">
            <v>448</v>
          </cell>
          <cell r="DM854">
            <v>433</v>
          </cell>
          <cell r="DN854">
            <v>418</v>
          </cell>
          <cell r="DO854">
            <v>462</v>
          </cell>
          <cell r="DP854">
            <v>448</v>
          </cell>
          <cell r="DQ854">
            <v>433</v>
          </cell>
          <cell r="DR854">
            <v>418</v>
          </cell>
          <cell r="DT854">
            <v>448</v>
          </cell>
        </row>
        <row r="855">
          <cell r="B855" t="str">
            <v>Gasoline blending - MTBE/ETBE (gal)</v>
          </cell>
          <cell r="U855">
            <v>207.75</v>
          </cell>
          <cell r="V855">
            <v>222.75</v>
          </cell>
          <cell r="CU855">
            <v>205</v>
          </cell>
          <cell r="CV855">
            <v>220</v>
          </cell>
          <cell r="CW855">
            <v>243</v>
          </cell>
          <cell r="CX855">
            <v>163</v>
          </cell>
          <cell r="CY855">
            <v>189</v>
          </cell>
          <cell r="CZ855">
            <v>236</v>
          </cell>
          <cell r="DA855">
            <v>248</v>
          </cell>
          <cell r="DB855">
            <v>218</v>
          </cell>
          <cell r="DC855">
            <v>196</v>
          </cell>
          <cell r="DD855">
            <v>206</v>
          </cell>
          <cell r="DE855">
            <v>264</v>
          </cell>
          <cell r="DF855">
            <v>210</v>
          </cell>
          <cell r="DG855">
            <v>205</v>
          </cell>
          <cell r="DH855">
            <v>196</v>
          </cell>
        </row>
        <row r="857">
          <cell r="B857" t="str">
            <v>Selling Prices (cents/pound)</v>
          </cell>
        </row>
        <row r="858">
          <cell r="B858" t="str">
            <v>PO and derivatives</v>
          </cell>
        </row>
        <row r="859">
          <cell r="B859" t="str">
            <v>EO and derivatives</v>
          </cell>
        </row>
        <row r="860">
          <cell r="B860" t="str">
            <v>Styrene</v>
          </cell>
          <cell r="CY860">
            <v>225.13333333333333</v>
          </cell>
          <cell r="CZ860">
            <v>270.7</v>
          </cell>
          <cell r="DA860">
            <v>223.30333333333331</v>
          </cell>
          <cell r="DB860">
            <v>263.84999999999997</v>
          </cell>
          <cell r="DC860">
            <v>257.24</v>
          </cell>
          <cell r="DD860">
            <v>269.15666666666669</v>
          </cell>
          <cell r="DE860">
            <v>250.50333333333333</v>
          </cell>
          <cell r="DF860">
            <v>265.58666666666664</v>
          </cell>
          <cell r="DG860">
            <v>256.23</v>
          </cell>
          <cell r="DH860">
            <v>241.34333333333333</v>
          </cell>
          <cell r="DI860">
            <v>268.78000000000003</v>
          </cell>
          <cell r="DJ860">
            <v>251.66666666666666</v>
          </cell>
          <cell r="DK860">
            <v>251.66666666666666</v>
          </cell>
          <cell r="DL860">
            <v>251.66666666666666</v>
          </cell>
          <cell r="DM860">
            <v>251.66666666666666</v>
          </cell>
          <cell r="DN860">
            <v>251.66666666666666</v>
          </cell>
          <cell r="DO860">
            <v>251.66666666666666</v>
          </cell>
          <cell r="DP860">
            <v>251.66666666666666</v>
          </cell>
          <cell r="DQ860">
            <v>251.66666666666666</v>
          </cell>
          <cell r="DR860">
            <v>251.66666666666666</v>
          </cell>
          <cell r="DT860">
            <v>251.66666666666666</v>
          </cell>
        </row>
        <row r="861">
          <cell r="B861" t="str">
            <v>Acetyls</v>
          </cell>
        </row>
        <row r="862">
          <cell r="B862" t="str">
            <v>C4 chemicals</v>
          </cell>
        </row>
        <row r="868">
          <cell r="B868" t="str">
            <v>Refining and Oxyfuels (old)</v>
          </cell>
          <cell r="C868">
            <v>1991</v>
          </cell>
          <cell r="D868">
            <v>1992</v>
          </cell>
          <cell r="E868">
            <v>1993</v>
          </cell>
          <cell r="F868">
            <v>1994</v>
          </cell>
          <cell r="G868">
            <v>1995</v>
          </cell>
          <cell r="H868">
            <v>1996</v>
          </cell>
          <cell r="I868">
            <v>1997</v>
          </cell>
          <cell r="J868">
            <v>1998</v>
          </cell>
          <cell r="K868">
            <v>1999</v>
          </cell>
          <cell r="L868">
            <v>2000</v>
          </cell>
          <cell r="M868">
            <v>2001</v>
          </cell>
          <cell r="N868">
            <v>2002</v>
          </cell>
          <cell r="O868">
            <v>2003</v>
          </cell>
          <cell r="P868">
            <v>2004</v>
          </cell>
          <cell r="Q868">
            <v>2005</v>
          </cell>
          <cell r="R868">
            <v>2006</v>
          </cell>
          <cell r="S868">
            <v>2007</v>
          </cell>
          <cell r="T868">
            <v>2008</v>
          </cell>
          <cell r="U868" t="str">
            <v>2009</v>
          </cell>
          <cell r="V868" t="str">
            <v>2010</v>
          </cell>
          <cell r="W868" t="str">
            <v>2011</v>
          </cell>
          <cell r="X868" t="str">
            <v>2012</v>
          </cell>
          <cell r="Y868" t="str">
            <v>2013e</v>
          </cell>
          <cell r="Z868" t="str">
            <v>2014e</v>
          </cell>
          <cell r="AA868" t="str">
            <v>2015e</v>
          </cell>
          <cell r="AB868" t="str">
            <v>2016e</v>
          </cell>
          <cell r="AC868" t="str">
            <v>2017e</v>
          </cell>
          <cell r="AD868" t="str">
            <v>2018e</v>
          </cell>
          <cell r="AE868" t="str">
            <v>2019e</v>
          </cell>
          <cell r="AF868" t="str">
            <v>2020e</v>
          </cell>
          <cell r="AI868" t="str">
            <v>1993q1</v>
          </cell>
          <cell r="AJ868" t="str">
            <v>1993q2</v>
          </cell>
          <cell r="AK868" t="str">
            <v>1993q3</v>
          </cell>
          <cell r="AL868" t="str">
            <v>1993q4</v>
          </cell>
          <cell r="AM868" t="str">
            <v>1994q1</v>
          </cell>
          <cell r="AN868" t="str">
            <v>1994q2</v>
          </cell>
          <cell r="AO868" t="str">
            <v>1994q3</v>
          </cell>
          <cell r="AP868" t="str">
            <v>1994q4</v>
          </cell>
          <cell r="AQ868" t="str">
            <v>1995q1</v>
          </cell>
          <cell r="AR868" t="str">
            <v>1995q2</v>
          </cell>
          <cell r="AS868" t="str">
            <v>1995q3</v>
          </cell>
          <cell r="AT868" t="str">
            <v>1995q4</v>
          </cell>
          <cell r="AU868" t="str">
            <v>1996q1</v>
          </cell>
          <cell r="AV868" t="str">
            <v>1996q2</v>
          </cell>
          <cell r="AW868" t="str">
            <v>1996q3</v>
          </cell>
          <cell r="AX868" t="str">
            <v>1996q4</v>
          </cell>
          <cell r="AY868" t="str">
            <v>1997q1</v>
          </cell>
          <cell r="AZ868" t="str">
            <v>1997q2</v>
          </cell>
          <cell r="BA868" t="str">
            <v>1997q3</v>
          </cell>
          <cell r="BB868" t="str">
            <v>1997q4</v>
          </cell>
          <cell r="BC868" t="str">
            <v>1998q1</v>
          </cell>
          <cell r="BD868" t="str">
            <v>1998q2</v>
          </cell>
          <cell r="BE868" t="str">
            <v>1998q3</v>
          </cell>
          <cell r="BF868" t="str">
            <v>1998q4</v>
          </cell>
          <cell r="BG868" t="str">
            <v>1999q1</v>
          </cell>
          <cell r="BH868" t="str">
            <v>1999q2</v>
          </cell>
          <cell r="BI868" t="str">
            <v>1999q3</v>
          </cell>
          <cell r="BJ868" t="str">
            <v>1999q4</v>
          </cell>
          <cell r="BK868" t="str">
            <v>2000q1</v>
          </cell>
          <cell r="BL868" t="str">
            <v>2000q2</v>
          </cell>
          <cell r="BM868" t="str">
            <v>2000q3</v>
          </cell>
          <cell r="BN868" t="str">
            <v>2000q4</v>
          </cell>
          <cell r="BO868" t="str">
            <v>2001q1</v>
          </cell>
          <cell r="BP868" t="str">
            <v>2001q2</v>
          </cell>
          <cell r="BQ868" t="str">
            <v>2001q3</v>
          </cell>
          <cell r="BR868" t="str">
            <v>2001q4</v>
          </cell>
          <cell r="BS868" t="str">
            <v>2002q1</v>
          </cell>
          <cell r="BT868" t="str">
            <v>2002q2</v>
          </cell>
          <cell r="BU868" t="str">
            <v>2002q3</v>
          </cell>
          <cell r="BV868" t="str">
            <v>2002q4</v>
          </cell>
          <cell r="BW868" t="str">
            <v>2003q1</v>
          </cell>
          <cell r="BX868" t="str">
            <v>2003q2</v>
          </cell>
          <cell r="BY868" t="str">
            <v>2003q3</v>
          </cell>
          <cell r="BZ868" t="str">
            <v>2003q4</v>
          </cell>
          <cell r="CA868" t="str">
            <v>2004q1</v>
          </cell>
          <cell r="CB868" t="str">
            <v>2004q2</v>
          </cell>
          <cell r="CC868" t="str">
            <v>2004q3</v>
          </cell>
          <cell r="CD868" t="str">
            <v>2004q4</v>
          </cell>
          <cell r="CE868" t="str">
            <v>2005q1</v>
          </cell>
          <cell r="CF868" t="str">
            <v>2005q2</v>
          </cell>
          <cell r="CG868" t="str">
            <v>2005q3</v>
          </cell>
          <cell r="CH868" t="str">
            <v>2005q4</v>
          </cell>
          <cell r="CI868" t="str">
            <v>2006q1</v>
          </cell>
          <cell r="CJ868" t="str">
            <v>2006q2</v>
          </cell>
          <cell r="CK868" t="str">
            <v>2006q3</v>
          </cell>
          <cell r="CL868" t="str">
            <v>2006q4</v>
          </cell>
          <cell r="CM868" t="str">
            <v>2007q1</v>
          </cell>
          <cell r="CN868" t="str">
            <v>2007q2</v>
          </cell>
          <cell r="CO868" t="str">
            <v>2007q3</v>
          </cell>
          <cell r="CP868" t="str">
            <v>2007q4</v>
          </cell>
          <cell r="CQ868" t="str">
            <v>2008q1</v>
          </cell>
          <cell r="CR868" t="str">
            <v>2008q2</v>
          </cell>
          <cell r="CS868" t="str">
            <v>2008q3</v>
          </cell>
          <cell r="CT868" t="str">
            <v>2008q4</v>
          </cell>
          <cell r="CU868" t="str">
            <v>2009q1</v>
          </cell>
          <cell r="CV868" t="str">
            <v>2009q2</v>
          </cell>
          <cell r="CW868" t="str">
            <v>2009q3</v>
          </cell>
          <cell r="CX868" t="str">
            <v>2009q4</v>
          </cell>
          <cell r="CY868" t="str">
            <v>2010q1</v>
          </cell>
          <cell r="CZ868" t="str">
            <v>2010q2</v>
          </cell>
          <cell r="DA868" t="str">
            <v>2010q3</v>
          </cell>
          <cell r="DB868" t="str">
            <v>2010q4</v>
          </cell>
          <cell r="DC868" t="str">
            <v>2011q1</v>
          </cell>
          <cell r="DD868" t="str">
            <v>2011q2</v>
          </cell>
          <cell r="DE868" t="str">
            <v>2011q3</v>
          </cell>
          <cell r="DF868" t="str">
            <v>2011q4</v>
          </cell>
          <cell r="DG868" t="str">
            <v>2012q1</v>
          </cell>
          <cell r="DH868" t="str">
            <v>2012q2</v>
          </cell>
          <cell r="DI868" t="str">
            <v>2012q3</v>
          </cell>
          <cell r="DJ868" t="str">
            <v>2012q4e</v>
          </cell>
          <cell r="DK868" t="str">
            <v>2013q1e</v>
          </cell>
          <cell r="DL868" t="str">
            <v>2013q2e</v>
          </cell>
          <cell r="DM868" t="str">
            <v>2013q3e</v>
          </cell>
          <cell r="DN868" t="str">
            <v>2013q4e</v>
          </cell>
          <cell r="DO868" t="str">
            <v>2014q1e</v>
          </cell>
          <cell r="DP868" t="str">
            <v>2014q2e</v>
          </cell>
          <cell r="DQ868" t="str">
            <v>2014q3e</v>
          </cell>
          <cell r="DR868" t="str">
            <v>2014q4e</v>
          </cell>
          <cell r="DT868" t="str">
            <v>2013q2e</v>
          </cell>
        </row>
        <row r="870">
          <cell r="B870" t="str">
            <v>Customers</v>
          </cell>
          <cell r="S870">
            <v>478</v>
          </cell>
          <cell r="T870">
            <v>17370</v>
          </cell>
        </row>
        <row r="871">
          <cell r="B871" t="str">
            <v>Intersegment</v>
          </cell>
          <cell r="S871">
            <v>0</v>
          </cell>
          <cell r="T871">
            <v>992</v>
          </cell>
        </row>
        <row r="872">
          <cell r="B872" t="str">
            <v>Revenue</v>
          </cell>
          <cell r="S872">
            <v>478</v>
          </cell>
          <cell r="T872">
            <v>18362</v>
          </cell>
          <cell r="U872">
            <v>12078</v>
          </cell>
          <cell r="V872">
            <v>15069</v>
          </cell>
          <cell r="W872">
            <v>20733</v>
          </cell>
          <cell r="X872">
            <v>16268.838348566816</v>
          </cell>
          <cell r="Y872">
            <v>15934.412343122696</v>
          </cell>
          <cell r="Z872">
            <v>15284.770152778317</v>
          </cell>
          <cell r="AA872">
            <v>14408.224194196049</v>
          </cell>
          <cell r="AB872">
            <v>13823.86022180787</v>
          </cell>
          <cell r="AC872">
            <v>13458.632739065259</v>
          </cell>
          <cell r="AD872">
            <v>13166.450752871169</v>
          </cell>
          <cell r="AE872">
            <v>13020.359759774125</v>
          </cell>
          <cell r="AF872">
            <v>12874.26876667708</v>
          </cell>
          <cell r="CU872">
            <v>2265</v>
          </cell>
          <cell r="CV872">
            <v>3167</v>
          </cell>
          <cell r="CW872">
            <v>3506</v>
          </cell>
          <cell r="CX872">
            <v>3140</v>
          </cell>
          <cell r="CY872">
            <v>3415</v>
          </cell>
          <cell r="CZ872">
            <v>3736</v>
          </cell>
          <cell r="DA872">
            <v>3867</v>
          </cell>
          <cell r="DB872">
            <v>4051</v>
          </cell>
          <cell r="DC872">
            <v>4720</v>
          </cell>
          <cell r="DD872">
            <v>5833</v>
          </cell>
          <cell r="DE872">
            <v>5869</v>
          </cell>
          <cell r="DF872">
            <v>4311</v>
          </cell>
          <cell r="DG872">
            <v>4261</v>
          </cell>
          <cell r="DH872">
            <v>3496</v>
          </cell>
          <cell r="DI872">
            <v>4787.0421228750165</v>
          </cell>
          <cell r="DJ872">
            <v>3724.7962256917995</v>
          </cell>
          <cell r="DK872">
            <v>4071.4063660925367</v>
          </cell>
          <cell r="DL872">
            <v>3322.8288376655223</v>
          </cell>
          <cell r="DM872">
            <v>4866.936676261972</v>
          </cell>
          <cell r="DN872">
            <v>3673.2404631026657</v>
          </cell>
          <cell r="DO872">
            <v>3849.4343127321854</v>
          </cell>
          <cell r="DP872">
            <v>3375.5517410495345</v>
          </cell>
          <cell r="DQ872">
            <v>4592.8384338326032</v>
          </cell>
          <cell r="DR872">
            <v>3466.945665163993</v>
          </cell>
          <cell r="DT872">
            <v>3315.8634134379595</v>
          </cell>
        </row>
        <row r="873">
          <cell r="B873" t="str">
            <v>Growth</v>
          </cell>
          <cell r="T873">
            <v>37.414225941422593</v>
          </cell>
          <cell r="U873">
            <v>-0.34222851541226451</v>
          </cell>
          <cell r="V873">
            <v>0.24764033780427219</v>
          </cell>
          <cell r="W873">
            <v>0.3758709934302209</v>
          </cell>
          <cell r="X873">
            <v>-0.21531672461453644</v>
          </cell>
          <cell r="Y873">
            <v>-2.0556231384128321E-2</v>
          </cell>
          <cell r="Z873">
            <v>-4.0769761466902477E-2</v>
          </cell>
          <cell r="AA873">
            <v>-5.7347670250896043E-2</v>
          </cell>
          <cell r="AB873">
            <v>-4.0557667934093766E-2</v>
          </cell>
          <cell r="AC873">
            <v>-2.6420079260237816E-2</v>
          </cell>
          <cell r="AD873">
            <v>-2.170963364993217E-2</v>
          </cell>
          <cell r="AE873">
            <v>-1.1095700416088761E-2</v>
          </cell>
          <cell r="AF873">
            <v>-1.1220196353436185E-2</v>
          </cell>
          <cell r="CY873">
            <v>0.50772626931567322</v>
          </cell>
          <cell r="CZ873">
            <v>0.17966529838964318</v>
          </cell>
          <cell r="DA873">
            <v>0.10296634341129485</v>
          </cell>
          <cell r="DB873">
            <v>0.29012738853503195</v>
          </cell>
          <cell r="DC873">
            <v>0.38213762811127383</v>
          </cell>
          <cell r="DD873">
            <v>0.56129550321199151</v>
          </cell>
          <cell r="DE873">
            <v>0.51771399017326103</v>
          </cell>
          <cell r="DF873">
            <v>6.418168353492959E-2</v>
          </cell>
          <cell r="DG873">
            <v>-9.7245762711864359E-2</v>
          </cell>
          <cell r="DH873">
            <v>-0.40065146579804556</v>
          </cell>
          <cell r="DI873">
            <v>-0.18435131659992898</v>
          </cell>
          <cell r="DJ873">
            <v>-0.13597860689125507</v>
          </cell>
          <cell r="DK873">
            <v>-4.4495103005741221E-2</v>
          </cell>
          <cell r="DL873">
            <v>-4.9534085335948941E-2</v>
          </cell>
          <cell r="DM873">
            <v>1.6689753575632293E-2</v>
          </cell>
          <cell r="DN873">
            <v>-1.3841230356046785E-2</v>
          </cell>
          <cell r="DO873">
            <v>-5.4519749050101596E-2</v>
          </cell>
          <cell r="DP873">
            <v>1.5866873065015552E-2</v>
          </cell>
          <cell r="DQ873">
            <v>-5.6318432036779442E-2</v>
          </cell>
          <cell r="DR873">
            <v>-5.6161528223072632E-2</v>
          </cell>
          <cell r="DT873">
            <v>-5.1526483570377701E-2</v>
          </cell>
        </row>
        <row r="874">
          <cell r="B874" t="str">
            <v>Volume</v>
          </cell>
          <cell r="AA874">
            <v>0</v>
          </cell>
          <cell r="AB874">
            <v>0</v>
          </cell>
          <cell r="AC874">
            <v>0</v>
          </cell>
          <cell r="AD874">
            <v>0</v>
          </cell>
          <cell r="AE874">
            <v>0</v>
          </cell>
          <cell r="AF874">
            <v>0</v>
          </cell>
          <cell r="CY874">
            <v>-5.6771607731592288E-2</v>
          </cell>
          <cell r="CZ874">
            <v>-8.3377676352645036E-2</v>
          </cell>
        </row>
        <row r="875">
          <cell r="B875" t="str">
            <v>Price</v>
          </cell>
          <cell r="AA875">
            <v>-5.7347670250896043E-2</v>
          </cell>
          <cell r="AB875">
            <v>-4.0557667934093766E-2</v>
          </cell>
          <cell r="AC875">
            <v>-2.6420079260237816E-2</v>
          </cell>
          <cell r="AD875">
            <v>-2.170963364993217E-2</v>
          </cell>
          <cell r="AE875">
            <v>-1.1095700416088761E-2</v>
          </cell>
          <cell r="AF875">
            <v>-1.1220196353436185E-2</v>
          </cell>
          <cell r="CY875">
            <v>0.59847422074486345</v>
          </cell>
          <cell r="CZ875">
            <v>0.28696985438409062</v>
          </cell>
          <cell r="DH875">
            <v>-7.1810629338795895E-2</v>
          </cell>
          <cell r="DI875">
            <v>-4.3944801009538903E-2</v>
          </cell>
          <cell r="DJ875">
            <v>6.4584920030463788E-3</v>
          </cell>
          <cell r="DK875">
            <v>-4.4495103005741221E-2</v>
          </cell>
          <cell r="DL875">
            <v>-4.9534085335949052E-2</v>
          </cell>
          <cell r="DM875">
            <v>1.6689753575632293E-2</v>
          </cell>
          <cell r="DN875">
            <v>-1.3841230356046785E-2</v>
          </cell>
          <cell r="DO875">
            <v>-5.4519749050101596E-2</v>
          </cell>
          <cell r="DP875">
            <v>1.5866873065015552E-2</v>
          </cell>
          <cell r="DQ875">
            <v>-5.6318432036779331E-2</v>
          </cell>
          <cell r="DR875">
            <v>-5.6161528223072632E-2</v>
          </cell>
          <cell r="DT875">
            <v>-5.1526483570377701E-2</v>
          </cell>
        </row>
        <row r="877">
          <cell r="B877" t="str">
            <v>Operating Income</v>
          </cell>
          <cell r="S877">
            <v>21</v>
          </cell>
          <cell r="T877">
            <v>145</v>
          </cell>
          <cell r="U877">
            <v>-348</v>
          </cell>
          <cell r="V877">
            <v>169</v>
          </cell>
          <cell r="W877">
            <v>911</v>
          </cell>
          <cell r="X877">
            <v>106.15090004299617</v>
          </cell>
          <cell r="Y877">
            <v>-119.87463513834298</v>
          </cell>
          <cell r="Z877">
            <v>-146.3340458462994</v>
          </cell>
          <cell r="AA877">
            <v>-43.622483675357159</v>
          </cell>
          <cell r="AB877">
            <v>-42.58127213021919</v>
          </cell>
          <cell r="AC877">
            <v>-41.36385398562399</v>
          </cell>
          <cell r="AD877">
            <v>-40.024693006887247</v>
          </cell>
          <cell r="AE877">
            <v>-38.661183206401716</v>
          </cell>
          <cell r="AF877">
            <v>-37.274542025254817</v>
          </cell>
          <cell r="CU877">
            <v>-44</v>
          </cell>
          <cell r="CV877">
            <v>-80</v>
          </cell>
          <cell r="CW877">
            <v>-33</v>
          </cell>
          <cell r="CX877">
            <v>-200</v>
          </cell>
          <cell r="CY877">
            <v>-128</v>
          </cell>
          <cell r="CZ877">
            <v>43</v>
          </cell>
          <cell r="DA877">
            <v>83</v>
          </cell>
          <cell r="DB877">
            <v>144</v>
          </cell>
          <cell r="DC877">
            <v>164</v>
          </cell>
          <cell r="DD877">
            <v>296</v>
          </cell>
          <cell r="DE877">
            <v>454</v>
          </cell>
          <cell r="DF877">
            <v>-196</v>
          </cell>
          <cell r="DG877">
            <v>140</v>
          </cell>
          <cell r="DH877">
            <v>71</v>
          </cell>
          <cell r="DI877">
            <v>-47.260036762601715</v>
          </cell>
          <cell r="DJ877">
            <v>-59.589063194402115</v>
          </cell>
          <cell r="DK877">
            <v>-29.968658784585745</v>
          </cell>
          <cell r="DL877">
            <v>-29.968658784585745</v>
          </cell>
          <cell r="DM877">
            <v>-29.968658784585745</v>
          </cell>
          <cell r="DN877">
            <v>-29.968658784585745</v>
          </cell>
          <cell r="DO877">
            <v>-36.583511461574851</v>
          </cell>
          <cell r="DP877">
            <v>-36.583511461574851</v>
          </cell>
          <cell r="DQ877">
            <v>-36.583511461574851</v>
          </cell>
          <cell r="DR877">
            <v>-36.583511461574851</v>
          </cell>
          <cell r="DT877">
            <v>-29.968658784585745</v>
          </cell>
        </row>
        <row r="878">
          <cell r="B878" t="str">
            <v>Margin</v>
          </cell>
          <cell r="S878">
            <v>4.3933054393305436E-2</v>
          </cell>
          <cell r="T878">
            <v>7.8967432741531424E-3</v>
          </cell>
          <cell r="U878">
            <v>-2.8812717337307503E-2</v>
          </cell>
          <cell r="V878">
            <v>1.1215077311035902E-2</v>
          </cell>
          <cell r="W878">
            <v>4.3939613177060723E-2</v>
          </cell>
          <cell r="X878">
            <v>6.5247989910937557E-3</v>
          </cell>
          <cell r="Y878">
            <v>-7.5230032057053524E-3</v>
          </cell>
          <cell r="Z878">
            <v>-9.5738466711388671E-3</v>
          </cell>
          <cell r="AA878">
            <v>-3.027610001580157E-3</v>
          </cell>
          <cell r="AB878">
            <v>-3.0802736317490378E-3</v>
          </cell>
          <cell r="AC878">
            <v>-3.0734068450772533E-3</v>
          </cell>
          <cell r="AD878">
            <v>-3.039899951637246E-3</v>
          </cell>
          <cell r="AE878">
            <v>-2.9692868645491565E-3</v>
          </cell>
          <cell r="AF878">
            <v>-2.895274496811331E-3</v>
          </cell>
          <cell r="CU878">
            <v>-1.9426048565121413E-2</v>
          </cell>
          <cell r="CV878">
            <v>-2.5260498894853173E-2</v>
          </cell>
          <cell r="CW878">
            <v>-9.4124358243011987E-3</v>
          </cell>
          <cell r="CX878">
            <v>-6.3694267515923567E-2</v>
          </cell>
          <cell r="CY878">
            <v>-3.7481698389458272E-2</v>
          </cell>
          <cell r="CZ878">
            <v>1.1509635974304069E-2</v>
          </cell>
          <cell r="DA878">
            <v>2.1463666925265062E-2</v>
          </cell>
          <cell r="DB878">
            <v>3.5546778573191808E-2</v>
          </cell>
          <cell r="DC878">
            <v>3.4745762711864407E-2</v>
          </cell>
          <cell r="DD878">
            <v>5.0745756900394311E-2</v>
          </cell>
          <cell r="DE878">
            <v>7.7355597205656837E-2</v>
          </cell>
          <cell r="DF878">
            <v>-4.546508930642542E-2</v>
          </cell>
          <cell r="DG878">
            <v>3.2856137057028868E-2</v>
          </cell>
          <cell r="DH878">
            <v>2.0308924485125859E-2</v>
          </cell>
          <cell r="DI878">
            <v>-9.8724923553039756E-3</v>
          </cell>
          <cell r="DJ878">
            <v>-1.5997939104261939E-2</v>
          </cell>
          <cell r="DK878">
            <v>-7.3607633554269008E-3</v>
          </cell>
          <cell r="DL878">
            <v>-9.0190197114216834E-3</v>
          </cell>
          <cell r="DM878">
            <v>-6.1576019533508769E-3</v>
          </cell>
          <cell r="DN878">
            <v>-8.1586433247749328E-3</v>
          </cell>
          <cell r="DO878">
            <v>-9.5036071509450523E-3</v>
          </cell>
          <cell r="DP878">
            <v>-1.0837787202811538E-2</v>
          </cell>
          <cell r="DQ878">
            <v>-7.9653382083041992E-3</v>
          </cell>
          <cell r="DR878">
            <v>-1.0552086763045473E-2</v>
          </cell>
          <cell r="DT878">
            <v>-9.0379653948150975E-3</v>
          </cell>
        </row>
        <row r="880">
          <cell r="B880" t="str">
            <v>D&amp;A</v>
          </cell>
          <cell r="S880">
            <v>0</v>
          </cell>
          <cell r="T880">
            <v>-566</v>
          </cell>
          <cell r="U880">
            <v>-556</v>
          </cell>
          <cell r="V880">
            <v>-287</v>
          </cell>
          <cell r="W880">
            <v>-197</v>
          </cell>
          <cell r="X880">
            <v>-185.71865878458578</v>
          </cell>
          <cell r="Y880">
            <v>-194.87463513834314</v>
          </cell>
          <cell r="Z880">
            <v>-194.3340458462996</v>
          </cell>
          <cell r="AA880">
            <v>-193.62248367535716</v>
          </cell>
          <cell r="AB880">
            <v>-192.58127213021919</v>
          </cell>
          <cell r="AC880">
            <v>-191.36385398562399</v>
          </cell>
          <cell r="AD880">
            <v>-190.02469300688725</v>
          </cell>
          <cell r="AE880">
            <v>-188.66118320640172</v>
          </cell>
          <cell r="AF880">
            <v>-187.27454202525482</v>
          </cell>
          <cell r="CU880">
            <v>-137</v>
          </cell>
          <cell r="CV880">
            <v>-142</v>
          </cell>
          <cell r="CW880">
            <v>-139</v>
          </cell>
          <cell r="CX880">
            <v>-139</v>
          </cell>
          <cell r="CY880">
            <v>-135</v>
          </cell>
          <cell r="CZ880">
            <v>-54</v>
          </cell>
          <cell r="DA880">
            <v>-55</v>
          </cell>
          <cell r="DB880">
            <v>-43</v>
          </cell>
          <cell r="DC880">
            <v>-42</v>
          </cell>
          <cell r="DD880">
            <v>-46</v>
          </cell>
          <cell r="DE880">
            <v>-48</v>
          </cell>
          <cell r="DF880">
            <v>-61</v>
          </cell>
          <cell r="DG880">
            <v>-50</v>
          </cell>
          <cell r="DH880">
            <v>-37</v>
          </cell>
          <cell r="DI880">
            <v>-50</v>
          </cell>
          <cell r="DJ880">
            <v>-48.718658784585784</v>
          </cell>
          <cell r="DK880">
            <v>-48.718658784585784</v>
          </cell>
          <cell r="DL880">
            <v>-48.718658784585784</v>
          </cell>
          <cell r="DM880">
            <v>-48.718658784585784</v>
          </cell>
          <cell r="DN880">
            <v>-48.718658784585784</v>
          </cell>
          <cell r="DO880">
            <v>-48.583511461574901</v>
          </cell>
          <cell r="DP880">
            <v>-48.583511461574901</v>
          </cell>
          <cell r="DQ880">
            <v>-48.583511461574901</v>
          </cell>
          <cell r="DR880">
            <v>-48.583511461574901</v>
          </cell>
          <cell r="DT880">
            <v>-48.718658784585784</v>
          </cell>
        </row>
        <row r="881">
          <cell r="B881" t="str">
            <v>% of revenue</v>
          </cell>
          <cell r="S881">
            <v>0</v>
          </cell>
          <cell r="T881">
            <v>3.0824528918418474E-2</v>
          </cell>
          <cell r="U881">
            <v>4.6034111607882101E-2</v>
          </cell>
          <cell r="V881">
            <v>1.9045723007498839E-2</v>
          </cell>
          <cell r="W881">
            <v>9.5017604784642835E-3</v>
          </cell>
          <cell r="X881">
            <v>1.1415606622026977E-2</v>
          </cell>
          <cell r="Y881">
            <v>1.2229797430995388E-2</v>
          </cell>
          <cell r="Z881">
            <v>1.2714227554869411E-2</v>
          </cell>
          <cell r="AA881">
            <v>1.3438330849498619E-2</v>
          </cell>
          <cell r="AB881">
            <v>1.3931077791600644E-2</v>
          </cell>
          <cell r="AC881">
            <v>1.4218669733825783E-2</v>
          </cell>
          <cell r="AD881">
            <v>1.4432491836529986E-2</v>
          </cell>
          <cell r="AE881">
            <v>1.4489705867364958E-2</v>
          </cell>
          <cell r="AF881">
            <v>1.4546421658524333E-2</v>
          </cell>
          <cell r="CU881">
            <v>6.0485651214128036E-2</v>
          </cell>
          <cell r="CV881">
            <v>4.4837385538364381E-2</v>
          </cell>
          <cell r="CW881">
            <v>3.9646320593268683E-2</v>
          </cell>
          <cell r="CX881">
            <v>4.4267515923566876E-2</v>
          </cell>
          <cell r="CY881">
            <v>3.9531478770131773E-2</v>
          </cell>
          <cell r="CZ881">
            <v>1.4453961456102784E-2</v>
          </cell>
          <cell r="DA881">
            <v>1.4222911817946729E-2</v>
          </cell>
          <cell r="DB881">
            <v>1.0614663046161441E-2</v>
          </cell>
          <cell r="DC881">
            <v>8.8983050847457629E-3</v>
          </cell>
          <cell r="DD881">
            <v>7.8861649237099256E-3</v>
          </cell>
          <cell r="DE881">
            <v>8.1785653433293585E-3</v>
          </cell>
          <cell r="DF881">
            <v>1.4149849222918117E-2</v>
          </cell>
          <cell r="DG881">
            <v>1.1734334663224596E-2</v>
          </cell>
          <cell r="DH881">
            <v>1.0583524027459955E-2</v>
          </cell>
          <cell r="DI881">
            <v>1.0444863177842866E-2</v>
          </cell>
          <cell r="DJ881">
            <v>1.3079550083451172E-2</v>
          </cell>
          <cell r="DK881">
            <v>1.1966051630297639E-2</v>
          </cell>
          <cell r="DL881">
            <v>1.4661802086325167E-2</v>
          </cell>
          <cell r="DM881">
            <v>1.0010127935751964E-2</v>
          </cell>
          <cell r="DN881">
            <v>1.3263128094650991E-2</v>
          </cell>
          <cell r="DO881">
            <v>1.2620948304243729E-2</v>
          </cell>
          <cell r="DP881">
            <v>1.4392761595314548E-2</v>
          </cell>
          <cell r="DQ881">
            <v>1.0578101573025123E-2</v>
          </cell>
          <cell r="DR881">
            <v>1.4013346661225164E-2</v>
          </cell>
          <cell r="DT881">
            <v>1.4692601205208636E-2</v>
          </cell>
        </row>
        <row r="883">
          <cell r="B883" t="str">
            <v>EBITDA</v>
          </cell>
          <cell r="T883">
            <v>711</v>
          </cell>
          <cell r="U883">
            <v>208</v>
          </cell>
          <cell r="V883">
            <v>456</v>
          </cell>
          <cell r="W883">
            <v>1108</v>
          </cell>
          <cell r="X883">
            <v>291.86955882758195</v>
          </cell>
          <cell r="Y883">
            <v>75.000000000000156</v>
          </cell>
          <cell r="Z883">
            <v>48.000000000000199</v>
          </cell>
          <cell r="AA883">
            <v>150</v>
          </cell>
          <cell r="AB883">
            <v>150</v>
          </cell>
          <cell r="AC883">
            <v>150</v>
          </cell>
          <cell r="AD883">
            <v>150</v>
          </cell>
          <cell r="AE883">
            <v>150</v>
          </cell>
          <cell r="AF883">
            <v>150</v>
          </cell>
          <cell r="CU883">
            <v>93</v>
          </cell>
          <cell r="CV883">
            <v>62</v>
          </cell>
          <cell r="CW883">
            <v>106</v>
          </cell>
          <cell r="CX883">
            <v>-61</v>
          </cell>
          <cell r="CY883">
            <v>7</v>
          </cell>
          <cell r="CZ883">
            <v>229</v>
          </cell>
          <cell r="DA883">
            <v>141</v>
          </cell>
          <cell r="DB883">
            <v>79</v>
          </cell>
          <cell r="DC883">
            <v>210</v>
          </cell>
          <cell r="DD883">
            <v>353</v>
          </cell>
          <cell r="DE883">
            <v>519</v>
          </cell>
          <cell r="DF883">
            <v>26</v>
          </cell>
          <cell r="DG883">
            <v>192</v>
          </cell>
          <cell r="DH883">
            <v>108</v>
          </cell>
          <cell r="DI883">
            <v>2.7399632373982854</v>
          </cell>
          <cell r="DJ883">
            <v>-10.870404409816331</v>
          </cell>
          <cell r="DK883">
            <v>18.750000000000039</v>
          </cell>
          <cell r="DL883">
            <v>18.750000000000039</v>
          </cell>
          <cell r="DM883">
            <v>18.750000000000039</v>
          </cell>
          <cell r="DN883">
            <v>18.750000000000039</v>
          </cell>
          <cell r="DO883">
            <v>12.00000000000005</v>
          </cell>
          <cell r="DP883">
            <v>12.00000000000005</v>
          </cell>
          <cell r="DQ883">
            <v>12.00000000000005</v>
          </cell>
          <cell r="DR883">
            <v>12.00000000000005</v>
          </cell>
          <cell r="DT883">
            <v>18.75</v>
          </cell>
        </row>
        <row r="884">
          <cell r="B884" t="str">
            <v>Margin</v>
          </cell>
          <cell r="T884">
            <v>3.8721272192571612E-2</v>
          </cell>
          <cell r="U884">
            <v>1.7221394270574598E-2</v>
          </cell>
          <cell r="V884">
            <v>3.0260800318534741E-2</v>
          </cell>
          <cell r="W884">
            <v>5.344137365552501E-2</v>
          </cell>
          <cell r="X884">
            <v>1.7940405613120734E-2</v>
          </cell>
          <cell r="Y884">
            <v>4.7067942252900343E-3</v>
          </cell>
          <cell r="Z884">
            <v>3.1403808837305431E-3</v>
          </cell>
          <cell r="AA884">
            <v>1.0410720847918463E-2</v>
          </cell>
          <cell r="AB884">
            <v>1.0850804159851606E-2</v>
          </cell>
          <cell r="AC884">
            <v>1.1145262888748529E-2</v>
          </cell>
          <cell r="AD884">
            <v>1.1392591884892741E-2</v>
          </cell>
          <cell r="AE884">
            <v>1.15204190028158E-2</v>
          </cell>
          <cell r="AF884">
            <v>1.1651147161713001E-2</v>
          </cell>
          <cell r="CU884">
            <v>4.105960264900662E-2</v>
          </cell>
          <cell r="CV884">
            <v>1.9576886643511208E-2</v>
          </cell>
          <cell r="CW884">
            <v>3.0233884768967486E-2</v>
          </cell>
          <cell r="CX884">
            <v>-1.9426751592356687E-2</v>
          </cell>
          <cell r="CY884">
            <v>2.0497803806734994E-3</v>
          </cell>
          <cell r="CZ884">
            <v>6.1295503211991433E-2</v>
          </cell>
          <cell r="DA884">
            <v>3.6462373933281611E-2</v>
          </cell>
          <cell r="DB884">
            <v>1.9501357689459393E-2</v>
          </cell>
          <cell r="DC884">
            <v>4.4491525423728813E-2</v>
          </cell>
          <cell r="DD884">
            <v>6.0517743871078347E-2</v>
          </cell>
          <cell r="DE884">
            <v>8.8430737774748677E-2</v>
          </cell>
          <cell r="DF884">
            <v>6.031083275342148E-3</v>
          </cell>
          <cell r="DG884">
            <v>4.5059845106782445E-2</v>
          </cell>
          <cell r="DH884">
            <v>3.0892448512585814E-2</v>
          </cell>
          <cell r="DI884">
            <v>5.7237082253888964E-4</v>
          </cell>
          <cell r="DJ884">
            <v>-2.9183890208107667E-3</v>
          </cell>
          <cell r="DK884">
            <v>4.6052882748707381E-3</v>
          </cell>
          <cell r="DL884">
            <v>5.642782374903484E-3</v>
          </cell>
          <cell r="DM884">
            <v>3.8525259824010879E-3</v>
          </cell>
          <cell r="DN884">
            <v>5.104484769876059E-3</v>
          </cell>
          <cell r="DO884">
            <v>3.1173411532986767E-3</v>
          </cell>
          <cell r="DP884">
            <v>3.5549743925030108E-3</v>
          </cell>
          <cell r="DQ884">
            <v>2.6127633647209238E-3</v>
          </cell>
          <cell r="DR884">
            <v>3.4612598981796929E-3</v>
          </cell>
          <cell r="DT884">
            <v>5.6546358103935377E-3</v>
          </cell>
        </row>
        <row r="885">
          <cell r="B885" t="str">
            <v>Growth</v>
          </cell>
          <cell r="U885">
            <v>-0.70745428973277069</v>
          </cell>
          <cell r="V885">
            <v>1.1923076923076925</v>
          </cell>
          <cell r="W885">
            <v>1.4298245614035086</v>
          </cell>
          <cell r="X885">
            <v>-0.73657982055272386</v>
          </cell>
          <cell r="Y885">
            <v>-0.7430358948659479</v>
          </cell>
          <cell r="Z885">
            <v>-0.35999999999999865</v>
          </cell>
          <cell r="AA885">
            <v>2.1249999999999871</v>
          </cell>
          <cell r="AB885">
            <v>0</v>
          </cell>
          <cell r="AC885">
            <v>0</v>
          </cell>
          <cell r="AD885">
            <v>0</v>
          </cell>
          <cell r="AE885">
            <v>0</v>
          </cell>
          <cell r="AF885">
            <v>0</v>
          </cell>
        </row>
        <row r="887">
          <cell r="B887" t="str">
            <v>Capex</v>
          </cell>
          <cell r="S887">
            <v>-4</v>
          </cell>
          <cell r="T887">
            <v>-196</v>
          </cell>
          <cell r="U887">
            <v>-167</v>
          </cell>
          <cell r="V887">
            <v>-157</v>
          </cell>
          <cell r="W887">
            <v>-264</v>
          </cell>
          <cell r="X887">
            <v>-203.36047935708521</v>
          </cell>
          <cell r="Y887">
            <v>-199.18015428903371</v>
          </cell>
          <cell r="Z887">
            <v>-191.05962690972899</v>
          </cell>
          <cell r="AA887">
            <v>-180.10280242745063</v>
          </cell>
          <cell r="AB887">
            <v>-172.7982527725984</v>
          </cell>
          <cell r="AC887">
            <v>-168.23290923831576</v>
          </cell>
          <cell r="AD887">
            <v>-164.58063441088962</v>
          </cell>
          <cell r="AE887">
            <v>-162.75449699717657</v>
          </cell>
          <cell r="AF887">
            <v>-160.9283595834635</v>
          </cell>
          <cell r="CU887">
            <v>-31</v>
          </cell>
          <cell r="CV887">
            <v>-30</v>
          </cell>
          <cell r="CW887">
            <v>-33</v>
          </cell>
          <cell r="CX887">
            <v>-73</v>
          </cell>
          <cell r="CY887">
            <v>-35</v>
          </cell>
          <cell r="CZ887">
            <v>-36</v>
          </cell>
          <cell r="DA887">
            <v>-34</v>
          </cell>
          <cell r="DB887">
            <v>-52</v>
          </cell>
          <cell r="DC887">
            <v>-101</v>
          </cell>
          <cell r="DD887">
            <v>-58</v>
          </cell>
          <cell r="DE887">
            <v>-53</v>
          </cell>
          <cell r="DF887">
            <v>-52</v>
          </cell>
          <cell r="DG887">
            <v>-38</v>
          </cell>
          <cell r="DH887">
            <v>-27</v>
          </cell>
        </row>
        <row r="888">
          <cell r="B888" t="str">
            <v>% of revenue</v>
          </cell>
          <cell r="S888">
            <v>8.368200836820083E-3</v>
          </cell>
          <cell r="T888">
            <v>1.0674218494717351E-2</v>
          </cell>
          <cell r="U888">
            <v>1.3826792515317106E-2</v>
          </cell>
          <cell r="V888">
            <v>1.0418740460548146E-2</v>
          </cell>
          <cell r="W888">
            <v>1.2733323686875995E-2</v>
          </cell>
          <cell r="X888">
            <v>1.2500000000000001E-2</v>
          </cell>
          <cell r="Y888">
            <v>1.2500000000000001E-2</v>
          </cell>
          <cell r="Z888">
            <v>1.2500000000000001E-2</v>
          </cell>
          <cell r="AA888">
            <v>1.2500000000000001E-2</v>
          </cell>
          <cell r="AB888">
            <v>1.2500000000000001E-2</v>
          </cell>
          <cell r="AC888">
            <v>1.2500000000000001E-2</v>
          </cell>
          <cell r="AD888">
            <v>1.2500000000000001E-2</v>
          </cell>
          <cell r="AE888">
            <v>1.2500000000000001E-2</v>
          </cell>
          <cell r="AF888">
            <v>1.2500000000000001E-2</v>
          </cell>
          <cell r="CU888">
            <v>1.3686534216335542E-2</v>
          </cell>
          <cell r="CY888">
            <v>1.0248901903367497E-2</v>
          </cell>
          <cell r="CZ888">
            <v>9.6359743040685224E-3</v>
          </cell>
          <cell r="DA888">
            <v>8.7923454874579785E-3</v>
          </cell>
          <cell r="DB888">
            <v>1.283633670698593E-2</v>
          </cell>
          <cell r="DC888">
            <v>2.1398305084745762E-2</v>
          </cell>
          <cell r="DD888">
            <v>9.9434253385907775E-3</v>
          </cell>
          <cell r="DE888">
            <v>9.0304992332594994E-3</v>
          </cell>
          <cell r="DF888">
            <v>1.2062166550684296E-2</v>
          </cell>
          <cell r="DG888">
            <v>8.9180943440506921E-3</v>
          </cell>
          <cell r="DH888">
            <v>7.7231121281464534E-3</v>
          </cell>
        </row>
        <row r="890">
          <cell r="B890" t="str">
            <v>PP&amp;E, net</v>
          </cell>
          <cell r="S890" t="str">
            <v>ND</v>
          </cell>
          <cell r="T890">
            <v>5200</v>
          </cell>
          <cell r="U890">
            <v>4888</v>
          </cell>
          <cell r="V890">
            <v>4758</v>
          </cell>
          <cell r="W890">
            <v>4825</v>
          </cell>
          <cell r="X890">
            <v>4842.6418205724995</v>
          </cell>
          <cell r="Y890">
            <v>4846.9473397231895</v>
          </cell>
          <cell r="Z890">
            <v>4843.6729207866183</v>
          </cell>
          <cell r="AA890">
            <v>4830.1532395387121</v>
          </cell>
          <cell r="AB890">
            <v>4810.3702201810911</v>
          </cell>
          <cell r="AC890">
            <v>4787.2392754337834</v>
          </cell>
          <cell r="AD890">
            <v>4761.795216837786</v>
          </cell>
          <cell r="AE890">
            <v>4735.8885306285611</v>
          </cell>
          <cell r="AF890">
            <v>4709.5423481867692</v>
          </cell>
          <cell r="CU890" t="str">
            <v>ND</v>
          </cell>
          <cell r="CV890" t="str">
            <v>ND</v>
          </cell>
          <cell r="CW890" t="str">
            <v>ND</v>
          </cell>
          <cell r="CX890" t="str">
            <v>ND</v>
          </cell>
          <cell r="CY890" t="str">
            <v>ND</v>
          </cell>
          <cell r="CZ890" t="str">
            <v>ND</v>
          </cell>
        </row>
        <row r="891">
          <cell r="B891" t="str">
            <v>Asset turnover</v>
          </cell>
          <cell r="S891" t="str">
            <v>NM</v>
          </cell>
          <cell r="T891">
            <v>3.5311538461538463</v>
          </cell>
          <cell r="U891">
            <v>2.470949263502455</v>
          </cell>
          <cell r="V891">
            <v>3.1670870113493064</v>
          </cell>
          <cell r="W891">
            <v>4.2969948186528502</v>
          </cell>
          <cell r="X891">
            <v>3.3594965209802585</v>
          </cell>
          <cell r="Y891">
            <v>3.2875150535538342</v>
          </cell>
          <cell r="Z891">
            <v>3.1556156666119506</v>
          </cell>
          <cell r="AA891">
            <v>2.9829745516670316</v>
          </cell>
          <cell r="AB891">
            <v>2.8737622239161995</v>
          </cell>
          <cell r="AC891">
            <v>2.8113557657603692</v>
          </cell>
          <cell r="AD891">
            <v>2.7650182658662814</v>
          </cell>
          <cell r="AE891">
            <v>2.7492960772972466</v>
          </cell>
          <cell r="AF891">
            <v>2.7336560147152791</v>
          </cell>
          <cell r="CU891" t="str">
            <v>NM</v>
          </cell>
          <cell r="CV891" t="str">
            <v>NM</v>
          </cell>
          <cell r="CW891" t="str">
            <v>NM</v>
          </cell>
          <cell r="CX891" t="str">
            <v>NM</v>
          </cell>
          <cell r="CY891" t="str">
            <v>NM</v>
          </cell>
          <cell r="CZ891" t="str">
            <v>NM</v>
          </cell>
        </row>
        <row r="892">
          <cell r="DG892">
            <v>474.91534999999999</v>
          </cell>
          <cell r="DH892">
            <v>562.7185199999999</v>
          </cell>
        </row>
        <row r="893">
          <cell r="B893" t="str">
            <v>Sales volumes (mn gal)</v>
          </cell>
        </row>
        <row r="894">
          <cell r="B894" t="str">
            <v>Gasoline blending - MTBE/ETBE (gal)</v>
          </cell>
          <cell r="U894">
            <v>207.75</v>
          </cell>
          <cell r="V894">
            <v>222.75</v>
          </cell>
          <cell r="CU894">
            <v>205</v>
          </cell>
          <cell r="CV894">
            <v>220</v>
          </cell>
          <cell r="CW894">
            <v>243</v>
          </cell>
          <cell r="CX894">
            <v>163</v>
          </cell>
          <cell r="CY894">
            <v>189</v>
          </cell>
          <cell r="CZ894">
            <v>236</v>
          </cell>
          <cell r="DA894">
            <v>248</v>
          </cell>
          <cell r="DB894">
            <v>218</v>
          </cell>
          <cell r="DC894">
            <v>196</v>
          </cell>
          <cell r="DD894">
            <v>206</v>
          </cell>
          <cell r="DE894">
            <v>264</v>
          </cell>
          <cell r="DF894">
            <v>210</v>
          </cell>
          <cell r="DG894">
            <v>205</v>
          </cell>
          <cell r="DH894">
            <v>196</v>
          </cell>
        </row>
        <row r="896">
          <cell r="B896" t="str">
            <v>Crude processing rates (mn gal)</v>
          </cell>
        </row>
        <row r="897">
          <cell r="B897" t="str">
            <v>Houston refining</v>
          </cell>
          <cell r="U897">
            <v>932.80950000000007</v>
          </cell>
          <cell r="V897">
            <v>906.32849999999996</v>
          </cell>
          <cell r="CU897">
            <v>1016.82</v>
          </cell>
          <cell r="CV897">
            <v>882.88199999999995</v>
          </cell>
          <cell r="CW897">
            <v>1012.3680000000001</v>
          </cell>
          <cell r="CX897">
            <v>819.16800000000001</v>
          </cell>
          <cell r="CY897">
            <v>994.14</v>
          </cell>
          <cell r="CZ897">
            <v>722.35799999999995</v>
          </cell>
          <cell r="DA897">
            <v>1008.504</v>
          </cell>
          <cell r="DB897">
            <v>900.31200000000001</v>
          </cell>
          <cell r="DC897">
            <v>975.24</v>
          </cell>
          <cell r="DD897">
            <v>1005.186</v>
          </cell>
          <cell r="DE897">
            <v>1039.4159999999999</v>
          </cell>
          <cell r="DF897">
            <v>1012.3680000000001</v>
          </cell>
          <cell r="DG897">
            <v>989.89800000000002</v>
          </cell>
          <cell r="DH897">
            <v>1020.474</v>
          </cell>
        </row>
        <row r="898">
          <cell r="B898" t="str">
            <v>Berre refining</v>
          </cell>
          <cell r="U898">
            <v>329.5215</v>
          </cell>
          <cell r="V898">
            <v>325.86750000000001</v>
          </cell>
          <cell r="CU898">
            <v>325.08</v>
          </cell>
          <cell r="CV898">
            <v>355.44600000000003</v>
          </cell>
          <cell r="CW898">
            <v>324.57600000000002</v>
          </cell>
          <cell r="CX898">
            <v>312.98399999999998</v>
          </cell>
          <cell r="CY898">
            <v>275.94</v>
          </cell>
          <cell r="CZ898">
            <v>378.37799999999999</v>
          </cell>
          <cell r="DA898">
            <v>309.12</v>
          </cell>
          <cell r="DB898">
            <v>340.03199999999998</v>
          </cell>
          <cell r="DC898">
            <v>381.78</v>
          </cell>
          <cell r="DD898">
            <v>324.87</v>
          </cell>
          <cell r="DE898">
            <v>305.25599999999997</v>
          </cell>
          <cell r="DF898">
            <v>235.70400000000001</v>
          </cell>
        </row>
        <row r="900">
          <cell r="B900" t="str">
            <v>Crude processing rates (000 bbl/day)</v>
          </cell>
        </row>
        <row r="901">
          <cell r="B901" t="str">
            <v>Houston refining</v>
          </cell>
          <cell r="U901">
            <v>243.5</v>
          </cell>
          <cell r="V901">
            <v>236.5</v>
          </cell>
          <cell r="CU901">
            <v>269</v>
          </cell>
          <cell r="CV901">
            <v>231</v>
          </cell>
          <cell r="CW901">
            <v>262</v>
          </cell>
          <cell r="CX901">
            <v>212</v>
          </cell>
          <cell r="CY901">
            <v>263</v>
          </cell>
          <cell r="CZ901">
            <v>189</v>
          </cell>
          <cell r="DA901">
            <v>261</v>
          </cell>
          <cell r="DB901">
            <v>233</v>
          </cell>
          <cell r="DC901">
            <v>258</v>
          </cell>
          <cell r="DD901">
            <v>263</v>
          </cell>
          <cell r="DE901">
            <v>269</v>
          </cell>
          <cell r="DF901">
            <v>262</v>
          </cell>
          <cell r="DG901">
            <v>259</v>
          </cell>
          <cell r="DH901">
            <v>267</v>
          </cell>
        </row>
        <row r="902">
          <cell r="B902" t="str">
            <v>Berre refining</v>
          </cell>
          <cell r="U902">
            <v>86</v>
          </cell>
          <cell r="V902">
            <v>85</v>
          </cell>
          <cell r="CU902">
            <v>86</v>
          </cell>
          <cell r="CV902">
            <v>93</v>
          </cell>
          <cell r="CW902">
            <v>84</v>
          </cell>
          <cell r="CX902">
            <v>81</v>
          </cell>
          <cell r="CY902">
            <v>73</v>
          </cell>
          <cell r="CZ902">
            <v>99</v>
          </cell>
          <cell r="DA902">
            <v>80</v>
          </cell>
          <cell r="DB902">
            <v>88</v>
          </cell>
          <cell r="DC902">
            <v>101</v>
          </cell>
          <cell r="DD902">
            <v>85</v>
          </cell>
          <cell r="DE902">
            <v>79</v>
          </cell>
          <cell r="DF902">
            <v>61</v>
          </cell>
        </row>
        <row r="904">
          <cell r="B904" t="str">
            <v>Market margins ($/bbl)</v>
          </cell>
        </row>
        <row r="905">
          <cell r="B905" t="str">
            <v>Gulf Coast 2-1-1 LLS</v>
          </cell>
          <cell r="N905">
            <v>3.0929999999999978</v>
          </cell>
          <cell r="O905">
            <v>4.3613749999999989</v>
          </cell>
          <cell r="P905">
            <v>6.5571249999999992</v>
          </cell>
          <cell r="Q905">
            <v>11.735124999999995</v>
          </cell>
          <cell r="R905">
            <v>11.781674999999998</v>
          </cell>
          <cell r="S905">
            <v>12.501225</v>
          </cell>
          <cell r="T905">
            <v>10.378974999999995</v>
          </cell>
          <cell r="U905">
            <v>4.8502499999999964</v>
          </cell>
          <cell r="V905">
            <v>5.6070249999999948</v>
          </cell>
          <cell r="W905">
            <v>7.77</v>
          </cell>
          <cell r="X905">
            <v>9.3836955882758168</v>
          </cell>
          <cell r="Y905">
            <v>6.79</v>
          </cell>
          <cell r="Z905">
            <v>6.52</v>
          </cell>
          <cell r="AA905">
            <v>6.52</v>
          </cell>
          <cell r="AB905">
            <v>6.52</v>
          </cell>
          <cell r="AC905">
            <v>6.52</v>
          </cell>
          <cell r="AD905">
            <v>6.52</v>
          </cell>
          <cell r="AE905">
            <v>6.52</v>
          </cell>
          <cell r="AF905">
            <v>6.52</v>
          </cell>
          <cell r="BS905">
            <v>2.2954999999999988</v>
          </cell>
          <cell r="BT905">
            <v>3.2202999999999964</v>
          </cell>
          <cell r="BU905">
            <v>3.0140999999999973</v>
          </cell>
          <cell r="BV905">
            <v>3.8420999999999985</v>
          </cell>
          <cell r="BW905">
            <v>5.5152999999999999</v>
          </cell>
          <cell r="BX905">
            <v>3.6413999999999991</v>
          </cell>
          <cell r="BY905">
            <v>4.8421999999999947</v>
          </cell>
          <cell r="BZ905">
            <v>3.4466000000000001</v>
          </cell>
          <cell r="CA905">
            <v>6.0279999999999987</v>
          </cell>
          <cell r="CB905">
            <v>8.2902999999999984</v>
          </cell>
          <cell r="CC905">
            <v>6.5156999999999989</v>
          </cell>
          <cell r="CD905">
            <v>5.3945000000000007</v>
          </cell>
          <cell r="CE905">
            <v>7.2902999999999984</v>
          </cell>
          <cell r="CF905">
            <v>10.19809999999999</v>
          </cell>
          <cell r="CG905">
            <v>16.749499999999998</v>
          </cell>
          <cell r="CH905">
            <v>12.702599999999997</v>
          </cell>
          <cell r="CI905">
            <v>9.4604999999999961</v>
          </cell>
          <cell r="CJ905">
            <v>16.818499999999993</v>
          </cell>
          <cell r="CK905">
            <v>12.479100000000003</v>
          </cell>
          <cell r="CL905">
            <v>8.3686000000000007</v>
          </cell>
          <cell r="CM905">
            <v>10.894799999999996</v>
          </cell>
          <cell r="CN905">
            <v>19.328299999999999</v>
          </cell>
          <cell r="CO905">
            <v>11.983499999999999</v>
          </cell>
          <cell r="CP905">
            <v>7.7983000000000047</v>
          </cell>
          <cell r="CQ905">
            <v>9.3831999999999951</v>
          </cell>
          <cell r="CR905">
            <v>13.358999999999995</v>
          </cell>
          <cell r="CS905">
            <v>12.681299999999993</v>
          </cell>
          <cell r="CT905">
            <v>6.0923999999999978</v>
          </cell>
          <cell r="CU905">
            <v>5.7738000000000049</v>
          </cell>
          <cell r="CV905">
            <v>5.8675999999999959</v>
          </cell>
          <cell r="CW905">
            <v>4.4265999999999934</v>
          </cell>
          <cell r="CX905">
            <v>3.3329999999999913</v>
          </cell>
          <cell r="CY905">
            <v>6.0678999999999945</v>
          </cell>
          <cell r="CZ905">
            <v>5.96159999999999</v>
          </cell>
          <cell r="DA905">
            <v>5.1341999999999999</v>
          </cell>
          <cell r="DB905">
            <v>5.2643999999999949</v>
          </cell>
          <cell r="DC905">
            <v>6</v>
          </cell>
          <cell r="DD905">
            <v>10.28</v>
          </cell>
          <cell r="DE905">
            <v>9.5399999999999991</v>
          </cell>
          <cell r="DF905">
            <v>5.26</v>
          </cell>
          <cell r="DG905">
            <v>9.34</v>
          </cell>
          <cell r="DH905">
            <v>14.04</v>
          </cell>
          <cell r="DI905">
            <v>7.3495985294959283</v>
          </cell>
          <cell r="DJ905">
            <v>6.8051838236073419</v>
          </cell>
          <cell r="DK905">
            <v>6.79</v>
          </cell>
          <cell r="DL905">
            <v>6.79</v>
          </cell>
          <cell r="DM905">
            <v>6.79</v>
          </cell>
          <cell r="DN905">
            <v>6.79</v>
          </cell>
          <cell r="DO905">
            <v>6.52</v>
          </cell>
          <cell r="DP905">
            <v>6.52</v>
          </cell>
          <cell r="DQ905">
            <v>6.52</v>
          </cell>
          <cell r="DR905">
            <v>6.52</v>
          </cell>
          <cell r="DT905">
            <v>6.79</v>
          </cell>
        </row>
        <row r="906">
          <cell r="B906" t="str">
            <v>LLS Less Maya</v>
          </cell>
          <cell r="N906">
            <v>5.3849999999999998</v>
          </cell>
          <cell r="O906">
            <v>6.9249999999999998</v>
          </cell>
          <cell r="P906">
            <v>11.387499999999999</v>
          </cell>
          <cell r="Q906">
            <v>15.797499999999999</v>
          </cell>
          <cell r="R906">
            <v>16.3</v>
          </cell>
          <cell r="S906">
            <v>15.6325</v>
          </cell>
          <cell r="T906">
            <v>18.392500000000002</v>
          </cell>
          <cell r="U906">
            <v>7.8650000000000038</v>
          </cell>
          <cell r="V906">
            <v>12.508668774801587</v>
          </cell>
          <cell r="W906">
            <v>13.702500000000002</v>
          </cell>
          <cell r="X906">
            <v>9.9824999999999999</v>
          </cell>
          <cell r="Y906">
            <v>11.2</v>
          </cell>
          <cell r="Z906">
            <v>11.2</v>
          </cell>
          <cell r="AA906">
            <v>10.5</v>
          </cell>
          <cell r="AB906">
            <v>9</v>
          </cell>
          <cell r="AC906">
            <v>9</v>
          </cell>
          <cell r="AD906">
            <v>8</v>
          </cell>
          <cell r="AE906">
            <v>8</v>
          </cell>
          <cell r="AF906">
            <v>6</v>
          </cell>
          <cell r="BS906">
            <v>6.05</v>
          </cell>
          <cell r="BT906">
            <v>4.3600000000000003</v>
          </cell>
          <cell r="BU906">
            <v>4.87</v>
          </cell>
          <cell r="BV906">
            <v>6.26</v>
          </cell>
          <cell r="BW906">
            <v>7.71</v>
          </cell>
          <cell r="BX906">
            <v>6.94</v>
          </cell>
          <cell r="BY906">
            <v>5.94</v>
          </cell>
          <cell r="BZ906">
            <v>7.11</v>
          </cell>
          <cell r="CA906">
            <v>9.4700000000000006</v>
          </cell>
          <cell r="CB906">
            <v>8.2899999999999991</v>
          </cell>
          <cell r="CC906">
            <v>11.83</v>
          </cell>
          <cell r="CD906">
            <v>15.96</v>
          </cell>
          <cell r="CE906">
            <v>17.14</v>
          </cell>
          <cell r="CF906">
            <v>13.54</v>
          </cell>
          <cell r="CG906">
            <v>16.18</v>
          </cell>
          <cell r="CH906">
            <v>16.329999999999998</v>
          </cell>
          <cell r="CI906">
            <v>16.23</v>
          </cell>
          <cell r="CJ906">
            <v>17.45</v>
          </cell>
          <cell r="CK906">
            <v>16.36</v>
          </cell>
          <cell r="CL906">
            <v>15.16</v>
          </cell>
          <cell r="CM906">
            <v>16.12</v>
          </cell>
          <cell r="CN906">
            <v>15.41</v>
          </cell>
          <cell r="CO906">
            <v>14.19</v>
          </cell>
          <cell r="CP906">
            <v>16.809999999999999</v>
          </cell>
          <cell r="CQ906">
            <v>19.559999999999999</v>
          </cell>
          <cell r="CR906">
            <v>24.39</v>
          </cell>
          <cell r="CS906">
            <v>14.86</v>
          </cell>
          <cell r="CT906">
            <v>14.76</v>
          </cell>
          <cell r="CU906">
            <v>9.1999999999999993</v>
          </cell>
          <cell r="CV906">
            <v>6.49</v>
          </cell>
          <cell r="CW906">
            <v>7.3300000000000054</v>
          </cell>
          <cell r="CX906">
            <v>8.4400000000000119</v>
          </cell>
          <cell r="CY906">
            <v>10.210000000000001</v>
          </cell>
          <cell r="CZ906">
            <v>14.115714285714279</v>
          </cell>
          <cell r="DA906">
            <v>12.16546875</v>
          </cell>
          <cell r="DB906">
            <v>13.543492063492065</v>
          </cell>
          <cell r="DC906">
            <v>17.87</v>
          </cell>
          <cell r="DD906">
            <v>15.5</v>
          </cell>
          <cell r="DE906">
            <v>13.99</v>
          </cell>
          <cell r="DF906">
            <v>7.45</v>
          </cell>
          <cell r="DG906">
            <v>10.81</v>
          </cell>
          <cell r="DH906">
            <v>9.1199999999999992</v>
          </cell>
          <cell r="DI906">
            <v>10</v>
          </cell>
          <cell r="DJ906">
            <v>10</v>
          </cell>
          <cell r="DK906">
            <v>11.2</v>
          </cell>
          <cell r="DL906">
            <v>11.2</v>
          </cell>
          <cell r="DM906">
            <v>11.2</v>
          </cell>
          <cell r="DN906">
            <v>11.2</v>
          </cell>
          <cell r="DO906">
            <v>11.2</v>
          </cell>
          <cell r="DP906">
            <v>11.2</v>
          </cell>
          <cell r="DQ906">
            <v>11.2</v>
          </cell>
          <cell r="DR906">
            <v>11.2</v>
          </cell>
          <cell r="DT906">
            <v>11.2</v>
          </cell>
        </row>
        <row r="907">
          <cell r="B907" t="str">
            <v>Total</v>
          </cell>
          <cell r="N907" t="e">
            <v>#REF!</v>
          </cell>
          <cell r="O907" t="e">
            <v>#REF!</v>
          </cell>
          <cell r="P907" t="e">
            <v>#REF!</v>
          </cell>
          <cell r="Q907" t="e">
            <v>#REF!</v>
          </cell>
          <cell r="T907">
            <v>28.771474999999995</v>
          </cell>
          <cell r="U907">
            <v>12.715250000000001</v>
          </cell>
          <cell r="V907">
            <v>18.115693774801581</v>
          </cell>
          <cell r="W907">
            <v>21.472500000000004</v>
          </cell>
          <cell r="X907">
            <v>19.366195588275815</v>
          </cell>
          <cell r="Y907">
            <v>17.989999999999998</v>
          </cell>
          <cell r="Z907">
            <v>17.72</v>
          </cell>
          <cell r="AA907">
            <v>17.02</v>
          </cell>
          <cell r="AB907">
            <v>15.52</v>
          </cell>
          <cell r="AC907">
            <v>15.52</v>
          </cell>
          <cell r="AD907">
            <v>14.52</v>
          </cell>
          <cell r="AE907">
            <v>14.52</v>
          </cell>
          <cell r="AF907">
            <v>12.52</v>
          </cell>
          <cell r="BS907">
            <v>8.3454999999999977</v>
          </cell>
          <cell r="BT907">
            <v>7.5802999999999967</v>
          </cell>
          <cell r="BU907">
            <v>7.8840999999999974</v>
          </cell>
          <cell r="BV907">
            <v>10.102099999999998</v>
          </cell>
          <cell r="BW907">
            <v>13.225300000000001</v>
          </cell>
          <cell r="BX907">
            <v>10.581399999999999</v>
          </cell>
          <cell r="BY907">
            <v>10.782199999999996</v>
          </cell>
          <cell r="BZ907">
            <v>10.5566</v>
          </cell>
          <cell r="CA907">
            <v>15.497999999999999</v>
          </cell>
          <cell r="CB907">
            <v>16.580299999999998</v>
          </cell>
          <cell r="CC907">
            <v>18.345700000000001</v>
          </cell>
          <cell r="CD907">
            <v>21.354500000000002</v>
          </cell>
          <cell r="CE907">
            <v>24.430299999999999</v>
          </cell>
          <cell r="CF907">
            <v>23.738099999999989</v>
          </cell>
          <cell r="CG907">
            <v>32.929499999999997</v>
          </cell>
          <cell r="CH907">
            <v>29.032599999999995</v>
          </cell>
          <cell r="CI907">
            <v>25.690499999999997</v>
          </cell>
          <cell r="CJ907">
            <v>34.268499999999989</v>
          </cell>
          <cell r="CK907">
            <v>28.839100000000002</v>
          </cell>
          <cell r="CL907">
            <v>23.528600000000001</v>
          </cell>
          <cell r="CM907">
            <v>27.014799999999997</v>
          </cell>
          <cell r="CN907">
            <v>34.738299999999995</v>
          </cell>
          <cell r="CO907">
            <v>26.173499999999997</v>
          </cell>
          <cell r="CP907">
            <v>24.608300000000003</v>
          </cell>
          <cell r="CQ907">
            <v>28.943199999999994</v>
          </cell>
          <cell r="CR907">
            <v>37.748999999999995</v>
          </cell>
          <cell r="CS907">
            <v>27.541299999999993</v>
          </cell>
          <cell r="CT907">
            <v>20.852399999999996</v>
          </cell>
          <cell r="CU907">
            <v>14.973800000000004</v>
          </cell>
          <cell r="CV907">
            <v>12.357599999999996</v>
          </cell>
          <cell r="CW907">
            <v>11.756599999999999</v>
          </cell>
          <cell r="CX907">
            <v>11.773000000000003</v>
          </cell>
          <cell r="CY907">
            <v>16.277899999999995</v>
          </cell>
          <cell r="CZ907">
            <v>20.077314285714269</v>
          </cell>
          <cell r="DA907">
            <v>17.299668750000002</v>
          </cell>
          <cell r="DB907">
            <v>18.807892063492062</v>
          </cell>
          <cell r="DC907">
            <v>23.87</v>
          </cell>
          <cell r="DD907">
            <v>25.78</v>
          </cell>
          <cell r="DE907">
            <v>23.53</v>
          </cell>
          <cell r="DF907">
            <v>12.71</v>
          </cell>
          <cell r="DG907">
            <v>20.149999999999999</v>
          </cell>
          <cell r="DH907">
            <v>23.159999999999997</v>
          </cell>
          <cell r="DI907">
            <v>17.349598529495928</v>
          </cell>
          <cell r="DJ907">
            <v>16.805183823607344</v>
          </cell>
          <cell r="DK907">
            <v>17.989999999999998</v>
          </cell>
          <cell r="DL907">
            <v>17.989999999999998</v>
          </cell>
          <cell r="DM907">
            <v>17.989999999999998</v>
          </cell>
          <cell r="DN907">
            <v>17.989999999999998</v>
          </cell>
          <cell r="DO907">
            <v>17.72</v>
          </cell>
          <cell r="DP907">
            <v>17.72</v>
          </cell>
          <cell r="DQ907">
            <v>17.72</v>
          </cell>
          <cell r="DR907">
            <v>17.72</v>
          </cell>
          <cell r="DT907">
            <v>17.989999999999998</v>
          </cell>
        </row>
        <row r="909">
          <cell r="B909" t="str">
            <v>WTI 2-1-1</v>
          </cell>
          <cell r="N909">
            <v>3.2104999999999975</v>
          </cell>
          <cell r="O909">
            <v>4.4988749999999982</v>
          </cell>
          <cell r="P909">
            <v>6.6071249999999981</v>
          </cell>
          <cell r="Q909">
            <v>12.020124999999998</v>
          </cell>
          <cell r="R909">
            <v>13.049175000000002</v>
          </cell>
          <cell r="S909">
            <v>15.528724999999994</v>
          </cell>
          <cell r="T909">
            <v>13.133975</v>
          </cell>
          <cell r="U909">
            <v>7.3327500000000017</v>
          </cell>
          <cell r="V909">
            <v>8.8479363653273779</v>
          </cell>
          <cell r="W909">
            <v>24.640573565238427</v>
          </cell>
          <cell r="X909">
            <v>22.333076023090808</v>
          </cell>
          <cell r="Y909">
            <v>9.8975000000000009</v>
          </cell>
          <cell r="Z909">
            <v>10.164999999999999</v>
          </cell>
          <cell r="AA909">
            <v>8.0250000000000004</v>
          </cell>
          <cell r="AB909">
            <v>8.0250000000000004</v>
          </cell>
          <cell r="AC909">
            <v>8.0250000000000004</v>
          </cell>
          <cell r="AD909">
            <v>8.0250000000000004</v>
          </cell>
          <cell r="AE909">
            <v>8.0250000000000004</v>
          </cell>
          <cell r="AF909">
            <v>8.0250000000000004</v>
          </cell>
          <cell r="BS909">
            <v>2.6354999999999986</v>
          </cell>
          <cell r="BT909">
            <v>3.2202999999999964</v>
          </cell>
          <cell r="BU909">
            <v>2.8740999999999968</v>
          </cell>
          <cell r="BV909">
            <v>4.1120999999999981</v>
          </cell>
          <cell r="BW909">
            <v>5.8752999999999993</v>
          </cell>
          <cell r="BX909">
            <v>3.5013999999999985</v>
          </cell>
          <cell r="BY909">
            <v>4.8221999999999952</v>
          </cell>
          <cell r="BZ909">
            <v>3.7966000000000015</v>
          </cell>
          <cell r="CA909">
            <v>6.2879999999999967</v>
          </cell>
          <cell r="CB909">
            <v>8.0102999999999973</v>
          </cell>
          <cell r="CC909">
            <v>6.7557000000000009</v>
          </cell>
          <cell r="CD909">
            <v>5.3744999999999976</v>
          </cell>
          <cell r="CE909">
            <v>6.9702999999999982</v>
          </cell>
          <cell r="CF909">
            <v>10.538099999999993</v>
          </cell>
          <cell r="CG909">
            <v>17.529499999999999</v>
          </cell>
          <cell r="CH909">
            <v>13.0426</v>
          </cell>
          <cell r="CI909">
            <v>10.240500000000004</v>
          </cell>
          <cell r="CJ909">
            <v>18.078499999999998</v>
          </cell>
          <cell r="CK909">
            <v>13.759100000000004</v>
          </cell>
          <cell r="CL909">
            <v>10.118600000000001</v>
          </cell>
          <cell r="CM909">
            <v>13.734799999999993</v>
          </cell>
          <cell r="CN909">
            <v>24.908299999999997</v>
          </cell>
          <cell r="CO909">
            <v>13.963499999999989</v>
          </cell>
          <cell r="CP909">
            <v>9.5082999999999984</v>
          </cell>
          <cell r="CQ909">
            <v>12.203200000000002</v>
          </cell>
          <cell r="CR909">
            <v>16.668999999999997</v>
          </cell>
          <cell r="CS909">
            <v>16.081299999999999</v>
          </cell>
          <cell r="CT909">
            <v>7.5823999999999998</v>
          </cell>
          <cell r="CU909">
            <v>10.1938</v>
          </cell>
          <cell r="CV909">
            <v>7.5275999999999996</v>
          </cell>
          <cell r="CW909">
            <v>6.6166000000000054</v>
          </cell>
          <cell r="CX909">
            <v>4.9930000000000021</v>
          </cell>
          <cell r="CY909">
            <v>7.2179000000000002</v>
          </cell>
          <cell r="CZ909">
            <v>10.138209523809522</v>
          </cell>
          <cell r="DA909">
            <v>8.6381046874999967</v>
          </cell>
          <cell r="DB909">
            <v>9.397531249999993</v>
          </cell>
          <cell r="DC909">
            <v>19.566175806451604</v>
          </cell>
          <cell r="DD909">
            <v>24.272795652173915</v>
          </cell>
          <cell r="DE909">
            <v>32.6618421875</v>
          </cell>
          <cell r="DF909">
            <v>22.061480614828184</v>
          </cell>
          <cell r="DG909">
            <v>22.061480614828184</v>
          </cell>
          <cell r="DH909">
            <v>22.604671431353431</v>
          </cell>
          <cell r="DI909">
            <v>22.604671431353431</v>
          </cell>
          <cell r="DJ909">
            <v>22.061480614828184</v>
          </cell>
          <cell r="DK909">
            <v>22.061480614828184</v>
          </cell>
          <cell r="DL909">
            <v>22.061480614828184</v>
          </cell>
          <cell r="DM909">
            <v>22.061480614828184</v>
          </cell>
          <cell r="DN909">
            <v>22.061480614828184</v>
          </cell>
          <cell r="DO909">
            <v>10.164999999999999</v>
          </cell>
          <cell r="DP909">
            <v>10.164999999999999</v>
          </cell>
          <cell r="DQ909">
            <v>10.164999999999999</v>
          </cell>
          <cell r="DR909">
            <v>10.164999999999999</v>
          </cell>
          <cell r="DT909">
            <v>22.061480614828184</v>
          </cell>
        </row>
        <row r="910">
          <cell r="B910" t="str">
            <v>WTI Maya</v>
          </cell>
          <cell r="N910">
            <v>5.2675000000000001</v>
          </cell>
          <cell r="O910">
            <v>6.7874999999999996</v>
          </cell>
          <cell r="P910">
            <v>11.3375</v>
          </cell>
          <cell r="Q910">
            <v>15.512500000000001</v>
          </cell>
          <cell r="R910">
            <v>15.032499999999999</v>
          </cell>
          <cell r="S910">
            <v>12.605</v>
          </cell>
          <cell r="T910">
            <v>15.637499999999999</v>
          </cell>
          <cell r="U910">
            <v>5.3824999999999985</v>
          </cell>
          <cell r="V910">
            <v>9.2753025793650785</v>
          </cell>
          <cell r="W910">
            <v>0.93114763344854112</v>
          </cell>
          <cell r="X910">
            <v>8</v>
          </cell>
          <cell r="Y910">
            <v>9</v>
          </cell>
          <cell r="Z910">
            <v>9</v>
          </cell>
          <cell r="AA910">
            <v>8</v>
          </cell>
          <cell r="AB910">
            <v>8</v>
          </cell>
          <cell r="AC910">
            <v>8</v>
          </cell>
          <cell r="AD910">
            <v>8</v>
          </cell>
          <cell r="AE910">
            <v>8</v>
          </cell>
          <cell r="AF910">
            <v>8</v>
          </cell>
          <cell r="BS910">
            <v>5.71</v>
          </cell>
          <cell r="BT910">
            <v>4.3600000000000003</v>
          </cell>
          <cell r="BU910">
            <v>5.01</v>
          </cell>
          <cell r="BV910">
            <v>5.99</v>
          </cell>
          <cell r="BW910">
            <v>7.35</v>
          </cell>
          <cell r="BX910">
            <v>7.08</v>
          </cell>
          <cell r="BY910">
            <v>5.96</v>
          </cell>
          <cell r="BZ910">
            <v>6.76</v>
          </cell>
          <cell r="CA910">
            <v>9.2100000000000009</v>
          </cell>
          <cell r="CB910">
            <v>8.57</v>
          </cell>
          <cell r="CC910">
            <v>11.59</v>
          </cell>
          <cell r="CD910">
            <v>15.98</v>
          </cell>
          <cell r="CE910">
            <v>17.46</v>
          </cell>
          <cell r="CF910">
            <v>13.2</v>
          </cell>
          <cell r="CG910">
            <v>15.4</v>
          </cell>
          <cell r="CH910">
            <v>15.99</v>
          </cell>
          <cell r="CI910">
            <v>15.45</v>
          </cell>
          <cell r="CJ910">
            <v>16.190000000000001</v>
          </cell>
          <cell r="CK910">
            <v>15.08</v>
          </cell>
          <cell r="CL910">
            <v>13.41</v>
          </cell>
          <cell r="CM910">
            <v>13.28</v>
          </cell>
          <cell r="CN910">
            <v>9.83</v>
          </cell>
          <cell r="CO910">
            <v>12.21</v>
          </cell>
          <cell r="CP910">
            <v>15.1</v>
          </cell>
          <cell r="CQ910">
            <v>16.739999999999998</v>
          </cell>
          <cell r="CR910">
            <v>21.08</v>
          </cell>
          <cell r="CS910">
            <v>11.46</v>
          </cell>
          <cell r="CT910">
            <v>13.27</v>
          </cell>
          <cell r="CU910">
            <v>4.78</v>
          </cell>
          <cell r="CV910">
            <v>4.83</v>
          </cell>
          <cell r="CW910">
            <v>5.1399999999999935</v>
          </cell>
          <cell r="CX910">
            <v>6.78</v>
          </cell>
          <cell r="CY910">
            <v>9.06</v>
          </cell>
          <cell r="CZ910">
            <v>9.9406349206349152</v>
          </cell>
          <cell r="DA910">
            <v>8.6637500000000003</v>
          </cell>
          <cell r="DB910">
            <v>9.4368253968253981</v>
          </cell>
          <cell r="DC910">
            <v>4.8245161290322596</v>
          </cell>
          <cell r="DD910">
            <v>-0.79523809523809497</v>
          </cell>
          <cell r="DE910">
            <v>-8.8046875</v>
          </cell>
          <cell r="DF910">
            <v>8.5</v>
          </cell>
          <cell r="DG910">
            <v>8</v>
          </cell>
          <cell r="DH910">
            <v>8</v>
          </cell>
          <cell r="DI910">
            <v>8</v>
          </cell>
          <cell r="DJ910">
            <v>8</v>
          </cell>
          <cell r="DK910">
            <v>8</v>
          </cell>
          <cell r="DL910">
            <v>8</v>
          </cell>
          <cell r="DM910">
            <v>8</v>
          </cell>
          <cell r="DN910">
            <v>8</v>
          </cell>
          <cell r="DO910">
            <v>9</v>
          </cell>
          <cell r="DP910">
            <v>9</v>
          </cell>
          <cell r="DQ910">
            <v>9</v>
          </cell>
          <cell r="DR910">
            <v>9</v>
          </cell>
          <cell r="DT910">
            <v>8</v>
          </cell>
        </row>
        <row r="911">
          <cell r="B911" t="str">
            <v>Total</v>
          </cell>
          <cell r="N911">
            <v>8.477999999999998</v>
          </cell>
          <cell r="O911">
            <v>11.286374999999998</v>
          </cell>
          <cell r="P911">
            <v>17.944624999999998</v>
          </cell>
          <cell r="Q911">
            <v>27.532624999999999</v>
          </cell>
          <cell r="R911">
            <v>28.081675000000001</v>
          </cell>
          <cell r="S911">
            <v>28.133724999999995</v>
          </cell>
          <cell r="T911">
            <v>28.771474999999999</v>
          </cell>
          <cell r="U911">
            <v>12.715250000000001</v>
          </cell>
          <cell r="V911">
            <v>18.123238944692456</v>
          </cell>
          <cell r="W911">
            <v>25.571721198686969</v>
          </cell>
          <cell r="X911">
            <v>30.333076023090808</v>
          </cell>
          <cell r="Y911">
            <v>18.897500000000001</v>
          </cell>
          <cell r="Z911">
            <v>19.164999999999999</v>
          </cell>
          <cell r="AA911">
            <v>16.024999999999999</v>
          </cell>
          <cell r="AB911">
            <v>16.024999999999999</v>
          </cell>
          <cell r="AC911">
            <v>16.024999999999999</v>
          </cell>
          <cell r="AD911">
            <v>16.024999999999999</v>
          </cell>
          <cell r="AE911">
            <v>16.024999999999999</v>
          </cell>
          <cell r="AF911">
            <v>16.024999999999999</v>
          </cell>
          <cell r="BS911">
            <v>8.3454999999999977</v>
          </cell>
          <cell r="BT911">
            <v>7.5802999999999967</v>
          </cell>
          <cell r="BU911">
            <v>7.8840999999999966</v>
          </cell>
          <cell r="BV911">
            <v>10.102099999999998</v>
          </cell>
          <cell r="BW911">
            <v>13.225299999999999</v>
          </cell>
          <cell r="BX911">
            <v>10.581399999999999</v>
          </cell>
          <cell r="BY911">
            <v>10.782199999999996</v>
          </cell>
          <cell r="BZ911">
            <v>10.556600000000001</v>
          </cell>
          <cell r="CA911">
            <v>15.497999999999998</v>
          </cell>
          <cell r="CB911">
            <v>16.580299999999998</v>
          </cell>
          <cell r="CC911">
            <v>18.345700000000001</v>
          </cell>
          <cell r="CD911">
            <v>21.354499999999998</v>
          </cell>
          <cell r="CE911">
            <v>24.430299999999999</v>
          </cell>
          <cell r="CF911">
            <v>23.738099999999992</v>
          </cell>
          <cell r="CG911">
            <v>32.929499999999997</v>
          </cell>
          <cell r="CH911">
            <v>29.032600000000002</v>
          </cell>
          <cell r="CI911">
            <v>25.690500000000004</v>
          </cell>
          <cell r="CJ911">
            <v>34.268500000000003</v>
          </cell>
          <cell r="CK911">
            <v>28.839100000000002</v>
          </cell>
          <cell r="CL911">
            <v>23.528600000000001</v>
          </cell>
          <cell r="CM911">
            <v>27.014799999999994</v>
          </cell>
          <cell r="CN911">
            <v>34.738299999999995</v>
          </cell>
          <cell r="CO911">
            <v>26.17349999999999</v>
          </cell>
          <cell r="CP911">
            <v>24.6083</v>
          </cell>
          <cell r="CQ911">
            <v>28.943200000000001</v>
          </cell>
          <cell r="CR911">
            <v>37.748999999999995</v>
          </cell>
          <cell r="CS911">
            <v>27.5413</v>
          </cell>
          <cell r="CT911">
            <v>20.852399999999999</v>
          </cell>
          <cell r="CU911">
            <v>14.973800000000001</v>
          </cell>
          <cell r="CV911">
            <v>12.3576</v>
          </cell>
          <cell r="CW911">
            <v>11.756599999999999</v>
          </cell>
          <cell r="CX911">
            <v>11.773000000000003</v>
          </cell>
          <cell r="CY911">
            <v>16.277900000000002</v>
          </cell>
          <cell r="CZ911">
            <v>20.078844444444435</v>
          </cell>
          <cell r="DA911">
            <v>17.301854687499997</v>
          </cell>
          <cell r="DB911">
            <v>18.834356646825391</v>
          </cell>
          <cell r="DC911">
            <v>24.390691935483865</v>
          </cell>
          <cell r="DD911">
            <v>23.477557556935821</v>
          </cell>
          <cell r="DE911">
            <v>23.8571546875</v>
          </cell>
          <cell r="DF911">
            <v>30.561480614828184</v>
          </cell>
          <cell r="DG911">
            <v>30.061480614828184</v>
          </cell>
          <cell r="DH911">
            <v>30.604671431353431</v>
          </cell>
          <cell r="DI911">
            <v>30.604671431353431</v>
          </cell>
          <cell r="DJ911">
            <v>30.061480614828184</v>
          </cell>
          <cell r="DK911">
            <v>30.061480614828184</v>
          </cell>
          <cell r="DL911">
            <v>30.061480614828184</v>
          </cell>
          <cell r="DM911">
            <v>30.061480614828184</v>
          </cell>
          <cell r="DN911">
            <v>30.061480614828184</v>
          </cell>
          <cell r="DO911">
            <v>19.164999999999999</v>
          </cell>
          <cell r="DP911">
            <v>19.164999999999999</v>
          </cell>
          <cell r="DQ911">
            <v>19.164999999999999</v>
          </cell>
          <cell r="DR911">
            <v>19.164999999999999</v>
          </cell>
          <cell r="DT911">
            <v>30.061480614828184</v>
          </cell>
        </row>
        <row r="912">
          <cell r="B912" t="str">
            <v>BEAR CASE REFINING</v>
          </cell>
          <cell r="DC912">
            <v>21.390691935483865</v>
          </cell>
          <cell r="DD912">
            <v>20.477557556935821</v>
          </cell>
          <cell r="DE912">
            <v>20.8571546875</v>
          </cell>
          <cell r="DF912">
            <v>27.561480614828184</v>
          </cell>
          <cell r="DG912">
            <v>27.061480614828184</v>
          </cell>
          <cell r="DH912">
            <v>27.604671431353431</v>
          </cell>
          <cell r="DI912">
            <v>27.604671431353431</v>
          </cell>
          <cell r="DJ912">
            <v>27.061480614828184</v>
          </cell>
          <cell r="DK912">
            <v>27.061480614828184</v>
          </cell>
          <cell r="DL912">
            <v>27.061480614828184</v>
          </cell>
          <cell r="DM912">
            <v>27.061480614828184</v>
          </cell>
          <cell r="DN912">
            <v>27.061480614828184</v>
          </cell>
          <cell r="DO912">
            <v>16.164999999999999</v>
          </cell>
          <cell r="DP912">
            <v>16.164999999999999</v>
          </cell>
          <cell r="DQ912">
            <v>16.164999999999999</v>
          </cell>
          <cell r="DR912">
            <v>16.164999999999999</v>
          </cell>
          <cell r="DT912">
            <v>27.061480614828184</v>
          </cell>
        </row>
        <row r="917">
          <cell r="B917" t="str">
            <v>Urals 4-1-2-1</v>
          </cell>
          <cell r="U917">
            <v>5.5674999999999999</v>
          </cell>
          <cell r="V917">
            <v>6.3624999999999998</v>
          </cell>
          <cell r="CU917">
            <v>6.96</v>
          </cell>
          <cell r="CV917">
            <v>5.69</v>
          </cell>
          <cell r="CW917">
            <v>5.0999999999999996</v>
          </cell>
          <cell r="CX917">
            <v>4.5199999999999996</v>
          </cell>
          <cell r="CY917">
            <v>5.91</v>
          </cell>
          <cell r="CZ917">
            <v>7.33</v>
          </cell>
          <cell r="DA917">
            <v>5.89</v>
          </cell>
          <cell r="DB917">
            <v>6.32</v>
          </cell>
          <cell r="DC917">
            <v>7.81</v>
          </cell>
          <cell r="DD917">
            <v>7.71</v>
          </cell>
          <cell r="DE917">
            <v>8.76</v>
          </cell>
        </row>
        <row r="919">
          <cell r="B919" t="str">
            <v>Market margins (cents/gal)</v>
          </cell>
        </row>
        <row r="920">
          <cell r="B920" t="str">
            <v xml:space="preserve">MTBE - NWE </v>
          </cell>
          <cell r="U920">
            <v>67.849999999999994</v>
          </cell>
          <cell r="V920">
            <v>41.7</v>
          </cell>
          <cell r="W920">
            <v>83.174999999999997</v>
          </cell>
          <cell r="X920">
            <v>109.52500000000001</v>
          </cell>
          <cell r="Y920">
            <v>104.52500000000001</v>
          </cell>
          <cell r="Z920">
            <v>99.525000000000006</v>
          </cell>
          <cell r="AA920">
            <v>75</v>
          </cell>
          <cell r="AB920">
            <v>75</v>
          </cell>
          <cell r="AC920">
            <v>75</v>
          </cell>
          <cell r="AD920">
            <v>75</v>
          </cell>
          <cell r="AE920">
            <v>75</v>
          </cell>
          <cell r="AF920">
            <v>75</v>
          </cell>
          <cell r="CU920">
            <v>38.4</v>
          </cell>
          <cell r="CV920">
            <v>94.4</v>
          </cell>
          <cell r="CW920">
            <v>69</v>
          </cell>
          <cell r="CX920">
            <v>69.599999999999994</v>
          </cell>
          <cell r="CY920">
            <v>48.2</v>
          </cell>
          <cell r="CZ920">
            <v>56</v>
          </cell>
          <cell r="DA920">
            <v>44.2</v>
          </cell>
          <cell r="DB920">
            <v>18.399999999999999</v>
          </cell>
          <cell r="DC920">
            <v>58.9</v>
          </cell>
          <cell r="DD920">
            <v>92.7</v>
          </cell>
          <cell r="DE920">
            <v>94.1</v>
          </cell>
          <cell r="DF920">
            <v>87</v>
          </cell>
          <cell r="DG920">
            <v>125</v>
          </cell>
          <cell r="DH920">
            <v>122</v>
          </cell>
          <cell r="DI920">
            <v>99.1</v>
          </cell>
          <cell r="DJ920">
            <v>92</v>
          </cell>
          <cell r="DK920">
            <v>120</v>
          </cell>
          <cell r="DL920">
            <v>117</v>
          </cell>
          <cell r="DM920">
            <v>94.1</v>
          </cell>
          <cell r="DN920">
            <v>87</v>
          </cell>
          <cell r="DO920">
            <v>115</v>
          </cell>
          <cell r="DP920">
            <v>112</v>
          </cell>
          <cell r="DQ920">
            <v>89.1</v>
          </cell>
          <cell r="DR920">
            <v>82</v>
          </cell>
          <cell r="DT920">
            <v>117</v>
          </cell>
        </row>
        <row r="921">
          <cell r="B921" t="str">
            <v xml:space="preserve">ETBE - NWE </v>
          </cell>
          <cell r="U921">
            <v>68.62</v>
          </cell>
          <cell r="V921">
            <v>55.333333333333336</v>
          </cell>
          <cell r="CU921">
            <v>46.38</v>
          </cell>
          <cell r="CV921">
            <v>101.2</v>
          </cell>
          <cell r="CW921">
            <v>70.099999999999994</v>
          </cell>
          <cell r="CX921">
            <v>56.8</v>
          </cell>
          <cell r="CY921">
            <v>49.1</v>
          </cell>
          <cell r="CZ921">
            <v>71.7</v>
          </cell>
          <cell r="DA921">
            <v>45.2</v>
          </cell>
        </row>
      </sheetData>
      <sheetData sheetId="6" refreshError="1">
        <row r="1">
          <cell r="A1" t="str">
            <v>LyondellBasell (LYB)</v>
          </cell>
        </row>
        <row r="2">
          <cell r="A2" t="str">
            <v>Days</v>
          </cell>
          <cell r="D2">
            <v>367</v>
          </cell>
          <cell r="E2">
            <v>367</v>
          </cell>
          <cell r="F2">
            <v>366</v>
          </cell>
          <cell r="G2">
            <v>365</v>
          </cell>
          <cell r="H2">
            <v>365</v>
          </cell>
          <cell r="I2">
            <v>366</v>
          </cell>
          <cell r="J2">
            <v>365</v>
          </cell>
          <cell r="K2">
            <v>365</v>
          </cell>
          <cell r="L2">
            <v>365</v>
          </cell>
          <cell r="M2">
            <v>366</v>
          </cell>
          <cell r="N2">
            <v>365</v>
          </cell>
          <cell r="O2">
            <v>365</v>
          </cell>
          <cell r="P2">
            <v>365</v>
          </cell>
          <cell r="Q2">
            <v>366</v>
          </cell>
          <cell r="R2">
            <v>365</v>
          </cell>
          <cell r="S2">
            <v>365</v>
          </cell>
          <cell r="T2">
            <v>365</v>
          </cell>
          <cell r="U2">
            <v>366</v>
          </cell>
          <cell r="V2">
            <v>365</v>
          </cell>
          <cell r="W2">
            <v>365</v>
          </cell>
          <cell r="X2">
            <v>365</v>
          </cell>
          <cell r="Y2">
            <v>366</v>
          </cell>
          <cell r="Z2">
            <v>365</v>
          </cell>
          <cell r="AA2">
            <v>365</v>
          </cell>
          <cell r="AB2">
            <v>365</v>
          </cell>
          <cell r="AC2">
            <v>366</v>
          </cell>
          <cell r="AD2">
            <v>365</v>
          </cell>
          <cell r="AE2">
            <v>365</v>
          </cell>
          <cell r="AF2">
            <v>365</v>
          </cell>
          <cell r="AG2">
            <v>366</v>
          </cell>
          <cell r="AJ2">
            <v>90</v>
          </cell>
          <cell r="AK2">
            <v>91</v>
          </cell>
          <cell r="AL2">
            <v>92</v>
          </cell>
          <cell r="AM2">
            <v>92</v>
          </cell>
          <cell r="AN2">
            <v>90</v>
          </cell>
          <cell r="AO2">
            <v>91</v>
          </cell>
          <cell r="AP2">
            <v>92</v>
          </cell>
          <cell r="AQ2">
            <v>92</v>
          </cell>
          <cell r="AR2">
            <v>91</v>
          </cell>
          <cell r="AS2">
            <v>91</v>
          </cell>
          <cell r="AT2">
            <v>92</v>
          </cell>
          <cell r="AU2">
            <v>92</v>
          </cell>
          <cell r="AV2">
            <v>90</v>
          </cell>
          <cell r="AW2">
            <v>91</v>
          </cell>
          <cell r="AX2">
            <v>92</v>
          </cell>
          <cell r="AY2">
            <v>92</v>
          </cell>
          <cell r="AZ2">
            <v>90</v>
          </cell>
          <cell r="BA2">
            <v>91</v>
          </cell>
          <cell r="BB2">
            <v>92</v>
          </cell>
          <cell r="BC2">
            <v>92</v>
          </cell>
          <cell r="BD2">
            <v>90</v>
          </cell>
          <cell r="BE2">
            <v>91</v>
          </cell>
          <cell r="BF2">
            <v>92</v>
          </cell>
          <cell r="BG2">
            <v>92</v>
          </cell>
          <cell r="BH2">
            <v>91</v>
          </cell>
          <cell r="BI2">
            <v>91</v>
          </cell>
          <cell r="BJ2">
            <v>92</v>
          </cell>
          <cell r="BK2">
            <v>92</v>
          </cell>
          <cell r="BL2">
            <v>90</v>
          </cell>
          <cell r="BM2">
            <v>91</v>
          </cell>
          <cell r="BN2">
            <v>92</v>
          </cell>
          <cell r="BO2">
            <v>92</v>
          </cell>
          <cell r="BP2">
            <v>90</v>
          </cell>
          <cell r="BQ2">
            <v>91</v>
          </cell>
          <cell r="BR2">
            <v>92</v>
          </cell>
          <cell r="BS2">
            <v>92</v>
          </cell>
          <cell r="BT2">
            <v>90</v>
          </cell>
          <cell r="BU2">
            <v>91</v>
          </cell>
          <cell r="BV2">
            <v>92</v>
          </cell>
          <cell r="BW2">
            <v>92</v>
          </cell>
          <cell r="BX2">
            <v>91</v>
          </cell>
          <cell r="BY2">
            <v>91</v>
          </cell>
          <cell r="BZ2">
            <v>92</v>
          </cell>
          <cell r="CA2">
            <v>92</v>
          </cell>
          <cell r="CB2">
            <v>90</v>
          </cell>
          <cell r="CC2">
            <v>91</v>
          </cell>
          <cell r="CD2">
            <v>92</v>
          </cell>
          <cell r="CE2">
            <v>92</v>
          </cell>
          <cell r="CF2">
            <v>90</v>
          </cell>
          <cell r="CG2">
            <v>91</v>
          </cell>
          <cell r="CH2">
            <v>92</v>
          </cell>
          <cell r="CI2">
            <v>92</v>
          </cell>
          <cell r="CJ2">
            <v>90</v>
          </cell>
          <cell r="CK2">
            <v>91</v>
          </cell>
          <cell r="CL2">
            <v>92</v>
          </cell>
          <cell r="CM2">
            <v>92</v>
          </cell>
          <cell r="CN2">
            <v>91</v>
          </cell>
          <cell r="CO2">
            <v>91</v>
          </cell>
          <cell r="CP2">
            <v>92</v>
          </cell>
          <cell r="CQ2">
            <v>92</v>
          </cell>
          <cell r="CR2">
            <v>90</v>
          </cell>
          <cell r="CS2">
            <v>91</v>
          </cell>
          <cell r="CT2">
            <v>92</v>
          </cell>
          <cell r="CU2">
            <v>92</v>
          </cell>
          <cell r="CV2">
            <v>90</v>
          </cell>
          <cell r="CW2">
            <v>91</v>
          </cell>
          <cell r="CX2">
            <v>92</v>
          </cell>
          <cell r="CY2">
            <v>92</v>
          </cell>
          <cell r="CZ2">
            <v>90</v>
          </cell>
          <cell r="DA2">
            <v>91</v>
          </cell>
          <cell r="DB2">
            <v>92</v>
          </cell>
          <cell r="DC2">
            <v>92</v>
          </cell>
          <cell r="DD2">
            <v>91</v>
          </cell>
          <cell r="DE2">
            <v>91</v>
          </cell>
          <cell r="DF2">
            <v>92</v>
          </cell>
          <cell r="DG2">
            <v>92</v>
          </cell>
          <cell r="DH2">
            <v>90</v>
          </cell>
          <cell r="DI2">
            <v>91</v>
          </cell>
          <cell r="DJ2">
            <v>92</v>
          </cell>
          <cell r="DK2">
            <v>92</v>
          </cell>
          <cell r="DL2">
            <v>90</v>
          </cell>
          <cell r="DM2">
            <v>91</v>
          </cell>
          <cell r="DN2">
            <v>92</v>
          </cell>
          <cell r="DO2">
            <v>92</v>
          </cell>
          <cell r="DP2">
            <v>90</v>
          </cell>
          <cell r="DQ2">
            <v>91</v>
          </cell>
          <cell r="DR2">
            <v>92</v>
          </cell>
          <cell r="DS2">
            <v>92</v>
          </cell>
          <cell r="DT2">
            <v>91</v>
          </cell>
          <cell r="DU2">
            <v>91</v>
          </cell>
          <cell r="DV2">
            <v>92</v>
          </cell>
          <cell r="DW2">
            <v>92</v>
          </cell>
          <cell r="DX2">
            <v>90</v>
          </cell>
          <cell r="DY2">
            <v>91</v>
          </cell>
          <cell r="DZ2">
            <v>92</v>
          </cell>
          <cell r="EA2">
            <v>92</v>
          </cell>
          <cell r="EB2">
            <v>90</v>
          </cell>
          <cell r="EC2">
            <v>91</v>
          </cell>
          <cell r="ED2">
            <v>92</v>
          </cell>
          <cell r="EE2">
            <v>92</v>
          </cell>
          <cell r="EG2">
            <v>90</v>
          </cell>
        </row>
        <row r="3">
          <cell r="A3" t="str">
            <v>Frequency</v>
          </cell>
          <cell r="D3" t="str">
            <v>A</v>
          </cell>
          <cell r="E3" t="str">
            <v>A</v>
          </cell>
          <cell r="F3" t="str">
            <v>A</v>
          </cell>
          <cell r="G3" t="str">
            <v>A</v>
          </cell>
          <cell r="H3" t="str">
            <v>A</v>
          </cell>
          <cell r="I3" t="str">
            <v>A</v>
          </cell>
          <cell r="J3" t="str">
            <v>A</v>
          </cell>
          <cell r="K3" t="str">
            <v>A</v>
          </cell>
          <cell r="L3" t="str">
            <v>A</v>
          </cell>
          <cell r="M3" t="str">
            <v>A</v>
          </cell>
          <cell r="N3" t="str">
            <v>A</v>
          </cell>
          <cell r="O3" t="str">
            <v>A</v>
          </cell>
          <cell r="P3" t="str">
            <v>A</v>
          </cell>
          <cell r="Q3" t="str">
            <v>A</v>
          </cell>
          <cell r="R3" t="str">
            <v>A</v>
          </cell>
          <cell r="S3" t="str">
            <v>A</v>
          </cell>
          <cell r="T3" t="str">
            <v>A</v>
          </cell>
          <cell r="U3" t="str">
            <v>A</v>
          </cell>
          <cell r="V3" t="str">
            <v>A</v>
          </cell>
          <cell r="W3" t="str">
            <v>A</v>
          </cell>
          <cell r="X3" t="str">
            <v>A</v>
          </cell>
          <cell r="Y3" t="str">
            <v>A</v>
          </cell>
          <cell r="Z3" t="str">
            <v>A</v>
          </cell>
          <cell r="AA3" t="str">
            <v>A</v>
          </cell>
          <cell r="AB3" t="str">
            <v>A</v>
          </cell>
          <cell r="AC3" t="str">
            <v>A</v>
          </cell>
          <cell r="AD3" t="str">
            <v>A</v>
          </cell>
          <cell r="AE3" t="str">
            <v>A</v>
          </cell>
          <cell r="AF3" t="str">
            <v>A</v>
          </cell>
          <cell r="AG3" t="str">
            <v>A</v>
          </cell>
          <cell r="AJ3" t="str">
            <v>Q</v>
          </cell>
          <cell r="AK3" t="str">
            <v>Q</v>
          </cell>
          <cell r="AL3" t="str">
            <v>Q</v>
          </cell>
          <cell r="AM3" t="str">
            <v>Q</v>
          </cell>
          <cell r="AN3" t="str">
            <v>Q</v>
          </cell>
          <cell r="AO3" t="str">
            <v>Q</v>
          </cell>
          <cell r="AP3" t="str">
            <v>Q</v>
          </cell>
          <cell r="AQ3" t="str">
            <v>Q</v>
          </cell>
          <cell r="AR3" t="str">
            <v>Q</v>
          </cell>
          <cell r="AS3" t="str">
            <v>Q</v>
          </cell>
          <cell r="AT3" t="str">
            <v>Q</v>
          </cell>
          <cell r="AU3" t="str">
            <v>Q</v>
          </cell>
          <cell r="AV3" t="str">
            <v>Q</v>
          </cell>
          <cell r="AW3" t="str">
            <v>Q</v>
          </cell>
          <cell r="AX3" t="str">
            <v>Q</v>
          </cell>
          <cell r="AY3" t="str">
            <v>Q</v>
          </cell>
          <cell r="AZ3" t="str">
            <v>Q</v>
          </cell>
          <cell r="BA3" t="str">
            <v>Q</v>
          </cell>
          <cell r="BB3" t="str">
            <v>Q</v>
          </cell>
          <cell r="BC3" t="str">
            <v>Q</v>
          </cell>
          <cell r="BD3" t="str">
            <v>Q</v>
          </cell>
          <cell r="BE3" t="str">
            <v>Q</v>
          </cell>
          <cell r="BF3" t="str">
            <v>Q</v>
          </cell>
          <cell r="BG3" t="str">
            <v>Q</v>
          </cell>
          <cell r="BH3" t="str">
            <v>Q</v>
          </cell>
          <cell r="BI3" t="str">
            <v>Q</v>
          </cell>
          <cell r="BJ3" t="str">
            <v>Q</v>
          </cell>
          <cell r="BK3" t="str">
            <v>Q</v>
          </cell>
          <cell r="BL3" t="str">
            <v>Q</v>
          </cell>
          <cell r="BM3" t="str">
            <v>Q</v>
          </cell>
          <cell r="BN3" t="str">
            <v>Q</v>
          </cell>
          <cell r="BO3" t="str">
            <v>Q</v>
          </cell>
          <cell r="BP3" t="str">
            <v>Q</v>
          </cell>
          <cell r="BQ3" t="str">
            <v>Q</v>
          </cell>
          <cell r="BR3" t="str">
            <v>Q</v>
          </cell>
          <cell r="BS3" t="str">
            <v>Q</v>
          </cell>
          <cell r="BT3" t="str">
            <v>Q</v>
          </cell>
          <cell r="BU3" t="str">
            <v>Q</v>
          </cell>
          <cell r="BV3" t="str">
            <v>Q</v>
          </cell>
          <cell r="BW3" t="str">
            <v>Q</v>
          </cell>
          <cell r="BX3" t="str">
            <v>Q</v>
          </cell>
          <cell r="BY3" t="str">
            <v>Q</v>
          </cell>
          <cell r="BZ3" t="str">
            <v>Q</v>
          </cell>
          <cell r="CA3" t="str">
            <v>Q</v>
          </cell>
          <cell r="CB3" t="str">
            <v>Q</v>
          </cell>
          <cell r="CC3" t="str">
            <v>Q</v>
          </cell>
          <cell r="CD3" t="str">
            <v>Q</v>
          </cell>
          <cell r="CE3" t="str">
            <v>Q</v>
          </cell>
          <cell r="CF3" t="str">
            <v>Q</v>
          </cell>
          <cell r="CG3" t="str">
            <v>Q</v>
          </cell>
          <cell r="CH3" t="str">
            <v>Q</v>
          </cell>
          <cell r="CI3" t="str">
            <v>Q</v>
          </cell>
          <cell r="CJ3" t="str">
            <v>Q</v>
          </cell>
          <cell r="CK3" t="str">
            <v>Q</v>
          </cell>
          <cell r="CL3" t="str">
            <v>Q</v>
          </cell>
          <cell r="CM3" t="str">
            <v>Q</v>
          </cell>
          <cell r="CN3" t="str">
            <v>Q</v>
          </cell>
          <cell r="CO3" t="str">
            <v>Q</v>
          </cell>
          <cell r="CP3" t="str">
            <v>Q</v>
          </cell>
          <cell r="CQ3" t="str">
            <v>Q</v>
          </cell>
          <cell r="CR3" t="str">
            <v>Q</v>
          </cell>
          <cell r="CS3" t="str">
            <v>Q</v>
          </cell>
          <cell r="CT3" t="str">
            <v>Q</v>
          </cell>
          <cell r="CU3" t="str">
            <v>Q</v>
          </cell>
          <cell r="CV3" t="str">
            <v>Q</v>
          </cell>
          <cell r="CW3" t="str">
            <v>Q</v>
          </cell>
          <cell r="CX3" t="str">
            <v>Q</v>
          </cell>
          <cell r="CY3" t="str">
            <v>Q</v>
          </cell>
          <cell r="CZ3" t="str">
            <v>Q</v>
          </cell>
          <cell r="DA3" t="str">
            <v>Q</v>
          </cell>
          <cell r="DB3" t="str">
            <v>Q</v>
          </cell>
          <cell r="DC3" t="str">
            <v>Q</v>
          </cell>
          <cell r="DD3" t="str">
            <v>Q</v>
          </cell>
          <cell r="DE3" t="str">
            <v>Q</v>
          </cell>
          <cell r="DF3" t="str">
            <v>Q</v>
          </cell>
          <cell r="DG3" t="str">
            <v>Q</v>
          </cell>
          <cell r="DH3" t="str">
            <v>Q</v>
          </cell>
          <cell r="DI3" t="str">
            <v>Q</v>
          </cell>
          <cell r="DJ3" t="str">
            <v>Q</v>
          </cell>
          <cell r="DK3" t="str">
            <v>Q</v>
          </cell>
          <cell r="DL3" t="str">
            <v>Q</v>
          </cell>
          <cell r="DM3" t="str">
            <v>Q</v>
          </cell>
          <cell r="DN3" t="str">
            <v>Q</v>
          </cell>
          <cell r="DO3" t="str">
            <v>Q</v>
          </cell>
          <cell r="DP3" t="str">
            <v>Q</v>
          </cell>
          <cell r="DQ3" t="str">
            <v>Q</v>
          </cell>
          <cell r="DR3" t="str">
            <v>Q</v>
          </cell>
          <cell r="DS3" t="str">
            <v>Q</v>
          </cell>
          <cell r="DT3" t="str">
            <v>Q</v>
          </cell>
          <cell r="DU3" t="str">
            <v>Q</v>
          </cell>
          <cell r="DV3" t="str">
            <v>Q</v>
          </cell>
          <cell r="DW3" t="str">
            <v>Q</v>
          </cell>
          <cell r="DX3" t="str">
            <v>Q</v>
          </cell>
          <cell r="DY3" t="str">
            <v>Q</v>
          </cell>
          <cell r="DZ3" t="str">
            <v>Q</v>
          </cell>
          <cell r="EA3" t="str">
            <v>Q</v>
          </cell>
          <cell r="EB3" t="str">
            <v>Q</v>
          </cell>
          <cell r="EC3" t="str">
            <v>Q</v>
          </cell>
          <cell r="ED3" t="str">
            <v>Q</v>
          </cell>
          <cell r="EE3" t="str">
            <v>Q</v>
          </cell>
          <cell r="EG3" t="str">
            <v>Q</v>
          </cell>
        </row>
        <row r="4">
          <cell r="A4" t="str">
            <v>Date</v>
          </cell>
          <cell r="C4">
            <v>33234</v>
          </cell>
          <cell r="D4">
            <v>33601</v>
          </cell>
          <cell r="E4">
            <v>33968</v>
          </cell>
          <cell r="F4">
            <v>34334</v>
          </cell>
          <cell r="G4">
            <v>34699</v>
          </cell>
          <cell r="H4">
            <v>35064</v>
          </cell>
          <cell r="I4">
            <v>35430</v>
          </cell>
          <cell r="J4">
            <v>35795</v>
          </cell>
          <cell r="K4">
            <v>36160</v>
          </cell>
          <cell r="L4">
            <v>36525</v>
          </cell>
          <cell r="M4">
            <v>36891</v>
          </cell>
          <cell r="N4">
            <v>37256</v>
          </cell>
          <cell r="O4">
            <v>37621</v>
          </cell>
          <cell r="P4">
            <v>37986</v>
          </cell>
          <cell r="Q4">
            <v>38352</v>
          </cell>
          <cell r="R4">
            <v>38717</v>
          </cell>
          <cell r="S4">
            <v>39082</v>
          </cell>
          <cell r="T4">
            <v>39447</v>
          </cell>
          <cell r="U4">
            <v>39813</v>
          </cell>
          <cell r="V4">
            <v>40178</v>
          </cell>
          <cell r="W4">
            <v>40543</v>
          </cell>
          <cell r="X4">
            <v>40908</v>
          </cell>
          <cell r="Y4">
            <v>41274</v>
          </cell>
          <cell r="Z4">
            <v>41639</v>
          </cell>
          <cell r="AA4">
            <v>42004</v>
          </cell>
          <cell r="AB4">
            <v>42369</v>
          </cell>
          <cell r="AC4">
            <v>42735</v>
          </cell>
          <cell r="AD4">
            <v>43100</v>
          </cell>
          <cell r="AE4">
            <v>43465</v>
          </cell>
          <cell r="AF4">
            <v>43830</v>
          </cell>
          <cell r="AG4">
            <v>44196</v>
          </cell>
          <cell r="AI4">
            <v>32873</v>
          </cell>
          <cell r="AJ4">
            <v>32963</v>
          </cell>
          <cell r="AK4">
            <v>33054</v>
          </cell>
          <cell r="AL4">
            <v>33146</v>
          </cell>
          <cell r="AM4">
            <v>33238</v>
          </cell>
          <cell r="AN4">
            <v>33328</v>
          </cell>
          <cell r="AO4">
            <v>33419</v>
          </cell>
          <cell r="AP4">
            <v>33511</v>
          </cell>
          <cell r="AQ4">
            <v>33603</v>
          </cell>
          <cell r="AR4">
            <v>33694</v>
          </cell>
          <cell r="AS4">
            <v>33785</v>
          </cell>
          <cell r="AT4">
            <v>33877</v>
          </cell>
          <cell r="AU4">
            <v>33969</v>
          </cell>
          <cell r="AV4">
            <v>34059</v>
          </cell>
          <cell r="AW4">
            <v>34150</v>
          </cell>
          <cell r="AX4">
            <v>34242</v>
          </cell>
          <cell r="AY4">
            <v>34334</v>
          </cell>
          <cell r="AZ4">
            <v>34424</v>
          </cell>
          <cell r="BA4">
            <v>34515</v>
          </cell>
          <cell r="BB4">
            <v>34607</v>
          </cell>
          <cell r="BC4">
            <v>34699</v>
          </cell>
          <cell r="BD4">
            <v>34789</v>
          </cell>
          <cell r="BE4">
            <v>34880</v>
          </cell>
          <cell r="BF4">
            <v>34972</v>
          </cell>
          <cell r="BG4">
            <v>35064</v>
          </cell>
          <cell r="BH4">
            <v>35155</v>
          </cell>
          <cell r="BI4">
            <v>35246</v>
          </cell>
          <cell r="BJ4">
            <v>35338</v>
          </cell>
          <cell r="BK4">
            <v>35430</v>
          </cell>
          <cell r="BL4">
            <v>35520</v>
          </cell>
          <cell r="BM4">
            <v>35611</v>
          </cell>
          <cell r="BN4">
            <v>35703</v>
          </cell>
          <cell r="BO4">
            <v>35795</v>
          </cell>
          <cell r="BP4">
            <v>35885</v>
          </cell>
          <cell r="BQ4">
            <v>35976</v>
          </cell>
          <cell r="BR4">
            <v>36068</v>
          </cell>
          <cell r="BS4">
            <v>36160</v>
          </cell>
          <cell r="BT4">
            <v>36250</v>
          </cell>
          <cell r="BU4">
            <v>36341</v>
          </cell>
          <cell r="BV4">
            <v>36433</v>
          </cell>
          <cell r="BW4">
            <v>36525</v>
          </cell>
          <cell r="BX4">
            <v>36616</v>
          </cell>
          <cell r="BY4">
            <v>36707</v>
          </cell>
          <cell r="BZ4">
            <v>36799</v>
          </cell>
          <cell r="CA4">
            <v>36891</v>
          </cell>
          <cell r="CB4">
            <v>36981</v>
          </cell>
          <cell r="CC4">
            <v>37072</v>
          </cell>
          <cell r="CD4">
            <v>37164</v>
          </cell>
          <cell r="CE4">
            <v>37256</v>
          </cell>
          <cell r="CF4">
            <v>37346</v>
          </cell>
          <cell r="CG4">
            <v>37437</v>
          </cell>
          <cell r="CH4">
            <v>37529</v>
          </cell>
          <cell r="CI4">
            <v>37621</v>
          </cell>
          <cell r="CJ4">
            <v>37711</v>
          </cell>
          <cell r="CK4">
            <v>37802</v>
          </cell>
          <cell r="CL4">
            <v>37894</v>
          </cell>
          <cell r="CM4">
            <v>37986</v>
          </cell>
          <cell r="CN4">
            <v>38077</v>
          </cell>
          <cell r="CO4">
            <v>38168</v>
          </cell>
          <cell r="CP4">
            <v>38260</v>
          </cell>
          <cell r="CQ4">
            <v>38352</v>
          </cell>
          <cell r="CR4">
            <v>38442</v>
          </cell>
          <cell r="CS4">
            <v>38533</v>
          </cell>
          <cell r="CT4">
            <v>38625</v>
          </cell>
          <cell r="CU4">
            <v>38717</v>
          </cell>
          <cell r="CV4">
            <v>38807</v>
          </cell>
          <cell r="CW4">
            <v>38898</v>
          </cell>
          <cell r="CX4">
            <v>38990</v>
          </cell>
          <cell r="CY4">
            <v>39082</v>
          </cell>
          <cell r="CZ4">
            <v>39172</v>
          </cell>
          <cell r="DA4">
            <v>39263</v>
          </cell>
          <cell r="DB4">
            <v>39355</v>
          </cell>
          <cell r="DC4">
            <v>39447</v>
          </cell>
          <cell r="DD4">
            <v>39538</v>
          </cell>
          <cell r="DE4">
            <v>39629</v>
          </cell>
          <cell r="DF4">
            <v>39721</v>
          </cell>
          <cell r="DG4">
            <v>39813</v>
          </cell>
          <cell r="DH4">
            <v>39903</v>
          </cell>
          <cell r="DI4">
            <v>39994</v>
          </cell>
          <cell r="DJ4">
            <v>40086</v>
          </cell>
          <cell r="DK4">
            <v>40178</v>
          </cell>
          <cell r="DL4">
            <v>40268</v>
          </cell>
          <cell r="DM4">
            <v>40359</v>
          </cell>
          <cell r="DN4">
            <v>40451</v>
          </cell>
          <cell r="DO4">
            <v>40543</v>
          </cell>
          <cell r="DP4">
            <v>40633</v>
          </cell>
          <cell r="DQ4">
            <v>40724</v>
          </cell>
          <cell r="DR4">
            <v>40816</v>
          </cell>
          <cell r="DS4">
            <v>40908</v>
          </cell>
          <cell r="DT4">
            <v>40999</v>
          </cell>
          <cell r="DU4">
            <v>41090</v>
          </cell>
          <cell r="DV4">
            <v>41182</v>
          </cell>
          <cell r="DW4">
            <v>41274</v>
          </cell>
          <cell r="DX4">
            <v>41364</v>
          </cell>
          <cell r="DY4">
            <v>41455</v>
          </cell>
          <cell r="DZ4">
            <v>41547</v>
          </cell>
          <cell r="EA4">
            <v>41639</v>
          </cell>
          <cell r="EB4">
            <v>41729</v>
          </cell>
          <cell r="EC4">
            <v>41820</v>
          </cell>
          <cell r="ED4">
            <v>41912</v>
          </cell>
          <cell r="EE4">
            <v>42004</v>
          </cell>
          <cell r="EG4">
            <v>40268</v>
          </cell>
        </row>
        <row r="5">
          <cell r="A5" t="str">
            <v>Year</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v>2006</v>
          </cell>
          <cell r="T5">
            <v>2007</v>
          </cell>
          <cell r="U5">
            <v>2008</v>
          </cell>
          <cell r="V5">
            <v>2009</v>
          </cell>
          <cell r="W5">
            <v>2010</v>
          </cell>
          <cell r="X5">
            <v>2011</v>
          </cell>
          <cell r="Y5">
            <v>2012</v>
          </cell>
          <cell r="Z5">
            <v>2013</v>
          </cell>
          <cell r="AA5">
            <v>2014</v>
          </cell>
          <cell r="AB5">
            <v>2015</v>
          </cell>
          <cell r="AC5">
            <v>2016</v>
          </cell>
          <cell r="AD5">
            <v>2017</v>
          </cell>
          <cell r="AE5">
            <v>2018</v>
          </cell>
          <cell r="AF5">
            <v>2019</v>
          </cell>
          <cell r="AG5">
            <v>2020</v>
          </cell>
          <cell r="AJ5">
            <v>1990</v>
          </cell>
          <cell r="AK5">
            <v>1990</v>
          </cell>
          <cell r="AL5">
            <v>1990</v>
          </cell>
          <cell r="AM5">
            <v>1990</v>
          </cell>
          <cell r="AN5">
            <v>1991</v>
          </cell>
          <cell r="AO5">
            <v>1991</v>
          </cell>
          <cell r="AP5">
            <v>1991</v>
          </cell>
          <cell r="AQ5">
            <v>1991</v>
          </cell>
          <cell r="AR5">
            <v>1992</v>
          </cell>
          <cell r="AS5">
            <v>1992</v>
          </cell>
          <cell r="AT5">
            <v>1992</v>
          </cell>
          <cell r="AU5">
            <v>1992</v>
          </cell>
          <cell r="AV5">
            <v>1993</v>
          </cell>
          <cell r="AW5">
            <v>1993</v>
          </cell>
          <cell r="AX5">
            <v>1993</v>
          </cell>
          <cell r="AY5">
            <v>1993</v>
          </cell>
          <cell r="AZ5">
            <v>1994</v>
          </cell>
          <cell r="BA5">
            <v>1994</v>
          </cell>
          <cell r="BB5">
            <v>1994</v>
          </cell>
          <cell r="BC5">
            <v>1994</v>
          </cell>
          <cell r="BD5">
            <v>1995</v>
          </cell>
          <cell r="BE5">
            <v>1995</v>
          </cell>
          <cell r="BF5">
            <v>1995</v>
          </cell>
          <cell r="BG5">
            <v>1995</v>
          </cell>
          <cell r="BH5">
            <v>1996</v>
          </cell>
          <cell r="BI5">
            <v>1996</v>
          </cell>
          <cell r="BJ5">
            <v>1996</v>
          </cell>
          <cell r="BK5">
            <v>1996</v>
          </cell>
          <cell r="BL5">
            <v>1997</v>
          </cell>
          <cell r="BM5">
            <v>1997</v>
          </cell>
          <cell r="BN5">
            <v>1997</v>
          </cell>
          <cell r="BO5">
            <v>1997</v>
          </cell>
          <cell r="BP5">
            <v>1998</v>
          </cell>
          <cell r="BQ5">
            <v>1998</v>
          </cell>
          <cell r="BR5">
            <v>1998</v>
          </cell>
          <cell r="BS5">
            <v>1998</v>
          </cell>
          <cell r="BT5">
            <v>1999</v>
          </cell>
          <cell r="BU5">
            <v>1999</v>
          </cell>
          <cell r="BV5">
            <v>1999</v>
          </cell>
          <cell r="BW5">
            <v>1999</v>
          </cell>
          <cell r="BX5">
            <v>2000</v>
          </cell>
          <cell r="BY5">
            <v>2000</v>
          </cell>
          <cell r="BZ5">
            <v>2000</v>
          </cell>
          <cell r="CA5">
            <v>2000</v>
          </cell>
          <cell r="CB5">
            <v>2001</v>
          </cell>
          <cell r="CC5">
            <v>2001</v>
          </cell>
          <cell r="CD5">
            <v>2001</v>
          </cell>
          <cell r="CE5">
            <v>2001</v>
          </cell>
          <cell r="CF5">
            <v>2002</v>
          </cell>
          <cell r="CG5">
            <v>2002</v>
          </cell>
          <cell r="CH5">
            <v>2002</v>
          </cell>
          <cell r="CI5">
            <v>2002</v>
          </cell>
          <cell r="CJ5">
            <v>2003</v>
          </cell>
          <cell r="CK5">
            <v>2003</v>
          </cell>
          <cell r="CL5">
            <v>2003</v>
          </cell>
          <cell r="CM5">
            <v>2003</v>
          </cell>
          <cell r="CN5">
            <v>2004</v>
          </cell>
          <cell r="CO5">
            <v>2004</v>
          </cell>
          <cell r="CP5">
            <v>2004</v>
          </cell>
          <cell r="CQ5">
            <v>2004</v>
          </cell>
          <cell r="CR5">
            <v>2005</v>
          </cell>
          <cell r="CS5">
            <v>2005</v>
          </cell>
          <cell r="CT5">
            <v>2005</v>
          </cell>
          <cell r="CU5">
            <v>2005</v>
          </cell>
          <cell r="CV5">
            <v>2006</v>
          </cell>
          <cell r="CW5">
            <v>2006</v>
          </cell>
          <cell r="CX5">
            <v>2006</v>
          </cell>
          <cell r="CY5">
            <v>2006</v>
          </cell>
          <cell r="CZ5">
            <v>2007</v>
          </cell>
          <cell r="DA5">
            <v>2007</v>
          </cell>
          <cell r="DB5">
            <v>2007</v>
          </cell>
          <cell r="DC5">
            <v>2007</v>
          </cell>
          <cell r="DD5">
            <v>2008</v>
          </cell>
          <cell r="DE5">
            <v>2008</v>
          </cell>
          <cell r="DF5">
            <v>2008</v>
          </cell>
          <cell r="DG5">
            <v>2008</v>
          </cell>
          <cell r="DH5">
            <v>2009</v>
          </cell>
          <cell r="DI5">
            <v>2009</v>
          </cell>
          <cell r="DJ5">
            <v>2009</v>
          </cell>
          <cell r="DK5">
            <v>2009</v>
          </cell>
          <cell r="DL5">
            <v>2010</v>
          </cell>
          <cell r="DM5">
            <v>2010</v>
          </cell>
          <cell r="DN5">
            <v>2010</v>
          </cell>
          <cell r="DO5">
            <v>2010</v>
          </cell>
          <cell r="DP5">
            <v>2011</v>
          </cell>
          <cell r="DQ5">
            <v>2011</v>
          </cell>
          <cell r="DR5">
            <v>2011</v>
          </cell>
          <cell r="DS5">
            <v>2011</v>
          </cell>
          <cell r="DT5">
            <v>2012</v>
          </cell>
          <cell r="DU5">
            <v>2012</v>
          </cell>
          <cell r="DV5">
            <v>2012</v>
          </cell>
          <cell r="DW5">
            <v>2012</v>
          </cell>
          <cell r="DX5">
            <v>2013</v>
          </cell>
          <cell r="DY5">
            <v>2013</v>
          </cell>
          <cell r="DZ5">
            <v>2013</v>
          </cell>
          <cell r="EA5">
            <v>2013</v>
          </cell>
          <cell r="EB5">
            <v>2014</v>
          </cell>
          <cell r="EC5">
            <v>2014</v>
          </cell>
          <cell r="ED5">
            <v>2014</v>
          </cell>
          <cell r="EE5">
            <v>2014</v>
          </cell>
          <cell r="EG5">
            <v>2010</v>
          </cell>
        </row>
        <row r="6">
          <cell r="A6" t="str">
            <v>Quarter</v>
          </cell>
          <cell r="AJ6" t="str">
            <v>1990q1</v>
          </cell>
          <cell r="AK6" t="str">
            <v>1990q2</v>
          </cell>
          <cell r="AL6" t="str">
            <v>1990q3</v>
          </cell>
          <cell r="AM6" t="str">
            <v>1990q4</v>
          </cell>
          <cell r="AN6" t="str">
            <v>1991q1</v>
          </cell>
          <cell r="AO6" t="str">
            <v>1991q2</v>
          </cell>
          <cell r="AP6" t="str">
            <v>1991q3</v>
          </cell>
          <cell r="AQ6" t="str">
            <v>1991q4</v>
          </cell>
          <cell r="AR6" t="str">
            <v>1992q1</v>
          </cell>
          <cell r="AS6" t="str">
            <v>1992q2</v>
          </cell>
          <cell r="AT6" t="str">
            <v>1992q3</v>
          </cell>
          <cell r="AU6" t="str">
            <v>1992q4</v>
          </cell>
          <cell r="AV6" t="str">
            <v>1993q1</v>
          </cell>
          <cell r="AW6" t="str">
            <v>1993q2</v>
          </cell>
          <cell r="AX6" t="str">
            <v>1993q3</v>
          </cell>
          <cell r="AY6" t="str">
            <v>1993q4</v>
          </cell>
          <cell r="AZ6" t="str">
            <v>1994q1</v>
          </cell>
          <cell r="BA6" t="str">
            <v>1994q2</v>
          </cell>
          <cell r="BB6" t="str">
            <v>1994q3</v>
          </cell>
          <cell r="BC6" t="str">
            <v>1994q4</v>
          </cell>
          <cell r="BD6" t="str">
            <v>1995q1</v>
          </cell>
          <cell r="BE6" t="str">
            <v>1995q2</v>
          </cell>
          <cell r="BF6" t="str">
            <v>1995q3</v>
          </cell>
          <cell r="BG6" t="str">
            <v>1995q4</v>
          </cell>
          <cell r="BH6" t="str">
            <v>1996q1</v>
          </cell>
          <cell r="BI6" t="str">
            <v>1996q2</v>
          </cell>
          <cell r="BJ6" t="str">
            <v>1996q3</v>
          </cell>
          <cell r="BK6" t="str">
            <v>1996q4</v>
          </cell>
          <cell r="BL6" t="str">
            <v>1997q1</v>
          </cell>
          <cell r="BM6" t="str">
            <v>1997q2</v>
          </cell>
          <cell r="BN6" t="str">
            <v>1997q3</v>
          </cell>
          <cell r="BO6" t="str">
            <v>1997q4</v>
          </cell>
          <cell r="BP6" t="str">
            <v>1998q1</v>
          </cell>
          <cell r="BQ6" t="str">
            <v>1998q2</v>
          </cell>
          <cell r="BR6" t="str">
            <v>1998q3</v>
          </cell>
          <cell r="BS6" t="str">
            <v>1998q4</v>
          </cell>
          <cell r="BT6" t="str">
            <v>1999q1</v>
          </cell>
          <cell r="BU6" t="str">
            <v>1999q2</v>
          </cell>
          <cell r="BV6" t="str">
            <v>1999q3</v>
          </cell>
          <cell r="BW6" t="str">
            <v>1999q4</v>
          </cell>
          <cell r="BX6" t="str">
            <v>2000q1</v>
          </cell>
          <cell r="BY6" t="str">
            <v>2000q2</v>
          </cell>
          <cell r="BZ6" t="str">
            <v>2000q3</v>
          </cell>
          <cell r="CA6" t="str">
            <v>2000q4</v>
          </cell>
          <cell r="CB6" t="str">
            <v>2001q1</v>
          </cell>
          <cell r="CC6" t="str">
            <v>2001q2</v>
          </cell>
          <cell r="CD6" t="str">
            <v>2001q3</v>
          </cell>
          <cell r="CE6" t="str">
            <v>2001q4</v>
          </cell>
          <cell r="CF6" t="str">
            <v>2002q1</v>
          </cell>
          <cell r="CG6" t="str">
            <v>2002q2</v>
          </cell>
          <cell r="CH6" t="str">
            <v>2002q3</v>
          </cell>
          <cell r="CI6" t="str">
            <v>2002q4</v>
          </cell>
          <cell r="CJ6" t="str">
            <v>2003q1</v>
          </cell>
          <cell r="CK6" t="str">
            <v>2003q2</v>
          </cell>
          <cell r="CL6" t="str">
            <v>2003q3</v>
          </cell>
          <cell r="CM6" t="str">
            <v>2003q4</v>
          </cell>
          <cell r="CN6" t="str">
            <v>2004q1</v>
          </cell>
          <cell r="CO6" t="str">
            <v>2004q2</v>
          </cell>
          <cell r="CP6" t="str">
            <v>2004q3</v>
          </cell>
          <cell r="CQ6" t="str">
            <v>2004q4</v>
          </cell>
          <cell r="CR6" t="str">
            <v>2005q1</v>
          </cell>
          <cell r="CS6" t="str">
            <v>2005q2</v>
          </cell>
          <cell r="CT6" t="str">
            <v>2005q3</v>
          </cell>
          <cell r="CU6" t="str">
            <v>2005q4</v>
          </cell>
          <cell r="CV6" t="str">
            <v>2006q1</v>
          </cell>
          <cell r="CW6" t="str">
            <v>2006q2</v>
          </cell>
          <cell r="CX6" t="str">
            <v>2006q3</v>
          </cell>
          <cell r="CY6" t="str">
            <v>2006q4</v>
          </cell>
          <cell r="CZ6" t="str">
            <v>2007q1</v>
          </cell>
          <cell r="DA6" t="str">
            <v>2007q2</v>
          </cell>
          <cell r="DB6" t="str">
            <v>2007q3</v>
          </cell>
          <cell r="DC6" t="str">
            <v>2007q4</v>
          </cell>
          <cell r="DD6" t="str">
            <v>2008q1</v>
          </cell>
          <cell r="DE6" t="str">
            <v>2008q2</v>
          </cell>
          <cell r="DF6" t="str">
            <v>2008q3</v>
          </cell>
          <cell r="DG6" t="str">
            <v>2008q4</v>
          </cell>
          <cell r="DH6" t="str">
            <v>2009q1</v>
          </cell>
          <cell r="DI6" t="str">
            <v>2009q2</v>
          </cell>
          <cell r="DJ6" t="str">
            <v>2009q3</v>
          </cell>
          <cell r="DK6" t="str">
            <v>2009q4</v>
          </cell>
          <cell r="DL6" t="str">
            <v>2010q1</v>
          </cell>
          <cell r="DM6" t="str">
            <v>2010q2</v>
          </cell>
          <cell r="DN6" t="str">
            <v>2010q3</v>
          </cell>
          <cell r="DO6" t="str">
            <v>2010q4</v>
          </cell>
          <cell r="DP6" t="str">
            <v>2011q1</v>
          </cell>
          <cell r="DQ6" t="str">
            <v>2011q2</v>
          </cell>
          <cell r="DR6" t="str">
            <v>2011q3</v>
          </cell>
          <cell r="DS6" t="str">
            <v>2011q4</v>
          </cell>
          <cell r="DT6" t="str">
            <v>2012q1</v>
          </cell>
          <cell r="DU6" t="str">
            <v>2012q2</v>
          </cell>
          <cell r="DV6" t="str">
            <v>2012q3</v>
          </cell>
          <cell r="DW6" t="str">
            <v>2012q4</v>
          </cell>
          <cell r="DX6" t="str">
            <v>2013q1</v>
          </cell>
          <cell r="DY6" t="str">
            <v>2013q2</v>
          </cell>
          <cell r="DZ6" t="str">
            <v>2013q3</v>
          </cell>
          <cell r="EA6" t="str">
            <v>2013q4</v>
          </cell>
          <cell r="EB6" t="str">
            <v>2014q1</v>
          </cell>
          <cell r="EC6" t="str">
            <v>2014q2e</v>
          </cell>
          <cell r="ED6" t="str">
            <v>2014q3e</v>
          </cell>
          <cell r="EE6" t="str">
            <v>2014q4e</v>
          </cell>
          <cell r="EG6" t="str">
            <v>2010q1e</v>
          </cell>
        </row>
        <row r="8">
          <cell r="A8" t="str">
            <v>In US$ millions (except per share data)</v>
          </cell>
          <cell r="C8">
            <v>1990</v>
          </cell>
          <cell r="D8">
            <v>1991</v>
          </cell>
          <cell r="E8">
            <v>1992</v>
          </cell>
          <cell r="F8">
            <v>1993</v>
          </cell>
          <cell r="G8">
            <v>1994</v>
          </cell>
          <cell r="H8">
            <v>1995</v>
          </cell>
          <cell r="I8">
            <v>1996</v>
          </cell>
          <cell r="J8">
            <v>1997</v>
          </cell>
          <cell r="K8">
            <v>1998</v>
          </cell>
          <cell r="L8">
            <v>1999</v>
          </cell>
          <cell r="M8">
            <v>2000</v>
          </cell>
          <cell r="N8">
            <v>2001</v>
          </cell>
          <cell r="O8">
            <v>2002</v>
          </cell>
          <cell r="P8">
            <v>2003</v>
          </cell>
          <cell r="Q8">
            <v>2004</v>
          </cell>
          <cell r="R8">
            <v>2005</v>
          </cell>
          <cell r="S8">
            <v>2006</v>
          </cell>
          <cell r="T8">
            <v>2007</v>
          </cell>
          <cell r="U8">
            <v>2008</v>
          </cell>
          <cell r="V8" t="str">
            <v>2009</v>
          </cell>
          <cell r="W8" t="str">
            <v>2010</v>
          </cell>
          <cell r="X8" t="str">
            <v>2011</v>
          </cell>
          <cell r="Y8" t="str">
            <v>2012e</v>
          </cell>
          <cell r="Z8" t="str">
            <v>2013e</v>
          </cell>
          <cell r="AA8" t="str">
            <v>2014e</v>
          </cell>
          <cell r="AB8" t="str">
            <v>2015e</v>
          </cell>
          <cell r="AC8" t="str">
            <v>2016e</v>
          </cell>
          <cell r="AD8" t="str">
            <v>2017e</v>
          </cell>
          <cell r="AE8" t="str">
            <v>2018e</v>
          </cell>
          <cell r="AF8" t="str">
            <v>2019e</v>
          </cell>
          <cell r="AG8" t="str">
            <v>2020e</v>
          </cell>
          <cell r="AJ8" t="str">
            <v>1990q1</v>
          </cell>
          <cell r="AK8" t="str">
            <v>1990q2</v>
          </cell>
          <cell r="AL8" t="str">
            <v>1990q3</v>
          </cell>
          <cell r="AM8" t="str">
            <v>1990q4</v>
          </cell>
          <cell r="AN8" t="str">
            <v>1991q1</v>
          </cell>
          <cell r="AO8" t="str">
            <v>1991q2</v>
          </cell>
          <cell r="AP8" t="str">
            <v>1991q3</v>
          </cell>
          <cell r="AQ8" t="str">
            <v>1991q4</v>
          </cell>
          <cell r="AR8" t="str">
            <v>1992q1</v>
          </cell>
          <cell r="AS8" t="str">
            <v>1992q2</v>
          </cell>
          <cell r="AT8" t="str">
            <v>1992q3</v>
          </cell>
          <cell r="AU8" t="str">
            <v>1992q4</v>
          </cell>
          <cell r="AV8" t="str">
            <v>1993q1</v>
          </cell>
          <cell r="AW8" t="str">
            <v>1993q2</v>
          </cell>
          <cell r="AX8" t="str">
            <v>1993q3</v>
          </cell>
          <cell r="AY8" t="str">
            <v>1993q4</v>
          </cell>
          <cell r="AZ8" t="str">
            <v>1994q1</v>
          </cell>
          <cell r="BA8" t="str">
            <v>1994q2</v>
          </cell>
          <cell r="BB8" t="str">
            <v>1994q3</v>
          </cell>
          <cell r="BC8" t="str">
            <v>1994q4</v>
          </cell>
          <cell r="BD8" t="str">
            <v>1995q1</v>
          </cell>
          <cell r="BE8" t="str">
            <v>1995q2</v>
          </cell>
          <cell r="BF8" t="str">
            <v>1995q3</v>
          </cell>
          <cell r="BG8" t="str">
            <v>1995q4</v>
          </cell>
          <cell r="BH8" t="str">
            <v>1996q1</v>
          </cell>
          <cell r="BI8" t="str">
            <v>1996q2</v>
          </cell>
          <cell r="BJ8" t="str">
            <v>1996q3</v>
          </cell>
          <cell r="BK8" t="str">
            <v>1996q4</v>
          </cell>
          <cell r="BL8" t="str">
            <v>1997q1</v>
          </cell>
          <cell r="BM8" t="str">
            <v>1997q2</v>
          </cell>
          <cell r="BN8" t="str">
            <v>1997q3</v>
          </cell>
          <cell r="BO8" t="str">
            <v>1997q4</v>
          </cell>
          <cell r="BP8" t="str">
            <v>1998q1</v>
          </cell>
          <cell r="BQ8" t="str">
            <v>1998q2</v>
          </cell>
          <cell r="BR8" t="str">
            <v>1998q3</v>
          </cell>
          <cell r="BS8" t="str">
            <v>1998q4</v>
          </cell>
          <cell r="BT8" t="str">
            <v>1999q1</v>
          </cell>
          <cell r="BU8" t="str">
            <v>1999q2</v>
          </cell>
          <cell r="BV8" t="str">
            <v>1999q3</v>
          </cell>
          <cell r="BW8" t="str">
            <v>1999q4</v>
          </cell>
          <cell r="BX8" t="str">
            <v>2000q1</v>
          </cell>
          <cell r="BY8" t="str">
            <v>2000q2</v>
          </cell>
          <cell r="BZ8" t="str">
            <v>2000q3</v>
          </cell>
          <cell r="CA8" t="str">
            <v>2000q4</v>
          </cell>
          <cell r="CB8" t="str">
            <v>2001q1</v>
          </cell>
          <cell r="CC8" t="str">
            <v>2001q2</v>
          </cell>
          <cell r="CD8" t="str">
            <v>2001q3</v>
          </cell>
          <cell r="CE8" t="str">
            <v>2001q4</v>
          </cell>
          <cell r="CF8" t="str">
            <v>2002q1</v>
          </cell>
          <cell r="CG8" t="str">
            <v>2002q2</v>
          </cell>
          <cell r="CH8" t="str">
            <v>2002q3</v>
          </cell>
          <cell r="CI8" t="str">
            <v>2002q4</v>
          </cell>
          <cell r="CJ8" t="str">
            <v>2003q1</v>
          </cell>
          <cell r="CK8" t="str">
            <v>2003q2</v>
          </cell>
          <cell r="CL8" t="str">
            <v>2003q3</v>
          </cell>
          <cell r="CM8" t="str">
            <v>2003q4</v>
          </cell>
          <cell r="CN8" t="str">
            <v>2004q1</v>
          </cell>
          <cell r="CO8" t="str">
            <v>2004q2</v>
          </cell>
          <cell r="CP8" t="str">
            <v>2004q3</v>
          </cell>
          <cell r="CQ8" t="str">
            <v>2004q4</v>
          </cell>
          <cell r="CR8" t="str">
            <v>2005q1</v>
          </cell>
          <cell r="CS8" t="str">
            <v>2005q2</v>
          </cell>
          <cell r="CT8" t="str">
            <v>2005q3</v>
          </cell>
          <cell r="CU8" t="str">
            <v>2005q4</v>
          </cell>
          <cell r="CV8" t="str">
            <v>2006q1</v>
          </cell>
          <cell r="CW8" t="str">
            <v>2006q2</v>
          </cell>
          <cell r="CX8" t="str">
            <v>2006q3</v>
          </cell>
          <cell r="CY8" t="str">
            <v>2006q4</v>
          </cell>
          <cell r="CZ8" t="str">
            <v>2007q1</v>
          </cell>
          <cell r="DA8" t="str">
            <v>2007q2</v>
          </cell>
          <cell r="DB8" t="str">
            <v>2007q3</v>
          </cell>
          <cell r="DC8" t="str">
            <v>2007q4</v>
          </cell>
          <cell r="DD8" t="str">
            <v>2008q1</v>
          </cell>
          <cell r="DE8" t="str">
            <v>2008q2</v>
          </cell>
          <cell r="DF8" t="str">
            <v>2008q3</v>
          </cell>
          <cell r="DG8" t="str">
            <v>2008q4</v>
          </cell>
          <cell r="DH8" t="str">
            <v>2009q1</v>
          </cell>
          <cell r="DI8" t="str">
            <v>2009q2</v>
          </cell>
          <cell r="DJ8" t="str">
            <v>2009q3</v>
          </cell>
          <cell r="DK8" t="str">
            <v>2009q4</v>
          </cell>
          <cell r="DL8" t="str">
            <v>2010q1</v>
          </cell>
          <cell r="DM8" t="str">
            <v>2010q2</v>
          </cell>
          <cell r="DN8" t="str">
            <v>2010q3</v>
          </cell>
          <cell r="DO8" t="str">
            <v>2010q4</v>
          </cell>
          <cell r="DP8" t="str">
            <v>2011q1</v>
          </cell>
          <cell r="DQ8" t="str">
            <v>2011q2</v>
          </cell>
          <cell r="DR8" t="str">
            <v>2011q3</v>
          </cell>
          <cell r="DS8" t="str">
            <v>2011q4</v>
          </cell>
          <cell r="DT8" t="str">
            <v>2012q1</v>
          </cell>
          <cell r="DU8" t="str">
            <v>2012q2</v>
          </cell>
          <cell r="DV8" t="str">
            <v>2012q3</v>
          </cell>
          <cell r="DW8" t="str">
            <v>2012q4</v>
          </cell>
          <cell r="DX8" t="str">
            <v>2013q1</v>
          </cell>
          <cell r="DY8" t="str">
            <v>2013q2</v>
          </cell>
          <cell r="DZ8" t="str">
            <v>2013q3</v>
          </cell>
          <cell r="EA8" t="str">
            <v>2013q4</v>
          </cell>
          <cell r="EB8" t="str">
            <v>2014q1</v>
          </cell>
          <cell r="EC8" t="str">
            <v>2014q2e</v>
          </cell>
          <cell r="ED8" t="str">
            <v>2014q3e</v>
          </cell>
          <cell r="EE8" t="str">
            <v>2014q4e</v>
          </cell>
          <cell r="EG8" t="str">
            <v>2010e</v>
          </cell>
        </row>
        <row r="10">
          <cell r="A10" t="str">
            <v>Olefins and Polyolefins, Americas</v>
          </cell>
          <cell r="C10">
            <v>1990</v>
          </cell>
          <cell r="D10">
            <v>1991</v>
          </cell>
          <cell r="E10">
            <v>1992</v>
          </cell>
          <cell r="F10">
            <v>1993</v>
          </cell>
          <cell r="G10">
            <v>1994</v>
          </cell>
          <cell r="H10">
            <v>1995</v>
          </cell>
          <cell r="I10">
            <v>1996</v>
          </cell>
          <cell r="J10">
            <v>1997</v>
          </cell>
          <cell r="K10">
            <v>1998</v>
          </cell>
          <cell r="L10">
            <v>1999</v>
          </cell>
          <cell r="M10">
            <v>2000</v>
          </cell>
          <cell r="N10">
            <v>2001</v>
          </cell>
          <cell r="O10">
            <v>2002</v>
          </cell>
          <cell r="P10">
            <v>2003</v>
          </cell>
          <cell r="Q10">
            <v>2004</v>
          </cell>
          <cell r="R10">
            <v>2005</v>
          </cell>
          <cell r="S10">
            <v>2006</v>
          </cell>
          <cell r="T10">
            <v>2007</v>
          </cell>
          <cell r="U10">
            <v>2008</v>
          </cell>
          <cell r="V10" t="str">
            <v>2009</v>
          </cell>
          <cell r="W10" t="str">
            <v>2010</v>
          </cell>
          <cell r="X10" t="str">
            <v>2011</v>
          </cell>
          <cell r="Y10" t="str">
            <v>2012e</v>
          </cell>
          <cell r="Z10" t="str">
            <v>2013e</v>
          </cell>
          <cell r="AA10" t="str">
            <v>2014e</v>
          </cell>
          <cell r="AB10" t="str">
            <v>2015e</v>
          </cell>
          <cell r="AC10" t="str">
            <v>2016e</v>
          </cell>
          <cell r="AD10" t="str">
            <v>2017e</v>
          </cell>
          <cell r="AE10" t="str">
            <v>2018e</v>
          </cell>
          <cell r="AF10" t="str">
            <v>2019e</v>
          </cell>
          <cell r="AG10" t="str">
            <v>2020e</v>
          </cell>
          <cell r="AJ10" t="str">
            <v>1990q1</v>
          </cell>
          <cell r="AK10" t="str">
            <v>1990q2</v>
          </cell>
          <cell r="AL10" t="str">
            <v>1990q3</v>
          </cell>
          <cell r="AM10" t="str">
            <v>1990q4</v>
          </cell>
          <cell r="AN10" t="str">
            <v>1991q1</v>
          </cell>
          <cell r="AO10" t="str">
            <v>1991q2</v>
          </cell>
          <cell r="AP10" t="str">
            <v>1991q3</v>
          </cell>
          <cell r="AQ10" t="str">
            <v>1991q4</v>
          </cell>
          <cell r="AR10" t="str">
            <v>1992q1</v>
          </cell>
          <cell r="AS10" t="str">
            <v>1992q2</v>
          </cell>
          <cell r="AT10" t="str">
            <v>1992q3</v>
          </cell>
          <cell r="AU10" t="str">
            <v>1992q4</v>
          </cell>
          <cell r="AV10" t="str">
            <v>1993q1</v>
          </cell>
          <cell r="AW10" t="str">
            <v>1993q2</v>
          </cell>
          <cell r="AX10" t="str">
            <v>1993q3</v>
          </cell>
          <cell r="AY10" t="str">
            <v>1993q4</v>
          </cell>
          <cell r="AZ10" t="str">
            <v>1994q1</v>
          </cell>
          <cell r="BA10" t="str">
            <v>1994q2</v>
          </cell>
          <cell r="BB10" t="str">
            <v>1994q3</v>
          </cell>
          <cell r="BC10" t="str">
            <v>1994q4</v>
          </cell>
          <cell r="BD10" t="str">
            <v>1995q1</v>
          </cell>
          <cell r="BE10" t="str">
            <v>1995q2</v>
          </cell>
          <cell r="BF10" t="str">
            <v>1995q3</v>
          </cell>
          <cell r="BG10" t="str">
            <v>1995q4</v>
          </cell>
          <cell r="BH10" t="str">
            <v>1996q1</v>
          </cell>
          <cell r="BI10" t="str">
            <v>1996q2</v>
          </cell>
          <cell r="BJ10" t="str">
            <v>1996q3</v>
          </cell>
          <cell r="BK10" t="str">
            <v>1996q4</v>
          </cell>
          <cell r="BL10" t="str">
            <v>1997q1</v>
          </cell>
          <cell r="BM10" t="str">
            <v>1997q2</v>
          </cell>
          <cell r="BN10" t="str">
            <v>1997q3</v>
          </cell>
          <cell r="BO10" t="str">
            <v>1997q4</v>
          </cell>
          <cell r="BP10" t="str">
            <v>1998q1</v>
          </cell>
          <cell r="BQ10" t="str">
            <v>1998q2</v>
          </cell>
          <cell r="BR10" t="str">
            <v>1998q3</v>
          </cell>
          <cell r="BS10" t="str">
            <v>1998q4</v>
          </cell>
          <cell r="BT10" t="str">
            <v>1999q1</v>
          </cell>
          <cell r="BU10" t="str">
            <v>1999q2</v>
          </cell>
          <cell r="BV10" t="str">
            <v>1999q3</v>
          </cell>
          <cell r="BW10" t="str">
            <v>1999q4</v>
          </cell>
          <cell r="BX10" t="str">
            <v>2000q1</v>
          </cell>
          <cell r="BY10" t="str">
            <v>2000q2</v>
          </cell>
          <cell r="BZ10" t="str">
            <v>2000q3</v>
          </cell>
          <cell r="CA10" t="str">
            <v>2000q4</v>
          </cell>
          <cell r="CB10" t="str">
            <v>2001q1</v>
          </cell>
          <cell r="CC10" t="str">
            <v>2001q2</v>
          </cell>
          <cell r="CD10" t="str">
            <v>2001q3</v>
          </cell>
          <cell r="CE10" t="str">
            <v>2001q4</v>
          </cell>
          <cell r="CF10" t="str">
            <v>2002q1</v>
          </cell>
          <cell r="CG10" t="str">
            <v>2002q2</v>
          </cell>
          <cell r="CH10" t="str">
            <v>2002q3</v>
          </cell>
          <cell r="CI10" t="str">
            <v>2002q4</v>
          </cell>
          <cell r="CJ10" t="str">
            <v>2003q1</v>
          </cell>
          <cell r="CK10" t="str">
            <v>2003q2</v>
          </cell>
          <cell r="CL10" t="str">
            <v>2003q3</v>
          </cell>
          <cell r="CM10" t="str">
            <v>2003q4</v>
          </cell>
          <cell r="CN10" t="str">
            <v>2004q1</v>
          </cell>
          <cell r="CO10" t="str">
            <v>2004q2</v>
          </cell>
          <cell r="CP10" t="str">
            <v>2004q3</v>
          </cell>
          <cell r="CQ10" t="str">
            <v>2004q4</v>
          </cell>
          <cell r="CR10" t="str">
            <v>2005q1</v>
          </cell>
          <cell r="CS10" t="str">
            <v>2005q2</v>
          </cell>
          <cell r="CT10" t="str">
            <v>2005q3</v>
          </cell>
          <cell r="CU10" t="str">
            <v>2005q4</v>
          </cell>
          <cell r="CV10" t="str">
            <v>2006q1</v>
          </cell>
          <cell r="CW10" t="str">
            <v>2006q2</v>
          </cell>
          <cell r="CX10" t="str">
            <v>2006q3</v>
          </cell>
          <cell r="CY10" t="str">
            <v>2006q4</v>
          </cell>
          <cell r="CZ10" t="str">
            <v>2007q1</v>
          </cell>
          <cell r="DA10" t="str">
            <v>2007q2</v>
          </cell>
          <cell r="DB10" t="str">
            <v>2007q3</v>
          </cell>
          <cell r="DC10" t="str">
            <v>2007q4</v>
          </cell>
          <cell r="DD10" t="str">
            <v>2008q1</v>
          </cell>
          <cell r="DE10" t="str">
            <v>2008q2</v>
          </cell>
          <cell r="DF10" t="str">
            <v>2008q3</v>
          </cell>
          <cell r="DG10" t="str">
            <v>2008q4</v>
          </cell>
          <cell r="DH10" t="str">
            <v>2009q1</v>
          </cell>
          <cell r="DI10" t="str">
            <v>2009q2</v>
          </cell>
          <cell r="DJ10" t="str">
            <v>2009q3</v>
          </cell>
          <cell r="DK10" t="str">
            <v>2009q4</v>
          </cell>
          <cell r="DL10" t="str">
            <v>2010q1</v>
          </cell>
          <cell r="DM10" t="str">
            <v>2010q2</v>
          </cell>
          <cell r="DN10" t="str">
            <v>2010q3</v>
          </cell>
          <cell r="DO10" t="str">
            <v>2010q4</v>
          </cell>
          <cell r="DP10" t="str">
            <v>2011q1</v>
          </cell>
          <cell r="DQ10" t="str">
            <v>2011q2</v>
          </cell>
          <cell r="DR10" t="str">
            <v>2011q3</v>
          </cell>
          <cell r="DS10" t="str">
            <v>2011q4</v>
          </cell>
          <cell r="DT10" t="str">
            <v>2012q1</v>
          </cell>
          <cell r="DU10" t="str">
            <v>2012q2</v>
          </cell>
          <cell r="DV10" t="str">
            <v>2012q3</v>
          </cell>
          <cell r="DW10" t="str">
            <v>2012q4</v>
          </cell>
          <cell r="DX10" t="str">
            <v>2013q1</v>
          </cell>
          <cell r="DY10" t="str">
            <v>2013q2</v>
          </cell>
          <cell r="DZ10" t="str">
            <v>2013q3</v>
          </cell>
          <cell r="EA10" t="str">
            <v>2013q4</v>
          </cell>
          <cell r="EB10" t="str">
            <v>2014q1</v>
          </cell>
          <cell r="EC10" t="str">
            <v>2014q2e</v>
          </cell>
          <cell r="ED10" t="str">
            <v>2014q3e</v>
          </cell>
          <cell r="EE10" t="str">
            <v>2014q4e</v>
          </cell>
        </row>
        <row r="12">
          <cell r="A12" t="str">
            <v>Change in EBITDA ($mm)</v>
          </cell>
          <cell r="B12">
            <v>0</v>
          </cell>
          <cell r="Z12">
            <v>644.46173802077396</v>
          </cell>
          <cell r="AA12">
            <v>138.69341906435264</v>
          </cell>
          <cell r="AB12">
            <v>-395.93740435418022</v>
          </cell>
          <cell r="AC12">
            <v>-249.63938049369352</v>
          </cell>
          <cell r="AD12">
            <v>-171.97997911067182</v>
          </cell>
          <cell r="AE12">
            <v>-308.54453121394346</v>
          </cell>
          <cell r="AF12">
            <v>-1739.6848022204481</v>
          </cell>
          <cell r="AG12">
            <v>-233.82370284133421</v>
          </cell>
          <cell r="DL12">
            <v>204.48369132147818</v>
          </cell>
          <cell r="DM12">
            <v>150.01986841515432</v>
          </cell>
          <cell r="DN12">
            <v>-155.82703344444442</v>
          </cell>
          <cell r="DO12">
            <v>26.682441213248708</v>
          </cell>
          <cell r="DP12">
            <v>41.360163932244255</v>
          </cell>
          <cell r="DQ12">
            <v>131.97977588341905</v>
          </cell>
          <cell r="DR12">
            <v>-76.110881449485717</v>
          </cell>
          <cell r="DS12">
            <v>-208.71275864788777</v>
          </cell>
          <cell r="DT12">
            <v>378.95977877643099</v>
          </cell>
          <cell r="DU12">
            <v>110.96790378414997</v>
          </cell>
          <cell r="DV12">
            <v>-98.966584659146534</v>
          </cell>
          <cell r="DW12">
            <v>13.04240115928353</v>
          </cell>
          <cell r="DX12">
            <v>160.06618485856305</v>
          </cell>
          <cell r="DY12">
            <v>-9.8213028790602159</v>
          </cell>
          <cell r="DZ12">
            <v>10.157376471580548</v>
          </cell>
          <cell r="EA12">
            <v>45.59756341499007</v>
          </cell>
          <cell r="EB12">
            <v>6.404576747457706</v>
          </cell>
          <cell r="EC12">
            <v>27.289666788880425</v>
          </cell>
          <cell r="ED12">
            <v>-46.591103139262685</v>
          </cell>
          <cell r="EE12">
            <v>-19.675209585020696</v>
          </cell>
        </row>
        <row r="13">
          <cell r="EG13" t="str">
            <v xml:space="preserve"> </v>
          </cell>
        </row>
        <row r="14">
          <cell r="A14" t="str">
            <v>Base Case</v>
          </cell>
          <cell r="EB14" t="str">
            <v xml:space="preserve"> </v>
          </cell>
          <cell r="EF14" t="str">
            <v xml:space="preserve"> </v>
          </cell>
        </row>
        <row r="15">
          <cell r="A15" t="str">
            <v>Natural gas - dollars / mmbtu</v>
          </cell>
          <cell r="O15">
            <v>3.3560000000000003</v>
          </cell>
          <cell r="P15">
            <v>5.4947500000000007</v>
          </cell>
          <cell r="Q15">
            <v>6.1800000000000006</v>
          </cell>
          <cell r="R15">
            <v>9.01525</v>
          </cell>
          <cell r="S15">
            <v>6.98</v>
          </cell>
          <cell r="T15">
            <v>7.11775</v>
          </cell>
          <cell r="U15">
            <v>8.8970000000000002</v>
          </cell>
          <cell r="V15">
            <v>3.7850000000000001</v>
          </cell>
          <cell r="W15">
            <v>4.41</v>
          </cell>
          <cell r="X15">
            <v>4.140833333333334</v>
          </cell>
          <cell r="Y15">
            <v>2.9391769230769231</v>
          </cell>
          <cell r="Z15">
            <v>3.8289242424242418</v>
          </cell>
          <cell r="AA15">
            <v>3.8250000000000002</v>
          </cell>
          <cell r="AB15">
            <v>4.0999999999999996</v>
          </cell>
          <cell r="AC15">
            <v>4.3</v>
          </cell>
          <cell r="AD15">
            <v>4.45</v>
          </cell>
          <cell r="AE15">
            <v>4.6500000000000004</v>
          </cell>
          <cell r="AF15">
            <v>4.9000000000000004</v>
          </cell>
          <cell r="AG15">
            <v>5.2</v>
          </cell>
          <cell r="CF15">
            <v>2.4900000000000002</v>
          </cell>
          <cell r="CG15">
            <v>3.4159999999999999</v>
          </cell>
          <cell r="CH15">
            <v>3.194</v>
          </cell>
          <cell r="CI15">
            <v>4.3239999999999998</v>
          </cell>
          <cell r="CJ15">
            <v>5.9180000000000001</v>
          </cell>
          <cell r="CK15">
            <v>5.7370000000000001</v>
          </cell>
          <cell r="CL15">
            <v>4.8959999999999999</v>
          </cell>
          <cell r="CM15">
            <v>5.4279999999999999</v>
          </cell>
          <cell r="CN15">
            <v>5.7140000000000004</v>
          </cell>
          <cell r="CO15">
            <v>6.1619999999999999</v>
          </cell>
          <cell r="CP15">
            <v>5.58</v>
          </cell>
          <cell r="CQ15">
            <v>7.2640000000000002</v>
          </cell>
          <cell r="CR15">
            <v>6.5010000000000003</v>
          </cell>
          <cell r="CS15">
            <v>6.952</v>
          </cell>
          <cell r="CT15">
            <v>9.7309999999999999</v>
          </cell>
          <cell r="CU15">
            <v>12.877000000000001</v>
          </cell>
          <cell r="CV15">
            <v>7.8410000000000002</v>
          </cell>
          <cell r="CW15">
            <v>6.6459999999999999</v>
          </cell>
          <cell r="CX15">
            <v>6.1820000000000004</v>
          </cell>
          <cell r="CY15">
            <v>7.2510000000000003</v>
          </cell>
          <cell r="CZ15">
            <v>7.1840000000000002</v>
          </cell>
          <cell r="DA15">
            <v>7.6550000000000002</v>
          </cell>
          <cell r="DB15">
            <v>6.24</v>
          </cell>
          <cell r="DC15">
            <v>7.3920000000000003</v>
          </cell>
          <cell r="DD15">
            <v>8.74</v>
          </cell>
          <cell r="DE15">
            <v>11.465999999999999</v>
          </cell>
          <cell r="DF15">
            <v>8.9849999999999994</v>
          </cell>
          <cell r="DG15">
            <v>6.3970000000000002</v>
          </cell>
          <cell r="DH15">
            <v>4.22</v>
          </cell>
          <cell r="DI15">
            <v>3.44</v>
          </cell>
          <cell r="DJ15">
            <v>3.32</v>
          </cell>
          <cell r="DK15">
            <v>4.16</v>
          </cell>
          <cell r="DL15">
            <v>5.36</v>
          </cell>
          <cell r="DM15">
            <v>4.04</v>
          </cell>
          <cell r="DN15">
            <v>4.42</v>
          </cell>
          <cell r="DO15">
            <v>3.82</v>
          </cell>
          <cell r="DP15">
            <v>4.1900000000000004</v>
          </cell>
          <cell r="DQ15">
            <v>4.43</v>
          </cell>
          <cell r="DR15">
            <v>4.3</v>
          </cell>
          <cell r="DS15">
            <v>3.6433333333333331</v>
          </cell>
          <cell r="DT15">
            <v>2.86</v>
          </cell>
          <cell r="DU15">
            <v>2.33</v>
          </cell>
          <cell r="DV15">
            <v>3.0767076923076924</v>
          </cell>
          <cell r="DW15">
            <v>3.49</v>
          </cell>
          <cell r="DX15">
            <v>3.4533333333333331</v>
          </cell>
          <cell r="DY15">
            <v>4.2166666666666659</v>
          </cell>
          <cell r="DZ15">
            <v>3.6833333333333336</v>
          </cell>
          <cell r="EA15">
            <v>3.9623636363636359</v>
          </cell>
          <cell r="EB15">
            <v>4.43</v>
          </cell>
          <cell r="EC15">
            <v>4.42</v>
          </cell>
          <cell r="ED15">
            <v>4.45</v>
          </cell>
          <cell r="EE15">
            <v>4.49</v>
          </cell>
        </row>
        <row r="16">
          <cell r="A16" t="str">
            <v>gas implied ethane floor</v>
          </cell>
          <cell r="W16">
            <v>0.29282400000000003</v>
          </cell>
          <cell r="X16">
            <v>0.27495133333333338</v>
          </cell>
          <cell r="Y16">
            <v>0.1951613476923077</v>
          </cell>
          <cell r="Z16">
            <v>0.25424056969696968</v>
          </cell>
          <cell r="AA16">
            <v>0.25398000000000004</v>
          </cell>
          <cell r="AB16">
            <v>0.27223999999999998</v>
          </cell>
          <cell r="AC16">
            <v>0.28552</v>
          </cell>
          <cell r="AD16">
            <v>0.29548000000000002</v>
          </cell>
          <cell r="AE16">
            <v>0.30876000000000003</v>
          </cell>
          <cell r="AF16">
            <v>0.32536000000000004</v>
          </cell>
          <cell r="AG16">
            <v>0.34528000000000003</v>
          </cell>
          <cell r="CF16">
            <v>0.16533600000000001</v>
          </cell>
          <cell r="CG16">
            <v>0.22682240000000001</v>
          </cell>
          <cell r="CH16">
            <v>0.21208160000000001</v>
          </cell>
          <cell r="CI16">
            <v>0.28711359999999997</v>
          </cell>
          <cell r="CJ16">
            <v>0.3929552</v>
          </cell>
          <cell r="CK16">
            <v>0.38093680000000002</v>
          </cell>
          <cell r="CL16">
            <v>0.32509440000000001</v>
          </cell>
          <cell r="CM16">
            <v>0.3604192</v>
          </cell>
          <cell r="CN16">
            <v>0.37940960000000001</v>
          </cell>
          <cell r="CO16">
            <v>0.40915679999999999</v>
          </cell>
          <cell r="CP16">
            <v>0.37051200000000001</v>
          </cell>
          <cell r="CQ16">
            <v>0.48232960000000002</v>
          </cell>
          <cell r="CR16">
            <v>0.43166640000000001</v>
          </cell>
          <cell r="CS16">
            <v>0.46161279999999999</v>
          </cell>
          <cell r="CT16">
            <v>0.6461384</v>
          </cell>
          <cell r="CU16">
            <v>0.85503280000000004</v>
          </cell>
          <cell r="CV16">
            <v>0.52064240000000006</v>
          </cell>
          <cell r="CW16">
            <v>0.44129439999999998</v>
          </cell>
          <cell r="CX16">
            <v>0.41048480000000004</v>
          </cell>
          <cell r="CY16">
            <v>0.48146640000000002</v>
          </cell>
          <cell r="CZ16">
            <v>0.47701760000000004</v>
          </cell>
          <cell r="DA16">
            <v>0.50829200000000008</v>
          </cell>
          <cell r="DB16">
            <v>0.41433600000000004</v>
          </cell>
          <cell r="DC16">
            <v>0.49082880000000001</v>
          </cell>
          <cell r="DD16">
            <v>0.58033600000000007</v>
          </cell>
          <cell r="DE16">
            <v>0.76134239999999997</v>
          </cell>
          <cell r="DF16">
            <v>0.59660400000000002</v>
          </cell>
          <cell r="DG16">
            <v>0.42476079999999999</v>
          </cell>
          <cell r="DH16">
            <v>0.28020800000000001</v>
          </cell>
          <cell r="DI16">
            <v>0.22841600000000001</v>
          </cell>
          <cell r="DJ16">
            <v>0.22044800000000001</v>
          </cell>
          <cell r="DK16">
            <v>0.27622400000000003</v>
          </cell>
          <cell r="DL16">
            <v>0.355904</v>
          </cell>
          <cell r="DM16">
            <v>0.26825599999999999</v>
          </cell>
          <cell r="DN16">
            <v>0.29348799999999997</v>
          </cell>
          <cell r="DO16">
            <v>0.25364799999999998</v>
          </cell>
          <cell r="DP16">
            <v>0.27821600000000002</v>
          </cell>
          <cell r="DQ16">
            <v>0.29415199999999997</v>
          </cell>
          <cell r="DR16">
            <v>0.28552</v>
          </cell>
          <cell r="DS16">
            <v>0.24191733333333332</v>
          </cell>
          <cell r="DT16">
            <v>0.18990399999999999</v>
          </cell>
          <cell r="DU16">
            <v>0.15471200000000002</v>
          </cell>
          <cell r="DV16">
            <v>0.20429339076923078</v>
          </cell>
          <cell r="DW16">
            <v>0.23173600000000003</v>
          </cell>
          <cell r="DX16">
            <v>0.22930133333333333</v>
          </cell>
          <cell r="DY16">
            <v>0.27998666666666661</v>
          </cell>
          <cell r="DZ16">
            <v>0.24457333333333336</v>
          </cell>
          <cell r="EA16">
            <v>0.26310094545454543</v>
          </cell>
          <cell r="EB16">
            <v>0.29415199999999997</v>
          </cell>
          <cell r="EC16">
            <v>0.29348799999999997</v>
          </cell>
          <cell r="ED16">
            <v>0.29548000000000002</v>
          </cell>
          <cell r="EE16">
            <v>0.29813600000000001</v>
          </cell>
        </row>
        <row r="17">
          <cell r="A17" t="str">
            <v>Implied ethane margin</v>
          </cell>
          <cell r="W17">
            <v>0.25377966666666657</v>
          </cell>
          <cell r="X17">
            <v>0.40542116666666644</v>
          </cell>
          <cell r="Y17">
            <v>0.14306684621794863</v>
          </cell>
          <cell r="Z17">
            <v>-5.321473329144801E-3</v>
          </cell>
          <cell r="AA17">
            <v>-7.105427357601002E-17</v>
          </cell>
          <cell r="AB17">
            <v>3.6249999999999963E-2</v>
          </cell>
          <cell r="AC17">
            <v>2.249999999999993E-2</v>
          </cell>
          <cell r="AD17">
            <v>2.249999999999993E-2</v>
          </cell>
          <cell r="AE17">
            <v>2.249999999999993E-2</v>
          </cell>
          <cell r="AF17">
            <v>0.35463999999999984</v>
          </cell>
          <cell r="AG17">
            <v>0.37471999999999978</v>
          </cell>
          <cell r="CF17">
            <v>4.9940666666666612E-2</v>
          </cell>
          <cell r="CG17">
            <v>3.5607599999999948E-2</v>
          </cell>
          <cell r="CH17">
            <v>4.5375066666666582E-2</v>
          </cell>
          <cell r="CI17">
            <v>2.2423066666666644E-2</v>
          </cell>
          <cell r="CJ17">
            <v>3.6371466666666595E-2</v>
          </cell>
          <cell r="CK17">
            <v>1.5789866666666583E-2</v>
          </cell>
          <cell r="CL17">
            <v>4.0372266666666622E-2</v>
          </cell>
          <cell r="CM17">
            <v>4.2480799999999944E-2</v>
          </cell>
          <cell r="CN17">
            <v>5.0183733333333154E-2</v>
          </cell>
          <cell r="CO17">
            <v>4.4146533333333196E-2</v>
          </cell>
          <cell r="CP17">
            <v>0.15222799999999992</v>
          </cell>
          <cell r="CQ17">
            <v>0.12033373333333315</v>
          </cell>
          <cell r="CR17">
            <v>9.0193599999999916E-2</v>
          </cell>
          <cell r="CS17">
            <v>6.1820533333333288E-2</v>
          </cell>
          <cell r="CT17">
            <v>4.13715999999998E-2</v>
          </cell>
          <cell r="CU17">
            <v>-9.2929466666666793E-2</v>
          </cell>
          <cell r="CV17">
            <v>4.9350933333333201E-2</v>
          </cell>
          <cell r="CW17">
            <v>0.23628559999999987</v>
          </cell>
          <cell r="CX17">
            <v>0.34730519999999993</v>
          </cell>
          <cell r="CY17">
            <v>0.13594026666666642</v>
          </cell>
          <cell r="CZ17">
            <v>0.11289906666666645</v>
          </cell>
          <cell r="DA17">
            <v>0.21455466666666645</v>
          </cell>
          <cell r="DB17">
            <v>0.40422066666666645</v>
          </cell>
          <cell r="DC17">
            <v>0.55311119999999991</v>
          </cell>
          <cell r="DD17">
            <v>0.40522324999999981</v>
          </cell>
          <cell r="DE17">
            <v>0.28269359999999977</v>
          </cell>
          <cell r="DF17">
            <v>0.4829097499999998</v>
          </cell>
          <cell r="DG17">
            <v>-4.880388333333336E-2</v>
          </cell>
          <cell r="DH17">
            <v>4.843533333333333E-2</v>
          </cell>
          <cell r="DI17">
            <v>0.16306999999999994</v>
          </cell>
          <cell r="DJ17">
            <v>0.20222841666666652</v>
          </cell>
          <cell r="DK17">
            <v>0.3497870833333333</v>
          </cell>
          <cell r="DL17">
            <v>0.33729808333333311</v>
          </cell>
          <cell r="DM17">
            <v>0.21495974999999984</v>
          </cell>
          <cell r="DN17">
            <v>0.13069383333333334</v>
          </cell>
          <cell r="DO17">
            <v>0.33216699999999988</v>
          </cell>
          <cell r="DP17">
            <v>0.32720399999999983</v>
          </cell>
          <cell r="DQ17">
            <v>0.41416049999999982</v>
          </cell>
          <cell r="DR17">
            <v>0.40716499999999989</v>
          </cell>
          <cell r="DS17">
            <v>0.47315516666666652</v>
          </cell>
          <cell r="DT17">
            <v>0.29577884615384603</v>
          </cell>
          <cell r="DU17">
            <v>0.16985166666666657</v>
          </cell>
          <cell r="DV17">
            <v>8.1492455384615317E-2</v>
          </cell>
          <cell r="DW17">
            <v>2.5144416666666627E-2</v>
          </cell>
          <cell r="DX17">
            <v>2.2955294270833305E-2</v>
          </cell>
          <cell r="DY17">
            <v>-2.4839730769230749E-2</v>
          </cell>
          <cell r="DZ17">
            <v>-7.182916666666728E-3</v>
          </cell>
          <cell r="EA17">
            <v>-1.2218540151515179E-2</v>
          </cell>
          <cell r="EB17">
            <v>1.7797999999999946E-2</v>
          </cell>
          <cell r="EC17">
            <v>-1.3750000000000071E-2</v>
          </cell>
          <cell r="ED17">
            <v>-1.3750000000000071E-2</v>
          </cell>
          <cell r="EE17">
            <v>-1.3750000000000071E-2</v>
          </cell>
        </row>
        <row r="18">
          <cell r="A18" t="str">
            <v>Ethane price, Mt Belvieu (c/gal)</v>
          </cell>
          <cell r="S18">
            <v>65.569249999999997</v>
          </cell>
          <cell r="T18">
            <v>79.381500000000003</v>
          </cell>
          <cell r="U18">
            <v>89.321583333333336</v>
          </cell>
          <cell r="V18">
            <v>48.078166666666661</v>
          </cell>
          <cell r="W18">
            <v>60.310333333333332</v>
          </cell>
          <cell r="X18">
            <v>76.675000000000011</v>
          </cell>
          <cell r="Y18">
            <v>39.837307692307697</v>
          </cell>
          <cell r="Z18">
            <v>26.009034090909093</v>
          </cell>
          <cell r="AA18">
            <v>25.398</v>
          </cell>
          <cell r="AB18">
            <v>32.223999999999997</v>
          </cell>
          <cell r="AC18">
            <v>33.552</v>
          </cell>
          <cell r="AD18">
            <v>34.548000000000002</v>
          </cell>
          <cell r="AE18">
            <v>35.876000000000005</v>
          </cell>
          <cell r="AF18">
            <v>68</v>
          </cell>
          <cell r="AG18">
            <v>72</v>
          </cell>
          <cell r="AJ18">
            <v>15.866</v>
          </cell>
          <cell r="AK18">
            <v>13.388333333333334</v>
          </cell>
          <cell r="AL18">
            <v>23.311666666666667</v>
          </cell>
          <cell r="AM18">
            <v>34.368333333333332</v>
          </cell>
          <cell r="AN18">
            <v>19.973333333333333</v>
          </cell>
          <cell r="AO18">
            <v>18.753666666666668</v>
          </cell>
          <cell r="AP18">
            <v>22.402666666666665</v>
          </cell>
          <cell r="AQ18">
            <v>28.138333333333332</v>
          </cell>
          <cell r="AR18">
            <v>19.947000000000003</v>
          </cell>
          <cell r="AS18">
            <v>22.820666666666664</v>
          </cell>
          <cell r="AT18">
            <v>27.376999999999999</v>
          </cell>
          <cell r="AU18">
            <v>24.420333333333332</v>
          </cell>
          <cell r="AV18">
            <v>24.724333333333334</v>
          </cell>
          <cell r="AW18">
            <v>23.468</v>
          </cell>
          <cell r="AX18">
            <v>20.138999999999999</v>
          </cell>
          <cell r="AY18">
            <v>17.842333333333332</v>
          </cell>
          <cell r="AZ18">
            <v>19.66</v>
          </cell>
          <cell r="BA18">
            <v>21.244333333333334</v>
          </cell>
          <cell r="BB18">
            <v>21.463666666666668</v>
          </cell>
          <cell r="BC18">
            <v>21.620333333333335</v>
          </cell>
          <cell r="BD18">
            <v>16.263000000000002</v>
          </cell>
          <cell r="BE18">
            <v>16.578333333333333</v>
          </cell>
          <cell r="BF18">
            <v>14.006</v>
          </cell>
          <cell r="BG18">
            <v>16.840999999999998</v>
          </cell>
          <cell r="BH18">
            <v>21.471666666666664</v>
          </cell>
          <cell r="BI18">
            <v>22.939666666666668</v>
          </cell>
          <cell r="BJ18">
            <v>27.179666666666662</v>
          </cell>
          <cell r="BK18">
            <v>34.865000000000002</v>
          </cell>
          <cell r="BL18">
            <v>25.371333333333336</v>
          </cell>
          <cell r="BM18">
            <v>19.895666666666667</v>
          </cell>
          <cell r="BN18">
            <v>22.167000000000002</v>
          </cell>
          <cell r="BO18">
            <v>23.135333333333335</v>
          </cell>
          <cell r="BP18">
            <v>21.032</v>
          </cell>
          <cell r="BQ18">
            <v>19.392666666666667</v>
          </cell>
          <cell r="BR18">
            <v>17.440666666666669</v>
          </cell>
          <cell r="BS18">
            <v>16.507999999999999</v>
          </cell>
          <cell r="BT18">
            <v>18.524999999999999</v>
          </cell>
          <cell r="BU18">
            <v>27.399333333333335</v>
          </cell>
          <cell r="BV18">
            <v>33.197000000000003</v>
          </cell>
          <cell r="BW18">
            <v>32.249000000000002</v>
          </cell>
          <cell r="BX18">
            <v>38.62766666666667</v>
          </cell>
          <cell r="BY18">
            <v>35.199000000000005</v>
          </cell>
          <cell r="BZ18">
            <v>39.053333333333335</v>
          </cell>
          <cell r="CA18">
            <v>47.384999999999998</v>
          </cell>
          <cell r="CB18">
            <v>48.8</v>
          </cell>
          <cell r="CC18">
            <v>36.815333333333335</v>
          </cell>
          <cell r="CD18">
            <v>26.639666666666667</v>
          </cell>
          <cell r="CE18">
            <v>21.629666666666665</v>
          </cell>
          <cell r="CF18">
            <v>21.527666666666665</v>
          </cell>
          <cell r="CG18">
            <v>26.242999999999999</v>
          </cell>
          <cell r="CH18">
            <v>25.745666666666665</v>
          </cell>
          <cell r="CI18">
            <v>30.953666666666667</v>
          </cell>
          <cell r="CJ18">
            <v>42.93266666666667</v>
          </cell>
          <cell r="CK18">
            <v>39.672666666666665</v>
          </cell>
          <cell r="CL18">
            <v>36.546666666666667</v>
          </cell>
          <cell r="CM18">
            <v>40.29</v>
          </cell>
          <cell r="CN18">
            <v>42.959333333333326</v>
          </cell>
          <cell r="CO18">
            <v>45.330333333333328</v>
          </cell>
          <cell r="CP18">
            <v>52.274000000000001</v>
          </cell>
          <cell r="CQ18">
            <v>60.266333333333328</v>
          </cell>
          <cell r="CR18">
            <v>52.186</v>
          </cell>
          <cell r="CS18">
            <v>52.343333333333334</v>
          </cell>
          <cell r="CT18">
            <v>68.750999999999991</v>
          </cell>
          <cell r="CU18">
            <v>76.210333333333338</v>
          </cell>
          <cell r="CV18">
            <v>56.999333333333333</v>
          </cell>
          <cell r="CW18">
            <v>67.757999999999996</v>
          </cell>
          <cell r="CX18">
            <v>75.779000000000011</v>
          </cell>
          <cell r="CY18">
            <v>61.740666666666662</v>
          </cell>
          <cell r="CZ18">
            <v>58.991666666666667</v>
          </cell>
          <cell r="DA18">
            <v>72.284666666666666</v>
          </cell>
          <cell r="DB18">
            <v>81.855666666666664</v>
          </cell>
          <cell r="DC18">
            <v>104.39400000000001</v>
          </cell>
          <cell r="DD18">
            <v>101.29300000000001</v>
          </cell>
          <cell r="DE18">
            <v>105.15599999999999</v>
          </cell>
          <cell r="DF18">
            <v>108.88500000000001</v>
          </cell>
          <cell r="DG18">
            <v>41.952333333333335</v>
          </cell>
          <cell r="DH18">
            <v>35.56666666666667</v>
          </cell>
          <cell r="DI18">
            <v>43.036000000000001</v>
          </cell>
          <cell r="DJ18">
            <v>47.334333333333326</v>
          </cell>
          <cell r="DK18">
            <v>66.375666666666675</v>
          </cell>
          <cell r="DL18">
            <v>73.401666666666657</v>
          </cell>
          <cell r="DM18">
            <v>54.686999999999991</v>
          </cell>
          <cell r="DN18">
            <v>48.152666666666669</v>
          </cell>
          <cell r="DO18">
            <v>65</v>
          </cell>
          <cell r="DP18">
            <v>65.58</v>
          </cell>
          <cell r="DQ18">
            <v>77.72</v>
          </cell>
          <cell r="DR18">
            <v>77.81</v>
          </cell>
          <cell r="DS18">
            <v>85.59</v>
          </cell>
          <cell r="DT18">
            <v>56.707692307692305</v>
          </cell>
          <cell r="DU18">
            <v>40.383333333333333</v>
          </cell>
          <cell r="DV18">
            <v>33.921538461538461</v>
          </cell>
          <cell r="DW18">
            <v>28.33666666666667</v>
          </cell>
          <cell r="DX18">
            <v>25.753333333333334</v>
          </cell>
          <cell r="DY18">
            <v>27.323333333333334</v>
          </cell>
          <cell r="DZ18">
            <v>24.743333333333336</v>
          </cell>
          <cell r="EA18">
            <v>26.216136363636362</v>
          </cell>
          <cell r="EB18">
            <v>34</v>
          </cell>
          <cell r="EC18">
            <v>29.348799999999997</v>
          </cell>
          <cell r="ED18">
            <v>29.548000000000002</v>
          </cell>
          <cell r="EE18">
            <v>29.813600000000001</v>
          </cell>
        </row>
        <row r="19">
          <cell r="A19" t="str">
            <v>Ethane price, Conway (c/gal)</v>
          </cell>
          <cell r="S19">
            <v>65.569249999999997</v>
          </cell>
          <cell r="T19">
            <v>79.381500000000003</v>
          </cell>
          <cell r="U19">
            <v>81.34</v>
          </cell>
          <cell r="V19">
            <v>34.049999999999997</v>
          </cell>
          <cell r="W19">
            <v>39.765000000000001</v>
          </cell>
          <cell r="X19">
            <v>45.265000000000001</v>
          </cell>
          <cell r="Y19">
            <v>17.966441142191144</v>
          </cell>
          <cell r="Z19">
            <v>21.94676334863054</v>
          </cell>
          <cell r="AA19">
            <v>25.398</v>
          </cell>
          <cell r="AB19">
            <v>27.223999999999997</v>
          </cell>
          <cell r="AC19">
            <v>23.552</v>
          </cell>
          <cell r="AD19">
            <v>24.548000000000002</v>
          </cell>
          <cell r="AE19">
            <v>25.876000000000005</v>
          </cell>
          <cell r="AF19">
            <v>68</v>
          </cell>
          <cell r="AG19">
            <v>72</v>
          </cell>
          <cell r="AJ19">
            <v>15.866</v>
          </cell>
          <cell r="AK19">
            <v>13.388333333333334</v>
          </cell>
          <cell r="AL19">
            <v>23.311666666666667</v>
          </cell>
          <cell r="AM19">
            <v>34.368333333333332</v>
          </cell>
          <cell r="AN19">
            <v>19.973333333333333</v>
          </cell>
          <cell r="AO19">
            <v>18.753666666666668</v>
          </cell>
          <cell r="AP19">
            <v>22.402666666666665</v>
          </cell>
          <cell r="AQ19">
            <v>28.138333333333332</v>
          </cell>
          <cell r="AR19">
            <v>19.947000000000003</v>
          </cell>
          <cell r="AS19">
            <v>22.820666666666664</v>
          </cell>
          <cell r="AT19">
            <v>27.376999999999999</v>
          </cell>
          <cell r="AU19">
            <v>24.420333333333332</v>
          </cell>
          <cell r="AV19">
            <v>24.724333333333334</v>
          </cell>
          <cell r="AW19">
            <v>23.468</v>
          </cell>
          <cell r="AX19">
            <v>20.138999999999999</v>
          </cell>
          <cell r="AY19">
            <v>17.842333333333332</v>
          </cell>
          <cell r="AZ19">
            <v>19.66</v>
          </cell>
          <cell r="BA19">
            <v>21.244333333333334</v>
          </cell>
          <cell r="BB19">
            <v>21.463666666666668</v>
          </cell>
          <cell r="BC19">
            <v>21.620333333333335</v>
          </cell>
          <cell r="BD19">
            <v>16.263000000000002</v>
          </cell>
          <cell r="BE19">
            <v>16.578333333333333</v>
          </cell>
          <cell r="BF19">
            <v>14.006</v>
          </cell>
          <cell r="BG19">
            <v>16.840999999999998</v>
          </cell>
          <cell r="BH19">
            <v>21.471666666666664</v>
          </cell>
          <cell r="BI19">
            <v>22.939666666666668</v>
          </cell>
          <cell r="BJ19">
            <v>27.179666666666662</v>
          </cell>
          <cell r="BK19">
            <v>34.865000000000002</v>
          </cell>
          <cell r="BL19">
            <v>25.371333333333336</v>
          </cell>
          <cell r="BM19">
            <v>19.895666666666667</v>
          </cell>
          <cell r="BN19">
            <v>22.167000000000002</v>
          </cell>
          <cell r="BO19">
            <v>23.135333333333335</v>
          </cell>
          <cell r="BP19">
            <v>21.032</v>
          </cell>
          <cell r="BQ19">
            <v>19.392666666666667</v>
          </cell>
          <cell r="BR19">
            <v>17.440666666666669</v>
          </cell>
          <cell r="BS19">
            <v>16.507999999999999</v>
          </cell>
          <cell r="BT19">
            <v>18.524999999999999</v>
          </cell>
          <cell r="BU19">
            <v>27.399333333333335</v>
          </cell>
          <cell r="BV19">
            <v>33.197000000000003</v>
          </cell>
          <cell r="BW19">
            <v>32.249000000000002</v>
          </cell>
          <cell r="BX19">
            <v>38.62766666666667</v>
          </cell>
          <cell r="BY19">
            <v>35.199000000000005</v>
          </cell>
          <cell r="BZ19">
            <v>39.053333333333335</v>
          </cell>
          <cell r="CA19">
            <v>47.384999999999998</v>
          </cell>
          <cell r="CB19">
            <v>48.8</v>
          </cell>
          <cell r="CC19">
            <v>36.815333333333335</v>
          </cell>
          <cell r="CD19">
            <v>26.639666666666667</v>
          </cell>
          <cell r="CE19">
            <v>21.629666666666665</v>
          </cell>
          <cell r="CF19">
            <v>21.527666666666665</v>
          </cell>
          <cell r="CG19">
            <v>26.242999999999999</v>
          </cell>
          <cell r="CH19">
            <v>25.745666666666665</v>
          </cell>
          <cell r="CI19">
            <v>30.953666666666667</v>
          </cell>
          <cell r="CJ19">
            <v>42.93266666666667</v>
          </cell>
          <cell r="CK19">
            <v>39.672666666666665</v>
          </cell>
          <cell r="CL19">
            <v>36.546666666666667</v>
          </cell>
          <cell r="CM19">
            <v>40.29</v>
          </cell>
          <cell r="CN19">
            <v>42.959333333333326</v>
          </cell>
          <cell r="CO19">
            <v>45.330333333333328</v>
          </cell>
          <cell r="CP19">
            <v>52.274000000000001</v>
          </cell>
          <cell r="CQ19">
            <v>60.266333333333328</v>
          </cell>
          <cell r="CR19">
            <v>52.186</v>
          </cell>
          <cell r="CS19">
            <v>52.343333333333334</v>
          </cell>
          <cell r="CT19">
            <v>68.750999999999991</v>
          </cell>
          <cell r="CU19">
            <v>76.210333333333338</v>
          </cell>
          <cell r="CV19">
            <v>56.999333333333333</v>
          </cell>
          <cell r="CW19">
            <v>67.757999999999996</v>
          </cell>
          <cell r="CX19">
            <v>75.779000000000011</v>
          </cell>
          <cell r="CY19">
            <v>61.740666666666662</v>
          </cell>
          <cell r="CZ19">
            <v>58.991666666666667</v>
          </cell>
          <cell r="DA19">
            <v>72.284666666666666</v>
          </cell>
          <cell r="DB19">
            <v>81.855666666666664</v>
          </cell>
          <cell r="DC19">
            <v>104.39400000000001</v>
          </cell>
          <cell r="DD19">
            <v>91.34</v>
          </cell>
          <cell r="DE19">
            <v>102.42</v>
          </cell>
          <cell r="DF19">
            <v>105.49</v>
          </cell>
          <cell r="DG19">
            <v>26.11</v>
          </cell>
          <cell r="DH19">
            <v>25.74</v>
          </cell>
          <cell r="DI19">
            <v>28.9</v>
          </cell>
          <cell r="DJ19">
            <v>28.91</v>
          </cell>
          <cell r="DK19">
            <v>52.65</v>
          </cell>
          <cell r="DL19">
            <v>58.56</v>
          </cell>
          <cell r="DM19">
            <v>31.54</v>
          </cell>
          <cell r="DN19">
            <v>27.3</v>
          </cell>
          <cell r="DO19">
            <v>41.66</v>
          </cell>
          <cell r="DP19">
            <v>47.26</v>
          </cell>
          <cell r="DQ19">
            <v>52.67</v>
          </cell>
          <cell r="DR19">
            <v>46.75</v>
          </cell>
          <cell r="DS19">
            <v>34.380000000000003</v>
          </cell>
          <cell r="DT19">
            <v>27.109846153846156</v>
          </cell>
          <cell r="DU19">
            <v>11.558</v>
          </cell>
          <cell r="DV19">
            <v>14.492615384615384</v>
          </cell>
          <cell r="DW19">
            <v>18.705303030303032</v>
          </cell>
          <cell r="DX19">
            <v>23.834531250000001</v>
          </cell>
          <cell r="DY19">
            <v>20.746461538461539</v>
          </cell>
          <cell r="DZ19">
            <v>21.091363636363639</v>
          </cell>
          <cell r="EA19">
            <v>22.114696969696972</v>
          </cell>
          <cell r="EB19">
            <v>23.8</v>
          </cell>
          <cell r="EC19">
            <v>24.348799999999997</v>
          </cell>
          <cell r="ED19">
            <v>24.548000000000002</v>
          </cell>
          <cell r="EE19">
            <v>24.813600000000001</v>
          </cell>
        </row>
        <row r="20">
          <cell r="A20" t="str">
            <v>Ethane price, LYB weighted avg (c/gal)</v>
          </cell>
          <cell r="C20">
            <v>21.733583333333328</v>
          </cell>
          <cell r="D20">
            <v>22.316999999999993</v>
          </cell>
          <cell r="E20">
            <v>23.641249999999996</v>
          </cell>
          <cell r="F20">
            <v>21.543416666666662</v>
          </cell>
          <cell r="G20">
            <v>20.997083333333332</v>
          </cell>
          <cell r="H20">
            <v>15.92208333333333</v>
          </cell>
          <cell r="I20">
            <v>26.613999999999994</v>
          </cell>
          <cell r="J20">
            <v>22.642333333333333</v>
          </cell>
          <cell r="K20">
            <v>18.59333333333333</v>
          </cell>
          <cell r="L20">
            <v>27.84258333333333</v>
          </cell>
          <cell r="M20">
            <v>40.066249999999997</v>
          </cell>
          <cell r="N20">
            <v>33.471166666666655</v>
          </cell>
          <cell r="O20">
            <v>26.117499999999993</v>
          </cell>
          <cell r="P20">
            <v>39.860499999999995</v>
          </cell>
          <cell r="Q20">
            <v>50.207499999999996</v>
          </cell>
          <cell r="R20">
            <v>62.372666666666653</v>
          </cell>
          <cell r="S20">
            <v>65.569249999999982</v>
          </cell>
          <cell r="T20">
            <v>79.381499999999988</v>
          </cell>
          <cell r="U20">
            <v>87.126647916666656</v>
          </cell>
          <cell r="V20">
            <v>44.220420833333336</v>
          </cell>
          <cell r="W20">
            <v>54.660366666666661</v>
          </cell>
          <cell r="X20">
            <v>68.037249999999986</v>
          </cell>
          <cell r="Y20">
            <v>33.822819391025632</v>
          </cell>
          <cell r="Z20">
            <v>24.891909636782486</v>
          </cell>
          <cell r="AA20">
            <v>25.397999999999996</v>
          </cell>
          <cell r="AB20">
            <v>30.848999999999993</v>
          </cell>
          <cell r="AC20">
            <v>30.801999999999992</v>
          </cell>
          <cell r="AD20">
            <v>31.797999999999995</v>
          </cell>
          <cell r="AE20">
            <v>33.125999999999998</v>
          </cell>
          <cell r="AF20">
            <v>67.999999999999986</v>
          </cell>
          <cell r="AG20">
            <v>71.999999999999986</v>
          </cell>
          <cell r="AJ20">
            <v>15.865999999999996</v>
          </cell>
          <cell r="AK20">
            <v>13.388333333333332</v>
          </cell>
          <cell r="AL20">
            <v>23.311666666666664</v>
          </cell>
          <cell r="AM20">
            <v>34.368333333333325</v>
          </cell>
          <cell r="AN20">
            <v>19.973333333333329</v>
          </cell>
          <cell r="AO20">
            <v>18.753666666666664</v>
          </cell>
          <cell r="AP20">
            <v>22.402666666666661</v>
          </cell>
          <cell r="AQ20">
            <v>28.138333333333325</v>
          </cell>
          <cell r="AR20">
            <v>19.946999999999999</v>
          </cell>
          <cell r="AS20">
            <v>22.820666666666661</v>
          </cell>
          <cell r="AT20">
            <v>27.376999999999995</v>
          </cell>
          <cell r="AU20">
            <v>24.420333333333328</v>
          </cell>
          <cell r="AV20">
            <v>24.72433333333333</v>
          </cell>
          <cell r="AW20">
            <v>23.467999999999996</v>
          </cell>
          <cell r="AX20">
            <v>20.138999999999996</v>
          </cell>
          <cell r="AY20">
            <v>17.842333333333329</v>
          </cell>
          <cell r="AZ20">
            <v>19.659999999999997</v>
          </cell>
          <cell r="BA20">
            <v>21.24433333333333</v>
          </cell>
          <cell r="BB20">
            <v>21.463666666666665</v>
          </cell>
          <cell r="BC20">
            <v>21.620333333333331</v>
          </cell>
          <cell r="BD20">
            <v>16.262999999999998</v>
          </cell>
          <cell r="BE20">
            <v>16.57833333333333</v>
          </cell>
          <cell r="BF20">
            <v>14.005999999999998</v>
          </cell>
          <cell r="BG20">
            <v>16.840999999999994</v>
          </cell>
          <cell r="BH20">
            <v>21.47166666666666</v>
          </cell>
          <cell r="BI20">
            <v>22.939666666666664</v>
          </cell>
          <cell r="BJ20">
            <v>27.179666666666655</v>
          </cell>
          <cell r="BK20">
            <v>34.864999999999995</v>
          </cell>
          <cell r="BL20">
            <v>25.371333333333332</v>
          </cell>
          <cell r="BM20">
            <v>19.895666666666664</v>
          </cell>
          <cell r="BN20">
            <v>22.166999999999994</v>
          </cell>
          <cell r="BO20">
            <v>23.135333333333335</v>
          </cell>
          <cell r="BP20">
            <v>21.031999999999996</v>
          </cell>
          <cell r="BQ20">
            <v>19.392666666666663</v>
          </cell>
          <cell r="BR20">
            <v>17.440666666666665</v>
          </cell>
          <cell r="BS20">
            <v>16.507999999999996</v>
          </cell>
          <cell r="BT20">
            <v>18.524999999999999</v>
          </cell>
          <cell r="BU20">
            <v>27.399333333333331</v>
          </cell>
          <cell r="BV20">
            <v>33.197000000000003</v>
          </cell>
          <cell r="BW20">
            <v>32.248999999999995</v>
          </cell>
          <cell r="BX20">
            <v>38.627666666666663</v>
          </cell>
          <cell r="BY20">
            <v>35.198999999999998</v>
          </cell>
          <cell r="BZ20">
            <v>39.053333333333327</v>
          </cell>
          <cell r="CA20">
            <v>47.384999999999991</v>
          </cell>
          <cell r="CB20">
            <v>48.799999999999983</v>
          </cell>
          <cell r="CC20">
            <v>36.815333333333328</v>
          </cell>
          <cell r="CD20">
            <v>26.639666666666663</v>
          </cell>
          <cell r="CE20">
            <v>21.629666666666662</v>
          </cell>
          <cell r="CF20">
            <v>21.527666666666661</v>
          </cell>
          <cell r="CG20">
            <v>26.242999999999995</v>
          </cell>
          <cell r="CH20">
            <v>25.745666666666658</v>
          </cell>
          <cell r="CI20">
            <v>30.95366666666666</v>
          </cell>
          <cell r="CJ20">
            <v>42.932666666666663</v>
          </cell>
          <cell r="CK20">
            <v>39.672666666666657</v>
          </cell>
          <cell r="CL20">
            <v>36.54666666666666</v>
          </cell>
          <cell r="CM20">
            <v>40.289999999999992</v>
          </cell>
          <cell r="CN20">
            <v>42.959333333333319</v>
          </cell>
          <cell r="CO20">
            <v>45.330333333333321</v>
          </cell>
          <cell r="CP20">
            <v>52.273999999999994</v>
          </cell>
          <cell r="CQ20">
            <v>60.266333333333321</v>
          </cell>
          <cell r="CR20">
            <v>52.185999999999993</v>
          </cell>
          <cell r="CS20">
            <v>52.343333333333327</v>
          </cell>
          <cell r="CT20">
            <v>68.750999999999976</v>
          </cell>
          <cell r="CU20">
            <v>76.210333333333324</v>
          </cell>
          <cell r="CV20">
            <v>56.999333333333325</v>
          </cell>
          <cell r="CW20">
            <v>67.757999999999981</v>
          </cell>
          <cell r="CX20">
            <v>75.778999999999996</v>
          </cell>
          <cell r="CY20">
            <v>61.740666666666648</v>
          </cell>
          <cell r="CZ20">
            <v>58.991666666666653</v>
          </cell>
          <cell r="DA20">
            <v>72.284666666666652</v>
          </cell>
          <cell r="DB20">
            <v>81.85566666666665</v>
          </cell>
          <cell r="DC20">
            <v>104.39399999999999</v>
          </cell>
          <cell r="DD20">
            <v>98.555924999999988</v>
          </cell>
          <cell r="DE20">
            <v>104.40359999999997</v>
          </cell>
          <cell r="DF20">
            <v>107.95137499999998</v>
          </cell>
          <cell r="DG20">
            <v>37.59569166666666</v>
          </cell>
          <cell r="DH20">
            <v>32.864333333333335</v>
          </cell>
          <cell r="DI20">
            <v>39.148599999999995</v>
          </cell>
          <cell r="DJ20">
            <v>42.267641666666655</v>
          </cell>
          <cell r="DK20">
            <v>62.601108333333329</v>
          </cell>
          <cell r="DL20">
            <v>69.320208333333312</v>
          </cell>
          <cell r="DM20">
            <v>48.321574999999982</v>
          </cell>
          <cell r="DN20">
            <v>42.418183333333332</v>
          </cell>
          <cell r="DO20">
            <v>58.581499999999991</v>
          </cell>
          <cell r="DP20">
            <v>60.541999999999987</v>
          </cell>
          <cell r="DQ20">
            <v>70.831249999999983</v>
          </cell>
          <cell r="DR20">
            <v>69.268499999999989</v>
          </cell>
          <cell r="DS20">
            <v>71.507249999999985</v>
          </cell>
          <cell r="DT20">
            <v>48.568284615384599</v>
          </cell>
          <cell r="DU20">
            <v>32.456366666666661</v>
          </cell>
          <cell r="DV20">
            <v>28.57858461538461</v>
          </cell>
          <cell r="DW20">
            <v>25.688041666666667</v>
          </cell>
          <cell r="DX20">
            <v>25.225662760416665</v>
          </cell>
          <cell r="DY20">
            <v>25.514693589743587</v>
          </cell>
          <cell r="DZ20">
            <v>23.739041666666665</v>
          </cell>
          <cell r="EA20">
            <v>25.088240530303025</v>
          </cell>
          <cell r="EB20">
            <v>31.194999999999993</v>
          </cell>
          <cell r="EC20">
            <v>27.97379999999999</v>
          </cell>
          <cell r="ED20">
            <v>28.172999999999995</v>
          </cell>
          <cell r="EE20">
            <v>28.438599999999994</v>
          </cell>
        </row>
        <row r="21">
          <cell r="A21" t="str">
            <v>Ethane discount to crude</v>
          </cell>
          <cell r="T21">
            <v>-0.27684385649260035</v>
          </cell>
          <cell r="U21">
            <v>-0.13711252692141307</v>
          </cell>
          <cell r="V21">
            <v>1.8007246177678571E-2</v>
          </cell>
          <cell r="W21">
            <v>4.7370764204853533E-2</v>
          </cell>
          <cell r="X21">
            <v>0.14738171331170236</v>
          </cell>
          <cell r="Y21">
            <v>1.2108042683081708</v>
          </cell>
          <cell r="Z21">
            <v>2.3074280978636135</v>
          </cell>
          <cell r="AA21">
            <v>2.2560138104242271</v>
          </cell>
          <cell r="AB21">
            <v>1.4191224592204525</v>
          </cell>
          <cell r="AC21">
            <v>1.2291421585925359</v>
          </cell>
          <cell r="AD21">
            <v>1.1076809784092365</v>
          </cell>
          <cell r="AE21">
            <v>0.98559901415070628</v>
          </cell>
          <cell r="AF21">
            <v>3.595506068330856E-2</v>
          </cell>
          <cell r="AG21">
            <v>-3.2575860815844404E-2</v>
          </cell>
          <cell r="CF21">
            <v>-0.27192513202093838</v>
          </cell>
          <cell r="CG21">
            <v>-0.24522436472747777</v>
          </cell>
          <cell r="CH21">
            <v>-0.16218201337186744</v>
          </cell>
          <cell r="CI21">
            <v>-0.31591369169631611</v>
          </cell>
          <cell r="CJ21">
            <v>-0.39153740484205579</v>
          </cell>
          <cell r="CK21">
            <v>-0.46028076282517272</v>
          </cell>
          <cell r="CL21">
            <v>-0.3769171864927453</v>
          </cell>
          <cell r="CM21">
            <v>-0.42205599753382406</v>
          </cell>
          <cell r="CN21">
            <v>-0.37167627152553584</v>
          </cell>
          <cell r="CO21">
            <v>-0.35484644073621496</v>
          </cell>
          <cell r="CP21">
            <v>-0.36841904169481277</v>
          </cell>
          <cell r="CQ21">
            <v>-0.44496397039294677</v>
          </cell>
          <cell r="CR21">
            <v>-0.3181297118697709</v>
          </cell>
          <cell r="CS21">
            <v>-0.24301614874930277</v>
          </cell>
          <cell r="CT21">
            <v>-0.29962415195217496</v>
          </cell>
          <cell r="CU21">
            <v>-0.39887498382467501</v>
          </cell>
          <cell r="CV21">
            <v>-0.15494892248026082</v>
          </cell>
          <cell r="CW21">
            <v>-0.19615566118052197</v>
          </cell>
          <cell r="CX21">
            <v>-0.27842417611560277</v>
          </cell>
          <cell r="CY21">
            <v>-0.28910305975407558</v>
          </cell>
          <cell r="CZ21">
            <v>-0.21966518038393235</v>
          </cell>
          <cell r="DA21">
            <v>-0.24900959209145979</v>
          </cell>
          <cell r="DB21">
            <v>-0.27685503485166085</v>
          </cell>
          <cell r="DC21">
            <v>-0.32841905155705764</v>
          </cell>
          <cell r="DD21">
            <v>-0.22447817953716376</v>
          </cell>
          <cell r="DE21">
            <v>-7.5014482890992218E-2</v>
          </cell>
          <cell r="DF21">
            <v>-0.15512923777307375</v>
          </cell>
          <cell r="DG21">
            <v>0.17271023869654334</v>
          </cell>
          <cell r="DH21">
            <v>7.6022713993078028E-2</v>
          </cell>
          <cell r="DI21">
            <v>0.19423226176470654</v>
          </cell>
          <cell r="DJ21">
            <v>0.28300895767590006</v>
          </cell>
          <cell r="DK21">
            <v>-5.0645641384318485E-2</v>
          </cell>
          <cell r="DL21">
            <v>-0.12396539879181534</v>
          </cell>
          <cell r="DM21">
            <v>0.29058379617667507</v>
          </cell>
          <cell r="DN21">
            <v>0.43441932674487793</v>
          </cell>
          <cell r="DO21">
            <v>0.17330069917455937</v>
          </cell>
          <cell r="DP21">
            <v>0.37422197208483743</v>
          </cell>
          <cell r="DQ21">
            <v>0.30738874841131536</v>
          </cell>
          <cell r="DR21">
            <v>0.29375176607305109</v>
          </cell>
          <cell r="DS21">
            <v>0.20943822262216649</v>
          </cell>
          <cell r="DT21">
            <v>0.92750680494320892</v>
          </cell>
          <cell r="DU21">
            <v>1.6482948672867792</v>
          </cell>
          <cell r="DV21">
            <v>1.9979817874939605</v>
          </cell>
          <cell r="DW21">
            <v>2.3884309330292521</v>
          </cell>
          <cell r="DX21">
            <v>2.5460023300755652</v>
          </cell>
          <cell r="DY21">
            <v>2.2019343970060294</v>
          </cell>
          <cell r="DZ21">
            <v>2.6693992702335905</v>
          </cell>
          <cell r="EA21">
            <v>2.4214190656639882</v>
          </cell>
          <cell r="EB21">
            <v>1.7166963487790845</v>
          </cell>
          <cell r="EC21">
            <v>2.0233094272861853</v>
          </cell>
          <cell r="ED21">
            <v>1.9808912319637222</v>
          </cell>
          <cell r="EE21">
            <v>1.9088598936247476</v>
          </cell>
        </row>
        <row r="22">
          <cell r="A22" t="str">
            <v>WTI price (US$/bbl)</v>
          </cell>
          <cell r="O22">
            <v>24.7425</v>
          </cell>
          <cell r="P22">
            <v>29.602499999999999</v>
          </cell>
          <cell r="Q22">
            <v>38.81</v>
          </cell>
          <cell r="R22">
            <v>53.5075</v>
          </cell>
          <cell r="S22">
            <v>63.64</v>
          </cell>
          <cell r="T22">
            <v>71.662499999999994</v>
          </cell>
          <cell r="U22">
            <v>98.2</v>
          </cell>
          <cell r="V22">
            <v>60.762500000000003</v>
          </cell>
          <cell r="W22">
            <v>79.0443253968254</v>
          </cell>
          <cell r="X22">
            <v>95.091666666666669</v>
          </cell>
          <cell r="Y22">
            <v>94.275525641025638</v>
          </cell>
          <cell r="CF22">
            <v>19.829999999999998</v>
          </cell>
          <cell r="CG22">
            <v>25.06</v>
          </cell>
          <cell r="CH22">
            <v>27.29</v>
          </cell>
          <cell r="CI22">
            <v>26.79</v>
          </cell>
          <cell r="CJ22">
            <v>33.049999999999997</v>
          </cell>
          <cell r="CK22">
            <v>27.09</v>
          </cell>
          <cell r="CL22">
            <v>28.81</v>
          </cell>
          <cell r="CM22">
            <v>29.46</v>
          </cell>
          <cell r="CN22">
            <v>34.15</v>
          </cell>
          <cell r="CO22">
            <v>37</v>
          </cell>
          <cell r="CP22">
            <v>41.77</v>
          </cell>
          <cell r="CQ22">
            <v>42.32</v>
          </cell>
          <cell r="CR22">
            <v>45.02</v>
          </cell>
          <cell r="CS22">
            <v>50.13</v>
          </cell>
          <cell r="CT22">
            <v>60.92</v>
          </cell>
          <cell r="CU22">
            <v>57.96</v>
          </cell>
          <cell r="CV22">
            <v>60.94</v>
          </cell>
          <cell r="CW22">
            <v>68.91</v>
          </cell>
          <cell r="CX22">
            <v>69.180000000000007</v>
          </cell>
          <cell r="CY22">
            <v>55.53</v>
          </cell>
          <cell r="CZ22">
            <v>55.82</v>
          </cell>
          <cell r="DA22">
            <v>65.81</v>
          </cell>
          <cell r="DB22">
            <v>76.27</v>
          </cell>
          <cell r="DC22">
            <v>88.75</v>
          </cell>
          <cell r="DD22">
            <v>96.92</v>
          </cell>
          <cell r="DE22">
            <v>123.69</v>
          </cell>
          <cell r="DF22">
            <v>117.18</v>
          </cell>
          <cell r="DG22">
            <v>55.01</v>
          </cell>
          <cell r="DH22">
            <v>42.14</v>
          </cell>
          <cell r="DI22">
            <v>57.97</v>
          </cell>
          <cell r="DJ22">
            <v>68.150000000000006</v>
          </cell>
          <cell r="DK22">
            <v>74.790000000000006</v>
          </cell>
          <cell r="DL22">
            <v>78.489999999999995</v>
          </cell>
          <cell r="DM22">
            <v>76.54730158730159</v>
          </cell>
          <cell r="DN22">
            <v>76.12</v>
          </cell>
          <cell r="DO22">
            <v>85.02</v>
          </cell>
          <cell r="DP22">
            <v>93.98</v>
          </cell>
          <cell r="DQ22">
            <v>102.44</v>
          </cell>
          <cell r="DR22">
            <v>89.88</v>
          </cell>
          <cell r="DS22">
            <v>94.066666666666663</v>
          </cell>
          <cell r="DT22">
            <v>102.98666666666668</v>
          </cell>
          <cell r="DU22">
            <v>93.436666666666667</v>
          </cell>
          <cell r="DV22">
            <v>92.768769230769223</v>
          </cell>
          <cell r="DW22">
            <v>87.91</v>
          </cell>
          <cell r="DX22">
            <v>94.293333333333337</v>
          </cell>
          <cell r="DY22">
            <v>94.083333333333329</v>
          </cell>
          <cell r="DZ22">
            <v>105.91333333333334</v>
          </cell>
          <cell r="EA22">
            <v>97.549090909090907</v>
          </cell>
          <cell r="EB22">
            <v>100.92</v>
          </cell>
          <cell r="EC22">
            <v>100.15</v>
          </cell>
          <cell r="ED22">
            <v>98.706666666666663</v>
          </cell>
          <cell r="EE22">
            <v>98.163333333333341</v>
          </cell>
        </row>
        <row r="23">
          <cell r="A23" t="str">
            <v>Brent crude price (US$/bbl)</v>
          </cell>
          <cell r="T23">
            <v>72.627499999999998</v>
          </cell>
          <cell r="U23">
            <v>97.512499999999989</v>
          </cell>
          <cell r="V23">
            <v>61.922499999999999</v>
          </cell>
          <cell r="W23">
            <v>79.917500000000004</v>
          </cell>
          <cell r="X23">
            <v>111.30416666666667</v>
          </cell>
          <cell r="Y23">
            <v>111.42688461538462</v>
          </cell>
          <cell r="Z23">
            <v>108.8339393939394</v>
          </cell>
          <cell r="AA23">
            <v>104.625</v>
          </cell>
          <cell r="AB23">
            <v>98.625</v>
          </cell>
          <cell r="AC23">
            <v>94.625</v>
          </cell>
          <cell r="AD23">
            <v>92.125</v>
          </cell>
          <cell r="AE23">
            <v>90.125</v>
          </cell>
          <cell r="AF23">
            <v>89.125</v>
          </cell>
          <cell r="AG23">
            <v>88.125</v>
          </cell>
          <cell r="CF23">
            <v>19.829999999999998</v>
          </cell>
          <cell r="CG23">
            <v>25.06</v>
          </cell>
          <cell r="CH23">
            <v>27.29</v>
          </cell>
          <cell r="CI23">
            <v>26.79</v>
          </cell>
          <cell r="CJ23">
            <v>33.049999999999997</v>
          </cell>
          <cell r="CK23">
            <v>27.09</v>
          </cell>
          <cell r="CL23">
            <v>28.81</v>
          </cell>
          <cell r="CM23">
            <v>29.46</v>
          </cell>
          <cell r="CN23">
            <v>34.15</v>
          </cell>
          <cell r="CO23">
            <v>37</v>
          </cell>
          <cell r="CP23">
            <v>41.77</v>
          </cell>
          <cell r="CQ23">
            <v>42.32</v>
          </cell>
          <cell r="CR23">
            <v>45.02</v>
          </cell>
          <cell r="CS23">
            <v>50.13</v>
          </cell>
          <cell r="CT23">
            <v>60.92</v>
          </cell>
          <cell r="CU23">
            <v>57.96</v>
          </cell>
          <cell r="CV23">
            <v>60.94</v>
          </cell>
          <cell r="CW23">
            <v>68.91</v>
          </cell>
          <cell r="CX23">
            <v>69.180000000000007</v>
          </cell>
          <cell r="CY23">
            <v>55.53</v>
          </cell>
          <cell r="CZ23">
            <v>58.24</v>
          </cell>
          <cell r="DA23">
            <v>68.680000000000007</v>
          </cell>
          <cell r="DB23">
            <v>74.89</v>
          </cell>
          <cell r="DC23">
            <v>88.7</v>
          </cell>
          <cell r="DD23">
            <v>96.7</v>
          </cell>
          <cell r="DE23">
            <v>122.18</v>
          </cell>
          <cell r="DF23">
            <v>115.39</v>
          </cell>
          <cell r="DG23">
            <v>55.78</v>
          </cell>
          <cell r="DH23">
            <v>44.74</v>
          </cell>
          <cell r="DI23">
            <v>59.15</v>
          </cell>
          <cell r="DJ23">
            <v>68.61</v>
          </cell>
          <cell r="DK23">
            <v>75.19</v>
          </cell>
          <cell r="DL23">
            <v>76.83</v>
          </cell>
          <cell r="DM23">
            <v>78.900000000000006</v>
          </cell>
          <cell r="DN23">
            <v>76.98</v>
          </cell>
          <cell r="DO23">
            <v>86.96</v>
          </cell>
          <cell r="DP23">
            <v>105.26</v>
          </cell>
          <cell r="DQ23">
            <v>117.16</v>
          </cell>
          <cell r="DR23">
            <v>113.38</v>
          </cell>
          <cell r="DS23">
            <v>109.41666666666667</v>
          </cell>
          <cell r="DT23">
            <v>118.44</v>
          </cell>
          <cell r="DU23">
            <v>108.74666666666667</v>
          </cell>
          <cell r="DV23">
            <v>108.39753846153847</v>
          </cell>
          <cell r="DW23">
            <v>110.12333333333333</v>
          </cell>
          <cell r="DX23">
            <v>113.17</v>
          </cell>
          <cell r="DY23">
            <v>103.36</v>
          </cell>
          <cell r="DZ23">
            <v>110.20666666666666</v>
          </cell>
          <cell r="EA23">
            <v>108.59909090909095</v>
          </cell>
          <cell r="EB23">
            <v>107.22</v>
          </cell>
          <cell r="EC23">
            <v>107</v>
          </cell>
          <cell r="ED23">
            <v>106.25</v>
          </cell>
          <cell r="EE23">
            <v>104.66</v>
          </cell>
          <cell r="EF23">
            <v>2.4132900677200917</v>
          </cell>
          <cell r="EG23" t="str">
            <v xml:space="preserve"> </v>
          </cell>
        </row>
        <row r="24">
          <cell r="A24" t="str">
            <v>$ per metric ton</v>
          </cell>
          <cell r="T24">
            <v>526.54937499999994</v>
          </cell>
          <cell r="U24">
            <v>706.96562499999993</v>
          </cell>
          <cell r="V24">
            <v>448.93812500000001</v>
          </cell>
          <cell r="W24">
            <v>579.40187500000002</v>
          </cell>
          <cell r="X24">
            <v>806.95520833333342</v>
          </cell>
          <cell r="Y24">
            <v>807.84491346153857</v>
          </cell>
          <cell r="Z24">
            <v>789.04606060606068</v>
          </cell>
          <cell r="AA24">
            <v>758.53125</v>
          </cell>
          <cell r="AB24">
            <v>715.03125</v>
          </cell>
          <cell r="AC24">
            <v>686.03125</v>
          </cell>
          <cell r="AD24">
            <v>667.90625</v>
          </cell>
          <cell r="AE24">
            <v>653.40625</v>
          </cell>
          <cell r="AF24">
            <v>646.15625</v>
          </cell>
          <cell r="AG24">
            <v>638.90625</v>
          </cell>
          <cell r="CF24">
            <v>143.76749999999998</v>
          </cell>
          <cell r="CG24">
            <v>181.685</v>
          </cell>
          <cell r="CH24">
            <v>197.85249999999999</v>
          </cell>
          <cell r="CI24">
            <v>194.22749999999999</v>
          </cell>
          <cell r="CJ24">
            <v>239.61249999999998</v>
          </cell>
          <cell r="CK24">
            <v>196.4025</v>
          </cell>
          <cell r="CL24">
            <v>208.8725</v>
          </cell>
          <cell r="CM24">
            <v>213.58500000000001</v>
          </cell>
          <cell r="CN24">
            <v>247.58749999999998</v>
          </cell>
          <cell r="CO24">
            <v>268.25</v>
          </cell>
          <cell r="CP24">
            <v>302.83250000000004</v>
          </cell>
          <cell r="CQ24">
            <v>306.82</v>
          </cell>
          <cell r="CR24">
            <v>326.39500000000004</v>
          </cell>
          <cell r="CS24">
            <v>363.4425</v>
          </cell>
          <cell r="CT24">
            <v>441.67</v>
          </cell>
          <cell r="CU24">
            <v>420.21</v>
          </cell>
          <cell r="CV24">
            <v>441.815</v>
          </cell>
          <cell r="CW24">
            <v>499.59749999999997</v>
          </cell>
          <cell r="CX24">
            <v>501.55500000000006</v>
          </cell>
          <cell r="CY24">
            <v>402.59250000000003</v>
          </cell>
          <cell r="CZ24">
            <v>422.24</v>
          </cell>
          <cell r="DA24">
            <v>497.93000000000006</v>
          </cell>
          <cell r="DB24">
            <v>542.95249999999999</v>
          </cell>
          <cell r="DC24">
            <v>643.07500000000005</v>
          </cell>
          <cell r="DD24">
            <v>701.07500000000005</v>
          </cell>
          <cell r="DE24">
            <v>885.80500000000006</v>
          </cell>
          <cell r="DF24">
            <v>836.57749999999999</v>
          </cell>
          <cell r="DG24">
            <v>404.40500000000003</v>
          </cell>
          <cell r="DH24">
            <v>324.36500000000001</v>
          </cell>
          <cell r="DI24">
            <v>428.83749999999998</v>
          </cell>
          <cell r="DJ24">
            <v>497.42250000000001</v>
          </cell>
          <cell r="DK24">
            <v>545.12749999999994</v>
          </cell>
          <cell r="DL24">
            <v>557.01750000000004</v>
          </cell>
          <cell r="DM24">
            <v>572.02500000000009</v>
          </cell>
          <cell r="DN24">
            <v>558.10500000000002</v>
          </cell>
          <cell r="DO24">
            <v>630.45999999999992</v>
          </cell>
          <cell r="DP24">
            <v>763.13499999999999</v>
          </cell>
          <cell r="DQ24">
            <v>849.41</v>
          </cell>
          <cell r="DR24">
            <v>822.005</v>
          </cell>
          <cell r="DS24">
            <v>793.27083333333337</v>
          </cell>
          <cell r="DT24">
            <v>858.68999999999994</v>
          </cell>
          <cell r="DU24">
            <v>788.41333333333341</v>
          </cell>
          <cell r="DV24">
            <v>785.88215384615398</v>
          </cell>
          <cell r="DW24">
            <v>798.39416666666671</v>
          </cell>
          <cell r="DX24">
            <v>820.48249999999996</v>
          </cell>
          <cell r="DY24">
            <v>749.36</v>
          </cell>
          <cell r="DZ24">
            <v>798.99833333333333</v>
          </cell>
          <cell r="EA24">
            <v>787.3434090909094</v>
          </cell>
          <cell r="EB24">
            <v>777.34500000000003</v>
          </cell>
          <cell r="EC24">
            <v>775.75</v>
          </cell>
          <cell r="ED24">
            <v>770.3125</v>
          </cell>
          <cell r="EE24">
            <v>758.78499999999997</v>
          </cell>
        </row>
        <row r="25">
          <cell r="A25" t="str">
            <v>PE premium to Brent</v>
          </cell>
          <cell r="T25">
            <v>0</v>
          </cell>
          <cell r="U25">
            <v>0</v>
          </cell>
          <cell r="V25">
            <v>2.7732802369518814</v>
          </cell>
          <cell r="W25">
            <v>2.5434647251774845</v>
          </cell>
          <cell r="X25">
            <v>1.9512992176094033</v>
          </cell>
          <cell r="Y25">
            <v>1.8711223422695136</v>
          </cell>
          <cell r="Z25">
            <v>2.0716576825410962</v>
          </cell>
          <cell r="AA25">
            <v>2.2096841099163682</v>
          </cell>
          <cell r="AB25">
            <v>2.2773158418250952</v>
          </cell>
          <cell r="AC25">
            <v>2.2783294055482171</v>
          </cell>
          <cell r="AD25">
            <v>2.2978192672998645</v>
          </cell>
          <cell r="AE25">
            <v>2.3141896699029121</v>
          </cell>
          <cell r="AF25">
            <v>2.3226503899018232</v>
          </cell>
          <cell r="AG25">
            <v>2.331303126241135</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3.5099142091140987</v>
          </cell>
          <cell r="DI25">
            <v>2.8204590175320963</v>
          </cell>
          <cell r="DJ25">
            <v>2.5953565797465168</v>
          </cell>
          <cell r="DK25">
            <v>2.4602028773961258</v>
          </cell>
          <cell r="DL25">
            <v>2.64010530283121</v>
          </cell>
          <cell r="DM25">
            <v>2.6123053469563096</v>
          </cell>
          <cell r="DN25">
            <v>2.5180876384270152</v>
          </cell>
          <cell r="DO25">
            <v>2.4180864765409384</v>
          </cell>
          <cell r="DP25">
            <v>2.0311913357400719</v>
          </cell>
          <cell r="DQ25">
            <v>2.0008057357459883</v>
          </cell>
          <cell r="DR25">
            <v>1.9036867172340799</v>
          </cell>
          <cell r="DS25">
            <v>1.8707692307692303</v>
          </cell>
          <cell r="DT25">
            <v>1.8822469886299673</v>
          </cell>
          <cell r="DU25">
            <v>1.9382050024521822</v>
          </cell>
          <cell r="DV25">
            <v>1.8416162350171634</v>
          </cell>
          <cell r="DW25">
            <v>1.8219571995035866</v>
          </cell>
          <cell r="DX25">
            <v>1.8922957595750738</v>
          </cell>
          <cell r="DY25">
            <v>2.1437908496732025</v>
          </cell>
          <cell r="DZ25">
            <v>2.068840360534753</v>
          </cell>
          <cell r="EA25">
            <v>2.1927746479266235</v>
          </cell>
          <cell r="EB25">
            <v>2.2524819167236627</v>
          </cell>
          <cell r="EC25">
            <v>2.272897196261682</v>
          </cell>
          <cell r="ED25">
            <v>2.1997497223529412</v>
          </cell>
          <cell r="EE25">
            <v>2.2094668878272499</v>
          </cell>
        </row>
        <row r="26">
          <cell r="A26" t="str">
            <v>Brent-implied PE price (cents/lb)</v>
          </cell>
          <cell r="T26">
            <v>74.53454124999999</v>
          </cell>
          <cell r="U26">
            <v>90.498268749999994</v>
          </cell>
          <cell r="V26">
            <v>67.667283749999996</v>
          </cell>
          <cell r="W26">
            <v>79.211076250000005</v>
          </cell>
          <cell r="X26">
            <v>99.34562291666667</v>
          </cell>
          <cell r="Y26">
            <v>99.424346480769231</v>
          </cell>
          <cell r="Z26">
            <v>97.76097212121212</v>
          </cell>
          <cell r="AA26">
            <v>95.060937499999994</v>
          </cell>
          <cell r="AB26">
            <v>91.211937499999991</v>
          </cell>
          <cell r="AC26">
            <v>88.645937500000002</v>
          </cell>
          <cell r="AD26">
            <v>87.042187499999997</v>
          </cell>
          <cell r="AE26">
            <v>85.759187499999996</v>
          </cell>
          <cell r="AF26">
            <v>85.117687500000002</v>
          </cell>
          <cell r="AG26">
            <v>84.476187499999995</v>
          </cell>
          <cell r="CF26">
            <v>40.664944999999996</v>
          </cell>
          <cell r="CG26">
            <v>44.019989999999993</v>
          </cell>
          <cell r="CH26">
            <v>45.450535000000002</v>
          </cell>
          <cell r="CI26">
            <v>45.129784999999998</v>
          </cell>
          <cell r="CJ26">
            <v>49.145574999999994</v>
          </cell>
          <cell r="CK26">
            <v>45.322234999999999</v>
          </cell>
          <cell r="CL26">
            <v>46.425614999999993</v>
          </cell>
          <cell r="CM26">
            <v>46.842590000000001</v>
          </cell>
          <cell r="CN26">
            <v>49.851224999999999</v>
          </cell>
          <cell r="CO26">
            <v>51.679499999999997</v>
          </cell>
          <cell r="CP26">
            <v>54.739455</v>
          </cell>
          <cell r="CQ26">
            <v>55.092280000000002</v>
          </cell>
          <cell r="CR26">
            <v>56.824330000000003</v>
          </cell>
          <cell r="CS26">
            <v>60.102395000000001</v>
          </cell>
          <cell r="CT26">
            <v>67.024180000000001</v>
          </cell>
          <cell r="CU26">
            <v>65.125339999999994</v>
          </cell>
          <cell r="CV26">
            <v>67.037009999999995</v>
          </cell>
          <cell r="CW26">
            <v>72.149764999999988</v>
          </cell>
          <cell r="CX26">
            <v>72.322969999999998</v>
          </cell>
          <cell r="CY26">
            <v>63.566495000000003</v>
          </cell>
          <cell r="CZ26">
            <v>65.304959999999994</v>
          </cell>
          <cell r="DA26">
            <v>72.002219999999994</v>
          </cell>
          <cell r="DB26">
            <v>75.985934999999998</v>
          </cell>
          <cell r="DC26">
            <v>84.845050000000001</v>
          </cell>
          <cell r="DD26">
            <v>89.977049999999991</v>
          </cell>
          <cell r="DE26">
            <v>106.32247</v>
          </cell>
          <cell r="DF26">
            <v>101.966685</v>
          </cell>
          <cell r="DG26">
            <v>63.726869999999991</v>
          </cell>
          <cell r="DH26">
            <v>56.644710000000003</v>
          </cell>
          <cell r="DI26">
            <v>65.888724999999994</v>
          </cell>
          <cell r="DJ26">
            <v>71.957314999999994</v>
          </cell>
          <cell r="DK26">
            <v>76.178384999999992</v>
          </cell>
          <cell r="DL26">
            <v>77.230444999999989</v>
          </cell>
          <cell r="DM26">
            <v>78.558350000000004</v>
          </cell>
          <cell r="DN26">
            <v>77.326669999999993</v>
          </cell>
          <cell r="DO26">
            <v>83.728839999999991</v>
          </cell>
          <cell r="DP26">
            <v>95.468289999999996</v>
          </cell>
          <cell r="DQ26">
            <v>103.10213999999999</v>
          </cell>
          <cell r="DR26">
            <v>100.67726999999999</v>
          </cell>
          <cell r="DS26">
            <v>98.134791666666672</v>
          </cell>
          <cell r="DT26">
            <v>103.92326</v>
          </cell>
          <cell r="DU26">
            <v>97.70498666666667</v>
          </cell>
          <cell r="DV26">
            <v>97.481020923076926</v>
          </cell>
          <cell r="DW26">
            <v>98.588118333333327</v>
          </cell>
          <cell r="DX26">
            <v>100.54255499999999</v>
          </cell>
          <cell r="DY26">
            <v>94.249439999999993</v>
          </cell>
          <cell r="DZ26">
            <v>98.641576666666666</v>
          </cell>
          <cell r="EA26">
            <v>97.610316818181843</v>
          </cell>
          <cell r="EB26">
            <v>96.725629999999995</v>
          </cell>
          <cell r="EC26">
            <v>96.584499999999991</v>
          </cell>
          <cell r="ED26">
            <v>96.103375</v>
          </cell>
          <cell r="EE26">
            <v>95.083389999999994</v>
          </cell>
        </row>
        <row r="27">
          <cell r="A27" t="str">
            <v>vs. actual/forecast</v>
          </cell>
          <cell r="V27">
            <v>0.19787110419489773</v>
          </cell>
          <cell r="W27">
            <v>0.18465499289812026</v>
          </cell>
          <cell r="X27">
            <v>0.39055134022302074</v>
          </cell>
          <cell r="Y27">
            <v>0.44968670445836079</v>
          </cell>
          <cell r="Z27">
            <v>0.31812546680286014</v>
          </cell>
          <cell r="AA27">
            <v>0.24999999999999978</v>
          </cell>
          <cell r="AB27">
            <v>0.23456790123456783</v>
          </cell>
          <cell r="AC27">
            <v>0.25</v>
          </cell>
          <cell r="AD27">
            <v>0.24999999999999978</v>
          </cell>
          <cell r="AE27">
            <v>0.25</v>
          </cell>
          <cell r="AF27">
            <v>0.25</v>
          </cell>
          <cell r="AG27">
            <v>0.25</v>
          </cell>
          <cell r="DH27">
            <v>9.65803521140709E-2</v>
          </cell>
          <cell r="DI27">
            <v>0.20063263705637491</v>
          </cell>
          <cell r="DJ27">
            <v>0.22846865429096108</v>
          </cell>
          <cell r="DK27">
            <v>0.25191354406699773</v>
          </cell>
          <cell r="DL27">
            <v>0.15747078545723592</v>
          </cell>
          <cell r="DM27">
            <v>0.15868395807537428</v>
          </cell>
          <cell r="DN27">
            <v>0.212702139910244</v>
          </cell>
          <cell r="DO27">
            <v>0.21047910944050874</v>
          </cell>
          <cell r="DP27">
            <v>0.35743338546850567</v>
          </cell>
          <cell r="DQ27">
            <v>0.33707871871352602</v>
          </cell>
          <cell r="DR27">
            <v>0.41798971830985909</v>
          </cell>
          <cell r="DS27">
            <v>0.45744740099009928</v>
          </cell>
          <cell r="DT27">
            <v>0.41713536363636372</v>
          </cell>
          <cell r="DU27">
            <v>0.40920653846153865</v>
          </cell>
          <cell r="DV27">
            <v>0.48448255212807489</v>
          </cell>
          <cell r="DW27">
            <v>0.49375936868686865</v>
          </cell>
          <cell r="DX27">
            <v>0.42726024447949529</v>
          </cell>
          <cell r="DY27">
            <v>0.29305634146341464</v>
          </cell>
          <cell r="DZ27">
            <v>0.31522102222222226</v>
          </cell>
          <cell r="EA27">
            <v>0.24608915087040661</v>
          </cell>
          <cell r="EB27">
            <v>0.21752541258741265</v>
          </cell>
          <cell r="EC27">
            <v>0.2073062499999998</v>
          </cell>
          <cell r="ED27">
            <v>0.25</v>
          </cell>
          <cell r="EE27">
            <v>0.25</v>
          </cell>
        </row>
        <row r="28">
          <cell r="EB28" t="str">
            <v xml:space="preserve"> </v>
          </cell>
        </row>
        <row r="29">
          <cell r="A29" t="str">
            <v>Ethylene cash costs (purity ethane, Mt Belvieu) (c/lb)</v>
          </cell>
          <cell r="S29">
            <v>30.589249999999996</v>
          </cell>
          <cell r="T29">
            <v>36.306750000000001</v>
          </cell>
          <cell r="U29">
            <v>41.507416666666664</v>
          </cell>
          <cell r="V29">
            <v>23.135583333333333</v>
          </cell>
          <cell r="W29">
            <v>26.2925</v>
          </cell>
          <cell r="X29">
            <v>31.833333333333336</v>
          </cell>
          <cell r="Y29">
            <v>16.256666666666668</v>
          </cell>
          <cell r="Z29">
            <v>11.065833333333334</v>
          </cell>
          <cell r="AA29">
            <v>13.682756999999999</v>
          </cell>
          <cell r="AB29">
            <v>16.559915999999998</v>
          </cell>
          <cell r="AC29">
            <v>17.119668000000001</v>
          </cell>
          <cell r="AD29">
            <v>17.539482</v>
          </cell>
          <cell r="AE29">
            <v>18.099234000000003</v>
          </cell>
          <cell r="AF29">
            <v>31.639499999999998</v>
          </cell>
          <cell r="AG29">
            <v>33.325499999999998</v>
          </cell>
          <cell r="AJ29">
            <v>9.4359999999999999</v>
          </cell>
          <cell r="AK29">
            <v>7.9963333333333333</v>
          </cell>
          <cell r="AL29">
            <v>12.167999999999999</v>
          </cell>
          <cell r="AM29">
            <v>16.765666666666664</v>
          </cell>
          <cell r="AN29">
            <v>10.920333333333334</v>
          </cell>
          <cell r="AO29">
            <v>10.455333333333334</v>
          </cell>
          <cell r="AP29">
            <v>12.193333333333333</v>
          </cell>
          <cell r="AQ29">
            <v>14.846333333333334</v>
          </cell>
          <cell r="AR29">
            <v>11.133666666666665</v>
          </cell>
          <cell r="AS29">
            <v>12.496666666666664</v>
          </cell>
          <cell r="AT29">
            <v>14.492333333333335</v>
          </cell>
          <cell r="AU29">
            <v>13.329666666666666</v>
          </cell>
          <cell r="AV29">
            <v>13.396333333333333</v>
          </cell>
          <cell r="AW29">
            <v>13.040666666666667</v>
          </cell>
          <cell r="AX29">
            <v>11.537666666666667</v>
          </cell>
          <cell r="AY29">
            <v>10.669666666666666</v>
          </cell>
          <cell r="AZ29">
            <v>11.516666666666666</v>
          </cell>
          <cell r="BA29">
            <v>11.964666666666666</v>
          </cell>
          <cell r="BB29">
            <v>11.878</v>
          </cell>
          <cell r="BC29">
            <v>11.71</v>
          </cell>
          <cell r="BD29">
            <v>9.2949999999999999</v>
          </cell>
          <cell r="BE29">
            <v>9.3983333333333334</v>
          </cell>
          <cell r="BF29">
            <v>8.336333333333334</v>
          </cell>
          <cell r="BG29">
            <v>9.9779999999999998</v>
          </cell>
          <cell r="BH29">
            <v>11.994333333333335</v>
          </cell>
          <cell r="BI29">
            <v>12.569666666666668</v>
          </cell>
          <cell r="BJ29">
            <v>14.377333333333333</v>
          </cell>
          <cell r="BK29">
            <v>17.662000000000003</v>
          </cell>
          <cell r="BL29">
            <v>13.545333333333334</v>
          </cell>
          <cell r="BM29">
            <v>11.055999999999999</v>
          </cell>
          <cell r="BN29">
            <v>12.147333333333334</v>
          </cell>
          <cell r="BO29">
            <v>12.904000000000002</v>
          </cell>
          <cell r="BP29">
            <v>11.827333333333334</v>
          </cell>
          <cell r="BQ29">
            <v>11.332000000000001</v>
          </cell>
          <cell r="BR29">
            <v>10.554333333333332</v>
          </cell>
          <cell r="BS29">
            <v>10.284000000000001</v>
          </cell>
          <cell r="BT29">
            <v>11.003</v>
          </cell>
          <cell r="BU29">
            <v>14.819666666666665</v>
          </cell>
          <cell r="BV29">
            <v>17.227333333333334</v>
          </cell>
          <cell r="BW29">
            <v>16.608666666666668</v>
          </cell>
          <cell r="BX29">
            <v>19.112333333333332</v>
          </cell>
          <cell r="BY29">
            <v>17.668666666666667</v>
          </cell>
          <cell r="BZ29">
            <v>19.624333333333336</v>
          </cell>
          <cell r="CA29">
            <v>23.674666666666667</v>
          </cell>
          <cell r="CB29">
            <v>25.048333333333336</v>
          </cell>
          <cell r="CC29">
            <v>19.326666666666668</v>
          </cell>
          <cell r="CD29">
            <v>14.701000000000001</v>
          </cell>
          <cell r="CE29">
            <v>12.558666666666667</v>
          </cell>
          <cell r="CF29">
            <v>12.369333333333332</v>
          </cell>
          <cell r="CG29">
            <v>14.383333333333335</v>
          </cell>
          <cell r="CH29">
            <v>13.928666666666667</v>
          </cell>
          <cell r="CI29">
            <v>16.710333333333335</v>
          </cell>
          <cell r="CJ29">
            <v>22.366666666666664</v>
          </cell>
          <cell r="CK29">
            <v>20.721</v>
          </cell>
          <cell r="CL29">
            <v>19.253</v>
          </cell>
          <cell r="CM29">
            <v>20.584666666666667</v>
          </cell>
          <cell r="CN29">
            <v>21.855666666666664</v>
          </cell>
          <cell r="CO29">
            <v>22.661000000000001</v>
          </cell>
          <cell r="CP29">
            <v>25.302999999999997</v>
          </cell>
          <cell r="CQ29">
            <v>28.837999999999997</v>
          </cell>
          <cell r="CR29">
            <v>25.106999999999999</v>
          </cell>
          <cell r="CS29">
            <v>25.555666666666667</v>
          </cell>
          <cell r="CT29">
            <v>33.291333333333334</v>
          </cell>
          <cell r="CU29">
            <v>37.758999999999993</v>
          </cell>
          <cell r="CV29">
            <v>27.558999999999997</v>
          </cell>
          <cell r="CW29">
            <v>31.289333333333332</v>
          </cell>
          <cell r="CX29">
            <v>34.571666666666665</v>
          </cell>
          <cell r="CY29">
            <v>28.937000000000001</v>
          </cell>
          <cell r="CZ29">
            <v>27.829666666666668</v>
          </cell>
          <cell r="DA29">
            <v>33.288333333333334</v>
          </cell>
          <cell r="DB29">
            <v>37.186666666666667</v>
          </cell>
          <cell r="DC29">
            <v>46.922333333333334</v>
          </cell>
          <cell r="DD29">
            <v>45.780333333333338</v>
          </cell>
          <cell r="DE29">
            <v>47.358333333333327</v>
          </cell>
          <cell r="DF29">
            <v>50.568333333333335</v>
          </cell>
          <cell r="DG29">
            <v>22.322666666666663</v>
          </cell>
          <cell r="DH29">
            <v>19.489000000000001</v>
          </cell>
          <cell r="DI29">
            <v>21.159333333333336</v>
          </cell>
          <cell r="DJ29">
            <v>21.804666666666666</v>
          </cell>
          <cell r="DK29">
            <v>30.089333333333332</v>
          </cell>
          <cell r="DL29">
            <v>32.590000000000003</v>
          </cell>
          <cell r="DM29">
            <v>23.79</v>
          </cell>
          <cell r="DN29">
            <v>21.13</v>
          </cell>
          <cell r="DO29">
            <v>27.66</v>
          </cell>
          <cell r="DP29">
            <v>27.62</v>
          </cell>
          <cell r="DQ29">
            <v>31.67</v>
          </cell>
          <cell r="DR29">
            <v>31.58</v>
          </cell>
          <cell r="DS29">
            <v>36.463333333333331</v>
          </cell>
          <cell r="DT29">
            <v>22.833333333333332</v>
          </cell>
          <cell r="DU29">
            <v>15.766666666666667</v>
          </cell>
          <cell r="DV29">
            <v>14.273333333333333</v>
          </cell>
          <cell r="DW29">
            <v>12.153333333333334</v>
          </cell>
          <cell r="DX29">
            <v>10.23</v>
          </cell>
          <cell r="DY29">
            <v>11.8</v>
          </cell>
          <cell r="DZ29">
            <v>10.813333333333333</v>
          </cell>
          <cell r="EA29">
            <v>11.42</v>
          </cell>
          <cell r="EB29">
            <v>17.308499999999999</v>
          </cell>
          <cell r="EC29">
            <v>15.3480192</v>
          </cell>
          <cell r="ED29">
            <v>15.431982000000001</v>
          </cell>
          <cell r="EE29">
            <v>15.543932399999999</v>
          </cell>
        </row>
        <row r="30">
          <cell r="A30" t="str">
            <v>Ethylene cash costs (purity ethane, Conway) (c/lb)</v>
          </cell>
          <cell r="S30">
            <v>30.614938874999996</v>
          </cell>
          <cell r="T30">
            <v>36.43680225</v>
          </cell>
          <cell r="U30">
            <v>37.262309999999999</v>
          </cell>
          <cell r="V30">
            <v>17.329574999999998</v>
          </cell>
          <cell r="W30">
            <v>19.738447499999999</v>
          </cell>
          <cell r="X30">
            <v>22.056697499999999</v>
          </cell>
          <cell r="Y30">
            <v>10.550354941433566</v>
          </cell>
          <cell r="Z30">
            <v>12.228060751447771</v>
          </cell>
          <cell r="AA30">
            <v>13.682756999999999</v>
          </cell>
          <cell r="AB30">
            <v>14.452415999999999</v>
          </cell>
          <cell r="AC30">
            <v>12.904668000000001</v>
          </cell>
          <cell r="AD30">
            <v>13.324482</v>
          </cell>
          <cell r="AE30">
            <v>13.884234000000003</v>
          </cell>
          <cell r="AF30">
            <v>31.639499999999998</v>
          </cell>
          <cell r="AG30">
            <v>33.325499999999998</v>
          </cell>
          <cell r="AJ30">
            <v>9.6650190000000009</v>
          </cell>
          <cell r="AK30">
            <v>8.6206825000000009</v>
          </cell>
          <cell r="AL30">
            <v>12.8033675</v>
          </cell>
          <cell r="AM30">
            <v>17.463752499999998</v>
          </cell>
          <cell r="AN30">
            <v>11.396259999999998</v>
          </cell>
          <cell r="AO30">
            <v>10.882170500000001</v>
          </cell>
          <cell r="AP30">
            <v>12.420223999999997</v>
          </cell>
          <cell r="AQ30">
            <v>14.8378075</v>
          </cell>
          <cell r="AR30">
            <v>11.385160500000001</v>
          </cell>
          <cell r="AS30">
            <v>12.596411</v>
          </cell>
          <cell r="AT30">
            <v>14.5169055</v>
          </cell>
          <cell r="AU30">
            <v>13.270670499999998</v>
          </cell>
          <cell r="AV30">
            <v>13.398806499999999</v>
          </cell>
          <cell r="AW30">
            <v>12.869261999999999</v>
          </cell>
          <cell r="AX30">
            <v>11.466088499999998</v>
          </cell>
          <cell r="AY30">
            <v>10.4980435</v>
          </cell>
          <cell r="AZ30">
            <v>11.264189999999999</v>
          </cell>
          <cell r="BA30">
            <v>11.931986500000001</v>
          </cell>
          <cell r="BB30">
            <v>12.024435499999999</v>
          </cell>
          <cell r="BC30">
            <v>12.090470499999999</v>
          </cell>
          <cell r="BD30">
            <v>9.832354500000001</v>
          </cell>
          <cell r="BE30">
            <v>9.9652674999999995</v>
          </cell>
          <cell r="BF30">
            <v>8.8810289999999998</v>
          </cell>
          <cell r="BG30">
            <v>10.075981499999997</v>
          </cell>
          <cell r="BH30">
            <v>12.027807499999998</v>
          </cell>
          <cell r="BI30">
            <v>12.646569500000002</v>
          </cell>
          <cell r="BJ30">
            <v>14.433729499999998</v>
          </cell>
          <cell r="BK30">
            <v>17.673097500000001</v>
          </cell>
          <cell r="BL30">
            <v>13.671517000000001</v>
          </cell>
          <cell r="BM30">
            <v>11.363523499999999</v>
          </cell>
          <cell r="BN30">
            <v>12.320890500000001</v>
          </cell>
          <cell r="BO30">
            <v>12.729043000000001</v>
          </cell>
          <cell r="BP30">
            <v>11.842487999999999</v>
          </cell>
          <cell r="BQ30">
            <v>11.151509000000001</v>
          </cell>
          <cell r="BR30">
            <v>10.328741000000001</v>
          </cell>
          <cell r="BS30">
            <v>9.9356219999999986</v>
          </cell>
          <cell r="BT30">
            <v>10.785787499999998</v>
          </cell>
          <cell r="BU30">
            <v>14.526319000000001</v>
          </cell>
          <cell r="BV30">
            <v>16.970035500000002</v>
          </cell>
          <cell r="BW30">
            <v>16.570453499999999</v>
          </cell>
          <cell r="BX30">
            <v>19.259061500000001</v>
          </cell>
          <cell r="BY30">
            <v>17.813878500000001</v>
          </cell>
          <cell r="BZ30">
            <v>19.438479999999998</v>
          </cell>
          <cell r="CA30">
            <v>22.950277499999999</v>
          </cell>
          <cell r="CB30">
            <v>23.546699999999998</v>
          </cell>
          <cell r="CC30">
            <v>18.495163000000002</v>
          </cell>
          <cell r="CD30">
            <v>14.2061195</v>
          </cell>
          <cell r="CE30">
            <v>12.0944045</v>
          </cell>
          <cell r="CF30">
            <v>12.0514115</v>
          </cell>
          <cell r="CG30">
            <v>14.0389245</v>
          </cell>
          <cell r="CH30">
            <v>13.8292985</v>
          </cell>
          <cell r="CI30">
            <v>16.0244705</v>
          </cell>
          <cell r="CJ30">
            <v>21.073619000000001</v>
          </cell>
          <cell r="CK30">
            <v>19.699528999999998</v>
          </cell>
          <cell r="CL30">
            <v>18.381920000000001</v>
          </cell>
          <cell r="CM30">
            <v>19.959734999999998</v>
          </cell>
          <cell r="CN30">
            <v>21.084858999999994</v>
          </cell>
          <cell r="CO30">
            <v>22.084235499999995</v>
          </cell>
          <cell r="CP30">
            <v>25.010990999999997</v>
          </cell>
          <cell r="CQ30">
            <v>28.379759499999995</v>
          </cell>
          <cell r="CR30">
            <v>24.973898999999999</v>
          </cell>
          <cell r="CS30">
            <v>25.040215</v>
          </cell>
          <cell r="CT30">
            <v>31.956046499999996</v>
          </cell>
          <cell r="CU30">
            <v>35.1001555</v>
          </cell>
          <cell r="CV30">
            <v>27.002718999999999</v>
          </cell>
          <cell r="CW30">
            <v>31.537496999999995</v>
          </cell>
          <cell r="CX30">
            <v>34.918348500000008</v>
          </cell>
          <cell r="CY30">
            <v>29.001190999999995</v>
          </cell>
          <cell r="CZ30">
            <v>27.842487499999997</v>
          </cell>
          <cell r="DA30">
            <v>33.445487</v>
          </cell>
          <cell r="DB30">
            <v>37.479663499999994</v>
          </cell>
          <cell r="DC30">
            <v>46.979571</v>
          </cell>
          <cell r="DD30">
            <v>41.477310000000003</v>
          </cell>
          <cell r="DE30">
            <v>46.147529999999996</v>
          </cell>
          <cell r="DF30">
            <v>47.441534999999995</v>
          </cell>
          <cell r="DG30">
            <v>13.982865</v>
          </cell>
          <cell r="DH30">
            <v>13.826909999999998</v>
          </cell>
          <cell r="DI30">
            <v>15.158849999999997</v>
          </cell>
          <cell r="DJ30">
            <v>15.163065</v>
          </cell>
          <cell r="DK30">
            <v>25.169474999999998</v>
          </cell>
          <cell r="DL30">
            <v>27.660540000000001</v>
          </cell>
          <cell r="DM30">
            <v>16.271609999999999</v>
          </cell>
          <cell r="DN30">
            <v>14.484449999999999</v>
          </cell>
          <cell r="DO30">
            <v>20.537189999999995</v>
          </cell>
          <cell r="DP30">
            <v>22.897589999999997</v>
          </cell>
          <cell r="DQ30">
            <v>25.177904999999999</v>
          </cell>
          <cell r="DR30">
            <v>22.682624999999998</v>
          </cell>
          <cell r="DS30">
            <v>17.468669999999999</v>
          </cell>
          <cell r="DT30">
            <v>14.404300153846155</v>
          </cell>
          <cell r="DU30">
            <v>7.8491970000000002</v>
          </cell>
          <cell r="DV30">
            <v>9.0861373846153839</v>
          </cell>
          <cell r="DW30">
            <v>10.861785227272728</v>
          </cell>
          <cell r="DX30">
            <v>13.023754921875</v>
          </cell>
          <cell r="DY30">
            <v>11.722133538461538</v>
          </cell>
          <cell r="DZ30">
            <v>11.867509772727274</v>
          </cell>
          <cell r="EA30">
            <v>12.298844772727275</v>
          </cell>
          <cell r="EB30">
            <v>13.0092</v>
          </cell>
          <cell r="EC30">
            <v>13.240519199999998</v>
          </cell>
          <cell r="ED30">
            <v>13.324482</v>
          </cell>
          <cell r="EE30">
            <v>13.436432400000001</v>
          </cell>
        </row>
        <row r="31">
          <cell r="A31" t="str">
            <v>Ethylene cash costs (purity ethane, LYB) (c/lb)</v>
          </cell>
          <cell r="C31">
            <v>11.741843978124997</v>
          </cell>
          <cell r="D31">
            <v>12.180910929166664</v>
          </cell>
          <cell r="E31">
            <v>12.884864307291663</v>
          </cell>
          <cell r="F31">
            <v>12.132749201041666</v>
          </cell>
          <cell r="G31">
            <v>11.783953588541666</v>
          </cell>
          <cell r="H31">
            <v>9.372020567708331</v>
          </cell>
          <cell r="I31">
            <v>14.163061941666665</v>
          </cell>
          <cell r="J31">
            <v>12.442887795833332</v>
          </cell>
          <cell r="K31">
            <v>10.948589333333331</v>
          </cell>
          <cell r="L31">
            <v>14.85924927395833</v>
          </cell>
          <cell r="M31">
            <v>19.977491703124997</v>
          </cell>
          <cell r="N31">
            <v>17.682322439583331</v>
          </cell>
          <cell r="O31">
            <v>14.248396802083331</v>
          </cell>
          <cell r="P31">
            <v>20.469359372916664</v>
          </cell>
          <cell r="Q31">
            <v>24.520191427083329</v>
          </cell>
          <cell r="R31">
            <v>30.109065474999994</v>
          </cell>
          <cell r="S31">
            <v>30.596314440624994</v>
          </cell>
          <cell r="T31">
            <v>36.342514368749995</v>
          </cell>
          <cell r="U31">
            <v>40.340012333333327</v>
          </cell>
          <cell r="V31">
            <v>21.538931041666661</v>
          </cell>
          <cell r="W31">
            <v>24.490135562499994</v>
          </cell>
          <cell r="X31">
            <v>29.144758479166661</v>
          </cell>
          <cell r="Y31">
            <v>14.687430942227561</v>
          </cell>
          <cell r="Z31">
            <v>11.385445873314803</v>
          </cell>
          <cell r="AA31">
            <v>13.682756999999995</v>
          </cell>
          <cell r="AB31">
            <v>15.980353499999994</v>
          </cell>
          <cell r="AC31">
            <v>15.960542999999998</v>
          </cell>
          <cell r="AD31">
            <v>16.380356999999997</v>
          </cell>
          <cell r="AE31">
            <v>16.940109</v>
          </cell>
          <cell r="AF31">
            <v>31.639499999999991</v>
          </cell>
          <cell r="AG31">
            <v>33.325499999999991</v>
          </cell>
          <cell r="AJ31">
            <v>9.4989802249999986</v>
          </cell>
          <cell r="AK31">
            <v>8.1680293541666646</v>
          </cell>
          <cell r="AL31">
            <v>12.342726062499997</v>
          </cell>
          <cell r="AM31">
            <v>16.957640270833327</v>
          </cell>
          <cell r="AN31">
            <v>11.051213166666665</v>
          </cell>
          <cell r="AO31">
            <v>10.572713554166665</v>
          </cell>
          <cell r="AP31">
            <v>12.255728266666663</v>
          </cell>
          <cell r="AQ31">
            <v>14.843988729166664</v>
          </cell>
          <cell r="AR31">
            <v>11.202827470833331</v>
          </cell>
          <cell r="AS31">
            <v>12.524096358333329</v>
          </cell>
          <cell r="AT31">
            <v>14.499090679166667</v>
          </cell>
          <cell r="AU31">
            <v>13.313442720833331</v>
          </cell>
          <cell r="AV31">
            <v>13.397013454166665</v>
          </cell>
          <cell r="AW31">
            <v>12.993530383333331</v>
          </cell>
          <cell r="AX31">
            <v>11.517982670833332</v>
          </cell>
          <cell r="AY31">
            <v>10.622470295833331</v>
          </cell>
          <cell r="AZ31">
            <v>11.447235583333331</v>
          </cell>
          <cell r="BA31">
            <v>11.955679620833331</v>
          </cell>
          <cell r="BB31">
            <v>11.9182697625</v>
          </cell>
          <cell r="BC31">
            <v>11.814629387499998</v>
          </cell>
          <cell r="BD31">
            <v>9.4427724874999974</v>
          </cell>
          <cell r="BE31">
            <v>9.5542402291666644</v>
          </cell>
          <cell r="BF31">
            <v>8.4861246416666667</v>
          </cell>
          <cell r="BG31">
            <v>10.004944912499997</v>
          </cell>
          <cell r="BH31">
            <v>12.003538729166666</v>
          </cell>
          <cell r="BI31">
            <v>12.590814945833333</v>
          </cell>
          <cell r="BJ31">
            <v>14.392842279166663</v>
          </cell>
          <cell r="BK31">
            <v>17.6650518125</v>
          </cell>
          <cell r="BL31">
            <v>13.580033841666665</v>
          </cell>
          <cell r="BM31">
            <v>11.140568962499998</v>
          </cell>
          <cell r="BN31">
            <v>12.195061554166667</v>
          </cell>
          <cell r="BO31">
            <v>12.855886824999999</v>
          </cell>
          <cell r="BP31">
            <v>11.831500866666666</v>
          </cell>
          <cell r="BQ31">
            <v>11.282364974999998</v>
          </cell>
          <cell r="BR31">
            <v>10.492295441666665</v>
          </cell>
          <cell r="BS31">
            <v>10.188196049999998</v>
          </cell>
          <cell r="BT31">
            <v>10.943266562499998</v>
          </cell>
          <cell r="BU31">
            <v>14.738996058333329</v>
          </cell>
          <cell r="BV31">
            <v>17.156576429166662</v>
          </cell>
          <cell r="BW31">
            <v>16.59815804583333</v>
          </cell>
          <cell r="BX31">
            <v>19.152683579166663</v>
          </cell>
          <cell r="BY31">
            <v>17.708599920833329</v>
          </cell>
          <cell r="BZ31">
            <v>19.573223666666664</v>
          </cell>
          <cell r="CA31">
            <v>23.475459645833332</v>
          </cell>
          <cell r="CB31">
            <v>24.635384166666661</v>
          </cell>
          <cell r="CC31">
            <v>19.098003158333331</v>
          </cell>
          <cell r="CD31">
            <v>14.564907862499997</v>
          </cell>
          <cell r="CE31">
            <v>12.430994570833331</v>
          </cell>
          <cell r="CF31">
            <v>12.281904829166663</v>
          </cell>
          <cell r="CG31">
            <v>14.288620904166667</v>
          </cell>
          <cell r="CH31">
            <v>13.90134042083333</v>
          </cell>
          <cell r="CI31">
            <v>16.521721054166665</v>
          </cell>
          <cell r="CJ31">
            <v>22.011078558333327</v>
          </cell>
          <cell r="CK31">
            <v>20.440095474999996</v>
          </cell>
          <cell r="CL31">
            <v>19.013452999999998</v>
          </cell>
          <cell r="CM31">
            <v>20.412810458333329</v>
          </cell>
          <cell r="CN31">
            <v>21.643694558333326</v>
          </cell>
          <cell r="CO31">
            <v>22.502389762499995</v>
          </cell>
          <cell r="CP31">
            <v>25.222697524999994</v>
          </cell>
          <cell r="CQ31">
            <v>28.711983862499991</v>
          </cell>
          <cell r="CR31">
            <v>25.070397224999994</v>
          </cell>
          <cell r="CS31">
            <v>25.41391745833333</v>
          </cell>
          <cell r="CT31">
            <v>32.92412945416666</v>
          </cell>
          <cell r="CU31">
            <v>37.027817762499993</v>
          </cell>
          <cell r="CV31">
            <v>27.406022724999993</v>
          </cell>
          <cell r="CW31">
            <v>31.35757834166666</v>
          </cell>
          <cell r="CX31">
            <v>34.66700417083333</v>
          </cell>
          <cell r="CY31">
            <v>28.954652524999993</v>
          </cell>
          <cell r="CZ31">
            <v>27.833192395833329</v>
          </cell>
          <cell r="DA31">
            <v>33.331550591666662</v>
          </cell>
          <cell r="DB31">
            <v>37.267240795833324</v>
          </cell>
          <cell r="DC31">
            <v>46.938073691666659</v>
          </cell>
          <cell r="DD31">
            <v>44.59700191666667</v>
          </cell>
          <cell r="DE31">
            <v>47.025362416666653</v>
          </cell>
          <cell r="DF31">
            <v>49.708463791666659</v>
          </cell>
          <cell r="DG31">
            <v>20.029221208333329</v>
          </cell>
          <cell r="DH31">
            <v>17.931925249999995</v>
          </cell>
          <cell r="DI31">
            <v>19.509200416666665</v>
          </cell>
          <cell r="DJ31">
            <v>19.978226208333329</v>
          </cell>
          <cell r="DK31">
            <v>28.736372291666658</v>
          </cell>
          <cell r="DL31">
            <v>31.234398499999998</v>
          </cell>
          <cell r="DM31">
            <v>21.722442749999995</v>
          </cell>
          <cell r="DN31">
            <v>19.302473749999997</v>
          </cell>
          <cell r="DO31">
            <v>25.701227249999995</v>
          </cell>
          <cell r="DP31">
            <v>26.321337249999996</v>
          </cell>
          <cell r="DQ31">
            <v>29.884673874999997</v>
          </cell>
          <cell r="DR31">
            <v>29.133221874999993</v>
          </cell>
          <cell r="DS31">
            <v>31.23980091666666</v>
          </cell>
          <cell r="DT31">
            <v>20.515349208974357</v>
          </cell>
          <cell r="DU31">
            <v>13.589362508333332</v>
          </cell>
          <cell r="DV31">
            <v>12.846854447435895</v>
          </cell>
          <cell r="DW31">
            <v>11.798157604166665</v>
          </cell>
          <cell r="DX31">
            <v>10.998282603515623</v>
          </cell>
          <cell r="DY31">
            <v>11.778586723076922</v>
          </cell>
          <cell r="DZ31">
            <v>11.103231854166665</v>
          </cell>
          <cell r="EA31">
            <v>11.661682312499998</v>
          </cell>
          <cell r="EB31">
            <v>16.126192499999995</v>
          </cell>
          <cell r="EC31">
            <v>14.768456699999996</v>
          </cell>
          <cell r="ED31">
            <v>14.852419499999998</v>
          </cell>
          <cell r="EE31">
            <v>14.964369899999998</v>
          </cell>
          <cell r="EF31" t="str">
            <v xml:space="preserve"> </v>
          </cell>
        </row>
        <row r="32">
          <cell r="A32" t="str">
            <v>Ethylene cash costs (naphtha) (c/lb)</v>
          </cell>
          <cell r="C32">
            <v>13.768583333333336</v>
          </cell>
          <cell r="D32">
            <v>14.801666666666666</v>
          </cell>
          <cell r="E32">
            <v>15.042416666666668</v>
          </cell>
          <cell r="F32">
            <v>13.7845</v>
          </cell>
          <cell r="G32">
            <v>10.239083333333333</v>
          </cell>
          <cell r="H32">
            <v>8.8122499999999988</v>
          </cell>
          <cell r="I32">
            <v>15.588583333333332</v>
          </cell>
          <cell r="J32">
            <v>13.029749999999998</v>
          </cell>
          <cell r="K32">
            <v>11.172666666666666</v>
          </cell>
          <cell r="L32">
            <v>14.965666666666667</v>
          </cell>
          <cell r="M32">
            <v>21.577916666666667</v>
          </cell>
          <cell r="N32">
            <v>18.779416666666666</v>
          </cell>
          <cell r="O32">
            <v>17.511500000000002</v>
          </cell>
          <cell r="P32">
            <v>20.490916666666667</v>
          </cell>
          <cell r="Q32">
            <v>23.436666666666667</v>
          </cell>
          <cell r="R32">
            <v>28.465083333333336</v>
          </cell>
          <cell r="S32">
            <v>31.821416666666668</v>
          </cell>
          <cell r="T32">
            <v>40.753749999999997</v>
          </cell>
          <cell r="U32">
            <v>53.017500000000005</v>
          </cell>
          <cell r="V32">
            <v>35.638750000000002</v>
          </cell>
          <cell r="W32">
            <v>42.178333333333327</v>
          </cell>
          <cell r="X32">
            <v>48.539166666666667</v>
          </cell>
          <cell r="Y32">
            <v>44.113</v>
          </cell>
          <cell r="Z32">
            <v>44.113</v>
          </cell>
          <cell r="AA32">
            <v>56.016800000000003</v>
          </cell>
          <cell r="AB32">
            <v>53.016800000000003</v>
          </cell>
          <cell r="AC32">
            <v>51.016800000000003</v>
          </cell>
          <cell r="AD32">
            <v>49.766800000000003</v>
          </cell>
          <cell r="AE32">
            <v>48.766800000000003</v>
          </cell>
          <cell r="AF32">
            <v>48.266800000000003</v>
          </cell>
          <cell r="AG32">
            <v>47.766800000000003</v>
          </cell>
          <cell r="AJ32">
            <v>10.901333333333334</v>
          </cell>
          <cell r="AK32">
            <v>7.916666666666667</v>
          </cell>
          <cell r="AL32">
            <v>16.321666666666669</v>
          </cell>
          <cell r="AM32">
            <v>19.934666666666669</v>
          </cell>
          <cell r="AN32">
            <v>13.814666666666668</v>
          </cell>
          <cell r="AO32">
            <v>13.696</v>
          </cell>
          <cell r="AP32">
            <v>15.378</v>
          </cell>
          <cell r="AQ32">
            <v>16.317999999999998</v>
          </cell>
          <cell r="AR32">
            <v>14.27</v>
          </cell>
          <cell r="AS32">
            <v>13.987333333333334</v>
          </cell>
          <cell r="AT32">
            <v>16.038666666666668</v>
          </cell>
          <cell r="AU32">
            <v>15.873666666666667</v>
          </cell>
          <cell r="AV32">
            <v>15.749333333333334</v>
          </cell>
          <cell r="AW32">
            <v>14.454666666666668</v>
          </cell>
          <cell r="AX32">
            <v>12.857999999999999</v>
          </cell>
          <cell r="AY32">
            <v>12.076000000000001</v>
          </cell>
          <cell r="AZ32">
            <v>11.786999999999999</v>
          </cell>
          <cell r="BA32">
            <v>10.842333333333334</v>
          </cell>
          <cell r="BB32">
            <v>9.2476666666666674</v>
          </cell>
          <cell r="BC32">
            <v>9.0793333333333326</v>
          </cell>
          <cell r="BD32">
            <v>7.7786666666666662</v>
          </cell>
          <cell r="BE32">
            <v>7.9523333333333328</v>
          </cell>
          <cell r="BF32">
            <v>7.7210000000000001</v>
          </cell>
          <cell r="BG32">
            <v>11.796999999999999</v>
          </cell>
          <cell r="BH32">
            <v>14.866999999999999</v>
          </cell>
          <cell r="BI32">
            <v>14.068</v>
          </cell>
          <cell r="BJ32">
            <v>14.608666666666666</v>
          </cell>
          <cell r="BK32">
            <v>18.810666666666666</v>
          </cell>
          <cell r="BL32">
            <v>16.071999999999999</v>
          </cell>
          <cell r="BM32">
            <v>10.953000000000001</v>
          </cell>
          <cell r="BN32">
            <v>11.663666666666666</v>
          </cell>
          <cell r="BO32">
            <v>13.430333333333332</v>
          </cell>
          <cell r="BP32">
            <v>11.696666666666667</v>
          </cell>
          <cell r="BQ32">
            <v>11.067999999999998</v>
          </cell>
          <cell r="BR32">
            <v>10.903666666666666</v>
          </cell>
          <cell r="BS32">
            <v>11.022333333333334</v>
          </cell>
          <cell r="BT32">
            <v>10.753</v>
          </cell>
          <cell r="BU32">
            <v>13.064</v>
          </cell>
          <cell r="BV32">
            <v>17.490333333333332</v>
          </cell>
          <cell r="BW32">
            <v>18.555333333333333</v>
          </cell>
          <cell r="BX32">
            <v>23.782666666666668</v>
          </cell>
          <cell r="BY32">
            <v>16.071999999999999</v>
          </cell>
          <cell r="BZ32">
            <v>20.431333333333331</v>
          </cell>
          <cell r="CA32">
            <v>26.025666666666666</v>
          </cell>
          <cell r="CB32">
            <v>21.858000000000001</v>
          </cell>
          <cell r="CC32">
            <v>19.013666666666666</v>
          </cell>
          <cell r="CD32">
            <v>19.824000000000002</v>
          </cell>
          <cell r="CE32">
            <v>14.422000000000002</v>
          </cell>
          <cell r="CF32">
            <v>16.397333333333332</v>
          </cell>
          <cell r="CG32">
            <v>16.586000000000002</v>
          </cell>
          <cell r="CH32">
            <v>16.692666666666668</v>
          </cell>
          <cell r="CI32">
            <v>20.37</v>
          </cell>
          <cell r="CJ32">
            <v>24.883333333333336</v>
          </cell>
          <cell r="CK32">
            <v>14.852666666666666</v>
          </cell>
          <cell r="CL32">
            <v>19.404</v>
          </cell>
          <cell r="CM32">
            <v>22.823666666666668</v>
          </cell>
          <cell r="CN32">
            <v>23.487666666666669</v>
          </cell>
          <cell r="CO32">
            <v>21.094333333333335</v>
          </cell>
          <cell r="CP32">
            <v>24.125333333333334</v>
          </cell>
          <cell r="CQ32">
            <v>25.039333333333332</v>
          </cell>
          <cell r="CR32">
            <v>22.740333333333336</v>
          </cell>
          <cell r="CS32">
            <v>26.003666666666664</v>
          </cell>
          <cell r="CT32">
            <v>34.250999999999998</v>
          </cell>
          <cell r="CU32">
            <v>30.865333333333336</v>
          </cell>
          <cell r="CV32">
            <v>33.19533333333333</v>
          </cell>
          <cell r="CW32">
            <v>34.283666666666669</v>
          </cell>
          <cell r="CX32">
            <v>32.213666666666661</v>
          </cell>
          <cell r="CY32">
            <v>27.593</v>
          </cell>
          <cell r="CZ32">
            <v>30.609333333333336</v>
          </cell>
          <cell r="DA32">
            <v>36.530999999999999</v>
          </cell>
          <cell r="DB32">
            <v>40.714666666666666</v>
          </cell>
          <cell r="DC32">
            <v>55.16</v>
          </cell>
          <cell r="DD32">
            <v>57.388333333333343</v>
          </cell>
          <cell r="DE32">
            <v>72.649000000000001</v>
          </cell>
          <cell r="DF32">
            <v>59.018000000000001</v>
          </cell>
          <cell r="DG32">
            <v>23.014666666666667</v>
          </cell>
          <cell r="DH32">
            <v>33.147666666666666</v>
          </cell>
          <cell r="DI32">
            <v>36.42433333333333</v>
          </cell>
          <cell r="DJ32">
            <v>31.523</v>
          </cell>
          <cell r="DK32">
            <v>41.46</v>
          </cell>
          <cell r="DL32">
            <v>41.250666666666667</v>
          </cell>
          <cell r="DM32">
            <v>38.351666666666667</v>
          </cell>
          <cell r="DN32">
            <v>37.290333333333329</v>
          </cell>
          <cell r="DO32">
            <v>51.820666666666661</v>
          </cell>
          <cell r="DP32">
            <v>49.56</v>
          </cell>
          <cell r="DQ32">
            <v>45.28</v>
          </cell>
          <cell r="DR32">
            <v>42.13</v>
          </cell>
          <cell r="DS32">
            <v>57.186666666666667</v>
          </cell>
          <cell r="DT32">
            <v>53.556666666666672</v>
          </cell>
          <cell r="DU32">
            <v>34.56</v>
          </cell>
          <cell r="DV32">
            <v>45.983333333333327</v>
          </cell>
          <cell r="DW32">
            <v>52.68</v>
          </cell>
          <cell r="DX32">
            <v>45.196666666666665</v>
          </cell>
          <cell r="DY32">
            <v>42.56666666666667</v>
          </cell>
          <cell r="DZ32">
            <v>50.603333333333332</v>
          </cell>
          <cell r="EA32">
            <v>50.01</v>
          </cell>
          <cell r="EB32">
            <v>42.49</v>
          </cell>
          <cell r="EC32">
            <v>40.550000000000004</v>
          </cell>
          <cell r="ED32">
            <v>56.829300000000003</v>
          </cell>
          <cell r="EE32">
            <v>56.034300000000002</v>
          </cell>
        </row>
        <row r="33">
          <cell r="A33" t="str">
            <v>factor vs. Brent crude</v>
          </cell>
          <cell r="CV33">
            <v>1.8358002128813289</v>
          </cell>
          <cell r="CW33">
            <v>2.0099950413705261</v>
          </cell>
          <cell r="CX33">
            <v>2.1475357250028462</v>
          </cell>
          <cell r="CY33">
            <v>2.012466930018483</v>
          </cell>
          <cell r="CZ33">
            <v>1.9026876334015768</v>
          </cell>
          <cell r="DA33">
            <v>1.8800470832991161</v>
          </cell>
          <cell r="DB33">
            <v>1.8393862981399005</v>
          </cell>
          <cell r="DC33">
            <v>1.6080493110949965</v>
          </cell>
          <cell r="DD33">
            <v>1.6850114715534514</v>
          </cell>
          <cell r="DE33">
            <v>1.6817850211289902</v>
          </cell>
          <cell r="DF33">
            <v>1.9551662204751092</v>
          </cell>
          <cell r="DG33">
            <v>2.4236718614217021</v>
          </cell>
          <cell r="DH33">
            <v>1.3497179288637713</v>
          </cell>
          <cell r="DI33">
            <v>1.6239144161869814</v>
          </cell>
          <cell r="DJ33">
            <v>2.1765060432065475</v>
          </cell>
          <cell r="DK33">
            <v>1.8135552339604437</v>
          </cell>
          <cell r="DL33">
            <v>1.8625153532872196</v>
          </cell>
          <cell r="DM33">
            <v>2.057276954500022</v>
          </cell>
          <cell r="DN33">
            <v>2.0643419652993185</v>
          </cell>
          <cell r="DO33">
            <v>1.6780949685453681</v>
          </cell>
          <cell r="DP33">
            <v>2.1238902340597257</v>
          </cell>
          <cell r="DQ33">
            <v>2.5874558303886923</v>
          </cell>
          <cell r="DR33">
            <v>2.6911939235699025</v>
          </cell>
          <cell r="DS33">
            <v>1.9133247843320123</v>
          </cell>
          <cell r="DT33">
            <v>2.2114893881869668</v>
          </cell>
          <cell r="DU33">
            <v>3.1466049382716048</v>
          </cell>
          <cell r="DV33">
            <v>2.3573223297181261</v>
          </cell>
          <cell r="DW33">
            <v>2.0904201467982788</v>
          </cell>
          <cell r="DX33">
            <v>2.5039457187108196</v>
          </cell>
          <cell r="DY33">
            <v>2.4281910728269378</v>
          </cell>
          <cell r="DZ33">
            <v>2.1778538963177656</v>
          </cell>
          <cell r="EA33">
            <v>2.1715475086800828</v>
          </cell>
          <cell r="EB33">
            <v>2.5234172746528594</v>
          </cell>
          <cell r="EC33">
            <v>2.638717632552404</v>
          </cell>
          <cell r="ED33">
            <v>1.8696341499895299</v>
          </cell>
          <cell r="EE33">
            <v>1.8677845533896202</v>
          </cell>
        </row>
        <row r="34">
          <cell r="A34" t="str">
            <v>Ethylene cash costs (weighted avg feed) (c/lb), CMAI</v>
          </cell>
          <cell r="C34">
            <v>12.206666666666667</v>
          </cell>
          <cell r="D34">
            <v>13.10125</v>
          </cell>
          <cell r="E34">
            <v>13.735500000000002</v>
          </cell>
          <cell r="F34">
            <v>13.045083333333332</v>
          </cell>
          <cell r="G34">
            <v>11.289416666666666</v>
          </cell>
          <cell r="H34">
            <v>9.2462500000000016</v>
          </cell>
          <cell r="I34">
            <v>15.045166666666667</v>
          </cell>
          <cell r="J34">
            <v>12.700083333333334</v>
          </cell>
          <cell r="K34">
            <v>10.947583333333334</v>
          </cell>
          <cell r="L34">
            <v>14.787083333333332</v>
          </cell>
          <cell r="M34">
            <v>20.579166666666669</v>
          </cell>
          <cell r="N34">
            <v>18.020833333333332</v>
          </cell>
          <cell r="O34">
            <v>15.280916666666666</v>
          </cell>
          <cell r="P34">
            <v>20.311166666666665</v>
          </cell>
          <cell r="Q34">
            <v>23.680916666666668</v>
          </cell>
          <cell r="R34">
            <v>29.57533333333334</v>
          </cell>
          <cell r="S34">
            <v>31.032083333333336</v>
          </cell>
          <cell r="T34">
            <v>37.932749999999999</v>
          </cell>
          <cell r="U34">
            <v>45.386083333333332</v>
          </cell>
          <cell r="V34">
            <v>26.2</v>
          </cell>
          <cell r="W34">
            <v>30.024666666666668</v>
          </cell>
          <cell r="X34">
            <v>35.600833333333334</v>
          </cell>
          <cell r="Y34">
            <v>21.394166666666667</v>
          </cell>
          <cell r="Z34">
            <v>16.182500000000001</v>
          </cell>
          <cell r="AA34">
            <v>18.749166666666667</v>
          </cell>
          <cell r="AB34">
            <v>38.090000000000003</v>
          </cell>
          <cell r="AC34">
            <v>38.090000000000003</v>
          </cell>
          <cell r="AD34">
            <v>38.090000000000003</v>
          </cell>
          <cell r="AE34">
            <v>38.090000000000003</v>
          </cell>
          <cell r="AF34">
            <v>38.090000000000003</v>
          </cell>
          <cell r="AG34">
            <v>38.090000000000003</v>
          </cell>
          <cell r="AJ34">
            <v>10.547333333333333</v>
          </cell>
          <cell r="AK34">
            <v>7.5203333333333333</v>
          </cell>
          <cell r="AL34">
            <v>13.524666666666667</v>
          </cell>
          <cell r="AM34">
            <v>17.234333333333336</v>
          </cell>
          <cell r="AN34">
            <v>11.651666666666666</v>
          </cell>
          <cell r="AO34">
            <v>11.417666666666667</v>
          </cell>
          <cell r="AP34">
            <v>13.456666666666669</v>
          </cell>
          <cell r="AQ34">
            <v>15.879</v>
          </cell>
          <cell r="AR34">
            <v>12.295666666666667</v>
          </cell>
          <cell r="AS34">
            <v>13.126333333333335</v>
          </cell>
          <cell r="AT34">
            <v>15.161666666666667</v>
          </cell>
          <cell r="AU34">
            <v>14.358333333333334</v>
          </cell>
          <cell r="AV34">
            <v>14.565</v>
          </cell>
          <cell r="AW34">
            <v>13.766</v>
          </cell>
          <cell r="AX34">
            <v>12.359666666666667</v>
          </cell>
          <cell r="AY34">
            <v>11.489666666666666</v>
          </cell>
          <cell r="AZ34">
            <v>11.847333333333333</v>
          </cell>
          <cell r="BA34">
            <v>11.576999999999998</v>
          </cell>
          <cell r="BB34">
            <v>10.865333333333334</v>
          </cell>
          <cell r="BC34">
            <v>10.868</v>
          </cell>
          <cell r="BD34">
            <v>8.9146666666666672</v>
          </cell>
          <cell r="BE34">
            <v>8.7310000000000016</v>
          </cell>
          <cell r="BF34">
            <v>8.3433333333333337</v>
          </cell>
          <cell r="BG34">
            <v>10.996</v>
          </cell>
          <cell r="BH34">
            <v>13.498333333333333</v>
          </cell>
          <cell r="BI34">
            <v>12.98</v>
          </cell>
          <cell r="BJ34">
            <v>14.701333333333332</v>
          </cell>
          <cell r="BK34">
            <v>19.001000000000001</v>
          </cell>
          <cell r="BL34">
            <v>14.505000000000001</v>
          </cell>
          <cell r="BM34">
            <v>11.115333333333332</v>
          </cell>
          <cell r="BN34">
            <v>12.061</v>
          </cell>
          <cell r="BO34">
            <v>13.119</v>
          </cell>
          <cell r="BP34">
            <v>11.620333333333335</v>
          </cell>
          <cell r="BQ34">
            <v>11.122</v>
          </cell>
          <cell r="BR34">
            <v>10.563333333333333</v>
          </cell>
          <cell r="BS34">
            <v>10.484666666666667</v>
          </cell>
          <cell r="BT34">
            <v>10.751666666666665</v>
          </cell>
          <cell r="BU34">
            <v>13.998333333333333</v>
          </cell>
          <cell r="BV34">
            <v>17.176666666666666</v>
          </cell>
          <cell r="BW34">
            <v>17.221666666666664</v>
          </cell>
          <cell r="BX34">
            <v>20.944333333333333</v>
          </cell>
          <cell r="BY34">
            <v>16.888000000000002</v>
          </cell>
          <cell r="BZ34">
            <v>20.047666666666668</v>
          </cell>
          <cell r="CA34">
            <v>24.436666666666667</v>
          </cell>
          <cell r="CB34">
            <v>23.170333333333332</v>
          </cell>
          <cell r="CC34">
            <v>19.149000000000001</v>
          </cell>
          <cell r="CD34">
            <v>16.524999999999999</v>
          </cell>
          <cell r="CE34">
            <v>13.238999999999999</v>
          </cell>
          <cell r="CF34">
            <v>13.580999999999998</v>
          </cell>
          <cell r="CG34">
            <v>14.703999999999999</v>
          </cell>
          <cell r="CH34">
            <v>14.753333333333332</v>
          </cell>
          <cell r="CI34">
            <v>18.085333333333335</v>
          </cell>
          <cell r="CJ34">
            <v>22.977999999999998</v>
          </cell>
          <cell r="CK34">
            <v>17.692</v>
          </cell>
          <cell r="CL34">
            <v>19.123999999999999</v>
          </cell>
          <cell r="CM34">
            <v>21.450666666666667</v>
          </cell>
          <cell r="CN34">
            <v>22.259</v>
          </cell>
          <cell r="CO34">
            <v>20.918000000000003</v>
          </cell>
          <cell r="CP34">
            <v>24.713999999999999</v>
          </cell>
          <cell r="CQ34">
            <v>26.832666666666665</v>
          </cell>
          <cell r="CR34">
            <v>23.570666666666668</v>
          </cell>
          <cell r="CS34">
            <v>25.97366666666667</v>
          </cell>
          <cell r="CT34">
            <v>34.118000000000002</v>
          </cell>
          <cell r="CU34">
            <v>34.639000000000003</v>
          </cell>
          <cell r="CV34">
            <v>29.507000000000001</v>
          </cell>
          <cell r="CW34">
            <v>32.272666666666673</v>
          </cell>
          <cell r="CX34">
            <v>33.624666666666663</v>
          </cell>
          <cell r="CY34">
            <v>28.724</v>
          </cell>
          <cell r="CZ34">
            <v>28.888999999999999</v>
          </cell>
          <cell r="DA34">
            <v>33.785666666666671</v>
          </cell>
          <cell r="DB34">
            <v>38.724333333333334</v>
          </cell>
          <cell r="DC34">
            <v>50.331999999999994</v>
          </cell>
          <cell r="DD34">
            <v>49.678666666666665</v>
          </cell>
          <cell r="DE34">
            <v>55.126666666666665</v>
          </cell>
          <cell r="DF34">
            <v>52.535333333333334</v>
          </cell>
          <cell r="DG34">
            <v>24.203666666666667</v>
          </cell>
          <cell r="DH34">
            <v>23.82</v>
          </cell>
          <cell r="DI34">
            <v>24.63</v>
          </cell>
          <cell r="DJ34">
            <v>23.8</v>
          </cell>
          <cell r="DK34">
            <v>32.549999999999997</v>
          </cell>
          <cell r="DL34">
            <v>34.39</v>
          </cell>
          <cell r="DM34">
            <v>26.75</v>
          </cell>
          <cell r="DN34">
            <v>25.199000000000002</v>
          </cell>
          <cell r="DO34">
            <v>33.759666666666668</v>
          </cell>
          <cell r="DP34">
            <v>32.57</v>
          </cell>
          <cell r="DQ34">
            <v>33.840000000000003</v>
          </cell>
          <cell r="DR34">
            <v>34.4</v>
          </cell>
          <cell r="DS34">
            <v>41.593333333333334</v>
          </cell>
          <cell r="DT34">
            <v>28.433333333333334</v>
          </cell>
          <cell r="DU34">
            <v>18.463333333333335</v>
          </cell>
          <cell r="DV34">
            <v>20.126666666666669</v>
          </cell>
          <cell r="DW34">
            <v>18.553333333333331</v>
          </cell>
          <cell r="DX34">
            <v>13.803333333333335</v>
          </cell>
          <cell r="DY34">
            <v>15.676666666666668</v>
          </cell>
          <cell r="DZ34">
            <v>16.646666666666665</v>
          </cell>
          <cell r="EA34">
            <v>18.603333333333335</v>
          </cell>
          <cell r="EB34">
            <v>19.903333333333332</v>
          </cell>
          <cell r="EC34">
            <v>17.11</v>
          </cell>
          <cell r="ED34">
            <v>18.806666666666668</v>
          </cell>
          <cell r="EE34">
            <v>20.75</v>
          </cell>
          <cell r="EF34" t="str">
            <v xml:space="preserve"> </v>
          </cell>
        </row>
        <row r="35">
          <cell r="A35" t="str">
            <v>Ethylene cash costs (LYB) (c/lb)</v>
          </cell>
          <cell r="C35">
            <v>12.147191849166665</v>
          </cell>
          <cell r="D35">
            <v>12.705062076666668</v>
          </cell>
          <cell r="E35">
            <v>13.316374779166667</v>
          </cell>
          <cell r="F35">
            <v>12.463099360833333</v>
          </cell>
          <cell r="G35">
            <v>11.474979537499999</v>
          </cell>
          <cell r="H35">
            <v>9.2600664541666653</v>
          </cell>
          <cell r="I35">
            <v>14.448166219999999</v>
          </cell>
          <cell r="J35">
            <v>12.560260236666668</v>
          </cell>
          <cell r="K35">
            <v>10.9934048</v>
          </cell>
          <cell r="L35">
            <v>14.880532752499999</v>
          </cell>
          <cell r="M35">
            <v>20.297576695833332</v>
          </cell>
          <cell r="N35">
            <v>17.901741285</v>
          </cell>
          <cell r="O35">
            <v>14.901017441666667</v>
          </cell>
          <cell r="P35">
            <v>20.473670831666666</v>
          </cell>
          <cell r="Q35">
            <v>24.303486474999996</v>
          </cell>
          <cell r="R35">
            <v>29.780269046666664</v>
          </cell>
          <cell r="S35">
            <v>30.841334885833326</v>
          </cell>
          <cell r="T35">
            <v>37.224761494999996</v>
          </cell>
          <cell r="U35">
            <v>42.875509866666661</v>
          </cell>
          <cell r="V35">
            <v>24.358894833333331</v>
          </cell>
          <cell r="W35">
            <v>28.02777511666666</v>
          </cell>
          <cell r="X35">
            <v>33.023640116666662</v>
          </cell>
          <cell r="Y35">
            <v>19.901582769114583</v>
          </cell>
          <cell r="Z35">
            <v>16.74175399231758</v>
          </cell>
          <cell r="AA35">
            <v>17.916161299999995</v>
          </cell>
          <cell r="AB35">
            <v>19.683998149999994</v>
          </cell>
          <cell r="AC35">
            <v>19.466168700000001</v>
          </cell>
          <cell r="AD35">
            <v>19.719001299999999</v>
          </cell>
          <cell r="AE35">
            <v>20.122778099999998</v>
          </cell>
          <cell r="AF35">
            <v>33.302229999999994</v>
          </cell>
          <cell r="AG35">
            <v>34.769629999999992</v>
          </cell>
          <cell r="AJ35">
            <v>9.7794508466666663</v>
          </cell>
          <cell r="AK35">
            <v>8.1177568166666649</v>
          </cell>
          <cell r="AL35">
            <v>13.138514183333331</v>
          </cell>
          <cell r="AM35">
            <v>17.553045549999997</v>
          </cell>
          <cell r="AN35">
            <v>11.603903866666666</v>
          </cell>
          <cell r="AO35">
            <v>11.197370843333333</v>
          </cell>
          <cell r="AP35">
            <v>12.88018261333333</v>
          </cell>
          <cell r="AQ35">
            <v>15.138790983333333</v>
          </cell>
          <cell r="AR35">
            <v>11.816261976666667</v>
          </cell>
          <cell r="AS35">
            <v>12.816743753333331</v>
          </cell>
          <cell r="AT35">
            <v>14.807005876666668</v>
          </cell>
          <cell r="AU35">
            <v>13.82548751</v>
          </cell>
          <cell r="AV35">
            <v>13.867477430000001</v>
          </cell>
          <cell r="AW35">
            <v>13.28575764</v>
          </cell>
          <cell r="AX35">
            <v>11.785986136666667</v>
          </cell>
          <cell r="AY35">
            <v>10.913176236666665</v>
          </cell>
          <cell r="AZ35">
            <v>11.515188466666665</v>
          </cell>
          <cell r="BA35">
            <v>11.733010363333333</v>
          </cell>
          <cell r="BB35">
            <v>11.384149143333333</v>
          </cell>
          <cell r="BC35">
            <v>11.267570176666666</v>
          </cell>
          <cell r="BD35">
            <v>9.1099513233333305</v>
          </cell>
          <cell r="BE35">
            <v>9.233858849999999</v>
          </cell>
          <cell r="BF35">
            <v>8.3330997133333327</v>
          </cell>
          <cell r="BG35">
            <v>10.363355929999997</v>
          </cell>
          <cell r="BH35">
            <v>12.576230983333334</v>
          </cell>
          <cell r="BI35">
            <v>12.886251956666669</v>
          </cell>
          <cell r="BJ35">
            <v>14.436007156666665</v>
          </cell>
          <cell r="BK35">
            <v>17.894174783333334</v>
          </cell>
          <cell r="BL35">
            <v>14.078427073333332</v>
          </cell>
          <cell r="BM35">
            <v>11.103055169999999</v>
          </cell>
          <cell r="BN35">
            <v>12.088782576666668</v>
          </cell>
          <cell r="BO35">
            <v>12.970776126666667</v>
          </cell>
          <cell r="BP35">
            <v>11.804534026666667</v>
          </cell>
          <cell r="BQ35">
            <v>11.239491979999999</v>
          </cell>
          <cell r="BR35">
            <v>10.574569686666667</v>
          </cell>
          <cell r="BS35">
            <v>10.355023506666665</v>
          </cell>
          <cell r="BT35">
            <v>10.905213249999999</v>
          </cell>
          <cell r="BU35">
            <v>14.403996846666665</v>
          </cell>
          <cell r="BV35">
            <v>17.223327809999997</v>
          </cell>
          <cell r="BW35">
            <v>16.989593103333331</v>
          </cell>
          <cell r="BX35">
            <v>20.078680196666664</v>
          </cell>
          <cell r="BY35">
            <v>17.381279936666665</v>
          </cell>
          <cell r="BZ35">
            <v>19.744845599999998</v>
          </cell>
          <cell r="CA35">
            <v>23.98550105</v>
          </cell>
          <cell r="CB35">
            <v>24.079907333333331</v>
          </cell>
          <cell r="CC35">
            <v>19.08113586</v>
          </cell>
          <cell r="CD35">
            <v>15.616726289999999</v>
          </cell>
          <cell r="CE35">
            <v>12.829195656666666</v>
          </cell>
          <cell r="CF35">
            <v>13.104990529999997</v>
          </cell>
          <cell r="CG35">
            <v>14.748096723333333</v>
          </cell>
          <cell r="CH35">
            <v>14.459605669999998</v>
          </cell>
          <cell r="CI35">
            <v>17.291376843333335</v>
          </cell>
          <cell r="CJ35">
            <v>22.585529513333331</v>
          </cell>
          <cell r="CK35">
            <v>19.322609713333328</v>
          </cell>
          <cell r="CL35">
            <v>19.091562400000001</v>
          </cell>
          <cell r="CM35">
            <v>20.894981699999995</v>
          </cell>
          <cell r="CN35">
            <v>22.012488979999993</v>
          </cell>
          <cell r="CO35">
            <v>22.220778476666663</v>
          </cell>
          <cell r="CP35">
            <v>25.003224686666666</v>
          </cell>
          <cell r="CQ35">
            <v>27.977453756666662</v>
          </cell>
          <cell r="CR35">
            <v>24.604384446666664</v>
          </cell>
          <cell r="CS35">
            <v>25.531867299999998</v>
          </cell>
          <cell r="CT35">
            <v>33.189503563333332</v>
          </cell>
          <cell r="CU35">
            <v>35.795320876666665</v>
          </cell>
          <cell r="CV35">
            <v>28.56388484666666</v>
          </cell>
          <cell r="CW35">
            <v>31.942796006666665</v>
          </cell>
          <cell r="CX35">
            <v>34.176336669999998</v>
          </cell>
          <cell r="CY35">
            <v>28.682322019999994</v>
          </cell>
          <cell r="CZ35">
            <v>28.388420583333335</v>
          </cell>
          <cell r="DA35">
            <v>33.971440473333331</v>
          </cell>
          <cell r="DB35">
            <v>37.956725969999994</v>
          </cell>
          <cell r="DC35">
            <v>48.58245895333333</v>
          </cell>
          <cell r="DD35">
            <v>47.155268200000009</v>
          </cell>
          <cell r="DE35">
            <v>52.150089933333327</v>
          </cell>
          <cell r="DF35">
            <v>51.570371033333331</v>
          </cell>
          <cell r="DG35">
            <v>20.626310299999997</v>
          </cell>
          <cell r="DH35">
            <v>20.97507353333333</v>
          </cell>
          <cell r="DI35">
            <v>22.892226999999998</v>
          </cell>
          <cell r="DJ35">
            <v>22.287180966666664</v>
          </cell>
          <cell r="DK35">
            <v>31.281097833333327</v>
          </cell>
          <cell r="DL35">
            <v>33.237652133333334</v>
          </cell>
          <cell r="DM35">
            <v>25.04828753333333</v>
          </cell>
          <cell r="DN35">
            <v>22.900045666666664</v>
          </cell>
          <cell r="DO35">
            <v>30.925115133333328</v>
          </cell>
          <cell r="DP35">
            <v>30.9690698</v>
          </cell>
          <cell r="DQ35">
            <v>32.963739099999998</v>
          </cell>
          <cell r="DR35">
            <v>31.732577499999998</v>
          </cell>
          <cell r="DS35">
            <v>36.429174066666661</v>
          </cell>
          <cell r="DT35">
            <v>27.123612700512822</v>
          </cell>
          <cell r="DU35">
            <v>16.734958132083332</v>
          </cell>
          <cell r="DV35">
            <v>17.817326280320508</v>
          </cell>
          <cell r="DW35">
            <v>17.930433963541667</v>
          </cell>
          <cell r="DX35">
            <v>16.128040212988278</v>
          </cell>
          <cell r="DY35">
            <v>16.396798714615382</v>
          </cell>
          <cell r="DZ35">
            <v>17.028247076041666</v>
          </cell>
          <cell r="EA35">
            <v>17.413929965624998</v>
          </cell>
          <cell r="EB35">
            <v>18.762573249999996</v>
          </cell>
          <cell r="EC35">
            <v>17.346611029999998</v>
          </cell>
          <cell r="ED35">
            <v>19.05010755</v>
          </cell>
          <cell r="EE35">
            <v>19.071362909999998</v>
          </cell>
        </row>
        <row r="36">
          <cell r="A36" t="str">
            <v>Ethylene price (average acquisition, delivered GC) (c/lb)</v>
          </cell>
          <cell r="C36">
            <v>23.462500000000002</v>
          </cell>
          <cell r="D36">
            <v>19.626583333333333</v>
          </cell>
          <cell r="E36">
            <v>17.789083333333334</v>
          </cell>
          <cell r="F36">
            <v>17.735833333333332</v>
          </cell>
          <cell r="G36">
            <v>20.398499999999999</v>
          </cell>
          <cell r="H36">
            <v>25.125</v>
          </cell>
          <cell r="I36">
            <v>21.672166666666669</v>
          </cell>
          <cell r="J36">
            <v>24.701583333333332</v>
          </cell>
          <cell r="K36">
            <v>17.808333333333334</v>
          </cell>
          <cell r="L36">
            <v>21.842333333333332</v>
          </cell>
          <cell r="M36">
            <v>29.434999999999999</v>
          </cell>
          <cell r="N36">
            <v>24.863166666666665</v>
          </cell>
          <cell r="O36">
            <v>20.377750000000002</v>
          </cell>
          <cell r="P36">
            <v>25.478083333333334</v>
          </cell>
          <cell r="Q36">
            <v>32.69383333333333</v>
          </cell>
          <cell r="R36">
            <v>42.808416666666666</v>
          </cell>
          <cell r="S36">
            <v>45.078416666666669</v>
          </cell>
          <cell r="T36">
            <v>45.698083333333329</v>
          </cell>
          <cell r="U36">
            <v>53.165333333333329</v>
          </cell>
          <cell r="V36">
            <v>30.397416666666665</v>
          </cell>
          <cell r="W36">
            <v>45.303416666666671</v>
          </cell>
          <cell r="X36">
            <v>55.174166666666665</v>
          </cell>
          <cell r="Y36">
            <v>52.639166666666668</v>
          </cell>
          <cell r="Z36">
            <v>52.484166666666667</v>
          </cell>
          <cell r="AA36">
            <v>55.045355385000001</v>
          </cell>
          <cell r="AB36">
            <v>54.501619680000005</v>
          </cell>
          <cell r="AC36">
            <v>52.856419680000002</v>
          </cell>
          <cell r="AD36">
            <v>51.828169680000002</v>
          </cell>
          <cell r="AE36">
            <v>48.455291195999997</v>
          </cell>
          <cell r="AF36">
            <v>45.534842712000007</v>
          </cell>
          <cell r="AG36">
            <v>45.164672712000005</v>
          </cell>
          <cell r="AJ36">
            <v>22.466666666666669</v>
          </cell>
          <cell r="AK36">
            <v>21.733333333333331</v>
          </cell>
          <cell r="AL36">
            <v>22.1</v>
          </cell>
          <cell r="AM36">
            <v>27.55</v>
          </cell>
          <cell r="AN36">
            <v>23.722666666666669</v>
          </cell>
          <cell r="AO36">
            <v>18.858666666666668</v>
          </cell>
          <cell r="AP36">
            <v>16.653333333333332</v>
          </cell>
          <cell r="AQ36">
            <v>19.271666666666665</v>
          </cell>
          <cell r="AR36">
            <v>16.826666666666668</v>
          </cell>
          <cell r="AS36">
            <v>16.406333333333333</v>
          </cell>
          <cell r="AT36">
            <v>18.485333333333333</v>
          </cell>
          <cell r="AU36">
            <v>19.437999999999999</v>
          </cell>
          <cell r="AV36">
            <v>18.27</v>
          </cell>
          <cell r="AW36">
            <v>17.936666666666667</v>
          </cell>
          <cell r="AX36">
            <v>17.649999999999999</v>
          </cell>
          <cell r="AY36">
            <v>17.08666666666667</v>
          </cell>
          <cell r="AZ36">
            <v>16.416666666666668</v>
          </cell>
          <cell r="BA36">
            <v>18.085000000000001</v>
          </cell>
          <cell r="BB36">
            <v>21.337333333333333</v>
          </cell>
          <cell r="BC36">
            <v>25.754999999999999</v>
          </cell>
          <cell r="BD36">
            <v>27.992666666666668</v>
          </cell>
          <cell r="BE36">
            <v>28.026666666666667</v>
          </cell>
          <cell r="BF36">
            <v>24.941333333333333</v>
          </cell>
          <cell r="BG36">
            <v>19.539333333333332</v>
          </cell>
          <cell r="BH36">
            <v>18.324666666666669</v>
          </cell>
          <cell r="BI36">
            <v>21.21466666666667</v>
          </cell>
          <cell r="BJ36">
            <v>23.056000000000001</v>
          </cell>
          <cell r="BK36">
            <v>24.093333333333334</v>
          </cell>
          <cell r="BL36">
            <v>25.713000000000005</v>
          </cell>
          <cell r="BM36">
            <v>25.167999999999996</v>
          </cell>
          <cell r="BN36">
            <v>24.566999999999997</v>
          </cell>
          <cell r="BO36">
            <v>23.358333333333334</v>
          </cell>
          <cell r="BP36">
            <v>20.8</v>
          </cell>
          <cell r="BQ36">
            <v>18.033333333333331</v>
          </cell>
          <cell r="BR36">
            <v>16.45</v>
          </cell>
          <cell r="BS36">
            <v>15.95</v>
          </cell>
          <cell r="BT36">
            <v>16.623333333333335</v>
          </cell>
          <cell r="BU36">
            <v>20.333333333333332</v>
          </cell>
          <cell r="BV36">
            <v>24.087666666666667</v>
          </cell>
          <cell r="BW36">
            <v>26.324999999999999</v>
          </cell>
          <cell r="BX36">
            <v>28.224333333333334</v>
          </cell>
          <cell r="BY36">
            <v>31.072999999999997</v>
          </cell>
          <cell r="BZ36">
            <v>29.974</v>
          </cell>
          <cell r="CA36">
            <v>28.468666666666667</v>
          </cell>
          <cell r="CB36">
            <v>31.458333333333332</v>
          </cell>
          <cell r="CC36">
            <v>26.748333333333335</v>
          </cell>
          <cell r="CD36">
            <v>21.822999999999997</v>
          </cell>
          <cell r="CE36">
            <v>19.422999999999998</v>
          </cell>
          <cell r="CF36">
            <v>17.683333333333334</v>
          </cell>
          <cell r="CG36">
            <v>21.392333333333337</v>
          </cell>
          <cell r="CH36">
            <v>21.018666666666665</v>
          </cell>
          <cell r="CI36">
            <v>21.416666666666668</v>
          </cell>
          <cell r="CJ36">
            <v>26.369666666666671</v>
          </cell>
          <cell r="CK36">
            <v>25.73</v>
          </cell>
          <cell r="CL36">
            <v>24.358333333333331</v>
          </cell>
          <cell r="CM36">
            <v>25.454333333333334</v>
          </cell>
          <cell r="CN36">
            <v>30.216666666666669</v>
          </cell>
          <cell r="CO36">
            <v>30.35</v>
          </cell>
          <cell r="CP36">
            <v>31.362666666666666</v>
          </cell>
          <cell r="CQ36">
            <v>38.845999999999997</v>
          </cell>
          <cell r="CR36">
            <v>40.633333333333333</v>
          </cell>
          <cell r="CS36">
            <v>34.654333333333334</v>
          </cell>
          <cell r="CT36">
            <v>40.462666666666671</v>
          </cell>
          <cell r="CU36">
            <v>55.483333333333327</v>
          </cell>
          <cell r="CV36">
            <v>46.287666666666667</v>
          </cell>
          <cell r="CW36">
            <v>44.616666666666667</v>
          </cell>
          <cell r="CX36">
            <v>49.504333333333335</v>
          </cell>
          <cell r="CY36">
            <v>39.905000000000001</v>
          </cell>
          <cell r="CZ36">
            <v>37.276333333333334</v>
          </cell>
          <cell r="DA36">
            <v>41.713666666666661</v>
          </cell>
          <cell r="DB36">
            <v>48.015666666666668</v>
          </cell>
          <cell r="DC36">
            <v>55.786666666666669</v>
          </cell>
          <cell r="DD36">
            <v>55.837666666666657</v>
          </cell>
          <cell r="DE36">
            <v>61.968999999999994</v>
          </cell>
          <cell r="DF36">
            <v>62.437666666666665</v>
          </cell>
          <cell r="DG36">
            <v>32.417000000000002</v>
          </cell>
          <cell r="DH36">
            <v>28.474</v>
          </cell>
          <cell r="DI36">
            <v>27.583666666666669</v>
          </cell>
          <cell r="DJ36">
            <v>28.948333333333334</v>
          </cell>
          <cell r="DK36">
            <v>36.583666666666666</v>
          </cell>
          <cell r="DL36">
            <v>52.552333333333337</v>
          </cell>
          <cell r="DM36">
            <v>46.323</v>
          </cell>
          <cell r="DN36">
            <v>36.510333333333335</v>
          </cell>
          <cell r="DO36">
            <v>45.828000000000003</v>
          </cell>
          <cell r="DP36">
            <v>49.39</v>
          </cell>
          <cell r="DQ36">
            <v>60.75</v>
          </cell>
          <cell r="DR36">
            <v>57.7</v>
          </cell>
          <cell r="DS36">
            <v>52.856666666666662</v>
          </cell>
          <cell r="DT36">
            <v>59.58</v>
          </cell>
          <cell r="DU36">
            <v>51.913333333333334</v>
          </cell>
          <cell r="DV36">
            <v>48.936666666666667</v>
          </cell>
          <cell r="DW36">
            <v>50.126666666666665</v>
          </cell>
          <cell r="DX36">
            <v>55.976666666666667</v>
          </cell>
          <cell r="DY36">
            <v>52.183333333333337</v>
          </cell>
          <cell r="DZ36">
            <v>50.49</v>
          </cell>
          <cell r="EA36">
            <v>51.286666666666669</v>
          </cell>
          <cell r="EB36">
            <v>53.376666666666665</v>
          </cell>
          <cell r="EC36">
            <v>52.166666666666664</v>
          </cell>
          <cell r="ED36">
            <v>57.637782180000002</v>
          </cell>
          <cell r="EE36">
            <v>56.983815180000001</v>
          </cell>
          <cell r="EF36" t="str">
            <v xml:space="preserve"> </v>
          </cell>
        </row>
        <row r="37">
          <cell r="A37" t="str">
            <v>Ethylene margin (c/lb)</v>
          </cell>
          <cell r="C37">
            <v>11.315308150833337</v>
          </cell>
          <cell r="D37">
            <v>6.9215212566666651</v>
          </cell>
          <cell r="E37">
            <v>4.4727085541666671</v>
          </cell>
          <cell r="F37">
            <v>5.2727339724999993</v>
          </cell>
          <cell r="G37">
            <v>8.9235204624999991</v>
          </cell>
          <cell r="H37">
            <v>15.864933545833335</v>
          </cell>
          <cell r="I37">
            <v>7.2240004466666701</v>
          </cell>
          <cell r="J37">
            <v>12.141323096666664</v>
          </cell>
          <cell r="K37">
            <v>6.8149285333333331</v>
          </cell>
          <cell r="L37">
            <v>6.9618005808333336</v>
          </cell>
          <cell r="M37">
            <v>9.137423304166667</v>
          </cell>
          <cell r="N37">
            <v>6.9614253816666647</v>
          </cell>
          <cell r="O37">
            <v>5.4767325583333353</v>
          </cell>
          <cell r="P37">
            <v>5.0044125016666676</v>
          </cell>
          <cell r="Q37">
            <v>8.3903468583333343</v>
          </cell>
          <cell r="R37">
            <v>13.028147620000002</v>
          </cell>
          <cell r="S37">
            <v>14.237081780833343</v>
          </cell>
          <cell r="T37">
            <v>8.4733218383333337</v>
          </cell>
          <cell r="U37">
            <v>10.289823466666668</v>
          </cell>
          <cell r="V37">
            <v>6.0385218333333341</v>
          </cell>
          <cell r="W37">
            <v>17.27564155000001</v>
          </cell>
          <cell r="X37">
            <v>22.150526550000002</v>
          </cell>
          <cell r="Y37">
            <v>32.737583897552085</v>
          </cell>
          <cell r="Z37">
            <v>35.742412674349083</v>
          </cell>
          <cell r="AA37">
            <v>37.129194085000009</v>
          </cell>
          <cell r="AB37">
            <v>34.817621530000011</v>
          </cell>
          <cell r="AC37">
            <v>33.390250980000005</v>
          </cell>
          <cell r="AD37">
            <v>32.10916838</v>
          </cell>
          <cell r="AE37">
            <v>28.332513096</v>
          </cell>
          <cell r="AF37">
            <v>12.232612712000012</v>
          </cell>
          <cell r="AG37">
            <v>10.395042712000013</v>
          </cell>
          <cell r="AJ37">
            <v>12.687215820000002</v>
          </cell>
          <cell r="AK37">
            <v>13.615576516666666</v>
          </cell>
          <cell r="AL37">
            <v>8.96148581666667</v>
          </cell>
          <cell r="AM37">
            <v>9.996954450000004</v>
          </cell>
          <cell r="AN37">
            <v>12.118762800000002</v>
          </cell>
          <cell r="AO37">
            <v>7.6612958233333348</v>
          </cell>
          <cell r="AP37">
            <v>3.7731507200000021</v>
          </cell>
          <cell r="AQ37">
            <v>4.1328756833333316</v>
          </cell>
          <cell r="AR37">
            <v>5.0104046900000014</v>
          </cell>
          <cell r="AS37">
            <v>3.5895895800000019</v>
          </cell>
          <cell r="AT37">
            <v>3.6783274566666648</v>
          </cell>
          <cell r="AU37">
            <v>5.6125124899999985</v>
          </cell>
          <cell r="AV37">
            <v>4.4025225699999986</v>
          </cell>
          <cell r="AW37">
            <v>4.6509090266666675</v>
          </cell>
          <cell r="AX37">
            <v>5.8640138633333319</v>
          </cell>
          <cell r="AY37">
            <v>6.1734904300000046</v>
          </cell>
          <cell r="AZ37">
            <v>4.9014782000000032</v>
          </cell>
          <cell r="BA37">
            <v>6.3519896366666675</v>
          </cell>
          <cell r="BB37">
            <v>9.95318419</v>
          </cell>
          <cell r="BC37">
            <v>14.487429823333333</v>
          </cell>
          <cell r="BD37">
            <v>18.882715343333338</v>
          </cell>
          <cell r="BE37">
            <v>18.792807816666667</v>
          </cell>
          <cell r="BF37">
            <v>16.60823362</v>
          </cell>
          <cell r="BG37">
            <v>9.1759774033333343</v>
          </cell>
          <cell r="BH37">
            <v>5.7484356833333354</v>
          </cell>
          <cell r="BI37">
            <v>8.3284147100000006</v>
          </cell>
          <cell r="BJ37">
            <v>8.6199928433333355</v>
          </cell>
          <cell r="BK37">
            <v>6.1991585499999999</v>
          </cell>
          <cell r="BL37">
            <v>11.634572926666673</v>
          </cell>
          <cell r="BM37">
            <v>14.064944829999996</v>
          </cell>
          <cell r="BN37">
            <v>12.478217423333328</v>
          </cell>
          <cell r="BO37">
            <v>10.387557206666667</v>
          </cell>
          <cell r="BP37">
            <v>8.9954659733333333</v>
          </cell>
          <cell r="BQ37">
            <v>6.7938413533333328</v>
          </cell>
          <cell r="BR37">
            <v>5.8754303133333323</v>
          </cell>
          <cell r="BS37">
            <v>5.5949764933333341</v>
          </cell>
          <cell r="BT37">
            <v>5.7181200833333357</v>
          </cell>
          <cell r="BU37">
            <v>5.9293364866666671</v>
          </cell>
          <cell r="BV37">
            <v>6.8643388566666701</v>
          </cell>
          <cell r="BW37">
            <v>9.3354068966666688</v>
          </cell>
          <cell r="BX37">
            <v>8.1456531366666702</v>
          </cell>
          <cell r="BY37">
            <v>13.691720063333332</v>
          </cell>
          <cell r="BZ37">
            <v>10.229154400000002</v>
          </cell>
          <cell r="CA37">
            <v>4.4831656166666676</v>
          </cell>
          <cell r="CB37">
            <v>7.378426000000001</v>
          </cell>
          <cell r="CC37">
            <v>7.667197473333335</v>
          </cell>
          <cell r="CD37">
            <v>6.2062737099999978</v>
          </cell>
          <cell r="CE37">
            <v>6.593804343333332</v>
          </cell>
          <cell r="CF37">
            <v>4.5783428033333369</v>
          </cell>
          <cell r="CG37">
            <v>6.6442366100000037</v>
          </cell>
          <cell r="CH37">
            <v>6.5590609966666662</v>
          </cell>
          <cell r="CI37">
            <v>4.1252898233333326</v>
          </cell>
          <cell r="CJ37">
            <v>3.7841371533333401</v>
          </cell>
          <cell r="CK37">
            <v>6.4073902866666721</v>
          </cell>
          <cell r="CL37">
            <v>5.2667709333333299</v>
          </cell>
          <cell r="CM37">
            <v>4.559351633333339</v>
          </cell>
          <cell r="CN37">
            <v>8.2041776866666751</v>
          </cell>
          <cell r="CO37">
            <v>8.1292215233333387</v>
          </cell>
          <cell r="CP37">
            <v>6.3594419799999997</v>
          </cell>
          <cell r="CQ37">
            <v>10.868546243333334</v>
          </cell>
          <cell r="CR37">
            <v>16.028948886666669</v>
          </cell>
          <cell r="CS37">
            <v>9.1224660333333354</v>
          </cell>
          <cell r="CT37">
            <v>7.2731631033333386</v>
          </cell>
          <cell r="CU37">
            <v>19.688012456666662</v>
          </cell>
          <cell r="CV37">
            <v>17.723781820000006</v>
          </cell>
          <cell r="CW37">
            <v>12.673870660000002</v>
          </cell>
          <cell r="CX37">
            <v>15.327996663333337</v>
          </cell>
          <cell r="CY37">
            <v>11.222677980000007</v>
          </cell>
          <cell r="CZ37">
            <v>8.8879127499999981</v>
          </cell>
          <cell r="DA37">
            <v>7.7422261933333303</v>
          </cell>
          <cell r="DB37">
            <v>10.058940696666674</v>
          </cell>
          <cell r="DC37">
            <v>7.2042077133333393</v>
          </cell>
          <cell r="DD37">
            <v>8.6823984666666476</v>
          </cell>
          <cell r="DE37">
            <v>9.8189100666666675</v>
          </cell>
          <cell r="DF37">
            <v>10.867295633333335</v>
          </cell>
          <cell r="DG37">
            <v>11.790689700000005</v>
          </cell>
          <cell r="DH37">
            <v>7.4989264666666706</v>
          </cell>
          <cell r="DI37">
            <v>4.6914396666666711</v>
          </cell>
          <cell r="DJ37">
            <v>6.6611523666666699</v>
          </cell>
          <cell r="DK37">
            <v>5.3025688333333392</v>
          </cell>
          <cell r="DL37">
            <v>19.314681200000003</v>
          </cell>
          <cell r="DM37">
            <v>21.274712466666671</v>
          </cell>
          <cell r="DN37">
            <v>13.610287666666672</v>
          </cell>
          <cell r="DO37">
            <v>14.902884866666675</v>
          </cell>
          <cell r="DP37">
            <v>18.420930200000001</v>
          </cell>
          <cell r="DQ37">
            <v>27.786260900000002</v>
          </cell>
          <cell r="DR37">
            <v>25.967422500000005</v>
          </cell>
          <cell r="DS37">
            <v>16.427492600000001</v>
          </cell>
          <cell r="DT37">
            <v>32.456387299487176</v>
          </cell>
          <cell r="DU37">
            <v>35.178375201250006</v>
          </cell>
          <cell r="DV37">
            <v>31.11934038634616</v>
          </cell>
          <cell r="DW37">
            <v>32.196232703124998</v>
          </cell>
          <cell r="DX37">
            <v>39.848626453678392</v>
          </cell>
          <cell r="DY37">
            <v>35.786534618717951</v>
          </cell>
          <cell r="DZ37">
            <v>33.461752923958336</v>
          </cell>
          <cell r="EA37">
            <v>33.872736701041674</v>
          </cell>
          <cell r="EB37">
            <v>34.61409341666667</v>
          </cell>
          <cell r="EC37">
            <v>34.820055636666666</v>
          </cell>
          <cell r="ED37">
            <v>38.587674630000002</v>
          </cell>
          <cell r="EE37">
            <v>37.912452270000003</v>
          </cell>
        </row>
        <row r="39">
          <cell r="A39" t="str">
            <v>Polyethylene price ($/MT)</v>
          </cell>
          <cell r="V39">
            <v>1245.0312296767333</v>
          </cell>
          <cell r="W39">
            <v>1473.6882307641943</v>
          </cell>
          <cell r="X39">
            <v>1574.6110666666666</v>
          </cell>
          <cell r="Y39">
            <v>1511.5766666666666</v>
          </cell>
          <cell r="Z39">
            <v>1634.633333333333</v>
          </cell>
          <cell r="AA39">
            <v>1676.1144500000003</v>
          </cell>
          <cell r="AB39">
            <v>1628.351993025</v>
          </cell>
          <cell r="AC39">
            <v>1563.0051700000001</v>
          </cell>
          <cell r="AD39">
            <v>1534.72785</v>
          </cell>
          <cell r="AE39">
            <v>1512.1059939999998</v>
          </cell>
          <cell r="AF39">
            <v>1500.7950659999999</v>
          </cell>
          <cell r="AG39">
            <v>1489.484138</v>
          </cell>
          <cell r="DH39">
            <v>1138.4933224392946</v>
          </cell>
          <cell r="DI39">
            <v>1209.5185939309204</v>
          </cell>
          <cell r="DJ39">
            <v>1290.9887582889619</v>
          </cell>
          <cell r="DK39">
            <v>1341.1242440477563</v>
          </cell>
          <cell r="DL39">
            <v>1470.5848555197836</v>
          </cell>
          <cell r="DM39">
            <v>1494.3039660926831</v>
          </cell>
          <cell r="DN39">
            <v>1405.3573014443093</v>
          </cell>
          <cell r="DO39">
            <v>1524.5067999999999</v>
          </cell>
          <cell r="DP39">
            <v>1550.0731999999998</v>
          </cell>
          <cell r="DQ39">
            <v>1699.5044</v>
          </cell>
          <cell r="DR39">
            <v>1564.84</v>
          </cell>
          <cell r="DS39">
            <v>1484.0266666666664</v>
          </cell>
          <cell r="DT39">
            <v>1616.2666666666664</v>
          </cell>
          <cell r="DU39">
            <v>1528.1066666666666</v>
          </cell>
          <cell r="DV39">
            <v>1447.2933333333333</v>
          </cell>
          <cell r="DW39">
            <v>1454.6399999999999</v>
          </cell>
          <cell r="DX39">
            <v>1552.5955555555554</v>
          </cell>
          <cell r="DY39">
            <v>1606.471111111111</v>
          </cell>
          <cell r="DZ39">
            <v>1653</v>
          </cell>
          <cell r="EA39">
            <v>1726.4666666666665</v>
          </cell>
          <cell r="EB39">
            <v>1750.9555555555555</v>
          </cell>
          <cell r="EC39">
            <v>1763.1999999999998</v>
          </cell>
          <cell r="ED39">
            <v>1694.4947079999999</v>
          </cell>
          <cell r="EE39">
            <v>1676.5103324799998</v>
          </cell>
        </row>
        <row r="40">
          <cell r="A40" t="str">
            <v>Polyethylene price, discounted (c/lb)</v>
          </cell>
          <cell r="V40">
            <v>56.489620221267394</v>
          </cell>
          <cell r="W40">
            <v>66.864257294201195</v>
          </cell>
          <cell r="X40">
            <v>71.443333333333328</v>
          </cell>
          <cell r="Y40">
            <v>68.583333333333329</v>
          </cell>
          <cell r="Z40">
            <v>74.166666666666657</v>
          </cell>
          <cell r="AA40">
            <v>76.048750000000013</v>
          </cell>
          <cell r="AB40">
            <v>73.881669375000001</v>
          </cell>
          <cell r="AC40">
            <v>70.916750000000008</v>
          </cell>
          <cell r="AD40">
            <v>69.633750000000006</v>
          </cell>
          <cell r="AE40">
            <v>68.607349999999997</v>
          </cell>
          <cell r="AF40">
            <v>68.094149999999999</v>
          </cell>
          <cell r="AG40">
            <v>67.580950000000001</v>
          </cell>
          <cell r="DH40">
            <v>51.655776880185783</v>
          </cell>
          <cell r="DI40">
            <v>54.878339107573524</v>
          </cell>
          <cell r="DJ40">
            <v>58.574807544871227</v>
          </cell>
          <cell r="DK40">
            <v>60.849557352439035</v>
          </cell>
          <cell r="DL40">
            <v>66.723450794908516</v>
          </cell>
          <cell r="DM40">
            <v>67.799635485148968</v>
          </cell>
          <cell r="DN40">
            <v>63.763942896747253</v>
          </cell>
          <cell r="DO40">
            <v>69.17</v>
          </cell>
          <cell r="DP40">
            <v>70.33</v>
          </cell>
          <cell r="DQ40">
            <v>77.11</v>
          </cell>
          <cell r="DR40">
            <v>71</v>
          </cell>
          <cell r="DS40">
            <v>67.333333333333329</v>
          </cell>
          <cell r="DT40">
            <v>73.333333333333329</v>
          </cell>
          <cell r="DU40">
            <v>69.333333333333329</v>
          </cell>
          <cell r="DV40">
            <v>65.666666666666671</v>
          </cell>
          <cell r="DW40">
            <v>66</v>
          </cell>
          <cell r="DX40">
            <v>70.444444444444443</v>
          </cell>
          <cell r="DY40">
            <v>72.888888888888886</v>
          </cell>
          <cell r="DZ40">
            <v>75</v>
          </cell>
          <cell r="EA40">
            <v>78.333333333333329</v>
          </cell>
          <cell r="EB40">
            <v>79.444444444444443</v>
          </cell>
          <cell r="EC40">
            <v>80</v>
          </cell>
          <cell r="ED40">
            <v>76.8827</v>
          </cell>
          <cell r="EE40">
            <v>76.066711999999995</v>
          </cell>
          <cell r="EF40" t="str">
            <v xml:space="preserve"> </v>
          </cell>
        </row>
        <row r="41">
          <cell r="A41" t="str">
            <v>Polyethylene price, discounted (c/lb) (CMAI)</v>
          </cell>
          <cell r="V41">
            <v>56.489620221267394</v>
          </cell>
          <cell r="W41">
            <v>66.864257294201195</v>
          </cell>
          <cell r="X41">
            <v>71.443333333333328</v>
          </cell>
          <cell r="Y41" t="str">
            <v>NM</v>
          </cell>
          <cell r="Z41" t="str">
            <v>NM</v>
          </cell>
          <cell r="AA41">
            <v>75.083333333333329</v>
          </cell>
          <cell r="AB41">
            <v>88.01</v>
          </cell>
          <cell r="EA41">
            <v>77.666666666666671</v>
          </cell>
          <cell r="EB41">
            <v>74.333333333333329</v>
          </cell>
          <cell r="EC41">
            <v>75.333333333333329</v>
          </cell>
          <cell r="ED41">
            <v>74</v>
          </cell>
          <cell r="EE41">
            <v>76.666666666666671</v>
          </cell>
        </row>
        <row r="43">
          <cell r="A43" t="str">
            <v>Ethylene acquisition costs (c/lb)</v>
          </cell>
          <cell r="V43">
            <v>30.397416666666665</v>
          </cell>
          <cell r="W43">
            <v>45.303416666666671</v>
          </cell>
          <cell r="X43">
            <v>55.174166666666665</v>
          </cell>
          <cell r="Y43">
            <v>52.639166666666668</v>
          </cell>
          <cell r="Z43">
            <v>52.484166666666667</v>
          </cell>
          <cell r="AA43">
            <v>55.045355385000001</v>
          </cell>
          <cell r="AB43">
            <v>54.501619680000005</v>
          </cell>
          <cell r="AC43">
            <v>52.856419680000002</v>
          </cell>
          <cell r="AD43">
            <v>51.828169680000002</v>
          </cell>
          <cell r="AE43">
            <v>48.455291195999997</v>
          </cell>
          <cell r="AF43">
            <v>45.534842712000007</v>
          </cell>
          <cell r="AG43">
            <v>45.164672712000005</v>
          </cell>
          <cell r="AJ43">
            <v>22.466666666666669</v>
          </cell>
          <cell r="AK43">
            <v>21.733333333333331</v>
          </cell>
          <cell r="AL43">
            <v>22.1</v>
          </cell>
          <cell r="AM43">
            <v>27.55</v>
          </cell>
          <cell r="AN43">
            <v>23.722666666666669</v>
          </cell>
          <cell r="AO43">
            <v>18.858666666666668</v>
          </cell>
          <cell r="AP43">
            <v>16.653333333333332</v>
          </cell>
          <cell r="AQ43">
            <v>19.271666666666665</v>
          </cell>
          <cell r="AR43">
            <v>16.826666666666668</v>
          </cell>
          <cell r="AS43">
            <v>16.406333333333333</v>
          </cell>
          <cell r="AT43">
            <v>18.485333333333333</v>
          </cell>
          <cell r="AU43">
            <v>19.437999999999999</v>
          </cell>
          <cell r="AV43">
            <v>18.27</v>
          </cell>
          <cell r="AW43">
            <v>17.936666666666667</v>
          </cell>
          <cell r="AX43">
            <v>17.649999999999999</v>
          </cell>
          <cell r="AY43">
            <v>17.08666666666667</v>
          </cell>
          <cell r="AZ43">
            <v>16.416666666666668</v>
          </cell>
          <cell r="BA43">
            <v>18.085000000000001</v>
          </cell>
          <cell r="BB43">
            <v>21.337333333333333</v>
          </cell>
          <cell r="BC43">
            <v>25.754999999999999</v>
          </cell>
          <cell r="BD43">
            <v>27.992666666666668</v>
          </cell>
          <cell r="BE43">
            <v>28.026666666666667</v>
          </cell>
          <cell r="BF43">
            <v>24.941333333333333</v>
          </cell>
          <cell r="BG43">
            <v>19.539333333333332</v>
          </cell>
          <cell r="BH43">
            <v>18.324666666666669</v>
          </cell>
          <cell r="BI43">
            <v>21.21466666666667</v>
          </cell>
          <cell r="BJ43">
            <v>23.056000000000001</v>
          </cell>
          <cell r="BK43">
            <v>24.093333333333334</v>
          </cell>
          <cell r="BL43">
            <v>25.713000000000005</v>
          </cell>
          <cell r="BM43">
            <v>25.167999999999996</v>
          </cell>
          <cell r="BN43">
            <v>24.566999999999997</v>
          </cell>
          <cell r="BO43">
            <v>23.358333333333334</v>
          </cell>
          <cell r="BP43">
            <v>20.8</v>
          </cell>
          <cell r="BQ43">
            <v>18.033333333333331</v>
          </cell>
          <cell r="BR43">
            <v>16.45</v>
          </cell>
          <cell r="BS43">
            <v>15.95</v>
          </cell>
          <cell r="BT43">
            <v>16.623333333333335</v>
          </cell>
          <cell r="BU43">
            <v>20.333333333333332</v>
          </cell>
          <cell r="BV43">
            <v>24.087666666666667</v>
          </cell>
          <cell r="BW43">
            <v>26.324999999999999</v>
          </cell>
          <cell r="BX43">
            <v>28.224333333333334</v>
          </cell>
          <cell r="BY43">
            <v>31.072999999999997</v>
          </cell>
          <cell r="BZ43">
            <v>29.974</v>
          </cell>
          <cell r="CA43">
            <v>28.468666666666667</v>
          </cell>
          <cell r="CB43">
            <v>31.458333333333332</v>
          </cell>
          <cell r="CC43">
            <v>26.748333333333335</v>
          </cell>
          <cell r="CD43">
            <v>21.822999999999997</v>
          </cell>
          <cell r="CE43">
            <v>19.422999999999998</v>
          </cell>
          <cell r="CF43">
            <v>17.683333333333334</v>
          </cell>
          <cell r="CG43">
            <v>21.392333333333337</v>
          </cell>
          <cell r="CH43">
            <v>21.018666666666665</v>
          </cell>
          <cell r="CI43">
            <v>21.416666666666668</v>
          </cell>
          <cell r="CJ43">
            <v>26.369666666666671</v>
          </cell>
          <cell r="CK43">
            <v>25.73</v>
          </cell>
          <cell r="CL43">
            <v>24.358333333333331</v>
          </cell>
          <cell r="CM43">
            <v>25.454333333333334</v>
          </cell>
          <cell r="CN43">
            <v>30.216666666666669</v>
          </cell>
          <cell r="CO43">
            <v>30.35</v>
          </cell>
          <cell r="CP43">
            <v>31.362666666666666</v>
          </cell>
          <cell r="CQ43">
            <v>38.845999999999997</v>
          </cell>
          <cell r="CR43">
            <v>40.633333333333333</v>
          </cell>
          <cell r="CS43">
            <v>34.654333333333334</v>
          </cell>
          <cell r="CT43">
            <v>40.462666666666671</v>
          </cell>
          <cell r="CU43">
            <v>55.483333333333327</v>
          </cell>
          <cell r="CV43">
            <v>46.287666666666667</v>
          </cell>
          <cell r="CW43">
            <v>44.616666666666667</v>
          </cell>
          <cell r="CX43">
            <v>49.504333333333335</v>
          </cell>
          <cell r="CY43">
            <v>39.905000000000001</v>
          </cell>
          <cell r="CZ43">
            <v>37.276333333333334</v>
          </cell>
          <cell r="DA43">
            <v>41.713666666666661</v>
          </cell>
          <cell r="DB43">
            <v>48.015666666666668</v>
          </cell>
          <cell r="DC43">
            <v>55.786666666666669</v>
          </cell>
          <cell r="DD43">
            <v>55.837666666666657</v>
          </cell>
          <cell r="DE43">
            <v>61.968999999999994</v>
          </cell>
          <cell r="DF43">
            <v>62.437666666666665</v>
          </cell>
          <cell r="DG43">
            <v>32.417000000000002</v>
          </cell>
          <cell r="DH43">
            <v>28.474</v>
          </cell>
          <cell r="DI43">
            <v>27.583666666666669</v>
          </cell>
          <cell r="DJ43">
            <v>28.948333333333334</v>
          </cell>
          <cell r="DK43">
            <v>36.583666666666666</v>
          </cell>
          <cell r="DL43">
            <v>52.552333333333337</v>
          </cell>
          <cell r="DM43">
            <v>46.323</v>
          </cell>
          <cell r="DN43">
            <v>36.510333333333335</v>
          </cell>
          <cell r="DO43">
            <v>45.828000000000003</v>
          </cell>
          <cell r="DP43">
            <v>49.39</v>
          </cell>
          <cell r="DQ43">
            <v>60.75</v>
          </cell>
          <cell r="DR43">
            <v>57.7</v>
          </cell>
          <cell r="DS43">
            <v>52.856666666666662</v>
          </cell>
          <cell r="DT43">
            <v>59.58</v>
          </cell>
          <cell r="DU43">
            <v>51.913333333333334</v>
          </cell>
          <cell r="DV43">
            <v>48.936666666666667</v>
          </cell>
          <cell r="DW43">
            <v>50.126666666666665</v>
          </cell>
          <cell r="DX43">
            <v>55.976666666666667</v>
          </cell>
          <cell r="DY43">
            <v>52.183333333333337</v>
          </cell>
          <cell r="DZ43">
            <v>50.49</v>
          </cell>
          <cell r="EA43">
            <v>51.286666666666669</v>
          </cell>
          <cell r="EB43">
            <v>50.25</v>
          </cell>
          <cell r="EC43">
            <v>57.123657180000002</v>
          </cell>
          <cell r="ED43">
            <v>56.712357180000005</v>
          </cell>
          <cell r="EE43">
            <v>56.095407180000002</v>
          </cell>
        </row>
        <row r="44">
          <cell r="A44" t="str">
            <v>Non-feedstock polyethylene costs (c/lb)</v>
          </cell>
          <cell r="V44">
            <v>14.538488843973589</v>
          </cell>
          <cell r="W44">
            <v>15.568609330902142</v>
          </cell>
          <cell r="X44">
            <v>15.079189856825977</v>
          </cell>
          <cell r="Y44">
            <v>14.891859749949575</v>
          </cell>
          <cell r="Z44">
            <v>15.145856775559579</v>
          </cell>
          <cell r="AA44">
            <v>15.163485144802969</v>
          </cell>
          <cell r="AB44">
            <v>15.173539785490384</v>
          </cell>
          <cell r="AC44">
            <v>15.24729203527157</v>
          </cell>
          <cell r="AD44">
            <v>15.375292749781677</v>
          </cell>
          <cell r="AE44">
            <v>15.522474147813847</v>
          </cell>
          <cell r="AF44">
            <v>15.7122530793159</v>
          </cell>
          <cell r="AG44">
            <v>15.903863234329437</v>
          </cell>
          <cell r="DH44">
            <v>13.422399989683665</v>
          </cell>
          <cell r="DI44">
            <v>14.036959192268018</v>
          </cell>
          <cell r="DJ44">
            <v>14.089117889698816</v>
          </cell>
          <cell r="DK44">
            <v>16.605478304243839</v>
          </cell>
          <cell r="DL44">
            <v>14.838521172000668</v>
          </cell>
          <cell r="DM44">
            <v>14.299169262120131</v>
          </cell>
          <cell r="DN44">
            <v>18.524178226450822</v>
          </cell>
          <cell r="DO44">
            <v>14.612568663036903</v>
          </cell>
          <cell r="DP44">
            <v>15.000558076225047</v>
          </cell>
          <cell r="DQ44">
            <v>15.287533776971159</v>
          </cell>
          <cell r="DR44">
            <v>15.165930631175641</v>
          </cell>
          <cell r="DS44">
            <v>14.862736942932038</v>
          </cell>
          <cell r="DT44">
            <v>14.937527223230489</v>
          </cell>
          <cell r="DU44">
            <v>14.767619983867711</v>
          </cell>
          <cell r="DV44">
            <v>14.962758116555761</v>
          </cell>
          <cell r="DW44">
            <v>14.899533676144387</v>
          </cell>
          <cell r="DX44">
            <v>15.108107481347041</v>
          </cell>
          <cell r="DY44">
            <v>15.281226053639841</v>
          </cell>
          <cell r="DZ44">
            <v>15.161794716676745</v>
          </cell>
          <cell r="EA44">
            <v>15.032298850574698</v>
          </cell>
          <cell r="EB44">
            <v>15.163485144802959</v>
          </cell>
          <cell r="EC44">
            <v>15.163485144802959</v>
          </cell>
          <cell r="ED44">
            <v>15.163485144802959</v>
          </cell>
          <cell r="EE44">
            <v>15.163485144802959</v>
          </cell>
        </row>
        <row r="45">
          <cell r="A45" t="str">
            <v>Polyethylene cash costs (c/lb)</v>
          </cell>
          <cell r="V45">
            <v>44.935905510640254</v>
          </cell>
          <cell r="W45">
            <v>60.872025997568812</v>
          </cell>
          <cell r="X45">
            <v>70.253356523492641</v>
          </cell>
          <cell r="Y45">
            <v>67.531026416616243</v>
          </cell>
          <cell r="Z45">
            <v>67.630023442226246</v>
          </cell>
          <cell r="AA45">
            <v>70.20884052980297</v>
          </cell>
          <cell r="AB45">
            <v>69.675159465490395</v>
          </cell>
          <cell r="AC45">
            <v>68.103711715271572</v>
          </cell>
          <cell r="AD45">
            <v>67.20346242978168</v>
          </cell>
          <cell r="AE45">
            <v>63.977765343813843</v>
          </cell>
          <cell r="AF45">
            <v>61.247095791315907</v>
          </cell>
          <cell r="AG45">
            <v>61.06853594632944</v>
          </cell>
          <cell r="DH45">
            <v>41.896399989683665</v>
          </cell>
          <cell r="DI45">
            <v>41.620625858934687</v>
          </cell>
          <cell r="DJ45">
            <v>43.03745122303215</v>
          </cell>
          <cell r="DK45">
            <v>53.189144970910505</v>
          </cell>
          <cell r="DL45">
            <v>67.390854505334005</v>
          </cell>
          <cell r="DM45">
            <v>60.622169262120131</v>
          </cell>
          <cell r="DN45">
            <v>55.034511559784157</v>
          </cell>
          <cell r="DO45">
            <v>60.440568663036906</v>
          </cell>
          <cell r="DP45">
            <v>64.390558076225048</v>
          </cell>
          <cell r="DQ45">
            <v>76.037533776971159</v>
          </cell>
          <cell r="DR45">
            <v>72.865930631175644</v>
          </cell>
          <cell r="DS45">
            <v>67.7194036095987</v>
          </cell>
          <cell r="DT45">
            <v>74.517527223230488</v>
          </cell>
          <cell r="DU45">
            <v>66.680953317201045</v>
          </cell>
          <cell r="DV45">
            <v>63.899424783222429</v>
          </cell>
          <cell r="DW45">
            <v>65.026200342811052</v>
          </cell>
          <cell r="DX45">
            <v>71.084774148013707</v>
          </cell>
          <cell r="DY45">
            <v>67.464559386973178</v>
          </cell>
          <cell r="DZ45">
            <v>65.651794716676747</v>
          </cell>
          <cell r="EA45">
            <v>66.318965517241367</v>
          </cell>
          <cell r="EB45">
            <v>65.413485144802962</v>
          </cell>
          <cell r="EC45">
            <v>72.287142324802957</v>
          </cell>
          <cell r="ED45">
            <v>71.87584232480296</v>
          </cell>
          <cell r="EE45">
            <v>71.258892324802957</v>
          </cell>
        </row>
        <row r="46">
          <cell r="EB46" t="str">
            <v xml:space="preserve"> </v>
          </cell>
        </row>
        <row r="47">
          <cell r="A47" t="str">
            <v>Polyethylene margin (c/lb)</v>
          </cell>
          <cell r="V47">
            <v>11.553714710627144</v>
          </cell>
          <cell r="W47">
            <v>5.9922312966323856</v>
          </cell>
          <cell r="X47">
            <v>1.1899768098406935</v>
          </cell>
          <cell r="Y47">
            <v>1.05230691671708</v>
          </cell>
          <cell r="Z47">
            <v>6.5366432244404127</v>
          </cell>
          <cell r="AA47">
            <v>5.8399094701970427</v>
          </cell>
          <cell r="AB47">
            <v>4.2065099095096059</v>
          </cell>
          <cell r="AC47">
            <v>2.8130382847284352</v>
          </cell>
          <cell r="AD47">
            <v>2.4302875702183258</v>
          </cell>
          <cell r="AE47">
            <v>4.6295846561861538</v>
          </cell>
          <cell r="AF47">
            <v>6.8470542086840922</v>
          </cell>
          <cell r="AG47">
            <v>6.512414053670561</v>
          </cell>
          <cell r="DH47">
            <v>9.7593768905021179</v>
          </cell>
          <cell r="DI47">
            <v>13.257713248638838</v>
          </cell>
          <cell r="DJ47">
            <v>15.537356321839081</v>
          </cell>
          <cell r="DK47">
            <v>7.6604123815285323</v>
          </cell>
          <cell r="DL47">
            <v>-0.66740371042548907</v>
          </cell>
          <cell r="DM47">
            <v>7.1774662230288371</v>
          </cell>
          <cell r="DN47">
            <v>8.7294313369630974</v>
          </cell>
          <cell r="DO47">
            <v>8.7294313369630974</v>
          </cell>
          <cell r="DP47">
            <v>5.9394419237749556</v>
          </cell>
          <cell r="DQ47">
            <v>1.0724662230288364</v>
          </cell>
          <cell r="DR47">
            <v>-1.8659306311756405</v>
          </cell>
          <cell r="DS47">
            <v>-0.38607027626537616</v>
          </cell>
          <cell r="DT47">
            <v>-1.1841938898971565</v>
          </cell>
          <cell r="DU47">
            <v>2.6523800161322848</v>
          </cell>
          <cell r="DV47">
            <v>1.7672418834442425</v>
          </cell>
          <cell r="DW47">
            <v>0.97379965718894956</v>
          </cell>
          <cell r="DX47">
            <v>-0.64032970356926799</v>
          </cell>
          <cell r="DY47">
            <v>5.4243295019157092</v>
          </cell>
          <cell r="DZ47">
            <v>9.3482052833232512</v>
          </cell>
          <cell r="EA47">
            <v>12.014367816091955</v>
          </cell>
          <cell r="EB47">
            <v>11.854114855197039</v>
          </cell>
          <cell r="EC47">
            <v>3.9540576751970491</v>
          </cell>
          <cell r="ED47">
            <v>3.8521576751970343</v>
          </cell>
          <cell r="EE47">
            <v>3.6993076751970477</v>
          </cell>
        </row>
        <row r="48">
          <cell r="A48" t="str">
            <v>Polyethylene margin ($/MT)</v>
          </cell>
          <cell r="V48">
            <v>254.64387222222223</v>
          </cell>
          <cell r="W48">
            <v>132.06877777777777</v>
          </cell>
          <cell r="X48">
            <v>26.227088888888886</v>
          </cell>
          <cell r="Y48">
            <v>23.192844444444443</v>
          </cell>
          <cell r="Z48">
            <v>144.06761666666668</v>
          </cell>
          <cell r="AA48">
            <v>128.71160472314281</v>
          </cell>
          <cell r="AB48">
            <v>92.711478405591706</v>
          </cell>
          <cell r="AC48">
            <v>61.999363795414709</v>
          </cell>
          <cell r="AD48">
            <v>53.5635380476119</v>
          </cell>
          <cell r="AE48">
            <v>102.03604582234283</v>
          </cell>
          <cell r="AF48">
            <v>150.90907475939738</v>
          </cell>
          <cell r="AG48">
            <v>143.53360574289917</v>
          </cell>
          <cell r="CV48">
            <v>-127.97777777777777</v>
          </cell>
          <cell r="CW48">
            <v>72.077044444444439</v>
          </cell>
          <cell r="CX48">
            <v>79.858888888888885</v>
          </cell>
          <cell r="CY48">
            <v>84.153944444444448</v>
          </cell>
          <cell r="CZ48">
            <v>79.329166666666666</v>
          </cell>
          <cell r="DA48">
            <v>80.096666666666664</v>
          </cell>
          <cell r="DB48">
            <v>74.815355555555556</v>
          </cell>
          <cell r="DC48">
            <v>39.407900000000005</v>
          </cell>
          <cell r="DD48">
            <v>53.257566666666676</v>
          </cell>
          <cell r="DE48">
            <v>21.987344444444442</v>
          </cell>
          <cell r="DF48">
            <v>190.01</v>
          </cell>
          <cell r="DG48">
            <v>263.25111111111107</v>
          </cell>
          <cell r="DH48">
            <v>215.09666666666666</v>
          </cell>
          <cell r="DI48">
            <v>292.2</v>
          </cell>
          <cell r="DJ48">
            <v>342.44333333333333</v>
          </cell>
          <cell r="DK48">
            <v>168.83548888888885</v>
          </cell>
          <cell r="DL48">
            <v>-14.709577777777778</v>
          </cell>
          <cell r="DM48">
            <v>158.19135555555556</v>
          </cell>
          <cell r="DN48">
            <v>192.39666666666665</v>
          </cell>
          <cell r="DO48">
            <v>192.39666666666665</v>
          </cell>
          <cell r="DP48">
            <v>130.90530000000001</v>
          </cell>
          <cell r="DQ48">
            <v>23.637155555555555</v>
          </cell>
          <cell r="DR48">
            <v>-41.125111111111117</v>
          </cell>
          <cell r="DS48">
            <v>-8.50898888888889</v>
          </cell>
          <cell r="DT48">
            <v>-26.09963333333333</v>
          </cell>
          <cell r="DU48">
            <v>58.458455555555553</v>
          </cell>
          <cell r="DV48">
            <v>38.950011111111102</v>
          </cell>
          <cell r="DW48">
            <v>21.462544444444447</v>
          </cell>
          <cell r="DX48">
            <v>-14.112866666666667</v>
          </cell>
          <cell r="DY48">
            <v>119.55222222222223</v>
          </cell>
          <cell r="DZ48">
            <v>206.03444444444446</v>
          </cell>
          <cell r="EA48">
            <v>264.79666666666668</v>
          </cell>
          <cell r="EB48">
            <v>261.26469140854272</v>
          </cell>
          <cell r="EC48">
            <v>87.147431161342965</v>
          </cell>
          <cell r="ED48">
            <v>84.901555161342628</v>
          </cell>
          <cell r="EE48">
            <v>81.532741161342926</v>
          </cell>
        </row>
        <row r="50">
          <cell r="A50" t="str">
            <v>Integrated polyethylene margin (c/lb)</v>
          </cell>
          <cell r="V50">
            <v>17.592236543960478</v>
          </cell>
          <cell r="W50">
            <v>23.267872846632397</v>
          </cell>
          <cell r="X50">
            <v>23.340503359840696</v>
          </cell>
          <cell r="Y50">
            <v>33.789890814269164</v>
          </cell>
          <cell r="Z50">
            <v>42.279055898789494</v>
          </cell>
          <cell r="AA50">
            <v>42.969103555197051</v>
          </cell>
          <cell r="AB50">
            <v>39.024131439509617</v>
          </cell>
          <cell r="AC50">
            <v>36.20328926472844</v>
          </cell>
          <cell r="AD50">
            <v>34.539455950218326</v>
          </cell>
          <cell r="AE50">
            <v>32.962097752186153</v>
          </cell>
          <cell r="AF50">
            <v>19.079666920684105</v>
          </cell>
          <cell r="AG50">
            <v>16.907456765670574</v>
          </cell>
          <cell r="DH50">
            <v>17.258303357168788</v>
          </cell>
          <cell r="DI50">
            <v>17.949152915305511</v>
          </cell>
          <cell r="DJ50">
            <v>22.198508688505751</v>
          </cell>
          <cell r="DK50">
            <v>12.962981214861871</v>
          </cell>
          <cell r="DL50">
            <v>18.647277489574513</v>
          </cell>
          <cell r="DM50">
            <v>28.452178689695508</v>
          </cell>
          <cell r="DN50">
            <v>22.339719003629767</v>
          </cell>
          <cell r="DO50">
            <v>23.63231620362977</v>
          </cell>
          <cell r="DP50">
            <v>24.360372123774958</v>
          </cell>
          <cell r="DQ50">
            <v>28.858727123028839</v>
          </cell>
          <cell r="DR50">
            <v>24.101491868824365</v>
          </cell>
          <cell r="DS50">
            <v>16.041422323734626</v>
          </cell>
          <cell r="DT50">
            <v>31.27219340959002</v>
          </cell>
          <cell r="DU50">
            <v>37.83075521738229</v>
          </cell>
          <cell r="DV50">
            <v>32.886582269790402</v>
          </cell>
          <cell r="DW50">
            <v>33.170032360313947</v>
          </cell>
          <cell r="DX50">
            <v>39.208296750109128</v>
          </cell>
          <cell r="DY50">
            <v>41.210864120633659</v>
          </cell>
          <cell r="DZ50">
            <v>42.809958207281589</v>
          </cell>
          <cell r="EA50">
            <v>45.887104517133629</v>
          </cell>
          <cell r="EB50">
            <v>44.258119855197045</v>
          </cell>
          <cell r="EC50">
            <v>43.331719855197058</v>
          </cell>
          <cell r="ED50">
            <v>42.742575655197044</v>
          </cell>
          <cell r="EE50">
            <v>41.543998855197053</v>
          </cell>
        </row>
        <row r="51">
          <cell r="A51" t="str">
            <v>Integrated polyethylene margin ($/MT)</v>
          </cell>
          <cell r="V51">
            <v>387.73289342888893</v>
          </cell>
          <cell r="W51">
            <v>512.82391753977799</v>
          </cell>
          <cell r="X51">
            <v>514.42469405088889</v>
          </cell>
          <cell r="Y51">
            <v>744.7291935464923</v>
          </cell>
          <cell r="Z51">
            <v>931.83039200932046</v>
          </cell>
          <cell r="AA51">
            <v>947.03904235654295</v>
          </cell>
          <cell r="AB51">
            <v>860.09185692679193</v>
          </cell>
          <cell r="AC51">
            <v>797.92049539461482</v>
          </cell>
          <cell r="AD51">
            <v>761.24960914281189</v>
          </cell>
          <cell r="AE51">
            <v>726.48463445818277</v>
          </cell>
          <cell r="AF51">
            <v>420.51585893187763</v>
          </cell>
          <cell r="AG51">
            <v>372.64034711537943</v>
          </cell>
          <cell r="DH51">
            <v>380.37300599200006</v>
          </cell>
          <cell r="DI51">
            <v>395.59933025333345</v>
          </cell>
          <cell r="DJ51">
            <v>489.25513149466673</v>
          </cell>
          <cell r="DK51">
            <v>285.70410597555565</v>
          </cell>
          <cell r="DL51">
            <v>410.98599587022227</v>
          </cell>
          <cell r="DM51">
            <v>627.08601832088891</v>
          </cell>
          <cell r="DN51">
            <v>492.36740684000006</v>
          </cell>
          <cell r="DO51">
            <v>520.85624912800017</v>
          </cell>
          <cell r="DP51">
            <v>536.90260160800005</v>
          </cell>
          <cell r="DQ51">
            <v>636.04634579155561</v>
          </cell>
          <cell r="DR51">
            <v>531.19688078888896</v>
          </cell>
          <cell r="DS51">
            <v>353.55294801511116</v>
          </cell>
          <cell r="DT51">
            <v>689.23914274736399</v>
          </cell>
          <cell r="DU51">
            <v>833.78984499110561</v>
          </cell>
          <cell r="DV51">
            <v>724.82027322618046</v>
          </cell>
          <cell r="DW51">
            <v>731.06751322131936</v>
          </cell>
          <cell r="DX51">
            <v>864.15086037240519</v>
          </cell>
          <cell r="DY51">
            <v>908.28744521876581</v>
          </cell>
          <cell r="DZ51">
            <v>943.53147888848616</v>
          </cell>
          <cell r="EA51">
            <v>1011.3517835576251</v>
          </cell>
          <cell r="EB51">
            <v>975.44896160854285</v>
          </cell>
          <cell r="EC51">
            <v>955.03110560854316</v>
          </cell>
          <cell r="ED51">
            <v>942.04636744054278</v>
          </cell>
          <cell r="EE51">
            <v>915.62973476854302</v>
          </cell>
        </row>
        <row r="53">
          <cell r="A53" t="str">
            <v>Polypropylene price (c/lb)</v>
          </cell>
          <cell r="C53">
            <v>39.041666666666664</v>
          </cell>
          <cell r="D53">
            <v>34.5</v>
          </cell>
          <cell r="E53">
            <v>31.458333333333339</v>
          </cell>
          <cell r="F53">
            <v>26.666666666666668</v>
          </cell>
          <cell r="G53">
            <v>32.041666666666671</v>
          </cell>
          <cell r="H53">
            <v>42</v>
          </cell>
          <cell r="I53">
            <v>37.75</v>
          </cell>
          <cell r="J53">
            <v>35.5</v>
          </cell>
          <cell r="K53">
            <v>25.999999999999996</v>
          </cell>
          <cell r="L53">
            <v>25.708333333333332</v>
          </cell>
          <cell r="M53">
            <v>36.375</v>
          </cell>
          <cell r="N53">
            <v>31.124999999999996</v>
          </cell>
          <cell r="O53">
            <v>33.75</v>
          </cell>
          <cell r="P53">
            <v>40.666666666666664</v>
          </cell>
          <cell r="Q53">
            <v>52.625</v>
          </cell>
          <cell r="R53">
            <v>65.333333333333343</v>
          </cell>
          <cell r="S53">
            <v>70.25</v>
          </cell>
          <cell r="T53">
            <v>77.083333333333343</v>
          </cell>
          <cell r="U53">
            <v>87.625</v>
          </cell>
          <cell r="V53">
            <v>64.416666666666671</v>
          </cell>
          <cell r="W53">
            <v>85.75</v>
          </cell>
          <cell r="X53">
            <v>87.459166666666675</v>
          </cell>
          <cell r="Y53">
            <v>72.541666666666671</v>
          </cell>
          <cell r="Z53">
            <v>82.166666666666671</v>
          </cell>
          <cell r="AA53">
            <v>81.416666666666671</v>
          </cell>
          <cell r="AB53">
            <v>88.86</v>
          </cell>
          <cell r="AC53">
            <v>88.86</v>
          </cell>
          <cell r="AD53">
            <v>88.86</v>
          </cell>
          <cell r="AE53">
            <v>88.86</v>
          </cell>
          <cell r="AF53">
            <v>88.86</v>
          </cell>
          <cell r="AG53">
            <v>88.86</v>
          </cell>
          <cell r="AJ53">
            <v>37</v>
          </cell>
          <cell r="AK53">
            <v>39</v>
          </cell>
          <cell r="AL53">
            <v>38</v>
          </cell>
          <cell r="AM53">
            <v>42.166666666666664</v>
          </cell>
          <cell r="AN53">
            <v>39.166666666666664</v>
          </cell>
          <cell r="AO53">
            <v>34.166666666666664</v>
          </cell>
          <cell r="AP53">
            <v>31.666666666666668</v>
          </cell>
          <cell r="AQ53">
            <v>33</v>
          </cell>
          <cell r="AR53">
            <v>32.5</v>
          </cell>
          <cell r="AS53">
            <v>32.333333333333336</v>
          </cell>
          <cell r="AT53">
            <v>32.333333333333336</v>
          </cell>
          <cell r="AU53">
            <v>28.666666666666668</v>
          </cell>
          <cell r="AV53">
            <v>26.5</v>
          </cell>
          <cell r="AW53">
            <v>26.166666666666668</v>
          </cell>
          <cell r="AX53">
            <v>27</v>
          </cell>
          <cell r="AY53">
            <v>27</v>
          </cell>
          <cell r="AZ53">
            <v>27</v>
          </cell>
          <cell r="BA53">
            <v>30.166666666666668</v>
          </cell>
          <cell r="BB53">
            <v>33</v>
          </cell>
          <cell r="BC53">
            <v>38</v>
          </cell>
          <cell r="BD53">
            <v>42.333333333333336</v>
          </cell>
          <cell r="BE53">
            <v>45.666666666666664</v>
          </cell>
          <cell r="BF53">
            <v>43</v>
          </cell>
          <cell r="BG53">
            <v>37</v>
          </cell>
          <cell r="BH53">
            <v>33.666666666666664</v>
          </cell>
          <cell r="BI53">
            <v>37.666666666666664</v>
          </cell>
          <cell r="BJ53">
            <v>40.666666666666664</v>
          </cell>
          <cell r="BK53">
            <v>39</v>
          </cell>
          <cell r="BL53">
            <v>37</v>
          </cell>
          <cell r="BM53">
            <v>38</v>
          </cell>
          <cell r="BN53">
            <v>35</v>
          </cell>
          <cell r="BO53">
            <v>32</v>
          </cell>
          <cell r="BP53">
            <v>29.333333333333332</v>
          </cell>
          <cell r="BQ53">
            <v>27</v>
          </cell>
          <cell r="BR53">
            <v>24.333333333333332</v>
          </cell>
          <cell r="BS53">
            <v>23.333333333333332</v>
          </cell>
          <cell r="BT53">
            <v>22</v>
          </cell>
          <cell r="BU53">
            <v>24</v>
          </cell>
          <cell r="BV53">
            <v>26.5</v>
          </cell>
          <cell r="BW53">
            <v>30.333333333333332</v>
          </cell>
          <cell r="BX53">
            <v>32.5</v>
          </cell>
          <cell r="BY53">
            <v>38.5</v>
          </cell>
          <cell r="BZ53">
            <v>38.333333333333336</v>
          </cell>
          <cell r="CA53">
            <v>36.166666666666664</v>
          </cell>
          <cell r="CB53">
            <v>35.166666666666664</v>
          </cell>
          <cell r="CC53">
            <v>32</v>
          </cell>
          <cell r="CD53">
            <v>28</v>
          </cell>
          <cell r="CE53">
            <v>29.333333333333332</v>
          </cell>
          <cell r="CF53">
            <v>28.666666666666668</v>
          </cell>
          <cell r="CG53">
            <v>33.333333333333336</v>
          </cell>
          <cell r="CH53">
            <v>37</v>
          </cell>
          <cell r="CI53">
            <v>36</v>
          </cell>
          <cell r="CJ53">
            <v>39.666666666666664</v>
          </cell>
          <cell r="CK53">
            <v>43.666666666666664</v>
          </cell>
          <cell r="CL53">
            <v>39.666666666666664</v>
          </cell>
          <cell r="CM53">
            <v>39.666666666666664</v>
          </cell>
          <cell r="CN53">
            <v>46.166666666666664</v>
          </cell>
          <cell r="CO53">
            <v>49.666666666666664</v>
          </cell>
          <cell r="CP53">
            <v>52.833333333333336</v>
          </cell>
          <cell r="CQ53">
            <v>61.833333333333336</v>
          </cell>
          <cell r="CR53">
            <v>68.166666666666671</v>
          </cell>
          <cell r="CS53">
            <v>60.166666666666664</v>
          </cell>
          <cell r="CT53">
            <v>60</v>
          </cell>
          <cell r="CU53">
            <v>73</v>
          </cell>
          <cell r="CV53">
            <v>67.666666666666671</v>
          </cell>
          <cell r="CW53">
            <v>71.166666666666671</v>
          </cell>
          <cell r="CX53">
            <v>74.333333333333329</v>
          </cell>
          <cell r="CY53">
            <v>67.833333333333329</v>
          </cell>
          <cell r="CZ53">
            <v>69.666666666666671</v>
          </cell>
          <cell r="DA53">
            <v>76.333333333333329</v>
          </cell>
          <cell r="DB53">
            <v>77.666666666666671</v>
          </cell>
          <cell r="DC53">
            <v>84.666666666666671</v>
          </cell>
          <cell r="DD53">
            <v>86.833333333333329</v>
          </cell>
          <cell r="DE53">
            <v>95.666666666666671</v>
          </cell>
          <cell r="DF53">
            <v>106</v>
          </cell>
          <cell r="DG53">
            <v>62</v>
          </cell>
          <cell r="DH53">
            <v>51.5</v>
          </cell>
          <cell r="DI53">
            <v>58.5</v>
          </cell>
          <cell r="DJ53">
            <v>72.666666666666671</v>
          </cell>
          <cell r="DK53">
            <v>75</v>
          </cell>
          <cell r="DL53">
            <v>87.833333333333329</v>
          </cell>
          <cell r="DM53">
            <v>89.833333333333329</v>
          </cell>
          <cell r="DN53">
            <v>82.666666666666671</v>
          </cell>
          <cell r="DO53">
            <v>82.666666666666671</v>
          </cell>
          <cell r="DP53">
            <v>89.33</v>
          </cell>
          <cell r="DQ53">
            <v>99.67</v>
          </cell>
          <cell r="DR53">
            <v>90.17</v>
          </cell>
          <cell r="DS53">
            <v>70.666666666666671</v>
          </cell>
          <cell r="DT53">
            <v>81.166666666666671</v>
          </cell>
          <cell r="DU53">
            <v>76.666666666666671</v>
          </cell>
          <cell r="DV53">
            <v>63.833333333333336</v>
          </cell>
          <cell r="DW53">
            <v>68.5</v>
          </cell>
          <cell r="DX53">
            <v>88</v>
          </cell>
          <cell r="DY53">
            <v>76.166666666666671</v>
          </cell>
          <cell r="DZ53">
            <v>82.333333333333329</v>
          </cell>
          <cell r="EA53">
            <v>82.166666666666671</v>
          </cell>
          <cell r="EB53">
            <v>85.333333333333329</v>
          </cell>
          <cell r="EC53">
            <v>84.333333333333329</v>
          </cell>
          <cell r="ED53">
            <v>77.333333333333329</v>
          </cell>
          <cell r="EE53">
            <v>78.666666666666671</v>
          </cell>
        </row>
        <row r="54">
          <cell r="A54" t="str">
            <v>Polypropylene price ($/MT)</v>
          </cell>
          <cell r="C54">
            <v>860.47833333333324</v>
          </cell>
          <cell r="D54">
            <v>760.38</v>
          </cell>
          <cell r="E54">
            <v>693.34166666666681</v>
          </cell>
          <cell r="F54">
            <v>587.73333333333335</v>
          </cell>
          <cell r="G54">
            <v>706.19833333333338</v>
          </cell>
          <cell r="H54">
            <v>925.68</v>
          </cell>
          <cell r="I54">
            <v>832.01</v>
          </cell>
          <cell r="J54">
            <v>782.42</v>
          </cell>
          <cell r="K54">
            <v>573.03999999999985</v>
          </cell>
          <cell r="L54">
            <v>566.61166666666657</v>
          </cell>
          <cell r="M54">
            <v>801.70499999999993</v>
          </cell>
          <cell r="N54">
            <v>685.99499999999989</v>
          </cell>
          <cell r="O54">
            <v>743.85</v>
          </cell>
          <cell r="P54">
            <v>896.29333333333329</v>
          </cell>
          <cell r="Q54">
            <v>1159.855</v>
          </cell>
          <cell r="R54">
            <v>1439.9466666666667</v>
          </cell>
          <cell r="S54">
            <v>1548.31</v>
          </cell>
          <cell r="T54">
            <v>1698.9166666666667</v>
          </cell>
          <cell r="U54">
            <v>1931.2549999999999</v>
          </cell>
          <cell r="V54">
            <v>1419.7433333333333</v>
          </cell>
          <cell r="W54">
            <v>1889.9299999999998</v>
          </cell>
          <cell r="X54">
            <v>1927.6000333333334</v>
          </cell>
          <cell r="Y54">
            <v>1598.8183333333334</v>
          </cell>
          <cell r="Z54">
            <v>1810.9533333333334</v>
          </cell>
          <cell r="AA54">
            <v>1794.4233333333334</v>
          </cell>
          <cell r="AB54">
            <v>1958.4743999999998</v>
          </cell>
          <cell r="AC54">
            <v>1958.4743999999998</v>
          </cell>
          <cell r="AD54">
            <v>1958.4743999999998</v>
          </cell>
          <cell r="AE54">
            <v>1958.4743999999998</v>
          </cell>
          <cell r="AF54">
            <v>1958.4743999999998</v>
          </cell>
          <cell r="AG54">
            <v>1958.4743999999998</v>
          </cell>
          <cell r="AJ54">
            <v>815.48</v>
          </cell>
          <cell r="AK54">
            <v>859.56</v>
          </cell>
          <cell r="AL54">
            <v>837.52</v>
          </cell>
          <cell r="AM54">
            <v>929.35333333333324</v>
          </cell>
          <cell r="AN54">
            <v>863.23333333333323</v>
          </cell>
          <cell r="AO54">
            <v>753.0333333333333</v>
          </cell>
          <cell r="AP54">
            <v>697.93333333333328</v>
          </cell>
          <cell r="AQ54">
            <v>727.31999999999994</v>
          </cell>
          <cell r="AR54">
            <v>716.3</v>
          </cell>
          <cell r="AS54">
            <v>712.62666666666667</v>
          </cell>
          <cell r="AT54">
            <v>712.62666666666667</v>
          </cell>
          <cell r="AU54">
            <v>631.81333333333339</v>
          </cell>
          <cell r="AV54">
            <v>584.05999999999995</v>
          </cell>
          <cell r="AW54">
            <v>576.71333333333337</v>
          </cell>
          <cell r="AX54">
            <v>595.07999999999993</v>
          </cell>
          <cell r="AY54">
            <v>595.07999999999993</v>
          </cell>
          <cell r="AZ54">
            <v>595.07999999999993</v>
          </cell>
          <cell r="BA54">
            <v>664.87333333333333</v>
          </cell>
          <cell r="BB54">
            <v>727.31999999999994</v>
          </cell>
          <cell r="BC54">
            <v>837.52</v>
          </cell>
          <cell r="BD54">
            <v>933.02666666666664</v>
          </cell>
          <cell r="BE54">
            <v>1006.4933333333332</v>
          </cell>
          <cell r="BF54">
            <v>947.71999999999991</v>
          </cell>
          <cell r="BG54">
            <v>815.48</v>
          </cell>
          <cell r="BH54">
            <v>742.01333333333321</v>
          </cell>
          <cell r="BI54">
            <v>830.17333333333329</v>
          </cell>
          <cell r="BJ54">
            <v>896.29333333333329</v>
          </cell>
          <cell r="BK54">
            <v>859.56</v>
          </cell>
          <cell r="BL54">
            <v>815.48</v>
          </cell>
          <cell r="BM54">
            <v>837.52</v>
          </cell>
          <cell r="BN54">
            <v>771.4</v>
          </cell>
          <cell r="BO54">
            <v>705.28</v>
          </cell>
          <cell r="BP54">
            <v>646.50666666666666</v>
          </cell>
          <cell r="BQ54">
            <v>595.07999999999993</v>
          </cell>
          <cell r="BR54">
            <v>536.30666666666662</v>
          </cell>
          <cell r="BS54">
            <v>514.26666666666665</v>
          </cell>
          <cell r="BT54">
            <v>484.88</v>
          </cell>
          <cell r="BU54">
            <v>528.96</v>
          </cell>
          <cell r="BV54">
            <v>584.05999999999995</v>
          </cell>
          <cell r="BW54">
            <v>668.54666666666662</v>
          </cell>
          <cell r="BX54">
            <v>716.3</v>
          </cell>
          <cell r="BY54">
            <v>848.54</v>
          </cell>
          <cell r="BZ54">
            <v>844.86666666666667</v>
          </cell>
          <cell r="CA54">
            <v>797.11333333333323</v>
          </cell>
          <cell r="CB54">
            <v>775.07333333333327</v>
          </cell>
          <cell r="CC54">
            <v>705.28</v>
          </cell>
          <cell r="CD54">
            <v>617.12</v>
          </cell>
          <cell r="CE54">
            <v>646.50666666666666</v>
          </cell>
          <cell r="CF54">
            <v>631.81333333333339</v>
          </cell>
          <cell r="CG54">
            <v>734.66666666666674</v>
          </cell>
          <cell r="CH54">
            <v>815.48</v>
          </cell>
          <cell r="CI54">
            <v>793.43999999999994</v>
          </cell>
          <cell r="CJ54">
            <v>874.25333333333322</v>
          </cell>
          <cell r="CK54">
            <v>962.4133333333333</v>
          </cell>
          <cell r="CL54">
            <v>874.25333333333322</v>
          </cell>
          <cell r="CM54">
            <v>874.25333333333322</v>
          </cell>
          <cell r="CN54">
            <v>1017.5133333333332</v>
          </cell>
          <cell r="CO54">
            <v>1094.6533333333332</v>
          </cell>
          <cell r="CP54">
            <v>1164.4466666666667</v>
          </cell>
          <cell r="CQ54">
            <v>1362.8066666666666</v>
          </cell>
          <cell r="CR54">
            <v>1502.3933333333334</v>
          </cell>
          <cell r="CS54">
            <v>1326.0733333333333</v>
          </cell>
          <cell r="CT54">
            <v>1322.3999999999999</v>
          </cell>
          <cell r="CU54">
            <v>1608.9199999999998</v>
          </cell>
          <cell r="CV54">
            <v>1491.3733333333334</v>
          </cell>
          <cell r="CW54">
            <v>1568.5133333333333</v>
          </cell>
          <cell r="CX54">
            <v>1638.3066666666664</v>
          </cell>
          <cell r="CY54">
            <v>1495.0466666666664</v>
          </cell>
          <cell r="CZ54">
            <v>1535.4533333333334</v>
          </cell>
          <cell r="DA54">
            <v>1682.3866666666665</v>
          </cell>
          <cell r="DB54">
            <v>1711.7733333333333</v>
          </cell>
          <cell r="DC54">
            <v>1866.0533333333333</v>
          </cell>
          <cell r="DD54">
            <v>1913.8066666666664</v>
          </cell>
          <cell r="DE54">
            <v>2108.4933333333333</v>
          </cell>
          <cell r="DF54">
            <v>2336.2399999999998</v>
          </cell>
          <cell r="DG54">
            <v>1366.48</v>
          </cell>
          <cell r="DH54">
            <v>1135.06</v>
          </cell>
          <cell r="DI54">
            <v>1289.3399999999999</v>
          </cell>
          <cell r="DJ54">
            <v>1601.5733333333333</v>
          </cell>
          <cell r="DK54">
            <v>1653</v>
          </cell>
          <cell r="DL54">
            <v>1935.8466666666666</v>
          </cell>
          <cell r="DM54">
            <v>1979.9266666666665</v>
          </cell>
          <cell r="DN54">
            <v>1821.9733333333334</v>
          </cell>
          <cell r="DO54">
            <v>1821.9733333333334</v>
          </cell>
          <cell r="DP54">
            <v>1968.8331999999998</v>
          </cell>
          <cell r="DQ54">
            <v>2196.7267999999999</v>
          </cell>
          <cell r="DR54">
            <v>1987.3468</v>
          </cell>
          <cell r="DS54">
            <v>1557.4933333333333</v>
          </cell>
          <cell r="DT54">
            <v>1788.9133333333334</v>
          </cell>
          <cell r="DU54">
            <v>1689.7333333333333</v>
          </cell>
          <cell r="DV54">
            <v>1406.8866666666668</v>
          </cell>
          <cell r="DW54">
            <v>1509.74</v>
          </cell>
          <cell r="DX54">
            <v>1939.52</v>
          </cell>
          <cell r="DY54">
            <v>1678.7133333333334</v>
          </cell>
          <cell r="DZ54">
            <v>1814.6266666666666</v>
          </cell>
          <cell r="EA54">
            <v>1810.9533333333334</v>
          </cell>
          <cell r="EB54">
            <v>1880.7466666666664</v>
          </cell>
          <cell r="EC54">
            <v>1858.7066666666665</v>
          </cell>
          <cell r="ED54">
            <v>1704.4266666666665</v>
          </cell>
          <cell r="EE54">
            <v>1733.8133333333333</v>
          </cell>
        </row>
        <row r="56">
          <cell r="A56" t="str">
            <v>Propylene price (average acquisition) (c/lb)</v>
          </cell>
          <cell r="C56">
            <v>17.770833333333332</v>
          </cell>
          <cell r="D56">
            <v>18.125</v>
          </cell>
          <cell r="E56">
            <v>14.770833333333334</v>
          </cell>
          <cell r="F56">
            <v>13.6875</v>
          </cell>
          <cell r="G56">
            <v>15.958333333333332</v>
          </cell>
          <cell r="H56">
            <v>22.458333333333336</v>
          </cell>
          <cell r="I56">
            <v>18.708333333333332</v>
          </cell>
          <cell r="J56">
            <v>20.520833333333332</v>
          </cell>
          <cell r="K56">
            <v>14.25</v>
          </cell>
          <cell r="L56">
            <v>14.895833333333332</v>
          </cell>
          <cell r="M56">
            <v>24.125</v>
          </cell>
          <cell r="N56">
            <v>18.916666666666668</v>
          </cell>
          <cell r="O56">
            <v>19.5</v>
          </cell>
          <cell r="P56">
            <v>22.916666666666668</v>
          </cell>
          <cell r="Q56">
            <v>33.458333333333336</v>
          </cell>
          <cell r="R56">
            <v>42.25</v>
          </cell>
          <cell r="S56">
            <v>47.333333333333329</v>
          </cell>
          <cell r="T56">
            <v>51.90625</v>
          </cell>
          <cell r="U56">
            <v>61.499999999999993</v>
          </cell>
          <cell r="V56">
            <v>39.416666666666664</v>
          </cell>
          <cell r="W56">
            <v>61.082499999999996</v>
          </cell>
          <cell r="X56">
            <v>75.498333333333335</v>
          </cell>
          <cell r="Y56">
            <v>60.416666666666671</v>
          </cell>
          <cell r="Z56">
            <v>68.708333333333343</v>
          </cell>
          <cell r="AA56">
            <v>66.416666666666671</v>
          </cell>
          <cell r="AB56">
            <v>74.75</v>
          </cell>
          <cell r="AC56">
            <v>74.75</v>
          </cell>
          <cell r="AD56">
            <v>74.75</v>
          </cell>
          <cell r="AE56">
            <v>74.75</v>
          </cell>
          <cell r="AF56">
            <v>74.75</v>
          </cell>
          <cell r="AG56">
            <v>74.75</v>
          </cell>
          <cell r="AJ56">
            <v>14.833333333333334</v>
          </cell>
          <cell r="AK56">
            <v>15.75</v>
          </cell>
          <cell r="AL56">
            <v>17.166666666666668</v>
          </cell>
          <cell r="AM56">
            <v>23.333333333333332</v>
          </cell>
          <cell r="AN56">
            <v>22</v>
          </cell>
          <cell r="AO56">
            <v>18.5</v>
          </cell>
          <cell r="AP56">
            <v>16</v>
          </cell>
          <cell r="AQ56">
            <v>16</v>
          </cell>
          <cell r="AR56">
            <v>14.833333333333334</v>
          </cell>
          <cell r="AS56">
            <v>14.916666666666666</v>
          </cell>
          <cell r="AT56">
            <v>15.25</v>
          </cell>
          <cell r="AU56">
            <v>14.083333333333334</v>
          </cell>
          <cell r="AV56">
            <v>13.75</v>
          </cell>
          <cell r="AW56">
            <v>14.166666666666666</v>
          </cell>
          <cell r="AX56">
            <v>13.833333333333334</v>
          </cell>
          <cell r="AY56">
            <v>13</v>
          </cell>
          <cell r="AZ56">
            <v>12.916666666666666</v>
          </cell>
          <cell r="BA56">
            <v>14.416666666666666</v>
          </cell>
          <cell r="BB56">
            <v>16.75</v>
          </cell>
          <cell r="BC56">
            <v>19.75</v>
          </cell>
          <cell r="BD56">
            <v>22.75</v>
          </cell>
          <cell r="BE56">
            <v>24.75</v>
          </cell>
          <cell r="BF56">
            <v>23.416666666666668</v>
          </cell>
          <cell r="BG56">
            <v>18.916666666666668</v>
          </cell>
          <cell r="BH56">
            <v>16.75</v>
          </cell>
          <cell r="BI56">
            <v>18.583333333333332</v>
          </cell>
          <cell r="BJ56">
            <v>19.583333333333332</v>
          </cell>
          <cell r="BK56">
            <v>19.916666666666668</v>
          </cell>
          <cell r="BL56">
            <v>21.083333333333332</v>
          </cell>
          <cell r="BM56">
            <v>21.25</v>
          </cell>
          <cell r="BN56">
            <v>21</v>
          </cell>
          <cell r="BO56">
            <v>18.75</v>
          </cell>
          <cell r="BP56">
            <v>16.25</v>
          </cell>
          <cell r="BQ56">
            <v>14.333333333333334</v>
          </cell>
          <cell r="BR56">
            <v>13.666666666666666</v>
          </cell>
          <cell r="BS56">
            <v>12.75</v>
          </cell>
          <cell r="BT56">
            <v>12.083333333333334</v>
          </cell>
          <cell r="BU56">
            <v>12.666666666666666</v>
          </cell>
          <cell r="BV56">
            <v>15.666666666666666</v>
          </cell>
          <cell r="BW56">
            <v>19.166666666666668</v>
          </cell>
          <cell r="BX56">
            <v>20.833333333333332</v>
          </cell>
          <cell r="BY56">
            <v>26.166666666666668</v>
          </cell>
          <cell r="BZ56">
            <v>25.666666666666668</v>
          </cell>
          <cell r="CA56">
            <v>23.833333333333332</v>
          </cell>
          <cell r="CB56">
            <v>22.5</v>
          </cell>
          <cell r="CC56">
            <v>18.666666666666668</v>
          </cell>
          <cell r="CD56">
            <v>16.166666666666668</v>
          </cell>
          <cell r="CE56">
            <v>18.333333333333332</v>
          </cell>
          <cell r="CF56">
            <v>16.25</v>
          </cell>
          <cell r="CG56">
            <v>20.416666666666668</v>
          </cell>
          <cell r="CH56">
            <v>21.333333333333332</v>
          </cell>
          <cell r="CI56">
            <v>20</v>
          </cell>
          <cell r="CJ56">
            <v>24.166666666666668</v>
          </cell>
          <cell r="CK56">
            <v>25</v>
          </cell>
          <cell r="CL56">
            <v>20.833333333333332</v>
          </cell>
          <cell r="CM56">
            <v>21.666666666666668</v>
          </cell>
          <cell r="CN56">
            <v>29</v>
          </cell>
          <cell r="CO56">
            <v>32.166666666666664</v>
          </cell>
          <cell r="CP56">
            <v>32.333333333333336</v>
          </cell>
          <cell r="CQ56">
            <v>40.333333333333336</v>
          </cell>
          <cell r="CR56">
            <v>45</v>
          </cell>
          <cell r="CS56">
            <v>37.333333333333336</v>
          </cell>
          <cell r="CT56">
            <v>37</v>
          </cell>
          <cell r="CU56">
            <v>49.666666666666664</v>
          </cell>
          <cell r="CV56">
            <v>45</v>
          </cell>
          <cell r="CW56">
            <v>49.666666666666664</v>
          </cell>
          <cell r="CX56">
            <v>51.166666666666664</v>
          </cell>
          <cell r="CY56">
            <v>43.5</v>
          </cell>
          <cell r="CZ56">
            <v>44.625</v>
          </cell>
          <cell r="DA56">
            <v>51.416666666666664</v>
          </cell>
          <cell r="DB56">
            <v>52.333333333333336</v>
          </cell>
          <cell r="DC56">
            <v>59.25</v>
          </cell>
          <cell r="DD56">
            <v>61.166666666666664</v>
          </cell>
          <cell r="DE56">
            <v>69.833333333333329</v>
          </cell>
          <cell r="DF56">
            <v>78.333333333333329</v>
          </cell>
          <cell r="DG56">
            <v>36.666666666666664</v>
          </cell>
          <cell r="DH56">
            <v>26.333333333333332</v>
          </cell>
          <cell r="DI56">
            <v>33.5</v>
          </cell>
          <cell r="DJ56">
            <v>47.666666666666664</v>
          </cell>
          <cell r="DK56">
            <v>50.166666666666664</v>
          </cell>
          <cell r="DL56">
            <v>63</v>
          </cell>
          <cell r="DM56">
            <v>64.833333333333329</v>
          </cell>
          <cell r="DN56">
            <v>57.666666666666664</v>
          </cell>
          <cell r="DO56">
            <v>58.83</v>
          </cell>
          <cell r="DP56">
            <v>75.83</v>
          </cell>
          <cell r="DQ56">
            <v>88.83</v>
          </cell>
          <cell r="DR56">
            <v>78</v>
          </cell>
          <cell r="DS56">
            <v>59.333333333333336</v>
          </cell>
          <cell r="DT56">
            <v>68.666666666666671</v>
          </cell>
          <cell r="DU56">
            <v>65.666666666666671</v>
          </cell>
          <cell r="DV56">
            <v>51.333333333333336</v>
          </cell>
          <cell r="DW56">
            <v>56</v>
          </cell>
          <cell r="DX56">
            <v>75</v>
          </cell>
          <cell r="DY56">
            <v>63.333333333333336</v>
          </cell>
          <cell r="DZ56">
            <v>68.333333333333329</v>
          </cell>
          <cell r="EA56">
            <v>68.166666666666671</v>
          </cell>
          <cell r="EB56">
            <v>70.333333333333329</v>
          </cell>
          <cell r="EC56">
            <v>69.333333333333329</v>
          </cell>
          <cell r="ED56">
            <v>62.333333333333336</v>
          </cell>
          <cell r="EE56">
            <v>63.666666666666664</v>
          </cell>
        </row>
        <row r="57">
          <cell r="A57" t="str">
            <v>Non-feedstock acquisition costs (c/lb)</v>
          </cell>
          <cell r="C57">
            <v>11.586847902151765</v>
          </cell>
          <cell r="D57">
            <v>11.589135560307369</v>
          </cell>
          <cell r="E57">
            <v>11.10242848331567</v>
          </cell>
          <cell r="F57">
            <v>10.604051177135252</v>
          </cell>
          <cell r="G57">
            <v>10.140683611268891</v>
          </cell>
          <cell r="H57">
            <v>9.9104831673337941</v>
          </cell>
          <cell r="I57">
            <v>9.8984124801519702</v>
          </cell>
          <cell r="J57">
            <v>10.363032712033954</v>
          </cell>
          <cell r="K57">
            <v>10.113302649956477</v>
          </cell>
          <cell r="L57">
            <v>10.761050907395964</v>
          </cell>
          <cell r="M57">
            <v>11.804715929870422</v>
          </cell>
          <cell r="N57">
            <v>13.145725057999567</v>
          </cell>
          <cell r="O57">
            <v>14.074634385725389</v>
          </cell>
          <cell r="P57">
            <v>14.661343266540554</v>
          </cell>
          <cell r="Q57">
            <v>15.192449830710707</v>
          </cell>
          <cell r="R57">
            <v>16.540826601122944</v>
          </cell>
          <cell r="S57">
            <v>16.990210192224801</v>
          </cell>
          <cell r="T57">
            <v>18.406997969093847</v>
          </cell>
          <cell r="U57">
            <v>19.814717441678681</v>
          </cell>
          <cell r="V57">
            <v>18.693074025219495</v>
          </cell>
          <cell r="W57">
            <v>20.796443587416821</v>
          </cell>
          <cell r="X57">
            <v>10.43708862673927</v>
          </cell>
          <cell r="Y57">
            <v>10.189428312159709</v>
          </cell>
          <cell r="Z57">
            <v>10.507032667876583</v>
          </cell>
          <cell r="AA57">
            <v>10.563407441016334</v>
          </cell>
          <cell r="AB57">
            <v>11.625880217785843</v>
          </cell>
          <cell r="AC57">
            <v>11.625880217785843</v>
          </cell>
          <cell r="AD57">
            <v>11.625880217785843</v>
          </cell>
          <cell r="AE57">
            <v>11.625880217785843</v>
          </cell>
          <cell r="AF57">
            <v>11.625880217785843</v>
          </cell>
          <cell r="AG57">
            <v>11.625880217785843</v>
          </cell>
          <cell r="AJ57">
            <v>11.743900222100898</v>
          </cell>
          <cell r="AK57">
            <v>11.642102529850058</v>
          </cell>
          <cell r="AL57">
            <v>11.548312631392667</v>
          </cell>
          <cell r="AM57">
            <v>11.413076225263442</v>
          </cell>
          <cell r="AN57">
            <v>11.619987964198604</v>
          </cell>
          <cell r="AO57">
            <v>11.521316233251746</v>
          </cell>
          <cell r="AP57">
            <v>11.548516655728893</v>
          </cell>
          <cell r="AQ57">
            <v>11.666721388050231</v>
          </cell>
          <cell r="AR57">
            <v>11.332430651252835</v>
          </cell>
          <cell r="AS57">
            <v>11.159450635743429</v>
          </cell>
          <cell r="AT57">
            <v>10.976906526070209</v>
          </cell>
          <cell r="AU57">
            <v>10.940926120196178</v>
          </cell>
          <cell r="AV57">
            <v>10.535773724242505</v>
          </cell>
          <cell r="AW57">
            <v>10.675812673402884</v>
          </cell>
          <cell r="AX57">
            <v>10.608859290091713</v>
          </cell>
          <cell r="AY57">
            <v>10.595759020803902</v>
          </cell>
          <cell r="AZ57">
            <v>10.471392407740062</v>
          </cell>
          <cell r="BA57">
            <v>10.109095042458259</v>
          </cell>
          <cell r="BB57">
            <v>9.9665209708317342</v>
          </cell>
          <cell r="BC57">
            <v>10.015726024045483</v>
          </cell>
          <cell r="BD57">
            <v>9.2213029071615011</v>
          </cell>
          <cell r="BE57">
            <v>9.960687270973084</v>
          </cell>
          <cell r="BF57">
            <v>9.9020240971370121</v>
          </cell>
          <cell r="BG57">
            <v>10.557918394063591</v>
          </cell>
          <cell r="BH57">
            <v>9.9138808565491949</v>
          </cell>
          <cell r="BI57">
            <v>9.7726846624661778</v>
          </cell>
          <cell r="BJ57">
            <v>10.075402491485518</v>
          </cell>
          <cell r="BK57">
            <v>9.8316819101069832</v>
          </cell>
          <cell r="BL57">
            <v>10.111470552573152</v>
          </cell>
          <cell r="BM57">
            <v>10.266214580071757</v>
          </cell>
          <cell r="BN57">
            <v>10.638865415735717</v>
          </cell>
          <cell r="BO57">
            <v>10.435580299755188</v>
          </cell>
          <cell r="BP57">
            <v>10.23770647800635</v>
          </cell>
          <cell r="BQ57">
            <v>10.181645745792084</v>
          </cell>
          <cell r="BR57">
            <v>10.134965690106787</v>
          </cell>
          <cell r="BS57">
            <v>9.8988926859206998</v>
          </cell>
          <cell r="BT57">
            <v>9.9926237330359964</v>
          </cell>
          <cell r="BU57">
            <v>10.913185840395668</v>
          </cell>
          <cell r="BV57">
            <v>11.135191495948636</v>
          </cell>
          <cell r="BW57">
            <v>11.003202560203551</v>
          </cell>
          <cell r="BX57">
            <v>11.858097766712866</v>
          </cell>
          <cell r="BY57">
            <v>11.96004193225596</v>
          </cell>
          <cell r="BZ57">
            <v>11.756533575498439</v>
          </cell>
          <cell r="CA57">
            <v>11.644190445014424</v>
          </cell>
          <cell r="CB57">
            <v>12.811559189511836</v>
          </cell>
          <cell r="CC57">
            <v>12.679374093210262</v>
          </cell>
          <cell r="CD57">
            <v>12.824990581230026</v>
          </cell>
          <cell r="CE57">
            <v>14.266976368046155</v>
          </cell>
          <cell r="CF57">
            <v>13.612184957532552</v>
          </cell>
          <cell r="CG57">
            <v>13.588061997507161</v>
          </cell>
          <cell r="CH57">
            <v>14.193217210723047</v>
          </cell>
          <cell r="CI57">
            <v>14.905073377138805</v>
          </cell>
          <cell r="CJ57">
            <v>15.802127294088391</v>
          </cell>
          <cell r="CK57">
            <v>14.827672520206654</v>
          </cell>
          <cell r="CL57">
            <v>13.978640031371899</v>
          </cell>
          <cell r="CM57">
            <v>14.036933220495273</v>
          </cell>
          <cell r="CN57">
            <v>16.349129921987885</v>
          </cell>
          <cell r="CO57">
            <v>15.125322983093284</v>
          </cell>
          <cell r="CP57">
            <v>14.746649493840962</v>
          </cell>
          <cell r="CQ57">
            <v>14.548696923920705</v>
          </cell>
          <cell r="CR57">
            <v>16.269477160373754</v>
          </cell>
          <cell r="CS57">
            <v>16.312640614201804</v>
          </cell>
          <cell r="CT57">
            <v>16.302255058963336</v>
          </cell>
          <cell r="CU57">
            <v>17.278933570952841</v>
          </cell>
          <cell r="CV57">
            <v>17.204189827886889</v>
          </cell>
          <cell r="CW57">
            <v>16.570252280486301</v>
          </cell>
          <cell r="CX57">
            <v>16.88914481729606</v>
          </cell>
          <cell r="CY57">
            <v>17.297253843229939</v>
          </cell>
          <cell r="CZ57">
            <v>17.980624476446682</v>
          </cell>
          <cell r="DA57">
            <v>18.543678743076672</v>
          </cell>
          <cell r="DB57">
            <v>18.439923763460254</v>
          </cell>
          <cell r="DC57">
            <v>18.66376489339175</v>
          </cell>
          <cell r="DD57">
            <v>19.351390812334735</v>
          </cell>
          <cell r="DE57">
            <v>20.349824928313591</v>
          </cell>
          <cell r="DF57">
            <v>20.29099768860517</v>
          </cell>
          <cell r="DG57">
            <v>19.26665633746121</v>
          </cell>
          <cell r="DH57">
            <v>18.766175925685943</v>
          </cell>
          <cell r="DI57">
            <v>18.553424274188629</v>
          </cell>
          <cell r="DJ57">
            <v>18.549871133953989</v>
          </cell>
          <cell r="DK57">
            <v>18.902824767049399</v>
          </cell>
          <cell r="DL57">
            <v>19.981488203266785</v>
          </cell>
          <cell r="DM57">
            <v>21.616938898971569</v>
          </cell>
          <cell r="DN57">
            <v>21.088430127041747</v>
          </cell>
          <cell r="DO57">
            <v>20.49891712038718</v>
          </cell>
          <cell r="DP57">
            <v>10.410617059891107</v>
          </cell>
          <cell r="DQ57">
            <v>10.590000000000003</v>
          </cell>
          <cell r="DR57">
            <v>10.535245009074412</v>
          </cell>
          <cell r="DS57">
            <v>10.212492437991532</v>
          </cell>
          <cell r="DT57">
            <v>10.258771929824562</v>
          </cell>
          <cell r="DU57">
            <v>10.137326073805202</v>
          </cell>
          <cell r="DV57">
            <v>10.097701149425287</v>
          </cell>
          <cell r="DW57">
            <v>10.263914095583786</v>
          </cell>
          <cell r="DX57">
            <v>10.517241379310345</v>
          </cell>
          <cell r="DY57">
            <v>10.534029038112525</v>
          </cell>
          <cell r="DZ57">
            <v>10.490018148820326</v>
          </cell>
          <cell r="EA57">
            <v>10.486842105263158</v>
          </cell>
          <cell r="EB57">
            <v>10.588777979431336</v>
          </cell>
          <cell r="EC57">
            <v>10.593315184513006</v>
          </cell>
          <cell r="ED57">
            <v>10.523290986085897</v>
          </cell>
          <cell r="EE57">
            <v>10.548245614035094</v>
          </cell>
        </row>
        <row r="59">
          <cell r="A59" t="str">
            <v>Polypropylene margin (c/lb)</v>
          </cell>
          <cell r="C59">
            <v>9.6839854311815667</v>
          </cell>
          <cell r="D59">
            <v>4.7858644396926309</v>
          </cell>
          <cell r="E59">
            <v>5.5850715166843381</v>
          </cell>
          <cell r="F59">
            <v>2.3751154895314159</v>
          </cell>
          <cell r="G59">
            <v>5.9426497220644494</v>
          </cell>
          <cell r="H59">
            <v>9.6311834993328702</v>
          </cell>
          <cell r="I59">
            <v>9.1432541865146977</v>
          </cell>
          <cell r="J59">
            <v>4.6161339546327138</v>
          </cell>
          <cell r="K59">
            <v>1.6366973500435189</v>
          </cell>
          <cell r="L59">
            <v>5.144909260403642E-2</v>
          </cell>
          <cell r="M59">
            <v>0.44528407012957771</v>
          </cell>
          <cell r="N59">
            <v>-0.93739172466623777</v>
          </cell>
          <cell r="O59">
            <v>0.17536561427461012</v>
          </cell>
          <cell r="P59">
            <v>3.0886567334594432</v>
          </cell>
          <cell r="Q59">
            <v>3.9742168359559571</v>
          </cell>
          <cell r="R59">
            <v>6.5425067322104002</v>
          </cell>
          <cell r="S59">
            <v>5.9264564744418706</v>
          </cell>
          <cell r="T59">
            <v>6.7700853642394963</v>
          </cell>
          <cell r="U59">
            <v>6.3102825583213269</v>
          </cell>
          <cell r="V59">
            <v>6.3069259747805129</v>
          </cell>
          <cell r="W59">
            <v>3.8710564125831821</v>
          </cell>
          <cell r="X59">
            <v>1.5237447065940715</v>
          </cell>
          <cell r="Y59">
            <v>1.9355716878402904</v>
          </cell>
          <cell r="Z59">
            <v>2.9513006654567455</v>
          </cell>
          <cell r="AA59">
            <v>4.4365925589836666</v>
          </cell>
          <cell r="AB59">
            <v>2.4841197822141563</v>
          </cell>
          <cell r="AC59">
            <v>2.4841197822141563</v>
          </cell>
          <cell r="AD59">
            <v>2.4841197822141563</v>
          </cell>
          <cell r="AE59">
            <v>2.4841197822141563</v>
          </cell>
          <cell r="AF59">
            <v>2.4841197822141563</v>
          </cell>
          <cell r="AG59">
            <v>2.4841197822141563</v>
          </cell>
          <cell r="AJ59">
            <v>10.422766444565767</v>
          </cell>
          <cell r="AK59">
            <v>11.607897470149942</v>
          </cell>
          <cell r="AL59">
            <v>9.285020701940665</v>
          </cell>
          <cell r="AM59">
            <v>7.4202571080698903</v>
          </cell>
          <cell r="AN59">
            <v>5.5466787024680597</v>
          </cell>
          <cell r="AO59">
            <v>4.1453504334149187</v>
          </cell>
          <cell r="AP59">
            <v>4.1181500109377751</v>
          </cell>
          <cell r="AQ59">
            <v>5.3332786119497699</v>
          </cell>
          <cell r="AR59">
            <v>6.33423601541383</v>
          </cell>
          <cell r="AS59">
            <v>6.2572160309232423</v>
          </cell>
          <cell r="AT59">
            <v>6.1064268072631256</v>
          </cell>
          <cell r="AU59">
            <v>3.6424072131371559</v>
          </cell>
          <cell r="AV59">
            <v>2.2142262757574955</v>
          </cell>
          <cell r="AW59">
            <v>1.3241873265971176</v>
          </cell>
          <cell r="AX59">
            <v>2.5578073765749529</v>
          </cell>
          <cell r="AY59">
            <v>3.4042409791960977</v>
          </cell>
          <cell r="AZ59">
            <v>3.6119409255932724</v>
          </cell>
          <cell r="BA59">
            <v>5.6409049575417427</v>
          </cell>
          <cell r="BB59">
            <v>6.2834790291682658</v>
          </cell>
          <cell r="BC59">
            <v>8.2342739759545172</v>
          </cell>
          <cell r="BD59">
            <v>10.362030426171835</v>
          </cell>
          <cell r="BE59">
            <v>10.95597939569358</v>
          </cell>
          <cell r="BF59">
            <v>9.68130923619632</v>
          </cell>
          <cell r="BG59">
            <v>7.5254149392697416</v>
          </cell>
          <cell r="BH59">
            <v>7.0027858101174703</v>
          </cell>
          <cell r="BI59">
            <v>9.3106486708671543</v>
          </cell>
          <cell r="BJ59">
            <v>11.007930841847815</v>
          </cell>
          <cell r="BK59">
            <v>9.2516514232263489</v>
          </cell>
          <cell r="BL59">
            <v>5.8051961140935155</v>
          </cell>
          <cell r="BM59">
            <v>6.4837854199282425</v>
          </cell>
          <cell r="BN59">
            <v>3.3611345842642826</v>
          </cell>
          <cell r="BO59">
            <v>2.8144197002448124</v>
          </cell>
          <cell r="BP59">
            <v>2.8456268553269823</v>
          </cell>
          <cell r="BQ59">
            <v>2.4850209208745819</v>
          </cell>
          <cell r="BR59">
            <v>0.53170097655987947</v>
          </cell>
          <cell r="BS59">
            <v>0.684440647412632</v>
          </cell>
          <cell r="BT59">
            <v>-7.5957066369330209E-2</v>
          </cell>
          <cell r="BU59">
            <v>0.42014749293766512</v>
          </cell>
          <cell r="BV59">
            <v>-0.30185816261530207</v>
          </cell>
          <cell r="BW59">
            <v>0.16346410646311282</v>
          </cell>
          <cell r="BX59">
            <v>-0.19143110004619901</v>
          </cell>
          <cell r="BY59">
            <v>0.37329140107737196</v>
          </cell>
          <cell r="BZ59">
            <v>0.91013309116822905</v>
          </cell>
          <cell r="CA59">
            <v>0.68914288831890869</v>
          </cell>
          <cell r="CB59">
            <v>-0.14489252284517221</v>
          </cell>
          <cell r="CC59">
            <v>0.65395924012307072</v>
          </cell>
          <cell r="CD59">
            <v>-0.99165724789669429</v>
          </cell>
          <cell r="CE59">
            <v>-3.2669763680461554</v>
          </cell>
          <cell r="CF59">
            <v>-1.1955182908658837</v>
          </cell>
          <cell r="CG59">
            <v>-0.6713953308404923</v>
          </cell>
          <cell r="CH59">
            <v>1.4734494559436211</v>
          </cell>
          <cell r="CI59">
            <v>1.0949266228611954</v>
          </cell>
          <cell r="CJ59">
            <v>-0.30212729408839439</v>
          </cell>
          <cell r="CK59">
            <v>3.8389941464600104</v>
          </cell>
          <cell r="CL59">
            <v>4.8546933019614329</v>
          </cell>
          <cell r="CM59">
            <v>3.9630667795047239</v>
          </cell>
          <cell r="CN59">
            <v>0.81753674467877857</v>
          </cell>
          <cell r="CO59">
            <v>2.3746770169067153</v>
          </cell>
          <cell r="CP59">
            <v>5.7533505061590375</v>
          </cell>
          <cell r="CQ59">
            <v>6.951303076079296</v>
          </cell>
          <cell r="CR59">
            <v>6.8971895062929178</v>
          </cell>
          <cell r="CS59">
            <v>6.5206927191315245</v>
          </cell>
          <cell r="CT59">
            <v>6.6977449410366647</v>
          </cell>
          <cell r="CU59">
            <v>6.0543997623804948</v>
          </cell>
          <cell r="CV59">
            <v>5.4624768387797822</v>
          </cell>
          <cell r="CW59">
            <v>4.9297477195137063</v>
          </cell>
          <cell r="CX59">
            <v>6.2775218493706042</v>
          </cell>
          <cell r="CY59">
            <v>7.0360794901033898</v>
          </cell>
          <cell r="CZ59">
            <v>7.0610421902199896</v>
          </cell>
          <cell r="DA59">
            <v>6.3729879235899931</v>
          </cell>
          <cell r="DB59">
            <v>6.8934095698730822</v>
          </cell>
          <cell r="DC59">
            <v>6.752901773274921</v>
          </cell>
          <cell r="DD59">
            <v>6.3152758543319303</v>
          </cell>
          <cell r="DE59">
            <v>5.4835084050197516</v>
          </cell>
          <cell r="DF59">
            <v>7.3756689780615003</v>
          </cell>
          <cell r="DG59">
            <v>6.0666769958721245</v>
          </cell>
          <cell r="DH59">
            <v>6.4004907409807243</v>
          </cell>
          <cell r="DI59">
            <v>6.4465757258113712</v>
          </cell>
          <cell r="DJ59">
            <v>6.4501288660460174</v>
          </cell>
          <cell r="DK59">
            <v>5.9305085662839359</v>
          </cell>
          <cell r="DL59">
            <v>4.8518451300665451</v>
          </cell>
          <cell r="DM59">
            <v>3.3830611010284328</v>
          </cell>
          <cell r="DN59">
            <v>3.9115698729582586</v>
          </cell>
          <cell r="DO59">
            <v>3.3377495462794924</v>
          </cell>
          <cell r="DP59">
            <v>3.089382940108893</v>
          </cell>
          <cell r="DQ59">
            <v>0.25</v>
          </cell>
          <cell r="DR59">
            <v>1.6347549909255898</v>
          </cell>
          <cell r="DS59">
            <v>1.1208408953418028</v>
          </cell>
          <cell r="DT59">
            <v>2.2412280701754388</v>
          </cell>
          <cell r="DU59">
            <v>0.86267392619479732</v>
          </cell>
          <cell r="DV59">
            <v>2.4022988505747125</v>
          </cell>
          <cell r="DW59">
            <v>2.2360859044162131</v>
          </cell>
          <cell r="DX59">
            <v>2.4827586206896552</v>
          </cell>
          <cell r="DY59">
            <v>2.2993042952208107</v>
          </cell>
          <cell r="DZ59">
            <v>3.5099818511796737</v>
          </cell>
          <cell r="EA59">
            <v>3.5131578947368425</v>
          </cell>
          <cell r="EB59">
            <v>4.4112220205686636</v>
          </cell>
          <cell r="EC59">
            <v>4.4066848154869938</v>
          </cell>
          <cell r="ED59">
            <v>4.4767090139140961</v>
          </cell>
          <cell r="EE59">
            <v>4.4517543859649127</v>
          </cell>
        </row>
        <row r="60">
          <cell r="A60" t="str">
            <v>Polypropylene margin ($/MT)</v>
          </cell>
          <cell r="C60">
            <v>213.43503890324172</v>
          </cell>
          <cell r="D60">
            <v>105.48045225082558</v>
          </cell>
          <cell r="E60">
            <v>123.09497622772281</v>
          </cell>
          <cell r="F60">
            <v>52.347545389272405</v>
          </cell>
          <cell r="G60">
            <v>130.97599987430047</v>
          </cell>
          <cell r="H60">
            <v>212.27128432529645</v>
          </cell>
          <cell r="I60">
            <v>201.51732227078392</v>
          </cell>
          <cell r="J60">
            <v>101.73959236010501</v>
          </cell>
          <cell r="K60">
            <v>36.072809594959153</v>
          </cell>
          <cell r="L60">
            <v>1.1339380009929627</v>
          </cell>
          <cell r="M60">
            <v>9.814060905655893</v>
          </cell>
          <cell r="N60">
            <v>-20.660113611643879</v>
          </cell>
          <cell r="O60">
            <v>3.8650581386124068</v>
          </cell>
          <cell r="P60">
            <v>68.073994405446129</v>
          </cell>
          <cell r="Q60">
            <v>87.591739064469294</v>
          </cell>
          <cell r="R60">
            <v>144.19684837791721</v>
          </cell>
          <cell r="S60">
            <v>130.61910069669884</v>
          </cell>
          <cell r="T60">
            <v>149.2126814278385</v>
          </cell>
          <cell r="U60">
            <v>139.07862758540205</v>
          </cell>
          <cell r="V60">
            <v>139.00464848416249</v>
          </cell>
          <cell r="W60">
            <v>85.318083333333334</v>
          </cell>
          <cell r="X60">
            <v>33.583333333333336</v>
          </cell>
          <cell r="Y60">
            <v>42.66</v>
          </cell>
          <cell r="Z60">
            <v>65.046666666666667</v>
          </cell>
          <cell r="AA60">
            <v>97.782500000000013</v>
          </cell>
          <cell r="AB60">
            <v>54.75</v>
          </cell>
          <cell r="AC60">
            <v>54.75</v>
          </cell>
          <cell r="AD60">
            <v>54.75</v>
          </cell>
          <cell r="AE60">
            <v>54.75</v>
          </cell>
          <cell r="AF60">
            <v>54.75</v>
          </cell>
          <cell r="AG60">
            <v>54.75</v>
          </cell>
          <cell r="AJ60">
            <v>229.71777243822947</v>
          </cell>
          <cell r="AK60">
            <v>255.83806024210469</v>
          </cell>
          <cell r="AL60">
            <v>204.64185627077225</v>
          </cell>
          <cell r="AM60">
            <v>163.54246666186037</v>
          </cell>
          <cell r="AN60">
            <v>122.24879860239604</v>
          </cell>
          <cell r="AO60">
            <v>91.363523552464798</v>
          </cell>
          <cell r="AP60">
            <v>90.764026241068564</v>
          </cell>
          <cell r="AQ60">
            <v>117.54546060737293</v>
          </cell>
          <cell r="AR60">
            <v>139.60656177972081</v>
          </cell>
          <cell r="AS60">
            <v>137.90904132154824</v>
          </cell>
          <cell r="AT60">
            <v>134.58564683207928</v>
          </cell>
          <cell r="AU60">
            <v>80.278654977542914</v>
          </cell>
          <cell r="AV60">
            <v>48.8015471176952</v>
          </cell>
          <cell r="AW60">
            <v>29.185088678200469</v>
          </cell>
          <cell r="AX60">
            <v>56.374074579711959</v>
          </cell>
          <cell r="AY60">
            <v>75.029471181481995</v>
          </cell>
          <cell r="AZ60">
            <v>79.60717800007572</v>
          </cell>
          <cell r="BA60">
            <v>124.32554526422001</v>
          </cell>
          <cell r="BB60">
            <v>138.48787780286858</v>
          </cell>
          <cell r="BC60">
            <v>181.48339843003754</v>
          </cell>
          <cell r="BD60">
            <v>228.37915059282722</v>
          </cell>
          <cell r="BE60">
            <v>241.46978588108649</v>
          </cell>
          <cell r="BF60">
            <v>213.37605556576688</v>
          </cell>
          <cell r="BG60">
            <v>165.8601452615051</v>
          </cell>
          <cell r="BH60">
            <v>154.34139925498903</v>
          </cell>
          <cell r="BI60">
            <v>205.20669670591207</v>
          </cell>
          <cell r="BJ60">
            <v>242.61479575432583</v>
          </cell>
          <cell r="BK60">
            <v>203.90639736790871</v>
          </cell>
          <cell r="BL60">
            <v>127.94652235462108</v>
          </cell>
          <cell r="BM60">
            <v>142.90263065521847</v>
          </cell>
          <cell r="BN60">
            <v>74.079406237184784</v>
          </cell>
          <cell r="BO60">
            <v>62.029810193395662</v>
          </cell>
          <cell r="BP60">
            <v>62.717615891406687</v>
          </cell>
          <cell r="BQ60">
            <v>54.769861096075786</v>
          </cell>
          <cell r="BR60">
            <v>11.718689523379743</v>
          </cell>
          <cell r="BS60">
            <v>15.085071868974408</v>
          </cell>
          <cell r="BT60">
            <v>-1.6740937427800378</v>
          </cell>
          <cell r="BU60">
            <v>9.2600507443461382</v>
          </cell>
          <cell r="BV60">
            <v>-6.6529539040412571</v>
          </cell>
          <cell r="BW60">
            <v>3.6027489064470064</v>
          </cell>
          <cell r="BX60">
            <v>-4.2191414450182263</v>
          </cell>
          <cell r="BY60">
            <v>8.2273424797452783</v>
          </cell>
          <cell r="BZ60">
            <v>20.059333329347769</v>
          </cell>
          <cell r="CA60">
            <v>15.188709258548746</v>
          </cell>
          <cell r="CB60">
            <v>-3.1934312035075951</v>
          </cell>
          <cell r="CC60">
            <v>14.413261652312478</v>
          </cell>
          <cell r="CD60">
            <v>-21.85612574364314</v>
          </cell>
          <cell r="CE60">
            <v>-72.004159151737269</v>
          </cell>
          <cell r="CF60">
            <v>-26.349223130684074</v>
          </cell>
          <cell r="CG60">
            <v>-14.797553091724449</v>
          </cell>
          <cell r="CH60">
            <v>32.474826008997411</v>
          </cell>
          <cell r="CI60">
            <v>24.132182767860744</v>
          </cell>
          <cell r="CJ60">
            <v>-6.6588855617082121</v>
          </cell>
          <cell r="CK60">
            <v>84.611430987978622</v>
          </cell>
          <cell r="CL60">
            <v>106.99744037522997</v>
          </cell>
          <cell r="CM60">
            <v>87.345991820284112</v>
          </cell>
          <cell r="CN60">
            <v>18.018509852720278</v>
          </cell>
          <cell r="CO60">
            <v>52.337881452624003</v>
          </cell>
          <cell r="CP60">
            <v>126.80384515574518</v>
          </cell>
          <cell r="CQ60">
            <v>153.20671979678767</v>
          </cell>
          <cell r="CR60">
            <v>152.01405671869591</v>
          </cell>
          <cell r="CS60">
            <v>143.7160675296588</v>
          </cell>
          <cell r="CT60">
            <v>147.61829850044808</v>
          </cell>
          <cell r="CU60">
            <v>133.43897076286609</v>
          </cell>
          <cell r="CV60">
            <v>120.3929895267064</v>
          </cell>
          <cell r="CW60">
            <v>108.65163973808208</v>
          </cell>
          <cell r="CX60">
            <v>138.35658156012812</v>
          </cell>
          <cell r="CY60">
            <v>155.07519196187872</v>
          </cell>
          <cell r="CZ60">
            <v>155.62536987244857</v>
          </cell>
          <cell r="DA60">
            <v>140.46065383592344</v>
          </cell>
          <cell r="DB60">
            <v>151.93074692000272</v>
          </cell>
          <cell r="DC60">
            <v>148.83395508297926</v>
          </cell>
          <cell r="DD60">
            <v>139.18867982947575</v>
          </cell>
          <cell r="DE60">
            <v>120.85652524663531</v>
          </cell>
          <cell r="DF60">
            <v>162.55974427647547</v>
          </cell>
          <cell r="DG60">
            <v>133.70956098902161</v>
          </cell>
          <cell r="DH60">
            <v>141.06681593121516</v>
          </cell>
          <cell r="DI60">
            <v>142.08252899688262</v>
          </cell>
          <cell r="DJ60">
            <v>142.16084020765422</v>
          </cell>
          <cell r="DK60">
            <v>130.70840880089793</v>
          </cell>
          <cell r="DL60">
            <v>106.93466666666666</v>
          </cell>
          <cell r="DM60">
            <v>74.562666666666658</v>
          </cell>
          <cell r="DN60">
            <v>86.211000000000013</v>
          </cell>
          <cell r="DO60">
            <v>73.564000000000007</v>
          </cell>
          <cell r="DP60">
            <v>68.09</v>
          </cell>
          <cell r="DQ60">
            <v>5.51</v>
          </cell>
          <cell r="DR60">
            <v>36.03</v>
          </cell>
          <cell r="DS60">
            <v>24.703333333333333</v>
          </cell>
          <cell r="DT60">
            <v>49.396666666666668</v>
          </cell>
          <cell r="DU60">
            <v>19.013333333333332</v>
          </cell>
          <cell r="DV60">
            <v>52.946666666666665</v>
          </cell>
          <cell r="DW60">
            <v>49.283333333333331</v>
          </cell>
          <cell r="DX60">
            <v>54.72</v>
          </cell>
          <cell r="DY60">
            <v>50.676666666666669</v>
          </cell>
          <cell r="DZ60">
            <v>77.36</v>
          </cell>
          <cell r="EA60">
            <v>77.430000000000007</v>
          </cell>
          <cell r="EB60">
            <v>97.223333333333343</v>
          </cell>
          <cell r="EC60">
            <v>97.123333333333335</v>
          </cell>
          <cell r="ED60">
            <v>98.666666666666671</v>
          </cell>
          <cell r="EE60">
            <v>98.116666666666674</v>
          </cell>
        </row>
        <row r="63">
          <cell r="A63" t="str">
            <v>Reported EBITDA ($mn)</v>
          </cell>
          <cell r="W63">
            <v>1719</v>
          </cell>
          <cell r="X63">
            <v>2142</v>
          </cell>
          <cell r="Y63">
            <v>2934</v>
          </cell>
          <cell r="Z63">
            <v>3573</v>
          </cell>
          <cell r="AA63">
            <v>3633.7862585498383</v>
          </cell>
          <cell r="AB63">
            <v>3545.6021329979662</v>
          </cell>
          <cell r="AC63">
            <v>3669.3312624104624</v>
          </cell>
          <cell r="AD63">
            <v>3497.3512832997903</v>
          </cell>
          <cell r="AE63">
            <v>3198.3885364236548</v>
          </cell>
          <cell r="AF63">
            <v>1449.9649677102461</v>
          </cell>
          <cell r="AG63">
            <v>1216.141264868912</v>
          </cell>
          <cell r="DH63">
            <v>18</v>
          </cell>
          <cell r="DI63">
            <v>207</v>
          </cell>
          <cell r="DJ63">
            <v>267</v>
          </cell>
          <cell r="DK63">
            <v>189</v>
          </cell>
          <cell r="DL63">
            <v>274</v>
          </cell>
          <cell r="DM63">
            <v>585</v>
          </cell>
          <cell r="DN63">
            <v>518</v>
          </cell>
          <cell r="DO63">
            <v>342</v>
          </cell>
          <cell r="DP63">
            <v>484</v>
          </cell>
          <cell r="DQ63">
            <v>578</v>
          </cell>
          <cell r="DR63">
            <v>673</v>
          </cell>
          <cell r="DS63">
            <v>407</v>
          </cell>
          <cell r="DT63">
            <v>598</v>
          </cell>
          <cell r="DU63">
            <v>818</v>
          </cell>
          <cell r="DV63">
            <v>749</v>
          </cell>
          <cell r="DW63">
            <v>769</v>
          </cell>
          <cell r="DX63">
            <v>898</v>
          </cell>
          <cell r="DY63">
            <v>951</v>
          </cell>
          <cell r="DZ63">
            <v>841</v>
          </cell>
          <cell r="EA63">
            <v>883</v>
          </cell>
          <cell r="EB63">
            <v>874.72214413640688</v>
          </cell>
          <cell r="EC63">
            <v>797.06376490330763</v>
          </cell>
          <cell r="ED63">
            <v>989.74181010876703</v>
          </cell>
          <cell r="EE63">
            <v>972.25853940135676</v>
          </cell>
        </row>
        <row r="64">
          <cell r="A64" t="str">
            <v>Actual vs. Est</v>
          </cell>
          <cell r="DJ64">
            <v>19.86037316804601</v>
          </cell>
          <cell r="DK64">
            <v>-72.119388149504118</v>
          </cell>
          <cell r="DL64">
            <v>119.4836913214782</v>
          </cell>
          <cell r="DM64">
            <v>-160.98013158484571</v>
          </cell>
          <cell r="DN64">
            <v>-88.827033444444396</v>
          </cell>
          <cell r="DO64">
            <v>202.68244121324869</v>
          </cell>
          <cell r="DP64">
            <v>-100.63983606775577</v>
          </cell>
          <cell r="DQ64">
            <v>37.979775883419052</v>
          </cell>
          <cell r="DR64">
            <v>-171.1108814494857</v>
          </cell>
          <cell r="DS64">
            <v>57.287241352112233</v>
          </cell>
          <cell r="DT64">
            <v>187.95977877643099</v>
          </cell>
          <cell r="DU64">
            <v>-109.03209621585006</v>
          </cell>
          <cell r="DV64">
            <v>-29.96658465914652</v>
          </cell>
          <cell r="DW64">
            <v>-6.9575988407165141</v>
          </cell>
          <cell r="DX64">
            <v>31.06618485856302</v>
          </cell>
          <cell r="DY64">
            <v>-62.821302879060227</v>
          </cell>
          <cell r="DZ64">
            <v>120.15737647158051</v>
          </cell>
          <cell r="EA64">
            <v>22.376795126712182</v>
          </cell>
          <cell r="EB64">
            <v>103.37022484877582</v>
          </cell>
        </row>
        <row r="65">
          <cell r="EA65" t="str">
            <v xml:space="preserve"> </v>
          </cell>
        </row>
        <row r="66">
          <cell r="A66" t="str">
            <v>EBITDA Calc by Rate of Change, Sequential</v>
          </cell>
          <cell r="W66">
            <v>1791.3589675054368</v>
          </cell>
          <cell r="X66">
            <v>1965.5162997182897</v>
          </cell>
          <cell r="Y66">
            <v>2976.0034990607178</v>
          </cell>
          <cell r="Z66">
            <v>3741.1160985122124</v>
          </cell>
          <cell r="AA66">
            <v>3633.7862585498383</v>
          </cell>
          <cell r="AB66">
            <v>3545.6021329979662</v>
          </cell>
          <cell r="AC66">
            <v>3669.3312624104624</v>
          </cell>
          <cell r="AD66">
            <v>3497.3512832997903</v>
          </cell>
          <cell r="AE66">
            <v>3198.3885364236548</v>
          </cell>
          <cell r="AF66">
            <v>1449.9649677102461</v>
          </cell>
          <cell r="AG66">
            <v>1216.141264868912</v>
          </cell>
          <cell r="DI66">
            <v>2.3706605867969834</v>
          </cell>
          <cell r="DJ66">
            <v>286.86037316804601</v>
          </cell>
          <cell r="DK66">
            <v>116.88061185049588</v>
          </cell>
          <cell r="DL66">
            <v>393.4836913214782</v>
          </cell>
          <cell r="DM66">
            <v>424.01986841515429</v>
          </cell>
          <cell r="DN66">
            <v>429.1729665555556</v>
          </cell>
          <cell r="DO66">
            <v>544.68244121324869</v>
          </cell>
          <cell r="DP66">
            <v>383.36016393224423</v>
          </cell>
          <cell r="DQ66">
            <v>615.97977588341905</v>
          </cell>
          <cell r="DR66">
            <v>501.8891185505143</v>
          </cell>
          <cell r="DS66">
            <v>464.28724135211223</v>
          </cell>
          <cell r="DT66">
            <v>785.95977877643099</v>
          </cell>
          <cell r="DU66">
            <v>708.96790378414994</v>
          </cell>
          <cell r="DV66">
            <v>719.03341534085348</v>
          </cell>
          <cell r="DW66">
            <v>762.04240115928349</v>
          </cell>
          <cell r="DX66">
            <v>929.06618485856302</v>
          </cell>
          <cell r="DY66">
            <v>888.17869712093977</v>
          </cell>
          <cell r="DZ66">
            <v>961.15737647158051</v>
          </cell>
          <cell r="EA66">
            <v>962.7138400611293</v>
          </cell>
          <cell r="EB66">
            <v>874.72214413640688</v>
          </cell>
          <cell r="EC66">
            <v>857.06376490330763</v>
          </cell>
          <cell r="ED66">
            <v>929.74181010876703</v>
          </cell>
          <cell r="EE66">
            <v>972.25853940135676</v>
          </cell>
        </row>
        <row r="67">
          <cell r="A67" t="str">
            <v>Change in EBITDA ($mm), Q/Q</v>
          </cell>
          <cell r="X67">
            <v>111.69152052480266</v>
          </cell>
          <cell r="Y67">
            <v>1014.3349385787013</v>
          </cell>
          <cell r="Z67">
            <v>644.46173802077396</v>
          </cell>
          <cell r="AA67">
            <v>138.69341906435264</v>
          </cell>
          <cell r="AB67">
            <v>-395.93740435418022</v>
          </cell>
          <cell r="AC67">
            <v>-249.63938049369352</v>
          </cell>
          <cell r="AD67">
            <v>-171.97997911067182</v>
          </cell>
          <cell r="AE67">
            <v>-308.54453121394346</v>
          </cell>
          <cell r="AF67">
            <v>-1739.6848022204481</v>
          </cell>
          <cell r="AG67">
            <v>-233.82370284133421</v>
          </cell>
          <cell r="DH67">
            <v>41.918284336374214</v>
          </cell>
          <cell r="DI67">
            <v>-15.629339413203017</v>
          </cell>
          <cell r="DJ67">
            <v>79.86037316804601</v>
          </cell>
          <cell r="DK67">
            <v>-150.11938814950412</v>
          </cell>
          <cell r="DL67">
            <v>204.48369132147818</v>
          </cell>
          <cell r="DM67">
            <v>150.01986841515432</v>
          </cell>
          <cell r="DN67">
            <v>-155.82703344444442</v>
          </cell>
          <cell r="DO67">
            <v>26.682441213248708</v>
          </cell>
          <cell r="DP67">
            <v>41.360163932244255</v>
          </cell>
          <cell r="DQ67">
            <v>131.97977588341905</v>
          </cell>
          <cell r="DR67">
            <v>-76.110881449485717</v>
          </cell>
          <cell r="DS67">
            <v>-208.71275864788777</v>
          </cell>
          <cell r="DT67">
            <v>378.95977877643099</v>
          </cell>
          <cell r="DU67">
            <v>110.96790378414997</v>
          </cell>
          <cell r="DV67">
            <v>-98.966584659146534</v>
          </cell>
          <cell r="DW67">
            <v>13.04240115928353</v>
          </cell>
          <cell r="DX67">
            <v>160.06618485856305</v>
          </cell>
          <cell r="DY67">
            <v>-9.8213028790602159</v>
          </cell>
          <cell r="DZ67">
            <v>10.157376471580548</v>
          </cell>
          <cell r="EA67">
            <v>45.59756341499007</v>
          </cell>
          <cell r="EB67">
            <v>-30.643793328298528</v>
          </cell>
          <cell r="EC67">
            <v>52.593774820688488</v>
          </cell>
          <cell r="ED67">
            <v>-13.739102912648139</v>
          </cell>
          <cell r="EE67">
            <v>-29.717032616794583</v>
          </cell>
        </row>
        <row r="68">
          <cell r="A68" t="str">
            <v>Change in EBITDA ($mm), Y/Y</v>
          </cell>
          <cell r="DM68">
            <v>284.24454475517445</v>
          </cell>
          <cell r="DN68">
            <v>48.557138142683982</v>
          </cell>
          <cell r="DO68">
            <v>225.35896750543682</v>
          </cell>
          <cell r="DP68">
            <v>62.235440116202852</v>
          </cell>
          <cell r="DQ68">
            <v>44.195347584467569</v>
          </cell>
          <cell r="DR68">
            <v>123.91149957942631</v>
          </cell>
          <cell r="DS68">
            <v>-111.48370028171021</v>
          </cell>
          <cell r="DT68">
            <v>225.86673486247648</v>
          </cell>
          <cell r="DU68">
            <v>203.6841964257074</v>
          </cell>
          <cell r="DV68">
            <v>181.05584801604661</v>
          </cell>
          <cell r="DW68">
            <v>404.0034990607179</v>
          </cell>
          <cell r="DX68">
            <v>185.14242446739527</v>
          </cell>
          <cell r="DY68">
            <v>64.693466291905452</v>
          </cell>
          <cell r="DZ68">
            <v>173.31004807076954</v>
          </cell>
          <cell r="EA68">
            <v>197.08254380628978</v>
          </cell>
          <cell r="EB68">
            <v>14.197690673833032</v>
          </cell>
          <cell r="EC68">
            <v>74.327992636364201</v>
          </cell>
          <cell r="ED68">
            <v>54.072899018661701</v>
          </cell>
          <cell r="EE68">
            <v>-17.379090161615295</v>
          </cell>
        </row>
        <row r="69">
          <cell r="AA69">
            <v>3783.5896972486444</v>
          </cell>
          <cell r="DY69">
            <v>882.69346629190545</v>
          </cell>
          <cell r="DZ69">
            <v>922.31004807076954</v>
          </cell>
          <cell r="EA69">
            <v>966.08254380628978</v>
          </cell>
          <cell r="EB69">
            <v>912.19769067383299</v>
          </cell>
          <cell r="EC69">
            <v>1025.3279926363641</v>
          </cell>
          <cell r="ED69">
            <v>895.0728990186617</v>
          </cell>
          <cell r="EE69">
            <v>865.6209098383847</v>
          </cell>
        </row>
        <row r="70">
          <cell r="A70" t="str">
            <v>Sensitivity ($mm/year)</v>
          </cell>
        </row>
        <row r="71">
          <cell r="A71" t="str">
            <v>Chemicals impact of 1c/lb change in ethylene margin</v>
          </cell>
          <cell r="W71">
            <v>95</v>
          </cell>
          <cell r="X71">
            <v>95.5</v>
          </cell>
          <cell r="Y71">
            <v>95.5</v>
          </cell>
          <cell r="Z71">
            <v>95.5</v>
          </cell>
          <cell r="AA71">
            <v>100.16666666666666</v>
          </cell>
          <cell r="AB71">
            <v>105.23753296741663</v>
          </cell>
          <cell r="AC71">
            <v>116.31953805325642</v>
          </cell>
          <cell r="AD71">
            <v>116.31953805325642</v>
          </cell>
          <cell r="AE71">
            <v>116.63822171915575</v>
          </cell>
          <cell r="AF71">
            <v>116.31953805325642</v>
          </cell>
          <cell r="AG71">
            <v>116.31953805325642</v>
          </cell>
          <cell r="DH71">
            <v>95</v>
          </cell>
          <cell r="DI71">
            <v>95</v>
          </cell>
          <cell r="DJ71">
            <v>95</v>
          </cell>
          <cell r="DK71">
            <v>95</v>
          </cell>
          <cell r="DL71">
            <v>95</v>
          </cell>
          <cell r="DM71">
            <v>95</v>
          </cell>
          <cell r="DN71">
            <v>95</v>
          </cell>
          <cell r="DO71">
            <v>95</v>
          </cell>
          <cell r="DP71">
            <v>95</v>
          </cell>
          <cell r="DQ71">
            <v>95</v>
          </cell>
          <cell r="DR71">
            <v>95</v>
          </cell>
          <cell r="DS71">
            <v>95</v>
          </cell>
          <cell r="DT71">
            <v>95.5</v>
          </cell>
          <cell r="DU71">
            <v>95.5</v>
          </cell>
          <cell r="DV71">
            <v>95.5</v>
          </cell>
          <cell r="DW71">
            <v>95.5</v>
          </cell>
          <cell r="DX71">
            <v>95</v>
          </cell>
          <cell r="DY71">
            <v>95</v>
          </cell>
          <cell r="DZ71">
            <v>95</v>
          </cell>
          <cell r="EA71">
            <v>92.082399999999993</v>
          </cell>
          <cell r="EB71">
            <v>94.4148</v>
          </cell>
          <cell r="EC71">
            <v>86.831999999999994</v>
          </cell>
          <cell r="ED71">
            <v>102.78266086956521</v>
          </cell>
          <cell r="EE71">
            <v>104.05311199999998</v>
          </cell>
        </row>
        <row r="72">
          <cell r="A72" t="str">
            <v>Polymers impact of 1c/lb change in polyethylene</v>
          </cell>
          <cell r="W72">
            <v>60</v>
          </cell>
          <cell r="X72">
            <v>60</v>
          </cell>
          <cell r="Y72">
            <v>60</v>
          </cell>
          <cell r="Z72">
            <v>60</v>
          </cell>
          <cell r="AA72">
            <v>60</v>
          </cell>
          <cell r="AB72">
            <v>60</v>
          </cell>
          <cell r="AC72">
            <v>60</v>
          </cell>
          <cell r="AD72">
            <v>60</v>
          </cell>
          <cell r="AE72">
            <v>60</v>
          </cell>
          <cell r="AF72">
            <v>60</v>
          </cell>
          <cell r="AG72">
            <v>60</v>
          </cell>
          <cell r="DH72">
            <v>58</v>
          </cell>
          <cell r="DI72">
            <v>58</v>
          </cell>
          <cell r="DJ72">
            <v>58</v>
          </cell>
          <cell r="DK72">
            <v>58</v>
          </cell>
          <cell r="DL72">
            <v>58</v>
          </cell>
          <cell r="DM72">
            <v>58</v>
          </cell>
          <cell r="DN72">
            <v>58</v>
          </cell>
          <cell r="DO72">
            <v>58</v>
          </cell>
          <cell r="DP72">
            <v>58</v>
          </cell>
          <cell r="DQ72">
            <v>58</v>
          </cell>
          <cell r="DR72">
            <v>58</v>
          </cell>
          <cell r="DS72">
            <v>58</v>
          </cell>
          <cell r="DT72">
            <v>58</v>
          </cell>
          <cell r="DU72">
            <v>58</v>
          </cell>
          <cell r="DV72">
            <v>58</v>
          </cell>
          <cell r="DW72">
            <v>58</v>
          </cell>
          <cell r="DX72">
            <v>58</v>
          </cell>
          <cell r="DY72">
            <v>58</v>
          </cell>
          <cell r="DZ72">
            <v>58</v>
          </cell>
          <cell r="EA72">
            <v>54.181599999999996</v>
          </cell>
          <cell r="EB72">
            <v>56.479199999999999</v>
          </cell>
          <cell r="EC72">
            <v>50.004000000000005</v>
          </cell>
          <cell r="ED72">
            <v>67.093560719214054</v>
          </cell>
          <cell r="EE72">
            <v>61.225207999999995</v>
          </cell>
        </row>
        <row r="73">
          <cell r="A73" t="str">
            <v>Polymers impact of 1c/lb change in polypropylene</v>
          </cell>
          <cell r="W73">
            <v>28</v>
          </cell>
          <cell r="X73">
            <v>28</v>
          </cell>
          <cell r="Y73">
            <v>28</v>
          </cell>
          <cell r="Z73">
            <v>28</v>
          </cell>
          <cell r="AA73">
            <v>28</v>
          </cell>
          <cell r="AB73">
            <v>28</v>
          </cell>
          <cell r="AC73">
            <v>28</v>
          </cell>
          <cell r="AD73">
            <v>28</v>
          </cell>
          <cell r="AE73">
            <v>28</v>
          </cell>
          <cell r="AF73">
            <v>28</v>
          </cell>
          <cell r="AG73">
            <v>28</v>
          </cell>
          <cell r="DH73">
            <v>28</v>
          </cell>
          <cell r="DI73">
            <v>28</v>
          </cell>
          <cell r="DJ73">
            <v>28</v>
          </cell>
          <cell r="DK73">
            <v>28</v>
          </cell>
          <cell r="DL73">
            <v>28</v>
          </cell>
          <cell r="DM73">
            <v>28</v>
          </cell>
          <cell r="DN73">
            <v>28</v>
          </cell>
          <cell r="DO73">
            <v>28</v>
          </cell>
          <cell r="DP73">
            <v>28</v>
          </cell>
          <cell r="DQ73">
            <v>28</v>
          </cell>
          <cell r="DR73">
            <v>28</v>
          </cell>
          <cell r="DS73">
            <v>28</v>
          </cell>
          <cell r="DT73">
            <v>28</v>
          </cell>
          <cell r="DU73">
            <v>28</v>
          </cell>
          <cell r="DV73">
            <v>28</v>
          </cell>
          <cell r="DW73">
            <v>28</v>
          </cell>
          <cell r="DX73">
            <v>28</v>
          </cell>
          <cell r="DY73">
            <v>28</v>
          </cell>
          <cell r="DZ73">
            <v>28</v>
          </cell>
          <cell r="EA73">
            <v>28</v>
          </cell>
          <cell r="EB73">
            <v>28</v>
          </cell>
          <cell r="EC73">
            <v>28</v>
          </cell>
          <cell r="ED73">
            <v>28</v>
          </cell>
          <cell r="EE73">
            <v>28</v>
          </cell>
        </row>
        <row r="75">
          <cell r="A75" t="str">
            <v>EBITDA Calc by Regression</v>
          </cell>
          <cell r="W75">
            <v>1749.8782858051254</v>
          </cell>
          <cell r="X75">
            <v>1841.1470407252186</v>
          </cell>
          <cell r="Y75">
            <v>3126.1581831068047</v>
          </cell>
          <cell r="Z75">
            <v>3917.4385641138851</v>
          </cell>
          <cell r="AA75">
            <v>4319.7923706832498</v>
          </cell>
          <cell r="AB75">
            <v>5106.1361799369179</v>
          </cell>
          <cell r="AC75">
            <v>5336.4358369068714</v>
          </cell>
          <cell r="AD75">
            <v>5066.2091346472607</v>
          </cell>
          <cell r="AE75">
            <v>4644.7496813873213</v>
          </cell>
          <cell r="AF75">
            <v>1992.7764076506269</v>
          </cell>
          <cell r="AG75">
            <v>1628.3368464643918</v>
          </cell>
          <cell r="DI75">
            <v>264.76012907639665</v>
          </cell>
          <cell r="DJ75">
            <v>370.2902657855854</v>
          </cell>
          <cell r="DK75">
            <v>186.29685858515825</v>
          </cell>
          <cell r="DL75">
            <v>372.92724488563323</v>
          </cell>
          <cell r="DM75">
            <v>522.34576033805331</v>
          </cell>
          <cell r="DN75">
            <v>425.70547347679877</v>
          </cell>
          <cell r="DO75">
            <v>428.89980710464016</v>
          </cell>
          <cell r="DP75">
            <v>462.24123039345949</v>
          </cell>
          <cell r="DQ75">
            <v>538.45294613602618</v>
          </cell>
          <cell r="DR75">
            <v>522.89508421396033</v>
          </cell>
          <cell r="DS75">
            <v>317.5577799817724</v>
          </cell>
          <cell r="DT75">
            <v>644.21204783353221</v>
          </cell>
          <cell r="DU75">
            <v>817.93143706408944</v>
          </cell>
          <cell r="DV75">
            <v>814.50845748906454</v>
          </cell>
          <cell r="DW75">
            <v>849.50624072011863</v>
          </cell>
          <cell r="DX75">
            <v>990.35203373623403</v>
          </cell>
          <cell r="DY75">
            <v>1007.6304772584601</v>
          </cell>
          <cell r="DZ75">
            <v>897.04632344826132</v>
          </cell>
          <cell r="EA75">
            <v>1022.4097296709297</v>
          </cell>
          <cell r="EB75">
            <v>1021.5252264480619</v>
          </cell>
          <cell r="EC75">
            <v>980.60224375514281</v>
          </cell>
          <cell r="ED75">
            <v>1172.9014115211921</v>
          </cell>
          <cell r="EE75">
            <v>1144.763488958853</v>
          </cell>
        </row>
        <row r="77">
          <cell r="A77" t="str">
            <v>Reported vs. Production</v>
          </cell>
          <cell r="W77">
            <v>0.91920302975785706</v>
          </cell>
          <cell r="X77">
            <v>1.0964982230558304</v>
          </cell>
          <cell r="Y77">
            <v>0.96276863128412249</v>
          </cell>
          <cell r="Z77">
            <v>0.96235725026562258</v>
          </cell>
          <cell r="AA77">
            <v>0.89427030069951452</v>
          </cell>
          <cell r="AB77">
            <v>0.88741515826461437</v>
          </cell>
          <cell r="DI77">
            <v>0.65003009336067685</v>
          </cell>
          <cell r="DJ77">
            <v>0.65343055019985519</v>
          </cell>
          <cell r="DK77">
            <v>0.75176877355168348</v>
          </cell>
          <cell r="DL77">
            <v>0.6668845394759102</v>
          </cell>
          <cell r="DM77">
            <v>1.0862900293550699</v>
          </cell>
          <cell r="DN77">
            <v>1.13606480235297</v>
          </cell>
          <cell r="DO77">
            <v>0.7456029502157947</v>
          </cell>
          <cell r="DP77">
            <v>0.99348002881262465</v>
          </cell>
          <cell r="DQ77">
            <v>1.0465472102870679</v>
          </cell>
          <cell r="DR77">
            <v>1.2486095551992082</v>
          </cell>
          <cell r="DS77">
            <v>1.1194925743082904</v>
          </cell>
          <cell r="DT77">
            <v>0.9305165050748494</v>
          </cell>
          <cell r="DU77">
            <v>1.0340278589403558</v>
          </cell>
          <cell r="DV77">
            <v>0.95031878442113171</v>
          </cell>
          <cell r="DW77">
            <v>0.94003001048180213</v>
          </cell>
          <cell r="DX77">
            <v>0.95694915216046184</v>
          </cell>
          <cell r="DY77">
            <v>0.99773205312387869</v>
          </cell>
          <cell r="DZ77">
            <v>0.97941293618142633</v>
          </cell>
          <cell r="EA77">
            <v>0.91427814780774419</v>
          </cell>
          <cell r="EB77">
            <v>0.90641633700704127</v>
          </cell>
          <cell r="EC77">
            <v>0.85699463282046451</v>
          </cell>
          <cell r="ED77">
            <v>0.90439359642469741</v>
          </cell>
          <cell r="EE77">
            <v>0.90837322703461754</v>
          </cell>
        </row>
        <row r="79">
          <cell r="A79" t="str">
            <v>EBITDA Calc by Production</v>
          </cell>
          <cell r="W79">
            <v>1870.0982746464958</v>
          </cell>
          <cell r="X79">
            <v>1953.4915378435005</v>
          </cell>
          <cell r="Y79">
            <v>3047.4611497122487</v>
          </cell>
          <cell r="Z79">
            <v>3712.7584366552105</v>
          </cell>
          <cell r="AA79">
            <v>4063.4093022069774</v>
          </cell>
          <cell r="AB79">
            <v>3995.4266049856215</v>
          </cell>
          <cell r="AC79">
            <v>4145.3808027782725</v>
          </cell>
          <cell r="AD79">
            <v>3969.4290497768334</v>
          </cell>
          <cell r="AE79">
            <v>3695.0056526808967</v>
          </cell>
          <cell r="AF79">
            <v>1968.2357127559751</v>
          </cell>
          <cell r="AG79">
            <v>1730.9394754944599</v>
          </cell>
          <cell r="DI79">
            <v>318.44679517805588</v>
          </cell>
          <cell r="DJ79">
            <v>408.61266728091709</v>
          </cell>
          <cell r="DK79">
            <v>251.40709038376468</v>
          </cell>
          <cell r="DL79">
            <v>410.86572529531202</v>
          </cell>
          <cell r="DM79">
            <v>538.53021218220545</v>
          </cell>
          <cell r="DN79">
            <v>455.95990556800984</v>
          </cell>
          <cell r="DO79">
            <v>458.68917216732751</v>
          </cell>
          <cell r="DP79">
            <v>487.17637593426133</v>
          </cell>
          <cell r="DQ79">
            <v>552.29233265210712</v>
          </cell>
          <cell r="DR79">
            <v>538.99955930789497</v>
          </cell>
          <cell r="DS79">
            <v>363.55757004594358</v>
          </cell>
          <cell r="DT79">
            <v>642.65383444423458</v>
          </cell>
          <cell r="DU79">
            <v>791.08120049905108</v>
          </cell>
          <cell r="DV79">
            <v>788.1565768020032</v>
          </cell>
          <cell r="DW79">
            <v>818.05898899531667</v>
          </cell>
          <cell r="DX79">
            <v>938.3988668286346</v>
          </cell>
          <cell r="DY79">
            <v>953.16172014564268</v>
          </cell>
          <cell r="DZ79">
            <v>858.67765161334694</v>
          </cell>
          <cell r="EA79">
            <v>965.78924271268772</v>
          </cell>
          <cell r="EB79">
            <v>965.03351542042185</v>
          </cell>
          <cell r="EC79">
            <v>930.06856096645822</v>
          </cell>
          <cell r="ED79">
            <v>1094.3706523591866</v>
          </cell>
          <cell r="EE79">
            <v>1070.329365139143</v>
          </cell>
        </row>
        <row r="80">
          <cell r="A80" t="str">
            <v>Production Volumes (mn pounds)</v>
          </cell>
          <cell r="DZ80" t="str">
            <v xml:space="preserve"> </v>
          </cell>
          <cell r="EE80" t="str">
            <v xml:space="preserve"> </v>
          </cell>
        </row>
        <row r="81">
          <cell r="A81" t="str">
            <v>Ethylene</v>
          </cell>
          <cell r="V81">
            <v>8129</v>
          </cell>
          <cell r="W81">
            <v>8353</v>
          </cell>
          <cell r="X81">
            <v>8353</v>
          </cell>
          <cell r="Y81">
            <v>8972</v>
          </cell>
          <cell r="Z81">
            <v>9162.06</v>
          </cell>
          <cell r="AA81">
            <v>9702.0643217391298</v>
          </cell>
          <cell r="AB81">
            <v>10523.753296741663</v>
          </cell>
          <cell r="AC81">
            <v>11631.953805325642</v>
          </cell>
          <cell r="AD81">
            <v>11631.953805325642</v>
          </cell>
          <cell r="AE81">
            <v>11663.822171915575</v>
          </cell>
          <cell r="AF81">
            <v>11631.953805325642</v>
          </cell>
          <cell r="AG81">
            <v>11631.953805325642</v>
          </cell>
          <cell r="DH81">
            <v>1988</v>
          </cell>
          <cell r="DI81">
            <v>2094</v>
          </cell>
          <cell r="DJ81">
            <v>2037</v>
          </cell>
          <cell r="DK81">
            <v>2010</v>
          </cell>
          <cell r="DL81">
            <v>2019</v>
          </cell>
          <cell r="DM81">
            <v>1998</v>
          </cell>
          <cell r="DN81">
            <v>2184</v>
          </cell>
          <cell r="DO81">
            <v>2152</v>
          </cell>
          <cell r="DP81">
            <v>2089</v>
          </cell>
          <cell r="DQ81">
            <v>1929</v>
          </cell>
          <cell r="DR81">
            <v>2134</v>
          </cell>
          <cell r="DS81">
            <v>2201</v>
          </cell>
          <cell r="DT81">
            <v>1988</v>
          </cell>
          <cell r="DU81">
            <v>2134</v>
          </cell>
          <cell r="DV81">
            <v>2401</v>
          </cell>
          <cell r="DW81">
            <v>2449</v>
          </cell>
          <cell r="DX81">
            <v>2337</v>
          </cell>
          <cell r="DY81">
            <v>2412</v>
          </cell>
          <cell r="DZ81">
            <v>2111</v>
          </cell>
          <cell r="EA81">
            <v>2302.06</v>
          </cell>
          <cell r="EB81">
            <v>2360.37</v>
          </cell>
          <cell r="EC81">
            <v>2170.7999999999997</v>
          </cell>
          <cell r="ED81">
            <v>2569.5665217391302</v>
          </cell>
          <cell r="EE81">
            <v>2601.3277999999996</v>
          </cell>
        </row>
        <row r="82">
          <cell r="A82" t="str">
            <v>per day</v>
          </cell>
          <cell r="V82">
            <v>22.271232876712329</v>
          </cell>
          <cell r="W82">
            <v>22.884931506849316</v>
          </cell>
          <cell r="X82">
            <v>22.884931506849316</v>
          </cell>
          <cell r="Y82">
            <v>24.513661202185791</v>
          </cell>
          <cell r="Z82">
            <v>25.101534246575341</v>
          </cell>
          <cell r="AA82">
            <v>26.580998141751042</v>
          </cell>
          <cell r="AB82">
            <v>28.832200812990855</v>
          </cell>
          <cell r="AC82">
            <v>31.868366589933267</v>
          </cell>
          <cell r="AD82">
            <v>31.868366589933267</v>
          </cell>
          <cell r="AE82">
            <v>31.868366589933267</v>
          </cell>
          <cell r="AF82">
            <v>31.868366589933267</v>
          </cell>
          <cell r="AG82">
            <v>31.868366589933267</v>
          </cell>
          <cell r="DH82">
            <v>21.608695652173914</v>
          </cell>
          <cell r="DI82">
            <v>22.760869565217391</v>
          </cell>
          <cell r="DJ82">
            <v>22.633333333333333</v>
          </cell>
          <cell r="DK82">
            <v>22.087912087912088</v>
          </cell>
          <cell r="DL82">
            <v>21.945652173913043</v>
          </cell>
          <cell r="DM82">
            <v>21.717391304347824</v>
          </cell>
          <cell r="DN82">
            <v>24.266666666666666</v>
          </cell>
          <cell r="DO82">
            <v>23.64835164835165</v>
          </cell>
          <cell r="DP82">
            <v>22.706521739130434</v>
          </cell>
          <cell r="DQ82">
            <v>20.967391304347824</v>
          </cell>
          <cell r="DR82">
            <v>23.450549450549449</v>
          </cell>
          <cell r="DS82">
            <v>24.186813186813186</v>
          </cell>
          <cell r="DT82">
            <v>21.608695652173914</v>
          </cell>
          <cell r="DU82">
            <v>23.195652173913043</v>
          </cell>
          <cell r="DV82">
            <v>26.677777777777777</v>
          </cell>
          <cell r="DW82">
            <v>26.912087912087912</v>
          </cell>
          <cell r="DX82">
            <v>25.402173913043477</v>
          </cell>
          <cell r="DY82">
            <v>26.217391304347824</v>
          </cell>
          <cell r="DZ82">
            <v>23.455555555555556</v>
          </cell>
          <cell r="EA82">
            <v>25.297362637362635</v>
          </cell>
          <cell r="EB82">
            <v>25.656195652173913</v>
          </cell>
          <cell r="EC82">
            <v>23.595652173913042</v>
          </cell>
          <cell r="ED82">
            <v>28.550739130434778</v>
          </cell>
          <cell r="EE82">
            <v>28.586019780219775</v>
          </cell>
        </row>
        <row r="83">
          <cell r="A83" t="str">
            <v>growth</v>
          </cell>
          <cell r="W83">
            <v>2.7555664903432309E-2</v>
          </cell>
          <cell r="X83">
            <v>0</v>
          </cell>
          <cell r="Y83">
            <v>7.1170398515241651E-2</v>
          </cell>
          <cell r="Z83">
            <v>2.3981446081874136E-2</v>
          </cell>
          <cell r="AA83">
            <v>5.8939181989545064E-2</v>
          </cell>
          <cell r="AB83">
            <v>8.4692179700499137E-2</v>
          </cell>
          <cell r="AC83">
            <v>0.10530468335162313</v>
          </cell>
          <cell r="AD83">
            <v>0</v>
          </cell>
          <cell r="AE83">
            <v>0</v>
          </cell>
          <cell r="AF83">
            <v>0</v>
          </cell>
          <cell r="AG83">
            <v>0</v>
          </cell>
          <cell r="DL83">
            <v>1.5593561368209219E-2</v>
          </cell>
          <cell r="DM83">
            <v>-4.5845272206303744E-2</v>
          </cell>
          <cell r="DN83">
            <v>7.2164948453608213E-2</v>
          </cell>
          <cell r="DO83">
            <v>7.0646766169154329E-2</v>
          </cell>
          <cell r="DP83">
            <v>3.4670629024269317E-2</v>
          </cell>
          <cell r="DQ83">
            <v>-3.4534534534534589E-2</v>
          </cell>
          <cell r="DR83">
            <v>-3.3631203960874267E-2</v>
          </cell>
          <cell r="DS83">
            <v>2.2769516728624373E-2</v>
          </cell>
          <cell r="DT83">
            <v>-4.8348492101483842E-2</v>
          </cell>
          <cell r="DU83">
            <v>0.10627268014515301</v>
          </cell>
          <cell r="DV83">
            <v>0.13761845256690619</v>
          </cell>
          <cell r="DW83">
            <v>0.11267605633802824</v>
          </cell>
          <cell r="DX83">
            <v>0.17555331991951695</v>
          </cell>
          <cell r="DY83">
            <v>0.13027179006560452</v>
          </cell>
          <cell r="DZ83">
            <v>-0.12078300708038314</v>
          </cell>
          <cell r="EA83">
            <v>-6.0000000000000053E-2</v>
          </cell>
          <cell r="EB83">
            <v>1.0000000000000009E-2</v>
          </cell>
          <cell r="EC83">
            <v>-9.9999999999999978E-2</v>
          </cell>
          <cell r="ED83">
            <v>0.21722715383189484</v>
          </cell>
          <cell r="EE83">
            <v>0.12999999999999989</v>
          </cell>
        </row>
        <row r="85">
          <cell r="A85" t="str">
            <v>Propylene</v>
          </cell>
          <cell r="V85">
            <v>2912</v>
          </cell>
          <cell r="W85">
            <v>3017</v>
          </cell>
          <cell r="X85">
            <v>2907</v>
          </cell>
          <cell r="Y85">
            <v>2363</v>
          </cell>
          <cell r="Z85">
            <v>2397.9333937198066</v>
          </cell>
          <cell r="AA85">
            <v>2408.8684273797708</v>
          </cell>
          <cell r="AB85">
            <v>3102.5</v>
          </cell>
          <cell r="AC85">
            <v>3102.5</v>
          </cell>
          <cell r="AD85">
            <v>3102.5</v>
          </cell>
          <cell r="AE85">
            <v>3111</v>
          </cell>
          <cell r="AF85">
            <v>3102.5</v>
          </cell>
          <cell r="AG85">
            <v>3102.5</v>
          </cell>
          <cell r="DH85">
            <v>676</v>
          </cell>
          <cell r="DI85">
            <v>731</v>
          </cell>
          <cell r="DJ85">
            <v>799</v>
          </cell>
          <cell r="DK85">
            <v>706</v>
          </cell>
          <cell r="DL85">
            <v>755</v>
          </cell>
          <cell r="DM85">
            <v>777</v>
          </cell>
          <cell r="DN85">
            <v>790</v>
          </cell>
          <cell r="DO85">
            <v>695</v>
          </cell>
          <cell r="DP85">
            <v>769</v>
          </cell>
          <cell r="DQ85">
            <v>556</v>
          </cell>
          <cell r="DR85">
            <v>838</v>
          </cell>
          <cell r="DS85">
            <v>744</v>
          </cell>
          <cell r="DT85">
            <v>533</v>
          </cell>
          <cell r="DU85">
            <v>615</v>
          </cell>
          <cell r="DV85">
            <v>633</v>
          </cell>
          <cell r="DW85">
            <v>582</v>
          </cell>
          <cell r="DX85">
            <v>624</v>
          </cell>
          <cell r="DY85">
            <v>527</v>
          </cell>
          <cell r="DZ85">
            <v>652</v>
          </cell>
          <cell r="EA85">
            <v>594.93339371980676</v>
          </cell>
          <cell r="EB85">
            <v>604.74000305250308</v>
          </cell>
          <cell r="EC85">
            <v>599.92500381562888</v>
          </cell>
          <cell r="ED85">
            <v>604.71807531802449</v>
          </cell>
          <cell r="EE85">
            <v>599.48534519361419</v>
          </cell>
        </row>
        <row r="86">
          <cell r="A86" t="str">
            <v>per day</v>
          </cell>
          <cell r="V86">
            <v>7.978082191780822</v>
          </cell>
          <cell r="W86">
            <v>8.2657534246575342</v>
          </cell>
          <cell r="X86">
            <v>7.9643835616438352</v>
          </cell>
          <cell r="Y86">
            <v>6.4562841530054644</v>
          </cell>
          <cell r="Z86">
            <v>6.5696805307391966</v>
          </cell>
          <cell r="AA86">
            <v>6.5996395270678647</v>
          </cell>
          <cell r="AB86">
            <v>8.5</v>
          </cell>
          <cell r="AC86">
            <v>8.5</v>
          </cell>
          <cell r="AD86">
            <v>8.5</v>
          </cell>
          <cell r="AE86">
            <v>8.5</v>
          </cell>
          <cell r="AF86">
            <v>8.5</v>
          </cell>
          <cell r="AG86">
            <v>8.5</v>
          </cell>
          <cell r="DH86">
            <v>7.3478260869565215</v>
          </cell>
          <cell r="DI86">
            <v>7.9456521739130439</v>
          </cell>
          <cell r="DJ86">
            <v>8.8777777777777782</v>
          </cell>
          <cell r="DK86">
            <v>7.7582417582417582</v>
          </cell>
          <cell r="DL86">
            <v>8.2065217391304355</v>
          </cell>
          <cell r="DM86">
            <v>8.445652173913043</v>
          </cell>
          <cell r="DN86">
            <v>8.7777777777777786</v>
          </cell>
          <cell r="DO86">
            <v>7.6373626373626378</v>
          </cell>
          <cell r="DP86">
            <v>8.3586956521739122</v>
          </cell>
          <cell r="DQ86">
            <v>6.0434782608695654</v>
          </cell>
          <cell r="DR86">
            <v>9.208791208791208</v>
          </cell>
          <cell r="DS86">
            <v>8.1758241758241752</v>
          </cell>
          <cell r="DT86">
            <v>5.7934782608695654</v>
          </cell>
          <cell r="DU86">
            <v>6.6847826086956523</v>
          </cell>
          <cell r="DV86">
            <v>7.0333333333333332</v>
          </cell>
          <cell r="DW86">
            <v>6.395604395604396</v>
          </cell>
          <cell r="DX86">
            <v>6.7826086956521738</v>
          </cell>
          <cell r="DY86">
            <v>5.7282608695652177</v>
          </cell>
          <cell r="DZ86">
            <v>7.2444444444444445</v>
          </cell>
          <cell r="EA86">
            <v>6.537729601316558</v>
          </cell>
          <cell r="EB86">
            <v>6.5732609027445985</v>
          </cell>
          <cell r="EC86">
            <v>6.5209239545177056</v>
          </cell>
          <cell r="ED86">
            <v>6.7190897257558273</v>
          </cell>
          <cell r="EE86">
            <v>6.5877510460836728</v>
          </cell>
        </row>
        <row r="87">
          <cell r="A87" t="str">
            <v>growth</v>
          </cell>
          <cell r="W87">
            <v>3.6057692307692291E-2</v>
          </cell>
          <cell r="X87">
            <v>-3.64600596619159E-2</v>
          </cell>
          <cell r="Y87">
            <v>-0.18935544690505857</v>
          </cell>
          <cell r="Z87">
            <v>1.7563721646443486E-2</v>
          </cell>
          <cell r="AA87">
            <v>4.5601907411618736E-3</v>
          </cell>
          <cell r="AB87">
            <v>0.28794913193939875</v>
          </cell>
          <cell r="AC87">
            <v>0</v>
          </cell>
          <cell r="AD87">
            <v>0</v>
          </cell>
          <cell r="AE87">
            <v>0</v>
          </cell>
          <cell r="AF87">
            <v>0</v>
          </cell>
          <cell r="AG87">
            <v>0</v>
          </cell>
          <cell r="DL87">
            <v>0.11686390532544388</v>
          </cell>
          <cell r="DM87">
            <v>6.2927496580027276E-2</v>
          </cell>
          <cell r="DN87">
            <v>-1.126408010012514E-2</v>
          </cell>
          <cell r="DO87">
            <v>-1.5580736543909346E-2</v>
          </cell>
          <cell r="DP87">
            <v>1.8543046357615722E-2</v>
          </cell>
          <cell r="DQ87">
            <v>-0.28442728442728438</v>
          </cell>
          <cell r="DR87">
            <v>4.9102795938238852E-2</v>
          </cell>
          <cell r="DS87">
            <v>7.0503597122302031E-2</v>
          </cell>
          <cell r="DT87">
            <v>-0.30689206762028598</v>
          </cell>
          <cell r="DU87">
            <v>0.10611510791366907</v>
          </cell>
          <cell r="DV87">
            <v>-0.23623707239459024</v>
          </cell>
          <cell r="DW87">
            <v>-0.21774193548387089</v>
          </cell>
          <cell r="DX87">
            <v>0.1707317073170731</v>
          </cell>
          <cell r="DY87">
            <v>-0.14308943089430892</v>
          </cell>
          <cell r="DZ87">
            <v>3.0015797788309762E-2</v>
          </cell>
          <cell r="EA87">
            <v>2.2222325979049495E-2</v>
          </cell>
          <cell r="EB87">
            <v>-3.0865379723552744E-2</v>
          </cell>
          <cell r="EC87">
            <v>0.13837761634844181</v>
          </cell>
          <cell r="ED87">
            <v>-7.2518289389533086E-2</v>
          </cell>
          <cell r="EE87">
            <v>7.6511951116855492E-3</v>
          </cell>
        </row>
        <row r="88">
          <cell r="EA88" t="str">
            <v xml:space="preserve"> </v>
          </cell>
          <cell r="EB88" t="str">
            <v xml:space="preserve"> </v>
          </cell>
        </row>
        <row r="89">
          <cell r="A89" t="str">
            <v>Sales Volumes (mn pounds)</v>
          </cell>
        </row>
        <row r="90">
          <cell r="A90" t="str">
            <v>Polyethylene</v>
          </cell>
          <cell r="V90">
            <v>5499</v>
          </cell>
          <cell r="W90">
            <v>5468</v>
          </cell>
          <cell r="X90">
            <v>5503</v>
          </cell>
          <cell r="Y90">
            <v>5639</v>
          </cell>
          <cell r="Z90">
            <v>5519.54</v>
          </cell>
          <cell r="AA90">
            <v>5870.0492179803514</v>
          </cell>
          <cell r="AB90">
            <v>6367.196481200318</v>
          </cell>
          <cell r="AC90">
            <v>7037.6920904906865</v>
          </cell>
          <cell r="AD90">
            <v>7037.6920904906865</v>
          </cell>
          <cell r="AE90">
            <v>7056.9734386838118</v>
          </cell>
          <cell r="AF90">
            <v>7037.6920904906865</v>
          </cell>
          <cell r="AG90">
            <v>7037.6920904906865</v>
          </cell>
          <cell r="DH90">
            <v>1236</v>
          </cell>
          <cell r="DI90">
            <v>1342</v>
          </cell>
          <cell r="DJ90">
            <v>1505</v>
          </cell>
          <cell r="DK90">
            <v>1416</v>
          </cell>
          <cell r="DL90">
            <v>1339</v>
          </cell>
          <cell r="DM90">
            <v>1265</v>
          </cell>
          <cell r="DN90">
            <v>1517</v>
          </cell>
          <cell r="DO90">
            <v>1347</v>
          </cell>
          <cell r="DP90">
            <v>1415</v>
          </cell>
          <cell r="DQ90">
            <v>1377</v>
          </cell>
          <cell r="DR90">
            <v>1368</v>
          </cell>
          <cell r="DS90">
            <v>1343</v>
          </cell>
          <cell r="DT90">
            <v>1448</v>
          </cell>
          <cell r="DU90">
            <v>1316</v>
          </cell>
          <cell r="DV90">
            <v>1434</v>
          </cell>
          <cell r="DW90">
            <v>1441</v>
          </cell>
          <cell r="DX90">
            <v>1398</v>
          </cell>
          <cell r="DY90">
            <v>1389</v>
          </cell>
          <cell r="DZ90">
            <v>1378</v>
          </cell>
          <cell r="EA90">
            <v>1354.54</v>
          </cell>
          <cell r="EB90">
            <v>1411.98</v>
          </cell>
          <cell r="EC90">
            <v>1250.1000000000001</v>
          </cell>
          <cell r="ED90">
            <v>1677.3390179803514</v>
          </cell>
          <cell r="EE90">
            <v>1530.6301999999998</v>
          </cell>
        </row>
        <row r="91">
          <cell r="A91" t="str">
            <v>per day</v>
          </cell>
          <cell r="V91">
            <v>15.065753424657535</v>
          </cell>
          <cell r="W91">
            <v>14.980821917808219</v>
          </cell>
          <cell r="X91">
            <v>15.076712328767123</v>
          </cell>
          <cell r="Y91">
            <v>15.407103825136613</v>
          </cell>
          <cell r="Z91">
            <v>15.122027397260274</v>
          </cell>
          <cell r="AA91">
            <v>16.082326624603702</v>
          </cell>
          <cell r="AB91">
            <v>17.444373921096762</v>
          </cell>
          <cell r="AC91">
            <v>19.281348193125169</v>
          </cell>
          <cell r="AD91">
            <v>19.281348193125169</v>
          </cell>
          <cell r="AE91">
            <v>19.281348193125169</v>
          </cell>
          <cell r="AF91">
            <v>19.281348193125169</v>
          </cell>
          <cell r="AG91">
            <v>19.281348193125169</v>
          </cell>
          <cell r="DH91">
            <v>13.434782608695652</v>
          </cell>
          <cell r="DI91">
            <v>14.586956521739131</v>
          </cell>
          <cell r="DJ91">
            <v>16.722222222222221</v>
          </cell>
          <cell r="DK91">
            <v>15.56043956043956</v>
          </cell>
          <cell r="DL91">
            <v>14.554347826086957</v>
          </cell>
          <cell r="DM91">
            <v>13.75</v>
          </cell>
          <cell r="DN91">
            <v>16.855555555555554</v>
          </cell>
          <cell r="DO91">
            <v>14.802197802197803</v>
          </cell>
          <cell r="DP91">
            <v>15.380434782608695</v>
          </cell>
          <cell r="DQ91">
            <v>14.967391304347826</v>
          </cell>
          <cell r="DR91">
            <v>15.032967032967033</v>
          </cell>
          <cell r="DS91">
            <v>14.758241758241759</v>
          </cell>
          <cell r="DT91">
            <v>15.739130434782609</v>
          </cell>
          <cell r="DU91">
            <v>14.304347826086957</v>
          </cell>
          <cell r="DV91">
            <v>15.933333333333334</v>
          </cell>
          <cell r="DW91">
            <v>15.835164835164836</v>
          </cell>
          <cell r="DX91">
            <v>15.195652173913043</v>
          </cell>
          <cell r="DY91">
            <v>15.097826086956522</v>
          </cell>
          <cell r="DZ91">
            <v>15.311111111111112</v>
          </cell>
          <cell r="EA91">
            <v>14.885054945054945</v>
          </cell>
          <cell r="EB91">
            <v>15.347608695652173</v>
          </cell>
          <cell r="EC91">
            <v>13.58804347826087</v>
          </cell>
          <cell r="ED91">
            <v>18.637100199781681</v>
          </cell>
          <cell r="EE91">
            <v>16.820112087912086</v>
          </cell>
        </row>
        <row r="92">
          <cell r="A92" t="str">
            <v>growth</v>
          </cell>
          <cell r="W92">
            <v>-5.6373886161120712E-3</v>
          </cell>
          <cell r="X92">
            <v>6.4008778346744677E-3</v>
          </cell>
          <cell r="Y92">
            <v>2.1914028016511766E-2</v>
          </cell>
          <cell r="Z92">
            <v>-1.850292119218655E-2</v>
          </cell>
          <cell r="AA92">
            <v>6.3503338680460875E-2</v>
          </cell>
          <cell r="AB92">
            <v>8.4692179700499137E-2</v>
          </cell>
          <cell r="AC92">
            <v>0.10530468335162313</v>
          </cell>
          <cell r="AD92">
            <v>0</v>
          </cell>
          <cell r="AE92">
            <v>0</v>
          </cell>
          <cell r="AF92">
            <v>0</v>
          </cell>
          <cell r="AG92">
            <v>0</v>
          </cell>
          <cell r="DL92">
            <v>8.3333333333333259E-2</v>
          </cell>
          <cell r="DM92">
            <v>-5.7377049180327933E-2</v>
          </cell>
          <cell r="DN92">
            <v>7.9734219269103068E-3</v>
          </cell>
          <cell r="DO92">
            <v>-4.8728813559322015E-2</v>
          </cell>
          <cell r="DP92">
            <v>5.6758775205377088E-2</v>
          </cell>
          <cell r="DQ92">
            <v>8.8537549407114557E-2</v>
          </cell>
          <cell r="DR92">
            <v>-0.10812983983715685</v>
          </cell>
          <cell r="DS92">
            <v>-2.9695619896065173E-3</v>
          </cell>
          <cell r="DT92">
            <v>2.3321554770318054E-2</v>
          </cell>
          <cell r="DU92">
            <v>-4.4299201161946189E-2</v>
          </cell>
          <cell r="DV92">
            <v>5.9892787524366442E-2</v>
          </cell>
          <cell r="DW92">
            <v>7.2970960536113072E-2</v>
          </cell>
          <cell r="DX92">
            <v>-3.4530386740331598E-2</v>
          </cell>
          <cell r="DY92">
            <v>5.5471124620060763E-2</v>
          </cell>
          <cell r="DZ92">
            <v>-3.9051603905160381E-2</v>
          </cell>
          <cell r="EA92">
            <v>-6.0000000000000053E-2</v>
          </cell>
          <cell r="EB92">
            <v>1.0000000000000009E-2</v>
          </cell>
          <cell r="EC92">
            <v>-9.9999999999999978E-2</v>
          </cell>
          <cell r="ED92">
            <v>0.21722715383189484</v>
          </cell>
          <cell r="EE92">
            <v>0.12999999999999989</v>
          </cell>
        </row>
        <row r="93">
          <cell r="A93" t="str">
            <v>Polypropylene</v>
          </cell>
          <cell r="V93">
            <v>2416</v>
          </cell>
          <cell r="W93">
            <v>2568</v>
          </cell>
          <cell r="X93">
            <v>2479</v>
          </cell>
          <cell r="Y93">
            <v>2630</v>
          </cell>
          <cell r="Z93">
            <v>2616.6261356334389</v>
          </cell>
          <cell r="AA93">
            <v>2666.5836039258879</v>
          </cell>
          <cell r="AB93">
            <v>2555</v>
          </cell>
          <cell r="AC93">
            <v>2555</v>
          </cell>
          <cell r="AD93">
            <v>2555</v>
          </cell>
          <cell r="AE93">
            <v>2562</v>
          </cell>
          <cell r="AF93">
            <v>2555</v>
          </cell>
          <cell r="AG93">
            <v>2555</v>
          </cell>
          <cell r="DH93">
            <v>541</v>
          </cell>
          <cell r="DI93">
            <v>656</v>
          </cell>
          <cell r="DJ93">
            <v>606</v>
          </cell>
          <cell r="DK93">
            <v>613</v>
          </cell>
          <cell r="DL93">
            <v>615</v>
          </cell>
          <cell r="DM93">
            <v>670</v>
          </cell>
          <cell r="DN93">
            <v>672</v>
          </cell>
          <cell r="DO93">
            <v>611</v>
          </cell>
          <cell r="DP93">
            <v>593</v>
          </cell>
          <cell r="DQ93">
            <v>611</v>
          </cell>
          <cell r="DR93">
            <v>635</v>
          </cell>
          <cell r="DS93">
            <v>640</v>
          </cell>
          <cell r="DT93">
            <v>650</v>
          </cell>
          <cell r="DU93">
            <v>634</v>
          </cell>
          <cell r="DV93">
            <v>651</v>
          </cell>
          <cell r="DW93">
            <v>695</v>
          </cell>
          <cell r="DX93">
            <v>648</v>
          </cell>
          <cell r="DY93">
            <v>637</v>
          </cell>
          <cell r="DZ93">
            <v>669</v>
          </cell>
          <cell r="EA93">
            <v>662.62613563343871</v>
          </cell>
          <cell r="EB93">
            <v>743.58922576474765</v>
          </cell>
          <cell r="EC93">
            <v>586.1230482063736</v>
          </cell>
          <cell r="ED93">
            <v>680.0028316754574</v>
          </cell>
          <cell r="EE93">
            <v>656.86849827930928</v>
          </cell>
        </row>
        <row r="94">
          <cell r="A94" t="str">
            <v>per day</v>
          </cell>
          <cell r="V94">
            <v>6.6191780821917812</v>
          </cell>
          <cell r="W94">
            <v>7.0356164383561648</v>
          </cell>
          <cell r="X94">
            <v>6.7917808219178086</v>
          </cell>
          <cell r="Y94">
            <v>7.1857923497267757</v>
          </cell>
          <cell r="Z94">
            <v>7.1688387277628465</v>
          </cell>
          <cell r="AA94">
            <v>7.3057085039065424</v>
          </cell>
          <cell r="AB94">
            <v>7</v>
          </cell>
          <cell r="AC94">
            <v>7</v>
          </cell>
          <cell r="AD94">
            <v>7</v>
          </cell>
          <cell r="AE94">
            <v>7</v>
          </cell>
          <cell r="AF94">
            <v>7</v>
          </cell>
          <cell r="AG94">
            <v>7</v>
          </cell>
          <cell r="DH94">
            <v>5.8804347826086953</v>
          </cell>
          <cell r="DI94">
            <v>7.1304347826086953</v>
          </cell>
          <cell r="DJ94">
            <v>6.7333333333333334</v>
          </cell>
          <cell r="DK94">
            <v>6.7362637362637363</v>
          </cell>
          <cell r="DL94">
            <v>6.6847826086956523</v>
          </cell>
          <cell r="DM94">
            <v>7.2826086956521738</v>
          </cell>
          <cell r="DN94">
            <v>7.4666666666666668</v>
          </cell>
          <cell r="DO94">
            <v>6.7142857142857144</v>
          </cell>
          <cell r="DP94">
            <v>6.4456521739130439</v>
          </cell>
          <cell r="DQ94">
            <v>6.6413043478260869</v>
          </cell>
          <cell r="DR94">
            <v>6.9780219780219781</v>
          </cell>
          <cell r="DS94">
            <v>7.0329670329670328</v>
          </cell>
          <cell r="DT94">
            <v>7.0652173913043477</v>
          </cell>
          <cell r="DU94">
            <v>6.8913043478260869</v>
          </cell>
          <cell r="DV94">
            <v>7.2333333333333334</v>
          </cell>
          <cell r="DW94">
            <v>7.6373626373626378</v>
          </cell>
          <cell r="DX94">
            <v>7.0434782608695654</v>
          </cell>
          <cell r="DY94">
            <v>6.9239130434782608</v>
          </cell>
          <cell r="DZ94">
            <v>7.4333333333333336</v>
          </cell>
          <cell r="EA94">
            <v>7.2816058860817439</v>
          </cell>
          <cell r="EB94">
            <v>8.0824915843994312</v>
          </cell>
          <cell r="EC94">
            <v>6.3709026978953647</v>
          </cell>
          <cell r="ED94">
            <v>7.555587018616194</v>
          </cell>
          <cell r="EE94">
            <v>7.218335145926476</v>
          </cell>
        </row>
        <row r="95">
          <cell r="A95" t="str">
            <v>growth</v>
          </cell>
          <cell r="W95">
            <v>6.29139072847682E-2</v>
          </cell>
          <cell r="X95">
            <v>-3.4657320872274133E-2</v>
          </cell>
          <cell r="Y95">
            <v>5.8012992194543367E-2</v>
          </cell>
          <cell r="Z95">
            <v>-2.3593253379460277E-3</v>
          </cell>
          <cell r="AA95">
            <v>1.9092321830820103E-2</v>
          </cell>
          <cell r="AB95">
            <v>-4.1845154887177993E-2</v>
          </cell>
          <cell r="AC95">
            <v>0</v>
          </cell>
          <cell r="AD95">
            <v>0</v>
          </cell>
          <cell r="AE95">
            <v>0</v>
          </cell>
          <cell r="AF95">
            <v>0</v>
          </cell>
          <cell r="AG95">
            <v>0</v>
          </cell>
          <cell r="DL95">
            <v>0.13678373382624787</v>
          </cell>
          <cell r="DM95">
            <v>2.1341463414634276E-2</v>
          </cell>
          <cell r="DN95">
            <v>0.10891089108910901</v>
          </cell>
          <cell r="DO95">
            <v>-3.2626427406199365E-3</v>
          </cell>
          <cell r="DP95">
            <v>-3.5772357723577231E-2</v>
          </cell>
          <cell r="DQ95">
            <v>-8.8059701492537279E-2</v>
          </cell>
          <cell r="DR95">
            <v>-6.5443485086342235E-2</v>
          </cell>
          <cell r="DS95">
            <v>4.7463175122749446E-2</v>
          </cell>
          <cell r="DT95">
            <v>9.6121416526138148E-2</v>
          </cell>
          <cell r="DU95">
            <v>3.7643207855973859E-2</v>
          </cell>
          <cell r="DV95">
            <v>3.6587926509186408E-2</v>
          </cell>
          <cell r="DW95">
            <v>8.59375E-2</v>
          </cell>
          <cell r="DX95">
            <v>-3.0769230769229772E-3</v>
          </cell>
          <cell r="DY95">
            <v>4.7318611987381409E-3</v>
          </cell>
          <cell r="DZ95">
            <v>2.7649769585253559E-2</v>
          </cell>
          <cell r="EA95">
            <v>-4.6581099808001958E-2</v>
          </cell>
          <cell r="EB95">
            <v>0.14751423729127722</v>
          </cell>
          <cell r="EC95">
            <v>-7.986962604964909E-2</v>
          </cell>
          <cell r="ED95">
            <v>1.6446684118770483E-2</v>
          </cell>
          <cell r="EE95">
            <v>-8.6891190137337038E-3</v>
          </cell>
        </row>
        <row r="98">
          <cell r="A98" t="str">
            <v>Bull Case</v>
          </cell>
        </row>
        <row r="99">
          <cell r="A99" t="str">
            <v>Natural gas - dollars / mmbtu</v>
          </cell>
          <cell r="U99">
            <v>8.8970000000000002</v>
          </cell>
          <cell r="V99">
            <v>3.7850000000000001</v>
          </cell>
          <cell r="W99">
            <v>4.41</v>
          </cell>
          <cell r="X99">
            <v>4.140833333333334</v>
          </cell>
          <cell r="Y99">
            <v>2.9391769230769231</v>
          </cell>
          <cell r="CF99">
            <v>2.4900000000000002</v>
          </cell>
          <cell r="CG99">
            <v>3.4159999999999999</v>
          </cell>
          <cell r="CH99">
            <v>3.194</v>
          </cell>
          <cell r="CI99">
            <v>4.3239999999999998</v>
          </cell>
          <cell r="CJ99">
            <v>5.9180000000000001</v>
          </cell>
          <cell r="CK99">
            <v>5.7370000000000001</v>
          </cell>
          <cell r="CL99">
            <v>4.8959999999999999</v>
          </cell>
          <cell r="CM99">
            <v>5.4279999999999999</v>
          </cell>
          <cell r="CN99">
            <v>5.7140000000000004</v>
          </cell>
          <cell r="CO99">
            <v>6.1619999999999999</v>
          </cell>
          <cell r="CP99">
            <v>5.58</v>
          </cell>
          <cell r="CQ99">
            <v>7.2640000000000002</v>
          </cell>
          <cell r="CR99">
            <v>6.5010000000000003</v>
          </cell>
          <cell r="CS99">
            <v>6.952</v>
          </cell>
          <cell r="CT99">
            <v>9.7309999999999999</v>
          </cell>
          <cell r="CU99">
            <v>12.877000000000001</v>
          </cell>
          <cell r="CV99">
            <v>7.8410000000000002</v>
          </cell>
          <cell r="CW99">
            <v>6.6459999999999999</v>
          </cell>
          <cell r="CX99">
            <v>6.1820000000000004</v>
          </cell>
          <cell r="CY99">
            <v>7.2510000000000003</v>
          </cell>
          <cell r="CZ99">
            <v>7.1840000000000002</v>
          </cell>
          <cell r="DA99">
            <v>7.6550000000000002</v>
          </cell>
          <cell r="DB99">
            <v>6.24</v>
          </cell>
          <cell r="DC99">
            <v>7.3920000000000003</v>
          </cell>
          <cell r="DD99">
            <v>8.74</v>
          </cell>
          <cell r="DE99">
            <v>11.465999999999999</v>
          </cell>
          <cell r="DF99">
            <v>8.9849999999999994</v>
          </cell>
          <cell r="DG99">
            <v>6.3970000000000002</v>
          </cell>
          <cell r="DH99">
            <v>4.22</v>
          </cell>
          <cell r="DI99">
            <v>3.44</v>
          </cell>
          <cell r="DJ99">
            <v>3.32</v>
          </cell>
          <cell r="DK99">
            <v>4.16</v>
          </cell>
          <cell r="DL99">
            <v>5.36</v>
          </cell>
          <cell r="DM99">
            <v>4.04</v>
          </cell>
          <cell r="DN99">
            <v>4.42</v>
          </cell>
          <cell r="DO99">
            <v>3.82</v>
          </cell>
          <cell r="DP99">
            <v>4.1900000000000004</v>
          </cell>
          <cell r="DQ99">
            <v>4.43</v>
          </cell>
          <cell r="DR99">
            <v>4.3</v>
          </cell>
          <cell r="DS99">
            <v>3.6433333333333331</v>
          </cell>
          <cell r="DT99">
            <v>2.86</v>
          </cell>
        </row>
        <row r="100">
          <cell r="A100" t="str">
            <v>Ethane price (c/gal)</v>
          </cell>
          <cell r="W100">
            <v>60.310333333333332</v>
          </cell>
          <cell r="X100">
            <v>76.675000000000011</v>
          </cell>
          <cell r="Y100">
            <v>31.676923076923075</v>
          </cell>
          <cell r="Z100">
            <v>30</v>
          </cell>
          <cell r="AA100">
            <v>25</v>
          </cell>
          <cell r="AB100">
            <v>25</v>
          </cell>
          <cell r="AC100">
            <v>25</v>
          </cell>
          <cell r="AD100">
            <v>30</v>
          </cell>
          <cell r="AE100">
            <v>35</v>
          </cell>
          <cell r="AF100">
            <v>40</v>
          </cell>
          <cell r="AG100">
            <v>100</v>
          </cell>
          <cell r="AJ100">
            <v>15.866</v>
          </cell>
          <cell r="AK100">
            <v>13.388333333333334</v>
          </cell>
          <cell r="AL100">
            <v>23.311666666666667</v>
          </cell>
          <cell r="AM100">
            <v>34.368333333333332</v>
          </cell>
          <cell r="AN100">
            <v>19.973333333333333</v>
          </cell>
          <cell r="AO100">
            <v>18.753666666666668</v>
          </cell>
          <cell r="AP100">
            <v>22.402666666666665</v>
          </cell>
          <cell r="AQ100">
            <v>28.138333333333332</v>
          </cell>
          <cell r="AR100">
            <v>19.947000000000003</v>
          </cell>
          <cell r="AS100">
            <v>22.820666666666664</v>
          </cell>
          <cell r="AT100">
            <v>27.376999999999999</v>
          </cell>
          <cell r="AU100">
            <v>24.420333333333332</v>
          </cell>
          <cell r="AV100">
            <v>24.724333333333334</v>
          </cell>
          <cell r="AW100">
            <v>23.468</v>
          </cell>
          <cell r="AX100">
            <v>20.138999999999999</v>
          </cell>
          <cell r="AY100">
            <v>17.842333333333332</v>
          </cell>
          <cell r="AZ100">
            <v>19.66</v>
          </cell>
          <cell r="BA100">
            <v>21.244333333333334</v>
          </cell>
          <cell r="BB100">
            <v>21.463666666666668</v>
          </cell>
          <cell r="BC100">
            <v>21.620333333333335</v>
          </cell>
          <cell r="BD100">
            <v>16.263000000000002</v>
          </cell>
          <cell r="BE100">
            <v>16.578333333333333</v>
          </cell>
          <cell r="BF100">
            <v>14.006</v>
          </cell>
          <cell r="BG100">
            <v>16.840999999999998</v>
          </cell>
          <cell r="BH100">
            <v>21.471666666666664</v>
          </cell>
          <cell r="BI100">
            <v>22.939666666666668</v>
          </cell>
          <cell r="BJ100">
            <v>27.179666666666662</v>
          </cell>
          <cell r="BK100">
            <v>34.865000000000002</v>
          </cell>
          <cell r="BL100">
            <v>25.371333333333336</v>
          </cell>
          <cell r="BM100">
            <v>19.895666666666667</v>
          </cell>
          <cell r="BN100">
            <v>22.167000000000002</v>
          </cell>
          <cell r="BO100">
            <v>23.135333333333335</v>
          </cell>
          <cell r="BP100">
            <v>21.032</v>
          </cell>
          <cell r="BQ100">
            <v>19.392666666666667</v>
          </cell>
          <cell r="BR100">
            <v>17.440666666666669</v>
          </cell>
          <cell r="BS100">
            <v>16.507999999999999</v>
          </cell>
          <cell r="BT100">
            <v>18.524999999999999</v>
          </cell>
          <cell r="BU100">
            <v>27.399333333333335</v>
          </cell>
          <cell r="BV100">
            <v>33.197000000000003</v>
          </cell>
          <cell r="BW100">
            <v>32.249000000000002</v>
          </cell>
          <cell r="BX100">
            <v>38.62766666666667</v>
          </cell>
          <cell r="BY100">
            <v>35.199000000000005</v>
          </cell>
          <cell r="BZ100">
            <v>39.053333333333335</v>
          </cell>
          <cell r="CA100">
            <v>47.384999999999998</v>
          </cell>
          <cell r="CB100">
            <v>48.8</v>
          </cell>
          <cell r="CC100">
            <v>36.815333333333335</v>
          </cell>
          <cell r="CD100">
            <v>26.639666666666667</v>
          </cell>
          <cell r="CE100">
            <v>21.629666666666665</v>
          </cell>
          <cell r="CF100">
            <v>21.527666666666665</v>
          </cell>
          <cell r="CG100">
            <v>26.242999999999999</v>
          </cell>
          <cell r="CH100">
            <v>25.745666666666665</v>
          </cell>
          <cell r="CI100">
            <v>30.953666666666667</v>
          </cell>
          <cell r="CJ100">
            <v>42.93266666666667</v>
          </cell>
          <cell r="CK100">
            <v>39.672666666666665</v>
          </cell>
          <cell r="CL100">
            <v>36.546666666666667</v>
          </cell>
          <cell r="CM100">
            <v>40.29</v>
          </cell>
          <cell r="CN100">
            <v>42.959333333333326</v>
          </cell>
          <cell r="CO100">
            <v>45.330333333333328</v>
          </cell>
          <cell r="CP100">
            <v>52.274000000000001</v>
          </cell>
          <cell r="CQ100">
            <v>60.266333333333328</v>
          </cell>
          <cell r="CR100">
            <v>52.186</v>
          </cell>
          <cell r="CS100">
            <v>52.343333333333334</v>
          </cell>
          <cell r="CT100">
            <v>68.750999999999991</v>
          </cell>
          <cell r="CU100">
            <v>76.210333333333338</v>
          </cell>
          <cell r="CV100">
            <v>56.999333333333333</v>
          </cell>
          <cell r="CW100">
            <v>67.757999999999996</v>
          </cell>
          <cell r="CX100">
            <v>75.779000000000011</v>
          </cell>
          <cell r="CY100">
            <v>61.740666666666662</v>
          </cell>
          <cell r="CZ100">
            <v>58.991666666666667</v>
          </cell>
          <cell r="DA100">
            <v>72.284666666666666</v>
          </cell>
          <cell r="DB100">
            <v>81.855666666666664</v>
          </cell>
          <cell r="DC100">
            <v>104.39400000000001</v>
          </cell>
          <cell r="DD100">
            <v>101.29300000000001</v>
          </cell>
          <cell r="DE100">
            <v>105.15599999999999</v>
          </cell>
          <cell r="DF100">
            <v>108.88500000000001</v>
          </cell>
          <cell r="DG100">
            <v>41.952333333333335</v>
          </cell>
          <cell r="DH100">
            <v>35.56666666666667</v>
          </cell>
          <cell r="DI100">
            <v>43.036000000000001</v>
          </cell>
          <cell r="DJ100">
            <v>47.334333333333326</v>
          </cell>
          <cell r="DK100">
            <v>66.375666666666675</v>
          </cell>
          <cell r="DL100">
            <v>73.401666666666657</v>
          </cell>
          <cell r="DM100">
            <v>54.686999999999991</v>
          </cell>
          <cell r="DN100">
            <v>48.152666666666669</v>
          </cell>
          <cell r="DO100">
            <v>65</v>
          </cell>
          <cell r="DP100">
            <v>65.58</v>
          </cell>
          <cell r="DQ100">
            <v>77.72</v>
          </cell>
          <cell r="DR100">
            <v>77.81</v>
          </cell>
          <cell r="DS100">
            <v>85.59</v>
          </cell>
          <cell r="DT100">
            <v>56.707692307692305</v>
          </cell>
          <cell r="DU100">
            <v>30</v>
          </cell>
          <cell r="DV100">
            <v>20</v>
          </cell>
          <cell r="DW100">
            <v>20</v>
          </cell>
          <cell r="DX100">
            <v>30</v>
          </cell>
          <cell r="DY100">
            <v>30</v>
          </cell>
          <cell r="DZ100">
            <v>30</v>
          </cell>
          <cell r="EA100">
            <v>30</v>
          </cell>
          <cell r="EB100">
            <v>25</v>
          </cell>
          <cell r="EC100">
            <v>25</v>
          </cell>
          <cell r="ED100">
            <v>25</v>
          </cell>
          <cell r="EE100">
            <v>25</v>
          </cell>
        </row>
        <row r="101">
          <cell r="A101" t="str">
            <v>Brent crude price (US$/bbl)</v>
          </cell>
          <cell r="O101">
            <v>24.7425</v>
          </cell>
          <cell r="P101">
            <v>29.602499999999999</v>
          </cell>
          <cell r="Q101">
            <v>38.81</v>
          </cell>
          <cell r="R101">
            <v>53.5075</v>
          </cell>
          <cell r="T101">
            <v>72.627499999999998</v>
          </cell>
          <cell r="U101">
            <v>97.512499999999989</v>
          </cell>
          <cell r="V101">
            <v>61.922499999999999</v>
          </cell>
          <cell r="W101">
            <v>79.917500000000004</v>
          </cell>
          <cell r="X101">
            <v>111.30416666666667</v>
          </cell>
          <cell r="Y101">
            <v>129.61000000000001</v>
          </cell>
          <cell r="Z101">
            <v>138.71060606060607</v>
          </cell>
          <cell r="AA101">
            <v>134.50166666666667</v>
          </cell>
          <cell r="AB101">
            <v>128.50166666666667</v>
          </cell>
          <cell r="AC101">
            <v>124.50166666666667</v>
          </cell>
          <cell r="AD101">
            <v>122.00166666666667</v>
          </cell>
          <cell r="AE101">
            <v>120.00166666666667</v>
          </cell>
          <cell r="AF101">
            <v>119.00166666666667</v>
          </cell>
          <cell r="AG101">
            <v>118.00166666666667</v>
          </cell>
          <cell r="CF101">
            <v>19.829999999999998</v>
          </cell>
          <cell r="CG101">
            <v>25.06</v>
          </cell>
          <cell r="CH101">
            <v>27.29</v>
          </cell>
          <cell r="CI101">
            <v>26.79</v>
          </cell>
          <cell r="CJ101">
            <v>33.049999999999997</v>
          </cell>
          <cell r="CK101">
            <v>27.09</v>
          </cell>
          <cell r="CL101">
            <v>28.81</v>
          </cell>
          <cell r="CM101">
            <v>29.46</v>
          </cell>
          <cell r="CN101">
            <v>34.15</v>
          </cell>
          <cell r="CO101">
            <v>37</v>
          </cell>
          <cell r="CP101">
            <v>41.77</v>
          </cell>
          <cell r="CQ101">
            <v>42.32</v>
          </cell>
          <cell r="CR101">
            <v>45.02</v>
          </cell>
          <cell r="CS101">
            <v>50.13</v>
          </cell>
          <cell r="CT101">
            <v>60.92</v>
          </cell>
          <cell r="CU101">
            <v>57.96</v>
          </cell>
          <cell r="CV101">
            <v>60.94</v>
          </cell>
          <cell r="CW101">
            <v>68.91</v>
          </cell>
          <cell r="CX101">
            <v>69.180000000000007</v>
          </cell>
          <cell r="CY101">
            <v>55.53</v>
          </cell>
          <cell r="CZ101">
            <v>58.24</v>
          </cell>
          <cell r="DA101">
            <v>68.680000000000007</v>
          </cell>
          <cell r="DB101">
            <v>74.89</v>
          </cell>
          <cell r="DC101">
            <v>88.7</v>
          </cell>
          <cell r="DD101">
            <v>96.7</v>
          </cell>
          <cell r="DE101">
            <v>122.18</v>
          </cell>
          <cell r="DF101">
            <v>115.39</v>
          </cell>
          <cell r="DG101">
            <v>55.78</v>
          </cell>
          <cell r="DH101">
            <v>44.74</v>
          </cell>
          <cell r="DI101">
            <v>59.15</v>
          </cell>
          <cell r="DJ101">
            <v>68.61</v>
          </cell>
          <cell r="DK101">
            <v>75.19</v>
          </cell>
          <cell r="DL101">
            <v>76.83</v>
          </cell>
          <cell r="DM101">
            <v>78.900000000000006</v>
          </cell>
          <cell r="DN101">
            <v>76.98</v>
          </cell>
          <cell r="DO101">
            <v>86.96</v>
          </cell>
          <cell r="DP101">
            <v>105.26</v>
          </cell>
          <cell r="DQ101">
            <v>117.16</v>
          </cell>
          <cell r="DR101">
            <v>113.38</v>
          </cell>
          <cell r="DS101">
            <v>109.41666666666667</v>
          </cell>
          <cell r="DT101">
            <v>118.44</v>
          </cell>
          <cell r="DU101">
            <v>125</v>
          </cell>
          <cell r="DV101">
            <v>135</v>
          </cell>
          <cell r="DW101">
            <v>140</v>
          </cell>
          <cell r="DX101">
            <v>143.04666666666668</v>
          </cell>
          <cell r="DY101">
            <v>133.23666666666668</v>
          </cell>
          <cell r="DZ101">
            <v>140.08333333333331</v>
          </cell>
          <cell r="EA101">
            <v>138.4757575757576</v>
          </cell>
          <cell r="EB101">
            <v>136.87666666666667</v>
          </cell>
          <cell r="EC101">
            <v>134.87666666666667</v>
          </cell>
          <cell r="ED101">
            <v>133.87666666666667</v>
          </cell>
          <cell r="EE101">
            <v>132.37666666666667</v>
          </cell>
        </row>
        <row r="102">
          <cell r="A102" t="str">
            <v>Ethane discount to crude</v>
          </cell>
          <cell r="W102">
            <v>-0.4035141780753625</v>
          </cell>
          <cell r="X102">
            <v>-0.45550656429466063</v>
          </cell>
          <cell r="Y102">
            <v>-0.80682328991486929</v>
          </cell>
          <cell r="Z102">
            <v>-0.82905284729407858</v>
          </cell>
          <cell r="AA102">
            <v>-0.85308618755546184</v>
          </cell>
          <cell r="AB102">
            <v>-0.84622648761901054</v>
          </cell>
          <cell r="AC102">
            <v>-0.84128603930219581</v>
          </cell>
          <cell r="AD102">
            <v>-0.80564049816663696</v>
          </cell>
          <cell r="AE102">
            <v>-0.76946808781376175</v>
          </cell>
          <cell r="AF102">
            <v>-0.73432099655552896</v>
          </cell>
          <cell r="AG102">
            <v>-0.3301737784445602</v>
          </cell>
          <cell r="CF102">
            <v>-0.14192641633039549</v>
          </cell>
          <cell r="CG102">
            <v>-0.17228142781663069</v>
          </cell>
          <cell r="CH102">
            <v>-0.25432275134018956</v>
          </cell>
          <cell r="CI102">
            <v>-8.6750014489066163E-2</v>
          </cell>
          <cell r="CJ102">
            <v>2.6754670078606324E-2</v>
          </cell>
          <cell r="CK102">
            <v>0.15753111639450346</v>
          </cell>
          <cell r="CL102">
            <v>2.6625636325523505E-3</v>
          </cell>
          <cell r="CM102">
            <v>8.0972911701995942E-2</v>
          </cell>
          <cell r="CN102">
            <v>-5.7007513254245801E-3</v>
          </cell>
          <cell r="CO102">
            <v>-3.1638588711360827E-2</v>
          </cell>
          <cell r="CP102">
            <v>-1.0828615189685364E-2</v>
          </cell>
          <cell r="CQ102">
            <v>0.12558784983537707</v>
          </cell>
          <cell r="CR102">
            <v>-8.3782030069552649E-2</v>
          </cell>
          <cell r="CS102">
            <v>-0.17469598576724965</v>
          </cell>
          <cell r="CT102">
            <v>-0.10799064118512081</v>
          </cell>
          <cell r="CU102">
            <v>3.928765953129898E-2</v>
          </cell>
          <cell r="CV102">
            <v>-0.2607052665026931</v>
          </cell>
          <cell r="CW102">
            <v>-0.2228074753078928</v>
          </cell>
          <cell r="CX102">
            <v>-0.13419797273216749</v>
          </cell>
          <cell r="CY102">
            <v>-0.12119215067876443</v>
          </cell>
          <cell r="CZ102">
            <v>-0.19939262552202042</v>
          </cell>
          <cell r="DA102">
            <v>-0.16810946642256941</v>
          </cell>
          <cell r="DB102">
            <v>-0.13607666338600044</v>
          </cell>
          <cell r="DC102">
            <v>-6.9744589099751897E-2</v>
          </cell>
          <cell r="DD102">
            <v>-0.17205164824603014</v>
          </cell>
          <cell r="DE102">
            <v>-0.31972545098200356</v>
          </cell>
          <cell r="DF102">
            <v>-0.25415227692754006</v>
          </cell>
          <cell r="DG102">
            <v>-0.4055328003891262</v>
          </cell>
          <cell r="DH102">
            <v>-0.37165600189646453</v>
          </cell>
          <cell r="DI102">
            <v>-0.42492109647276644</v>
          </cell>
          <cell r="DJ102">
            <v>-0.45469543721743133</v>
          </cell>
          <cell r="DK102">
            <v>-0.30225120135075145</v>
          </cell>
          <cell r="DL102">
            <v>-0.24486365396833554</v>
          </cell>
          <cell r="DM102">
            <v>-0.45215540335375948</v>
          </cell>
          <cell r="DN102">
            <v>-0.50558376571483377</v>
          </cell>
          <cell r="DO102">
            <v>-0.40919506855593868</v>
          </cell>
          <cell r="DP102">
            <v>-0.50755431902531889</v>
          </cell>
          <cell r="DQ102">
            <v>-0.47567119753676101</v>
          </cell>
          <cell r="DR102">
            <v>-0.45756307068211677</v>
          </cell>
          <cell r="DS102">
            <v>-0.3817134024868617</v>
          </cell>
          <cell r="DT102">
            <v>-0.6215627641664071</v>
          </cell>
          <cell r="DU102">
            <v>-0.8103025347506132</v>
          </cell>
          <cell r="DV102">
            <v>-0.88290279922877368</v>
          </cell>
          <cell r="DW102">
            <v>-0.88708484211346028</v>
          </cell>
          <cell r="DX102">
            <v>-0.83423463329328418</v>
          </cell>
          <cell r="DY102">
            <v>-0.82202959778709561</v>
          </cell>
          <cell r="DZ102">
            <v>-0.8307280203009636</v>
          </cell>
          <cell r="EA102">
            <v>-0.82876292882383518</v>
          </cell>
          <cell r="EB102">
            <v>-0.85563534595515822</v>
          </cell>
          <cell r="EC102">
            <v>-0.85349465464638463</v>
          </cell>
          <cell r="ED102">
            <v>-0.85240032395380483</v>
          </cell>
          <cell r="EE102">
            <v>-0.85072782743576825</v>
          </cell>
        </row>
        <row r="105">
          <cell r="A105" t="str">
            <v>Ethylene cash costs (purity ethane) (c/lb)</v>
          </cell>
          <cell r="V105">
            <v>28.736372291666658</v>
          </cell>
          <cell r="W105">
            <v>24.490135562499994</v>
          </cell>
          <cell r="X105">
            <v>29.144758479166661</v>
          </cell>
          <cell r="Y105">
            <v>14.738212302243589</v>
          </cell>
          <cell r="Z105">
            <v>15.622499999999999</v>
          </cell>
          <cell r="AA105">
            <v>13.515000000000001</v>
          </cell>
          <cell r="AB105">
            <v>13.515000000000001</v>
          </cell>
          <cell r="AC105">
            <v>13.515000000000001</v>
          </cell>
          <cell r="AD105">
            <v>15.622499999999999</v>
          </cell>
          <cell r="AE105">
            <v>17.73</v>
          </cell>
          <cell r="AF105">
            <v>19.837499999999999</v>
          </cell>
          <cell r="AG105">
            <v>45.127499999999998</v>
          </cell>
          <cell r="DK105">
            <v>28.736372291666658</v>
          </cell>
          <cell r="DL105">
            <v>31.234398499999998</v>
          </cell>
          <cell r="DM105">
            <v>21.722442749999995</v>
          </cell>
          <cell r="DN105">
            <v>19.302473749999997</v>
          </cell>
          <cell r="DO105">
            <v>25.701227249999995</v>
          </cell>
          <cell r="DP105">
            <v>26.321337249999996</v>
          </cell>
          <cell r="DQ105">
            <v>29.884673874999997</v>
          </cell>
          <cell r="DR105">
            <v>29.133221874999993</v>
          </cell>
          <cell r="DS105">
            <v>31.23980091666666</v>
          </cell>
          <cell r="DT105">
            <v>20.515349208974357</v>
          </cell>
          <cell r="DU105">
            <v>15.622499999999999</v>
          </cell>
          <cell r="DV105">
            <v>11.407499999999999</v>
          </cell>
          <cell r="DW105">
            <v>11.407499999999999</v>
          </cell>
          <cell r="DX105">
            <v>15.622499999999999</v>
          </cell>
          <cell r="DY105">
            <v>15.622499999999999</v>
          </cell>
          <cell r="DZ105">
            <v>15.622499999999999</v>
          </cell>
          <cell r="EA105">
            <v>15.622499999999999</v>
          </cell>
          <cell r="EB105">
            <v>13.515000000000001</v>
          </cell>
          <cell r="EC105">
            <v>13.515000000000001</v>
          </cell>
          <cell r="ED105">
            <v>13.515000000000001</v>
          </cell>
          <cell r="EE105">
            <v>13.515000000000001</v>
          </cell>
        </row>
        <row r="106">
          <cell r="A106" t="str">
            <v>Ethylene cash costs (naphtha) (c/lb)</v>
          </cell>
          <cell r="V106">
            <v>41.46</v>
          </cell>
          <cell r="W106">
            <v>42.178333333333327</v>
          </cell>
          <cell r="X106">
            <v>48.539166666666667</v>
          </cell>
          <cell r="Y106">
            <v>66.167391666666674</v>
          </cell>
          <cell r="Z106">
            <v>73.059603030303037</v>
          </cell>
          <cell r="AA106">
            <v>70.955133333333336</v>
          </cell>
          <cell r="AB106">
            <v>67.955133333333336</v>
          </cell>
          <cell r="AC106">
            <v>65.955133333333336</v>
          </cell>
          <cell r="AD106">
            <v>64.705133333333336</v>
          </cell>
          <cell r="AE106">
            <v>63.705133333333336</v>
          </cell>
          <cell r="AF106">
            <v>63.205133333333336</v>
          </cell>
          <cell r="AG106">
            <v>62.705133333333336</v>
          </cell>
          <cell r="DK106">
            <v>41.46</v>
          </cell>
          <cell r="DL106">
            <v>41.250666666666667</v>
          </cell>
          <cell r="DM106">
            <v>38.351666666666667</v>
          </cell>
          <cell r="DN106">
            <v>37.290333333333329</v>
          </cell>
          <cell r="DO106">
            <v>51.820666666666661</v>
          </cell>
          <cell r="DP106">
            <v>49.56</v>
          </cell>
          <cell r="DQ106">
            <v>45.28</v>
          </cell>
          <cell r="DR106">
            <v>42.13</v>
          </cell>
          <cell r="DS106">
            <v>57.186666666666667</v>
          </cell>
          <cell r="DT106">
            <v>53.556666666666672</v>
          </cell>
          <cell r="DU106">
            <v>66.204300000000003</v>
          </cell>
          <cell r="DV106">
            <v>71.204300000000003</v>
          </cell>
          <cell r="DW106">
            <v>73.704300000000003</v>
          </cell>
          <cell r="DX106">
            <v>75.227633333333344</v>
          </cell>
          <cell r="DY106">
            <v>70.322633333333343</v>
          </cell>
          <cell r="DZ106">
            <v>73.745966666666661</v>
          </cell>
          <cell r="EA106">
            <v>72.942178787878802</v>
          </cell>
          <cell r="EB106">
            <v>72.142633333333336</v>
          </cell>
          <cell r="EC106">
            <v>71.142633333333336</v>
          </cell>
          <cell r="ED106">
            <v>70.642633333333336</v>
          </cell>
          <cell r="EE106">
            <v>69.892633333333336</v>
          </cell>
        </row>
        <row r="108">
          <cell r="A108" t="str">
            <v>Ethylene cash costs (LYB) (c/lb)</v>
          </cell>
          <cell r="V108">
            <v>31.281097833333327</v>
          </cell>
          <cell r="W108">
            <v>28.02777511666666</v>
          </cell>
          <cell r="X108">
            <v>33.023640116666662</v>
          </cell>
          <cell r="Y108">
            <v>25.024048175128208</v>
          </cell>
          <cell r="Z108">
            <v>27.109920606060605</v>
          </cell>
          <cell r="AA108">
            <v>25.003026666666667</v>
          </cell>
          <cell r="AB108">
            <v>18.959013333333335</v>
          </cell>
          <cell r="AC108">
            <v>18.759013333333336</v>
          </cell>
          <cell r="AD108">
            <v>20.530763333333333</v>
          </cell>
          <cell r="AE108">
            <v>22.327513333333336</v>
          </cell>
          <cell r="AF108">
            <v>24.174263333333332</v>
          </cell>
          <cell r="AG108">
            <v>46.885263333333334</v>
          </cell>
          <cell r="DK108">
            <v>31.281097833333327</v>
          </cell>
          <cell r="DL108">
            <v>33.237652133333334</v>
          </cell>
          <cell r="DM108">
            <v>25.04828753333333</v>
          </cell>
          <cell r="DN108">
            <v>22.900045666666664</v>
          </cell>
          <cell r="DO108">
            <v>30.925115133333328</v>
          </cell>
          <cell r="DP108">
            <v>30.9690698</v>
          </cell>
          <cell r="DQ108">
            <v>32.963739099999998</v>
          </cell>
          <cell r="DR108">
            <v>31.732577499999998</v>
          </cell>
          <cell r="DS108">
            <v>36.429174066666661</v>
          </cell>
          <cell r="DT108">
            <v>27.123612700512822</v>
          </cell>
          <cell r="DU108">
            <v>25.738860000000003</v>
          </cell>
          <cell r="DV108">
            <v>23.366860000000003</v>
          </cell>
          <cell r="DW108">
            <v>23.866860000000003</v>
          </cell>
          <cell r="DX108">
            <v>27.543526666666668</v>
          </cell>
          <cell r="DY108">
            <v>26.56252666666667</v>
          </cell>
          <cell r="DZ108">
            <v>27.247193333333332</v>
          </cell>
          <cell r="EA108">
            <v>27.08643575757576</v>
          </cell>
          <cell r="EB108">
            <v>25.240526666666668</v>
          </cell>
          <cell r="EC108">
            <v>25.040526666666668</v>
          </cell>
          <cell r="ED108">
            <v>24.940526666666671</v>
          </cell>
          <cell r="EE108">
            <v>24.790526666666668</v>
          </cell>
        </row>
        <row r="109">
          <cell r="A109" t="str">
            <v>Ethylene price (average acquisition, delivered GC) (c/lb)</v>
          </cell>
          <cell r="V109">
            <v>36.583666666666666</v>
          </cell>
          <cell r="W109">
            <v>45.303416666666671</v>
          </cell>
          <cell r="X109">
            <v>55.174166666666665</v>
          </cell>
          <cell r="Y109">
            <v>66.477867884999995</v>
          </cell>
          <cell r="Z109">
            <v>70.988829452727288</v>
          </cell>
          <cell r="AA109">
            <v>69.257692680000005</v>
          </cell>
          <cell r="AB109">
            <v>66.789892680000008</v>
          </cell>
          <cell r="AC109">
            <v>65.144692680000006</v>
          </cell>
          <cell r="AD109">
            <v>64.116442680000006</v>
          </cell>
          <cell r="AE109">
            <v>60.129150545999998</v>
          </cell>
          <cell r="AF109">
            <v>56.594288412000004</v>
          </cell>
          <cell r="AG109">
            <v>56.224118412000003</v>
          </cell>
          <cell r="DK109">
            <v>36.583666666666666</v>
          </cell>
          <cell r="DL109">
            <v>52.552333333333337</v>
          </cell>
          <cell r="DM109">
            <v>46.323</v>
          </cell>
          <cell r="DN109">
            <v>36.510333333333335</v>
          </cell>
          <cell r="DO109">
            <v>45.828000000000003</v>
          </cell>
          <cell r="DP109">
            <v>49.39</v>
          </cell>
          <cell r="DQ109">
            <v>60.75</v>
          </cell>
          <cell r="DR109">
            <v>57.7</v>
          </cell>
          <cell r="DS109">
            <v>52.856666666666662</v>
          </cell>
          <cell r="DT109">
            <v>59.58</v>
          </cell>
          <cell r="DU109">
            <v>65.349657180000008</v>
          </cell>
          <cell r="DV109">
            <v>69.462657180000008</v>
          </cell>
          <cell r="DW109">
            <v>71.519157180000008</v>
          </cell>
          <cell r="DX109">
            <v>72.772251180000012</v>
          </cell>
          <cell r="DY109">
            <v>68.737398180000014</v>
          </cell>
          <cell r="DZ109">
            <v>71.553432179999987</v>
          </cell>
          <cell r="EA109">
            <v>70.892236270909109</v>
          </cell>
          <cell r="EB109">
            <v>70.234530180000007</v>
          </cell>
          <cell r="EC109">
            <v>69.411930180000013</v>
          </cell>
          <cell r="ED109">
            <v>69.000630180000002</v>
          </cell>
          <cell r="EE109">
            <v>68.383680179999999</v>
          </cell>
        </row>
        <row r="110">
          <cell r="A110" t="str">
            <v>Ethylene margin (c/lb)</v>
          </cell>
          <cell r="V110">
            <v>5.3025688333333392</v>
          </cell>
          <cell r="W110">
            <v>17.27564155000001</v>
          </cell>
          <cell r="X110">
            <v>22.150526550000002</v>
          </cell>
          <cell r="Y110">
            <v>41.453819709871787</v>
          </cell>
          <cell r="Z110">
            <v>43.878908846666683</v>
          </cell>
          <cell r="AA110">
            <v>44.254666013333335</v>
          </cell>
          <cell r="AB110">
            <v>47.830879346666677</v>
          </cell>
          <cell r="AC110">
            <v>46.38567934666667</v>
          </cell>
          <cell r="AD110">
            <v>43.585679346666673</v>
          </cell>
          <cell r="AE110">
            <v>37.801637212666662</v>
          </cell>
          <cell r="AF110">
            <v>32.420025078666669</v>
          </cell>
          <cell r="AG110">
            <v>9.3388550786666684</v>
          </cell>
          <cell r="DK110">
            <v>5.3025688333333392</v>
          </cell>
          <cell r="DL110">
            <v>19.314681200000003</v>
          </cell>
          <cell r="DM110">
            <v>21.274712466666671</v>
          </cell>
          <cell r="DN110">
            <v>13.610287666666672</v>
          </cell>
          <cell r="DO110">
            <v>14.902884866666675</v>
          </cell>
          <cell r="DP110">
            <v>18.420930200000001</v>
          </cell>
          <cell r="DQ110">
            <v>27.786260900000002</v>
          </cell>
          <cell r="DR110">
            <v>25.967422500000005</v>
          </cell>
          <cell r="DS110">
            <v>16.427492600000001</v>
          </cell>
          <cell r="DT110">
            <v>32.456387299487176</v>
          </cell>
          <cell r="DU110">
            <v>39.610797180000006</v>
          </cell>
          <cell r="DV110">
            <v>46.095797180000005</v>
          </cell>
          <cell r="DW110">
            <v>47.652297180000005</v>
          </cell>
          <cell r="DX110">
            <v>45.228724513333347</v>
          </cell>
          <cell r="DY110">
            <v>42.174871513333343</v>
          </cell>
          <cell r="DZ110">
            <v>44.306238846666659</v>
          </cell>
          <cell r="EA110">
            <v>43.805800513333352</v>
          </cell>
          <cell r="EB110">
            <v>44.99400351333334</v>
          </cell>
          <cell r="EC110">
            <v>44.371403513333348</v>
          </cell>
          <cell r="ED110">
            <v>44.060103513333331</v>
          </cell>
          <cell r="EE110">
            <v>43.593153513333334</v>
          </cell>
        </row>
        <row r="112">
          <cell r="A112" t="str">
            <v>Polyethylene price ($/MT)</v>
          </cell>
          <cell r="V112">
            <v>1118.5402003875001</v>
          </cell>
          <cell r="W112">
            <v>1309.3590904124999</v>
          </cell>
          <cell r="X112">
            <v>1642.1831468124999</v>
          </cell>
          <cell r="Y112">
            <v>1836.2981119499998</v>
          </cell>
          <cell r="Z112">
            <v>2041.8664814068788</v>
          </cell>
          <cell r="AA112">
            <v>2215.452003101333</v>
          </cell>
          <cell r="AB112">
            <v>2213.7816923343335</v>
          </cell>
          <cell r="AC112">
            <v>2233.6021447673329</v>
          </cell>
          <cell r="AD112">
            <v>2176.9680353230001</v>
          </cell>
          <cell r="AE112">
            <v>2011.9172162569996</v>
          </cell>
          <cell r="AF112">
            <v>1930.6642861239998</v>
          </cell>
          <cell r="AG112">
            <v>1827.4169635466667</v>
          </cell>
          <cell r="DK112">
            <v>1259.2287040499998</v>
          </cell>
          <cell r="DL112">
            <v>1276.6192558499999</v>
          </cell>
          <cell r="DM112">
            <v>1298.5695255000001</v>
          </cell>
          <cell r="DN112">
            <v>1278.2098550999999</v>
          </cell>
          <cell r="DO112">
            <v>1384.0377251999998</v>
          </cell>
          <cell r="DP112">
            <v>1578.0908336999996</v>
          </cell>
          <cell r="DQ112">
            <v>1704.2783741999999</v>
          </cell>
          <cell r="DR112">
            <v>1664.1952730999997</v>
          </cell>
          <cell r="DS112">
            <v>1622.1681062499999</v>
          </cell>
          <cell r="DT112">
            <v>1717.8514877999999</v>
          </cell>
          <cell r="DU112">
            <v>1787.413695</v>
          </cell>
          <cell r="DV112">
            <v>1893.4536449999998</v>
          </cell>
          <cell r="DW112">
            <v>1946.4736199999995</v>
          </cell>
          <cell r="DX112">
            <v>2031.5479369826667</v>
          </cell>
          <cell r="DY112">
            <v>1999.7389516266667</v>
          </cell>
          <cell r="DZ112">
            <v>2077.1811053333331</v>
          </cell>
          <cell r="EA112">
            <v>2058.9979316848489</v>
          </cell>
          <cell r="EB112">
            <v>2245.0018025013333</v>
          </cell>
          <cell r="EC112">
            <v>2220.1177609013334</v>
          </cell>
          <cell r="ED112">
            <v>2207.6757401013333</v>
          </cell>
          <cell r="EE112">
            <v>2189.0127089013331</v>
          </cell>
        </row>
        <row r="113">
          <cell r="A113" t="str">
            <v>Polyethylene price (c/lb)</v>
          </cell>
          <cell r="V113">
            <v>50.750462812500004</v>
          </cell>
          <cell r="W113">
            <v>59.4083071875</v>
          </cell>
          <cell r="X113">
            <v>74.509217187499999</v>
          </cell>
          <cell r="Y113">
            <v>83.316611249999994</v>
          </cell>
          <cell r="Z113">
            <v>92.643669755303037</v>
          </cell>
          <cell r="AA113">
            <v>100.51960086666666</v>
          </cell>
          <cell r="AB113">
            <v>100.44381544166667</v>
          </cell>
          <cell r="AC113">
            <v>101.34311001666666</v>
          </cell>
          <cell r="AD113">
            <v>98.773504325000005</v>
          </cell>
          <cell r="AE113">
            <v>91.28481017499999</v>
          </cell>
          <cell r="AF113">
            <v>87.598198099999991</v>
          </cell>
          <cell r="AG113">
            <v>82.913655333333338</v>
          </cell>
          <cell r="CF113">
            <v>30.498708749999999</v>
          </cell>
          <cell r="CG113">
            <v>33.014992499999991</v>
          </cell>
          <cell r="CH113">
            <v>34.087901250000002</v>
          </cell>
          <cell r="CI113">
            <v>33.847338749999999</v>
          </cell>
          <cell r="CJ113">
            <v>36.859181249999992</v>
          </cell>
          <cell r="CK113">
            <v>33.991676249999998</v>
          </cell>
          <cell r="CL113">
            <v>34.819211249999995</v>
          </cell>
          <cell r="CM113">
            <v>35.131942500000001</v>
          </cell>
          <cell r="CN113">
            <v>37.38841875</v>
          </cell>
          <cell r="CO113">
            <v>38.759625</v>
          </cell>
          <cell r="CP113">
            <v>41.054591250000001</v>
          </cell>
          <cell r="CQ113">
            <v>41.319209999999998</v>
          </cell>
          <cell r="CR113">
            <v>42.618247500000003</v>
          </cell>
          <cell r="CS113">
            <v>45.076796250000001</v>
          </cell>
          <cell r="CT113">
            <v>50.268135000000001</v>
          </cell>
          <cell r="CU113">
            <v>48.844004999999996</v>
          </cell>
          <cell r="CV113">
            <v>50.277757499999993</v>
          </cell>
          <cell r="CW113">
            <v>54.112323749999987</v>
          </cell>
          <cell r="CX113">
            <v>54.242227499999998</v>
          </cell>
          <cell r="CY113">
            <v>47.674871250000002</v>
          </cell>
          <cell r="CZ113">
            <v>48.978719999999996</v>
          </cell>
          <cell r="DA113">
            <v>54.001664999999996</v>
          </cell>
          <cell r="DB113">
            <v>56.989451250000002</v>
          </cell>
          <cell r="DC113">
            <v>63.633787499999997</v>
          </cell>
          <cell r="DD113">
            <v>67.482787500000001</v>
          </cell>
          <cell r="DE113">
            <v>79.741852499999993</v>
          </cell>
          <cell r="DF113">
            <v>76.475013750000002</v>
          </cell>
          <cell r="DG113">
            <v>47.795152499999993</v>
          </cell>
          <cell r="DH113">
            <v>42.483532500000003</v>
          </cell>
          <cell r="DI113">
            <v>49.416543749999995</v>
          </cell>
          <cell r="DJ113">
            <v>53.967986249999996</v>
          </cell>
          <cell r="DK113">
            <v>57.133788749999994</v>
          </cell>
          <cell r="DL113">
            <v>57.922833749999995</v>
          </cell>
          <cell r="DM113">
            <v>58.9187625</v>
          </cell>
          <cell r="DN113">
            <v>57.995002499999998</v>
          </cell>
          <cell r="DO113">
            <v>62.796629999999993</v>
          </cell>
          <cell r="DP113">
            <v>71.60121749999999</v>
          </cell>
          <cell r="DQ113">
            <v>77.326605000000001</v>
          </cell>
          <cell r="DR113">
            <v>75.507952499999988</v>
          </cell>
          <cell r="DS113">
            <v>73.601093750000004</v>
          </cell>
          <cell r="DT113">
            <v>77.942444999999992</v>
          </cell>
          <cell r="DU113">
            <v>81.098624999999998</v>
          </cell>
          <cell r="DV113">
            <v>85.909875</v>
          </cell>
          <cell r="DW113">
            <v>88.315499999999986</v>
          </cell>
          <cell r="DX113">
            <v>92.175496233333334</v>
          </cell>
          <cell r="DY113">
            <v>90.732257333333337</v>
          </cell>
          <cell r="DZ113">
            <v>94.245966666666661</v>
          </cell>
          <cell r="EA113">
            <v>93.420958787878803</v>
          </cell>
          <cell r="EB113">
            <v>101.86033586666667</v>
          </cell>
          <cell r="EC113">
            <v>100.73129586666667</v>
          </cell>
          <cell r="ED113">
            <v>100.16677586666667</v>
          </cell>
          <cell r="EE113">
            <v>99.319995866666659</v>
          </cell>
        </row>
        <row r="115">
          <cell r="A115" t="str">
            <v>Ethylene acquisition costs (c/lb)</v>
          </cell>
          <cell r="V115">
            <v>36.583666666666666</v>
          </cell>
          <cell r="W115">
            <v>45.303416666666671</v>
          </cell>
          <cell r="X115">
            <v>55.174166666666665</v>
          </cell>
          <cell r="Y115">
            <v>66.477867884999995</v>
          </cell>
          <cell r="Z115">
            <v>70.988829452727288</v>
          </cell>
          <cell r="AA115">
            <v>69.257692680000005</v>
          </cell>
          <cell r="AB115">
            <v>66.789892680000008</v>
          </cell>
          <cell r="AC115">
            <v>65.144692680000006</v>
          </cell>
          <cell r="AD115">
            <v>64.116442680000006</v>
          </cell>
          <cell r="AE115">
            <v>60.129150545999998</v>
          </cell>
          <cell r="AF115">
            <v>56.594288412000004</v>
          </cell>
          <cell r="AG115">
            <v>56.224118412000003</v>
          </cell>
          <cell r="DK115">
            <v>36.583666666666666</v>
          </cell>
          <cell r="DL115">
            <v>52.552333333333337</v>
          </cell>
          <cell r="DM115">
            <v>46.323</v>
          </cell>
          <cell r="DN115">
            <v>36.510333333333335</v>
          </cell>
          <cell r="DO115">
            <v>45.828000000000003</v>
          </cell>
          <cell r="DP115">
            <v>49.39</v>
          </cell>
          <cell r="DQ115">
            <v>60.75</v>
          </cell>
          <cell r="DR115">
            <v>57.7</v>
          </cell>
          <cell r="DS115">
            <v>52.856666666666662</v>
          </cell>
          <cell r="DT115">
            <v>59.58</v>
          </cell>
          <cell r="DU115">
            <v>65.349657180000008</v>
          </cell>
          <cell r="DV115">
            <v>69.462657180000008</v>
          </cell>
          <cell r="DW115">
            <v>71.519157180000008</v>
          </cell>
          <cell r="DX115">
            <v>72.772251180000012</v>
          </cell>
          <cell r="DY115">
            <v>68.737398180000014</v>
          </cell>
          <cell r="DZ115">
            <v>71.553432179999987</v>
          </cell>
          <cell r="EA115">
            <v>70.892236270909109</v>
          </cell>
          <cell r="EB115">
            <v>70.234530180000007</v>
          </cell>
          <cell r="EC115">
            <v>69.411930180000013</v>
          </cell>
          <cell r="ED115">
            <v>69.000630180000002</v>
          </cell>
          <cell r="EE115">
            <v>68.383680179999999</v>
          </cell>
        </row>
        <row r="116">
          <cell r="A116" t="str">
            <v>Non-feedstock polyethylene costs (c/lb)</v>
          </cell>
          <cell r="V116">
            <v>14.538488843973589</v>
          </cell>
          <cell r="W116">
            <v>15.568609330902142</v>
          </cell>
          <cell r="X116">
            <v>15.079189856825977</v>
          </cell>
          <cell r="Y116">
            <v>14.891859749949575</v>
          </cell>
          <cell r="Z116">
            <v>15.145856775559579</v>
          </cell>
          <cell r="AA116">
            <v>15.163485144802969</v>
          </cell>
          <cell r="AB116">
            <v>15.173539785490384</v>
          </cell>
          <cell r="AC116">
            <v>15.24729203527157</v>
          </cell>
          <cell r="AD116">
            <v>15.375292749781677</v>
          </cell>
          <cell r="AE116">
            <v>15.522474147813847</v>
          </cell>
          <cell r="AF116">
            <v>15.7122530793159</v>
          </cell>
          <cell r="AG116">
            <v>15.903863234329437</v>
          </cell>
          <cell r="DK116">
            <v>16.605478304243839</v>
          </cell>
          <cell r="DL116">
            <v>14.838521172000668</v>
          </cell>
          <cell r="DM116">
            <v>14.299169262120131</v>
          </cell>
          <cell r="DN116">
            <v>18.524178226450822</v>
          </cell>
          <cell r="DO116">
            <v>14.612568663036903</v>
          </cell>
          <cell r="DP116">
            <v>15.000558076225047</v>
          </cell>
          <cell r="DQ116">
            <v>15.287533776971159</v>
          </cell>
          <cell r="DR116">
            <v>15.165930631175641</v>
          </cell>
          <cell r="DS116">
            <v>14.862736942932038</v>
          </cell>
          <cell r="DT116">
            <v>14.937527223230489</v>
          </cell>
          <cell r="DU116">
            <v>14.767619983867711</v>
          </cell>
          <cell r="DV116">
            <v>14.962758116555761</v>
          </cell>
          <cell r="DW116">
            <v>14.899533676144387</v>
          </cell>
          <cell r="DX116">
            <v>15.108107481347041</v>
          </cell>
          <cell r="DY116">
            <v>15.281226053639841</v>
          </cell>
          <cell r="DZ116">
            <v>15.161794716676745</v>
          </cell>
          <cell r="EA116">
            <v>15.032298850574698</v>
          </cell>
          <cell r="EB116">
            <v>15.163485144802959</v>
          </cell>
          <cell r="EC116">
            <v>15.163485144802959</v>
          </cell>
          <cell r="ED116">
            <v>15.163485144802959</v>
          </cell>
          <cell r="EE116">
            <v>15.163485144802959</v>
          </cell>
        </row>
        <row r="117">
          <cell r="A117" t="str">
            <v>Polyethylene cash costs (c/lb)</v>
          </cell>
          <cell r="V117">
            <v>51.122155510640255</v>
          </cell>
          <cell r="W117">
            <v>60.872025997568812</v>
          </cell>
          <cell r="X117">
            <v>70.253356523492641</v>
          </cell>
          <cell r="Y117">
            <v>81.36972763494957</v>
          </cell>
          <cell r="Z117">
            <v>86.134686228286867</v>
          </cell>
          <cell r="AA117">
            <v>84.421177824802982</v>
          </cell>
          <cell r="AB117">
            <v>81.963432465490399</v>
          </cell>
          <cell r="AC117">
            <v>80.391984715271576</v>
          </cell>
          <cell r="AD117">
            <v>79.491735429781684</v>
          </cell>
          <cell r="AE117">
            <v>75.651624693813844</v>
          </cell>
          <cell r="AF117">
            <v>72.306541491315897</v>
          </cell>
          <cell r="AG117">
            <v>72.127981646329445</v>
          </cell>
          <cell r="DK117">
            <v>53.189144970910505</v>
          </cell>
          <cell r="DL117">
            <v>67.390854505334005</v>
          </cell>
          <cell r="DM117">
            <v>60.622169262120131</v>
          </cell>
          <cell r="DN117">
            <v>55.034511559784157</v>
          </cell>
          <cell r="DO117">
            <v>60.440568663036906</v>
          </cell>
          <cell r="DP117">
            <v>64.390558076225048</v>
          </cell>
          <cell r="DQ117">
            <v>76.037533776971159</v>
          </cell>
          <cell r="DR117">
            <v>72.865930631175644</v>
          </cell>
          <cell r="DS117">
            <v>67.7194036095987</v>
          </cell>
          <cell r="DT117">
            <v>74.517527223230488</v>
          </cell>
          <cell r="DU117">
            <v>80.117277163867726</v>
          </cell>
          <cell r="DV117">
            <v>84.425415296555769</v>
          </cell>
          <cell r="DW117">
            <v>86.418690856144394</v>
          </cell>
          <cell r="DX117">
            <v>87.88035866134706</v>
          </cell>
          <cell r="DY117">
            <v>84.018624233639855</v>
          </cell>
          <cell r="DZ117">
            <v>86.715226896676739</v>
          </cell>
          <cell r="EA117">
            <v>85.924535121483814</v>
          </cell>
          <cell r="EB117">
            <v>85.398015324802969</v>
          </cell>
          <cell r="EC117">
            <v>84.575415324802975</v>
          </cell>
          <cell r="ED117">
            <v>84.164115324802964</v>
          </cell>
          <cell r="EE117">
            <v>83.547165324802961</v>
          </cell>
        </row>
        <row r="119">
          <cell r="A119" t="str">
            <v>Polyethylene margin (c/lb)</v>
          </cell>
          <cell r="V119">
            <v>-0.37169269814025085</v>
          </cell>
          <cell r="W119">
            <v>-1.4637188100688121</v>
          </cell>
          <cell r="X119">
            <v>4.2558606640073577</v>
          </cell>
          <cell r="Y119">
            <v>1.9468836150504245</v>
          </cell>
          <cell r="Z119">
            <v>6.50898352701617</v>
          </cell>
          <cell r="AA119">
            <v>16.098423041863683</v>
          </cell>
          <cell r="AB119">
            <v>18.480382976176273</v>
          </cell>
          <cell r="AC119">
            <v>20.951125301395081</v>
          </cell>
          <cell r="AD119">
            <v>19.28176889521832</v>
          </cell>
          <cell r="AE119">
            <v>15.633185481186146</v>
          </cell>
          <cell r="AF119">
            <v>15.291656608684093</v>
          </cell>
          <cell r="AG119">
            <v>10.785673687003893</v>
          </cell>
          <cell r="DK119">
            <v>3.944643779089489</v>
          </cell>
          <cell r="DL119">
            <v>-9.4680207553340097</v>
          </cell>
          <cell r="DM119">
            <v>-1.7034067621201316</v>
          </cell>
          <cell r="DN119">
            <v>2.9604909402158412</v>
          </cell>
          <cell r="DO119">
            <v>2.3560613369630872</v>
          </cell>
          <cell r="DP119">
            <v>7.210659423774942</v>
          </cell>
          <cell r="DQ119">
            <v>1.2890712230288415</v>
          </cell>
          <cell r="DR119">
            <v>2.6420218688243438</v>
          </cell>
          <cell r="DS119">
            <v>5.8816901404013038</v>
          </cell>
          <cell r="DT119">
            <v>3.4249177767695045</v>
          </cell>
          <cell r="DU119">
            <v>0.98134783613227228</v>
          </cell>
          <cell r="DV119">
            <v>1.4844597034442302</v>
          </cell>
          <cell r="DW119">
            <v>1.8968091438555916</v>
          </cell>
          <cell r="DX119">
            <v>4.2951375719862739</v>
          </cell>
          <cell r="DY119">
            <v>6.7136330996934817</v>
          </cell>
          <cell r="DZ119">
            <v>7.5307397699899212</v>
          </cell>
          <cell r="EA119">
            <v>7.496423666394989</v>
          </cell>
          <cell r="EB119">
            <v>16.462320541863704</v>
          </cell>
          <cell r="EC119">
            <v>16.155880541863695</v>
          </cell>
          <cell r="ED119">
            <v>16.002660541863705</v>
          </cell>
          <cell r="EE119">
            <v>15.772830541863698</v>
          </cell>
        </row>
        <row r="120">
          <cell r="A120" t="str">
            <v>Polyethylene margin ($/MT)</v>
          </cell>
          <cell r="V120">
            <v>-8.1921070670111291</v>
          </cell>
          <cell r="W120">
            <v>-32.260362573916616</v>
          </cell>
          <cell r="X120">
            <v>93.799169034722155</v>
          </cell>
          <cell r="Y120">
            <v>42.909314875711352</v>
          </cell>
          <cell r="Z120">
            <v>143.45799693543637</v>
          </cell>
          <cell r="AA120">
            <v>354.80924384267553</v>
          </cell>
          <cell r="AB120">
            <v>407.30764079492502</v>
          </cell>
          <cell r="AC120">
            <v>461.76280164274755</v>
          </cell>
          <cell r="AD120">
            <v>424.97018645061178</v>
          </cell>
          <cell r="AE120">
            <v>344.55540800534266</v>
          </cell>
          <cell r="AF120">
            <v>337.02811165539742</v>
          </cell>
          <cell r="AG120">
            <v>237.71624806156578</v>
          </cell>
          <cell r="DK120">
            <v>86.939948891132332</v>
          </cell>
          <cell r="DL120">
            <v>-208.67517744756157</v>
          </cell>
          <cell r="DM120">
            <v>-37.543085037127703</v>
          </cell>
          <cell r="DN120">
            <v>65.249220322357132</v>
          </cell>
          <cell r="DO120">
            <v>51.92759186666644</v>
          </cell>
          <cell r="DP120">
            <v>158.9229336999997</v>
          </cell>
          <cell r="DQ120">
            <v>28.411129755555663</v>
          </cell>
          <cell r="DR120">
            <v>58.230161988888533</v>
          </cell>
          <cell r="DS120">
            <v>129.63245069444474</v>
          </cell>
          <cell r="DT120">
            <v>75.485187799999878</v>
          </cell>
          <cell r="DU120">
            <v>21.62890630835528</v>
          </cell>
          <cell r="DV120">
            <v>32.71749186391083</v>
          </cell>
          <cell r="DW120">
            <v>41.805673530577238</v>
          </cell>
          <cell r="DX120">
            <v>94.664832086577476</v>
          </cell>
          <cell r="DY120">
            <v>147.96847351724432</v>
          </cell>
          <cell r="DZ120">
            <v>165.97750453057785</v>
          </cell>
          <cell r="EA120">
            <v>165.22117760734554</v>
          </cell>
          <cell r="EB120">
            <v>362.82954474267603</v>
          </cell>
          <cell r="EC120">
            <v>356.07560714267584</v>
          </cell>
          <cell r="ED120">
            <v>352.69863834267602</v>
          </cell>
          <cell r="EE120">
            <v>347.63318514267587</v>
          </cell>
        </row>
        <row r="122">
          <cell r="A122" t="str">
            <v>Integrated polyethylene margin (c/lb)</v>
          </cell>
          <cell r="V122">
            <v>4.9308761351930883</v>
          </cell>
          <cell r="W122">
            <v>15.811922739931198</v>
          </cell>
          <cell r="X122">
            <v>26.40638721400736</v>
          </cell>
          <cell r="Y122">
            <v>43.400703324922212</v>
          </cell>
          <cell r="Z122">
            <v>50.387892373682853</v>
          </cell>
          <cell r="AA122">
            <v>60.353089055197017</v>
          </cell>
          <cell r="AB122">
            <v>66.31126232284295</v>
          </cell>
          <cell r="AC122">
            <v>67.336804648061758</v>
          </cell>
          <cell r="AD122">
            <v>62.867448241884993</v>
          </cell>
          <cell r="AE122">
            <v>53.434822693852809</v>
          </cell>
          <cell r="AF122">
            <v>47.711681687350762</v>
          </cell>
          <cell r="AG122">
            <v>20.124528765670561</v>
          </cell>
          <cell r="DK122">
            <v>9.2472126124228282</v>
          </cell>
          <cell r="DL122">
            <v>9.8466604446659929</v>
          </cell>
          <cell r="DM122">
            <v>19.571305704546539</v>
          </cell>
          <cell r="DN122">
            <v>16.570778606882513</v>
          </cell>
          <cell r="DO122">
            <v>17.258946203629762</v>
          </cell>
          <cell r="DP122">
            <v>25.631589623774943</v>
          </cell>
          <cell r="DQ122">
            <v>29.075332123028844</v>
          </cell>
          <cell r="DR122">
            <v>28.609444368824349</v>
          </cell>
          <cell r="DS122">
            <v>22.309182740401305</v>
          </cell>
          <cell r="DT122">
            <v>35.88130507625668</v>
          </cell>
          <cell r="DU122">
            <v>40.592145016132278</v>
          </cell>
          <cell r="DV122">
            <v>47.580256883444235</v>
          </cell>
          <cell r="DW122">
            <v>49.549106323855597</v>
          </cell>
          <cell r="DX122">
            <v>49.523862085319621</v>
          </cell>
          <cell r="DY122">
            <v>48.888504613026825</v>
          </cell>
          <cell r="DZ122">
            <v>51.83697861665658</v>
          </cell>
          <cell r="EA122">
            <v>51.302224179728341</v>
          </cell>
          <cell r="EB122">
            <v>61.456324055197044</v>
          </cell>
          <cell r="EC122">
            <v>60.527284055197043</v>
          </cell>
          <cell r="ED122">
            <v>60.062764055197036</v>
          </cell>
          <cell r="EE122">
            <v>59.365984055197032</v>
          </cell>
        </row>
        <row r="123">
          <cell r="A123" t="str">
            <v>Integrated polyethylene margin ($/MT)</v>
          </cell>
          <cell r="V123">
            <v>108.67651001965567</v>
          </cell>
          <cell r="W123">
            <v>348.49477718808362</v>
          </cell>
          <cell r="X123">
            <v>581.99677419672219</v>
          </cell>
          <cell r="Y123">
            <v>956.55150128128548</v>
          </cell>
          <cell r="Z123">
            <v>1110.54914791597</v>
          </cell>
          <cell r="AA123">
            <v>1330.1820827765423</v>
          </cell>
          <cell r="AB123">
            <v>1461.5002215954585</v>
          </cell>
          <cell r="AC123">
            <v>1484.103174443281</v>
          </cell>
          <cell r="AD123">
            <v>1385.5985592511452</v>
          </cell>
          <cell r="AE123">
            <v>1177.7034921725158</v>
          </cell>
          <cell r="AF123">
            <v>1051.5654643892108</v>
          </cell>
          <cell r="AG123">
            <v>443.54461399537917</v>
          </cell>
          <cell r="DK123">
            <v>203.80856597779913</v>
          </cell>
          <cell r="DL123">
            <v>217.02039620043848</v>
          </cell>
          <cell r="DM123">
            <v>431.35157772820571</v>
          </cell>
          <cell r="DN123">
            <v>365.21996049569054</v>
          </cell>
          <cell r="DO123">
            <v>380.38717432799996</v>
          </cell>
          <cell r="DP123">
            <v>564.92023530799975</v>
          </cell>
          <cell r="DQ123">
            <v>640.82031999155572</v>
          </cell>
          <cell r="DR123">
            <v>630.5521538888886</v>
          </cell>
          <cell r="DS123">
            <v>491.69438759844473</v>
          </cell>
          <cell r="DT123">
            <v>790.82396388069719</v>
          </cell>
          <cell r="DU123">
            <v>894.65087615555535</v>
          </cell>
          <cell r="DV123">
            <v>1048.6688617111108</v>
          </cell>
          <cell r="DW123">
            <v>1092.0623033777772</v>
          </cell>
          <cell r="DX123">
            <v>1091.5059203604444</v>
          </cell>
          <cell r="DY123">
            <v>1077.5026416711112</v>
          </cell>
          <cell r="DZ123">
            <v>1142.487008711111</v>
          </cell>
          <cell r="EA123">
            <v>1130.7010209212126</v>
          </cell>
          <cell r="EB123">
            <v>1354.4973821765427</v>
          </cell>
          <cell r="EC123">
            <v>1334.0213405765428</v>
          </cell>
          <cell r="ED123">
            <v>1323.7833197765426</v>
          </cell>
          <cell r="EE123">
            <v>1308.4262885765424</v>
          </cell>
        </row>
        <row r="125">
          <cell r="A125" t="str">
            <v>Polypropylene price (c/lb)</v>
          </cell>
          <cell r="V125">
            <v>75</v>
          </cell>
          <cell r="W125">
            <v>85.75</v>
          </cell>
          <cell r="X125">
            <v>87.459166666666675</v>
          </cell>
          <cell r="DK125">
            <v>75</v>
          </cell>
          <cell r="DL125">
            <v>87.833333333333329</v>
          </cell>
          <cell r="DM125">
            <v>89.833333333333329</v>
          </cell>
          <cell r="DN125">
            <v>82.666666666666671</v>
          </cell>
          <cell r="DO125">
            <v>82.666666666666671</v>
          </cell>
          <cell r="DP125">
            <v>89.33</v>
          </cell>
          <cell r="DQ125">
            <v>99.67</v>
          </cell>
          <cell r="DR125">
            <v>90.17</v>
          </cell>
          <cell r="DS125">
            <v>70.666666666666671</v>
          </cell>
          <cell r="DT125">
            <v>81.166666666666671</v>
          </cell>
        </row>
        <row r="126">
          <cell r="A126" t="str">
            <v>Polypropylene price ($/MT)</v>
          </cell>
          <cell r="V126">
            <v>1653</v>
          </cell>
          <cell r="W126">
            <v>1889.9299999999998</v>
          </cell>
          <cell r="X126">
            <v>1927.6000333333334</v>
          </cell>
          <cell r="DK126">
            <v>1653</v>
          </cell>
          <cell r="DL126">
            <v>1935.8466666666666</v>
          </cell>
          <cell r="DM126">
            <v>1979.9266666666665</v>
          </cell>
          <cell r="DN126">
            <v>1821.9733333333334</v>
          </cell>
          <cell r="DO126">
            <v>1821.9733333333334</v>
          </cell>
          <cell r="DP126">
            <v>1968.8331999999998</v>
          </cell>
          <cell r="DQ126">
            <v>2196.7267999999999</v>
          </cell>
          <cell r="DR126">
            <v>1987.3468</v>
          </cell>
          <cell r="DS126">
            <v>1557.4933333333333</v>
          </cell>
          <cell r="DT126">
            <v>1788.9133333333334</v>
          </cell>
        </row>
        <row r="128">
          <cell r="A128" t="str">
            <v>Propylene price (average acquisition) (c/lb)</v>
          </cell>
          <cell r="V128">
            <v>50.166666666666664</v>
          </cell>
          <cell r="W128">
            <v>61.082499999999996</v>
          </cell>
          <cell r="X128">
            <v>75.498333333333335</v>
          </cell>
          <cell r="DK128">
            <v>50.166666666666664</v>
          </cell>
          <cell r="DL128">
            <v>63</v>
          </cell>
          <cell r="DM128">
            <v>64.833333333333329</v>
          </cell>
          <cell r="DN128">
            <v>57.666666666666664</v>
          </cell>
          <cell r="DO128">
            <v>58.83</v>
          </cell>
          <cell r="DP128">
            <v>75.83</v>
          </cell>
          <cell r="DQ128">
            <v>88.83</v>
          </cell>
          <cell r="DR128">
            <v>78</v>
          </cell>
          <cell r="DS128">
            <v>59.333333333333336</v>
          </cell>
          <cell r="DT128">
            <v>68.666666666666671</v>
          </cell>
        </row>
        <row r="129">
          <cell r="A129" t="str">
            <v>Non-feedstock acquisition costs (c/lb)</v>
          </cell>
          <cell r="V129">
            <v>18.902824767049399</v>
          </cell>
          <cell r="W129">
            <v>20.796443587416821</v>
          </cell>
          <cell r="X129">
            <v>10.43708862673927</v>
          </cell>
          <cell r="DK129">
            <v>18.902824767049399</v>
          </cell>
          <cell r="DL129">
            <v>19.981488203266785</v>
          </cell>
          <cell r="DM129">
            <v>21.616938898971569</v>
          </cell>
          <cell r="DN129">
            <v>21.088430127041747</v>
          </cell>
          <cell r="DO129">
            <v>20.49891712038718</v>
          </cell>
          <cell r="DP129">
            <v>10.410617059891107</v>
          </cell>
          <cell r="DQ129">
            <v>10.590000000000003</v>
          </cell>
          <cell r="DR129">
            <v>10.535245009074412</v>
          </cell>
          <cell r="DS129">
            <v>10.212492437991532</v>
          </cell>
          <cell r="DT129">
            <v>10.258771929824562</v>
          </cell>
        </row>
        <row r="131">
          <cell r="A131" t="str">
            <v>Polypropylene margin (c/lb)</v>
          </cell>
          <cell r="V131">
            <v>5.9305085662839359</v>
          </cell>
          <cell r="W131">
            <v>3.8710564125831821</v>
          </cell>
          <cell r="X131">
            <v>1.5237447065940715</v>
          </cell>
          <cell r="Y131">
            <v>1.9355716878402904</v>
          </cell>
          <cell r="Z131">
            <v>2.9513006654567455</v>
          </cell>
          <cell r="AA131">
            <v>4.4365925589836666</v>
          </cell>
          <cell r="AB131">
            <v>2.4841197822141563</v>
          </cell>
          <cell r="AC131">
            <v>2.4841197822141563</v>
          </cell>
          <cell r="AD131">
            <v>2.4841197822141563</v>
          </cell>
          <cell r="AE131">
            <v>2.4841197822141563</v>
          </cell>
          <cell r="AF131">
            <v>2.4841197822141563</v>
          </cell>
          <cell r="AG131">
            <v>2.4841197822141563</v>
          </cell>
          <cell r="DK131">
            <v>5.9305085662839359</v>
          </cell>
          <cell r="DL131">
            <v>4.8518451300665451</v>
          </cell>
          <cell r="DM131">
            <v>3.3830611010284328</v>
          </cell>
          <cell r="DN131">
            <v>3.9115698729582586</v>
          </cell>
          <cell r="DO131">
            <v>3.3377495462794924</v>
          </cell>
          <cell r="DP131">
            <v>3.089382940108893</v>
          </cell>
          <cell r="DQ131">
            <v>0.25</v>
          </cell>
          <cell r="DR131">
            <v>1.6347549909255898</v>
          </cell>
          <cell r="DS131">
            <v>1.1208408953418028</v>
          </cell>
          <cell r="DT131">
            <v>2.2412280701754388</v>
          </cell>
          <cell r="DU131">
            <v>0.86267392619479732</v>
          </cell>
          <cell r="DV131">
            <v>2.4022988505747125</v>
          </cell>
          <cell r="DW131">
            <v>2.2360859044162131</v>
          </cell>
          <cell r="DX131">
            <v>2.4827586206896552</v>
          </cell>
          <cell r="DY131">
            <v>2.2993042952208107</v>
          </cell>
          <cell r="DZ131">
            <v>3.5099818511796737</v>
          </cell>
          <cell r="EA131">
            <v>3.5131578947368425</v>
          </cell>
          <cell r="EB131">
            <v>4.4112220205686636</v>
          </cell>
          <cell r="EC131">
            <v>4.4066848154869938</v>
          </cell>
          <cell r="ED131">
            <v>4.4767090139140961</v>
          </cell>
          <cell r="EE131">
            <v>4.4517543859649127</v>
          </cell>
        </row>
        <row r="132">
          <cell r="A132" t="str">
            <v>Polypropylene margin ($/MT)</v>
          </cell>
          <cell r="V132">
            <v>130.70840880089793</v>
          </cell>
          <cell r="W132">
            <v>85.318083333333334</v>
          </cell>
          <cell r="X132">
            <v>33.583333333333336</v>
          </cell>
          <cell r="Y132">
            <v>42.66</v>
          </cell>
          <cell r="Z132">
            <v>65.046666666666667</v>
          </cell>
          <cell r="AA132">
            <v>97.782500000000013</v>
          </cell>
          <cell r="AB132">
            <v>54.75</v>
          </cell>
          <cell r="AC132">
            <v>54.75</v>
          </cell>
          <cell r="AD132">
            <v>54.75</v>
          </cell>
          <cell r="AE132">
            <v>54.75</v>
          </cell>
          <cell r="AF132">
            <v>54.75</v>
          </cell>
          <cell r="AG132">
            <v>54.75</v>
          </cell>
          <cell r="DK132">
            <v>130.70840880089793</v>
          </cell>
          <cell r="DL132">
            <v>106.93466666666664</v>
          </cell>
          <cell r="DM132">
            <v>74.562666666666658</v>
          </cell>
          <cell r="DN132">
            <v>86.211000000000013</v>
          </cell>
          <cell r="DO132">
            <v>73.564000000000007</v>
          </cell>
          <cell r="DP132">
            <v>68.09</v>
          </cell>
          <cell r="DQ132">
            <v>5.51</v>
          </cell>
          <cell r="DR132">
            <v>36.03</v>
          </cell>
          <cell r="DS132">
            <v>24.703333333333333</v>
          </cell>
          <cell r="DT132">
            <v>49.396666666666668</v>
          </cell>
          <cell r="DU132">
            <v>19.013333333333332</v>
          </cell>
          <cell r="DV132">
            <v>52.946666666666658</v>
          </cell>
          <cell r="DW132">
            <v>49.283333333333339</v>
          </cell>
          <cell r="DX132">
            <v>54.72</v>
          </cell>
          <cell r="DY132">
            <v>50.676666666666669</v>
          </cell>
          <cell r="DZ132">
            <v>77.36</v>
          </cell>
          <cell r="EA132">
            <v>77.430000000000007</v>
          </cell>
          <cell r="EB132">
            <v>97.223333333333343</v>
          </cell>
          <cell r="EC132">
            <v>97.123333333333335</v>
          </cell>
          <cell r="ED132">
            <v>98.666666666666671</v>
          </cell>
          <cell r="EE132">
            <v>98.116666666666674</v>
          </cell>
        </row>
        <row r="134">
          <cell r="A134" t="str">
            <v>Sensitivity ($mm/year)</v>
          </cell>
        </row>
        <row r="135">
          <cell r="A135" t="str">
            <v>Chemicals impact of 1c/lb change in ethylene margin</v>
          </cell>
          <cell r="W135">
            <v>95</v>
          </cell>
          <cell r="X135">
            <v>95.5</v>
          </cell>
          <cell r="Y135">
            <v>95.5</v>
          </cell>
          <cell r="Z135">
            <v>95.5</v>
          </cell>
          <cell r="AA135">
            <v>100.16666666666666</v>
          </cell>
          <cell r="AB135">
            <v>105.23753296741663</v>
          </cell>
          <cell r="AC135">
            <v>116.31953805325642</v>
          </cell>
          <cell r="AD135">
            <v>116.31953805325642</v>
          </cell>
          <cell r="AE135">
            <v>116.63822171915575</v>
          </cell>
          <cell r="AF135">
            <v>116.31953805325642</v>
          </cell>
          <cell r="AG135">
            <v>116.31953805325642</v>
          </cell>
          <cell r="DL135">
            <v>95</v>
          </cell>
          <cell r="DM135">
            <v>95</v>
          </cell>
          <cell r="DN135">
            <v>95</v>
          </cell>
          <cell r="DO135">
            <v>95</v>
          </cell>
          <cell r="DP135">
            <v>95</v>
          </cell>
          <cell r="DQ135">
            <v>95</v>
          </cell>
          <cell r="DR135">
            <v>95</v>
          </cell>
          <cell r="DS135">
            <v>95</v>
          </cell>
          <cell r="DT135">
            <v>95.5</v>
          </cell>
          <cell r="DU135">
            <v>95.5</v>
          </cell>
          <cell r="DV135">
            <v>95.5</v>
          </cell>
          <cell r="DW135">
            <v>95.5</v>
          </cell>
          <cell r="DX135">
            <v>95</v>
          </cell>
          <cell r="DY135">
            <v>95</v>
          </cell>
          <cell r="DZ135">
            <v>95</v>
          </cell>
          <cell r="EA135">
            <v>92.082399999999993</v>
          </cell>
          <cell r="EB135">
            <v>94.4148</v>
          </cell>
          <cell r="EC135">
            <v>86.831999999999994</v>
          </cell>
          <cell r="ED135">
            <v>102.78266086956521</v>
          </cell>
          <cell r="EE135">
            <v>104.05311199999998</v>
          </cell>
        </row>
        <row r="136">
          <cell r="A136" t="str">
            <v>Polymers impact of 1c/lb change in polyethylene</v>
          </cell>
          <cell r="W136">
            <v>60</v>
          </cell>
          <cell r="X136">
            <v>60</v>
          </cell>
          <cell r="Y136">
            <v>60</v>
          </cell>
          <cell r="Z136">
            <v>60</v>
          </cell>
          <cell r="AA136">
            <v>60</v>
          </cell>
          <cell r="AB136">
            <v>60</v>
          </cell>
          <cell r="AC136">
            <v>60</v>
          </cell>
          <cell r="AD136">
            <v>60</v>
          </cell>
          <cell r="AE136">
            <v>60</v>
          </cell>
          <cell r="AF136">
            <v>60</v>
          </cell>
          <cell r="AG136">
            <v>60</v>
          </cell>
          <cell r="DL136">
            <v>58</v>
          </cell>
          <cell r="DM136">
            <v>58</v>
          </cell>
          <cell r="DN136">
            <v>58</v>
          </cell>
          <cell r="DO136">
            <v>58</v>
          </cell>
          <cell r="DP136">
            <v>58</v>
          </cell>
          <cell r="DQ136">
            <v>58</v>
          </cell>
          <cell r="DR136">
            <v>58</v>
          </cell>
          <cell r="DS136">
            <v>58</v>
          </cell>
          <cell r="DT136">
            <v>58</v>
          </cell>
          <cell r="DU136">
            <v>58</v>
          </cell>
          <cell r="DV136">
            <v>58</v>
          </cell>
          <cell r="DW136">
            <v>58</v>
          </cell>
          <cell r="DX136">
            <v>58</v>
          </cell>
          <cell r="DY136">
            <v>58</v>
          </cell>
          <cell r="DZ136">
            <v>58</v>
          </cell>
          <cell r="EA136">
            <v>54.181599999999996</v>
          </cell>
          <cell r="EB136">
            <v>56.479199999999999</v>
          </cell>
          <cell r="EC136">
            <v>50.004000000000005</v>
          </cell>
          <cell r="ED136">
            <v>67.093560719214054</v>
          </cell>
          <cell r="EE136">
            <v>61.225207999999995</v>
          </cell>
        </row>
        <row r="137">
          <cell r="A137" t="str">
            <v>Polymers impact of 1c/lb change in polypropylene</v>
          </cell>
          <cell r="W137">
            <v>28</v>
          </cell>
          <cell r="X137">
            <v>28</v>
          </cell>
          <cell r="Y137">
            <v>28</v>
          </cell>
          <cell r="Z137">
            <v>28</v>
          </cell>
          <cell r="AA137">
            <v>28</v>
          </cell>
          <cell r="AB137">
            <v>28</v>
          </cell>
          <cell r="AC137">
            <v>28</v>
          </cell>
          <cell r="AD137">
            <v>28</v>
          </cell>
          <cell r="AE137">
            <v>28</v>
          </cell>
          <cell r="AF137">
            <v>28</v>
          </cell>
          <cell r="AG137">
            <v>28</v>
          </cell>
          <cell r="DL137">
            <v>28</v>
          </cell>
          <cell r="DM137">
            <v>28</v>
          </cell>
          <cell r="DN137">
            <v>28</v>
          </cell>
          <cell r="DO137">
            <v>28</v>
          </cell>
          <cell r="DP137">
            <v>28</v>
          </cell>
          <cell r="DQ137">
            <v>28</v>
          </cell>
          <cell r="DR137">
            <v>28</v>
          </cell>
          <cell r="DS137">
            <v>28</v>
          </cell>
          <cell r="DT137">
            <v>28</v>
          </cell>
          <cell r="DU137">
            <v>28</v>
          </cell>
          <cell r="DV137">
            <v>28</v>
          </cell>
          <cell r="DW137">
            <v>28</v>
          </cell>
          <cell r="DX137">
            <v>28</v>
          </cell>
          <cell r="DY137">
            <v>28</v>
          </cell>
          <cell r="DZ137">
            <v>28</v>
          </cell>
          <cell r="EA137">
            <v>28</v>
          </cell>
          <cell r="EB137">
            <v>28</v>
          </cell>
          <cell r="EC137">
            <v>28</v>
          </cell>
          <cell r="ED137">
            <v>28</v>
          </cell>
          <cell r="EE137">
            <v>28</v>
          </cell>
        </row>
        <row r="139">
          <cell r="A139" t="str">
            <v>Change in EBITDA ($mm)</v>
          </cell>
          <cell r="Y139">
            <v>1716.4570293052336</v>
          </cell>
          <cell r="Z139">
            <v>533.76241865511793</v>
          </cell>
          <cell r="AA139">
            <v>654.59288677071413</v>
          </cell>
          <cell r="AB139">
            <v>464.60022687439164</v>
          </cell>
          <cell r="AC139">
            <v>-19.860456881438523</v>
          </cell>
          <cell r="AD139">
            <v>-425.85609091972327</v>
          </cell>
          <cell r="AE139">
            <v>-893.55539370036252</v>
          </cell>
          <cell r="AF139">
            <v>-646.47836975880205</v>
          </cell>
          <cell r="AG139">
            <v>-2955.1500074294922</v>
          </cell>
          <cell r="DL139">
            <v>130.75338890567079</v>
          </cell>
          <cell r="DM139">
            <v>148.85615728166783</v>
          </cell>
          <cell r="DN139">
            <v>-110.70401091261958</v>
          </cell>
          <cell r="DO139">
            <v>17.918211966083774</v>
          </cell>
          <cell r="DP139">
            <v>152.20668268224421</v>
          </cell>
          <cell r="DQ139">
            <v>116.68789463341933</v>
          </cell>
          <cell r="DR139">
            <v>-13.886342699486017</v>
          </cell>
          <cell r="DS139">
            <v>-183.19554385622067</v>
          </cell>
          <cell r="DT139">
            <v>354.90937190143069</v>
          </cell>
          <cell r="DU139">
            <v>125.72989275013947</v>
          </cell>
          <cell r="DV139">
            <v>172.90187154668277</v>
          </cell>
          <cell r="DW139">
            <v>41.977013762855236</v>
          </cell>
          <cell r="DX139">
            <v>-21.057379611524141</v>
          </cell>
          <cell r="DY139">
            <v>-38.745003876527484</v>
          </cell>
          <cell r="DZ139">
            <v>70.94276377767666</v>
          </cell>
          <cell r="EA139">
            <v>-11.962983741067331</v>
          </cell>
          <cell r="EB139">
            <v>160.9291067341656</v>
          </cell>
          <cell r="EC139">
            <v>-17.377967675571618</v>
          </cell>
          <cell r="ED139">
            <v>-10.078910036533966</v>
          </cell>
          <cell r="EE139">
            <v>-15.839429946404312</v>
          </cell>
        </row>
        <row r="141">
          <cell r="A141" t="str">
            <v>Bear Case</v>
          </cell>
        </row>
        <row r="142">
          <cell r="A142" t="str">
            <v>Natural gas - dollars / mmbtu</v>
          </cell>
          <cell r="AA142">
            <v>6</v>
          </cell>
          <cell r="AB142">
            <v>6</v>
          </cell>
          <cell r="AC142">
            <v>6</v>
          </cell>
          <cell r="AD142">
            <v>6</v>
          </cell>
          <cell r="AE142">
            <v>6</v>
          </cell>
          <cell r="AF142">
            <v>6</v>
          </cell>
          <cell r="AG142">
            <v>6</v>
          </cell>
          <cell r="CV142">
            <v>7.8410000000000002</v>
          </cell>
          <cell r="CW142">
            <v>6.6459999999999999</v>
          </cell>
          <cell r="CX142">
            <v>6.1820000000000004</v>
          </cell>
          <cell r="CY142">
            <v>7.2510000000000003</v>
          </cell>
          <cell r="CZ142">
            <v>7.1840000000000002</v>
          </cell>
          <cell r="DA142">
            <v>7.6550000000000002</v>
          </cell>
          <cell r="DB142">
            <v>6.24</v>
          </cell>
          <cell r="DC142">
            <v>7.3920000000000003</v>
          </cell>
          <cell r="DD142">
            <v>8.74</v>
          </cell>
          <cell r="DE142">
            <v>11.465999999999999</v>
          </cell>
          <cell r="DF142">
            <v>8.9849999999999994</v>
          </cell>
          <cell r="DG142">
            <v>6.3970000000000002</v>
          </cell>
          <cell r="DH142">
            <v>4.22</v>
          </cell>
          <cell r="DI142">
            <v>3.44</v>
          </cell>
          <cell r="DJ142">
            <v>3.32</v>
          </cell>
          <cell r="DK142">
            <v>4.16</v>
          </cell>
          <cell r="DL142">
            <v>5.36</v>
          </cell>
          <cell r="DM142">
            <v>4.04</v>
          </cell>
          <cell r="DN142">
            <v>4.42</v>
          </cell>
          <cell r="DO142">
            <v>3.82</v>
          </cell>
          <cell r="DP142">
            <v>4.1900000000000004</v>
          </cell>
          <cell r="DQ142">
            <v>4.43</v>
          </cell>
          <cell r="DR142">
            <v>4.3</v>
          </cell>
          <cell r="DS142">
            <v>3.6433333333333331</v>
          </cell>
          <cell r="DT142">
            <v>2.86</v>
          </cell>
        </row>
        <row r="143">
          <cell r="A143" t="str">
            <v>Ethane price (c/gal)</v>
          </cell>
          <cell r="W143">
            <v>54.660366666666661</v>
          </cell>
          <cell r="X143">
            <v>68.037249999999986</v>
          </cell>
          <cell r="Y143">
            <v>64.142071153846146</v>
          </cell>
          <cell r="Z143">
            <v>88.5</v>
          </cell>
          <cell r="AA143">
            <v>80</v>
          </cell>
          <cell r="AB143">
            <v>70</v>
          </cell>
          <cell r="AC143">
            <v>63</v>
          </cell>
          <cell r="AD143">
            <v>63</v>
          </cell>
          <cell r="AE143">
            <v>63</v>
          </cell>
          <cell r="AF143">
            <v>63</v>
          </cell>
          <cell r="AG143">
            <v>63</v>
          </cell>
          <cell r="CF143">
            <v>21.527666666666661</v>
          </cell>
          <cell r="CG143">
            <v>26.242999999999995</v>
          </cell>
          <cell r="CH143">
            <v>25.745666666666658</v>
          </cell>
          <cell r="CI143">
            <v>30.95366666666666</v>
          </cell>
          <cell r="CJ143">
            <v>42.932666666666663</v>
          </cell>
          <cell r="CK143">
            <v>39.672666666666657</v>
          </cell>
          <cell r="CL143">
            <v>36.54666666666666</v>
          </cell>
          <cell r="CM143">
            <v>40.289999999999992</v>
          </cell>
          <cell r="CN143">
            <v>42.959333333333319</v>
          </cell>
          <cell r="CO143">
            <v>45.330333333333321</v>
          </cell>
          <cell r="CP143">
            <v>52.273999999999994</v>
          </cell>
          <cell r="CQ143">
            <v>60.266333333333321</v>
          </cell>
          <cell r="CR143">
            <v>52.185999999999993</v>
          </cell>
          <cell r="CS143">
            <v>52.343333333333327</v>
          </cell>
          <cell r="CT143">
            <v>68.750999999999976</v>
          </cell>
          <cell r="CU143">
            <v>76.210333333333324</v>
          </cell>
          <cell r="CV143">
            <v>56.999333333333325</v>
          </cell>
          <cell r="CW143">
            <v>67.757999999999981</v>
          </cell>
          <cell r="CX143">
            <v>75.778999999999996</v>
          </cell>
          <cell r="CY143">
            <v>61.740666666666648</v>
          </cell>
          <cell r="CZ143">
            <v>58.991666666666653</v>
          </cell>
          <cell r="DA143">
            <v>72.284666666666652</v>
          </cell>
          <cell r="DB143">
            <v>81.85566666666665</v>
          </cell>
          <cell r="DC143">
            <v>104.39399999999999</v>
          </cell>
          <cell r="DD143">
            <v>98.555924999999988</v>
          </cell>
          <cell r="DE143">
            <v>104.40359999999997</v>
          </cell>
          <cell r="DF143">
            <v>107.95137499999998</v>
          </cell>
          <cell r="DG143">
            <v>37.59569166666666</v>
          </cell>
          <cell r="DH143">
            <v>32.864333333333335</v>
          </cell>
          <cell r="DI143">
            <v>39.148599999999995</v>
          </cell>
          <cell r="DJ143">
            <v>42.267641666666655</v>
          </cell>
          <cell r="DK143">
            <v>62.601108333333329</v>
          </cell>
          <cell r="DL143">
            <v>69.320208333333312</v>
          </cell>
          <cell r="DM143">
            <v>48.321574999999982</v>
          </cell>
          <cell r="DN143">
            <v>42.418183333333332</v>
          </cell>
          <cell r="DO143">
            <v>58.581499999999991</v>
          </cell>
          <cell r="DP143">
            <v>60.541999999999987</v>
          </cell>
          <cell r="DQ143">
            <v>70.831249999999983</v>
          </cell>
          <cell r="DR143">
            <v>69.268499999999989</v>
          </cell>
          <cell r="DS143">
            <v>71.507249999999985</v>
          </cell>
          <cell r="DT143">
            <v>48.568284615384599</v>
          </cell>
          <cell r="DU143">
            <v>55</v>
          </cell>
          <cell r="DV143">
            <v>73</v>
          </cell>
          <cell r="DW143">
            <v>80</v>
          </cell>
          <cell r="DX143">
            <v>90</v>
          </cell>
          <cell r="DY143">
            <v>90</v>
          </cell>
          <cell r="DZ143">
            <v>88</v>
          </cell>
          <cell r="EA143">
            <v>86</v>
          </cell>
          <cell r="EB143">
            <v>80</v>
          </cell>
          <cell r="EC143">
            <v>80</v>
          </cell>
          <cell r="ED143">
            <v>80</v>
          </cell>
          <cell r="EE143">
            <v>80</v>
          </cell>
        </row>
        <row r="144">
          <cell r="A144" t="str">
            <v>Brent crude price (US$/bbl)</v>
          </cell>
          <cell r="T144">
            <v>72.627499999999998</v>
          </cell>
          <cell r="U144">
            <v>97.512499999999989</v>
          </cell>
          <cell r="V144">
            <v>61.922499999999999</v>
          </cell>
          <cell r="W144">
            <v>79.917500000000004</v>
          </cell>
          <cell r="X144">
            <v>111.30416666666667</v>
          </cell>
          <cell r="Y144">
            <v>92.733333333333334</v>
          </cell>
          <cell r="Z144">
            <v>78.710606060606096</v>
          </cell>
          <cell r="AA144">
            <v>74.501666666666722</v>
          </cell>
          <cell r="AB144">
            <v>68.501666666666722</v>
          </cell>
          <cell r="AC144">
            <v>64.501666666666722</v>
          </cell>
          <cell r="AD144">
            <v>62.001666666666722</v>
          </cell>
          <cell r="AE144">
            <v>60.001666666666722</v>
          </cell>
          <cell r="AF144">
            <v>59.001666666666722</v>
          </cell>
          <cell r="AG144">
            <v>58.001666666666722</v>
          </cell>
          <cell r="CF144">
            <v>19.829999999999998</v>
          </cell>
          <cell r="CG144">
            <v>25.06</v>
          </cell>
          <cell r="CH144">
            <v>27.29</v>
          </cell>
          <cell r="CI144">
            <v>26.79</v>
          </cell>
          <cell r="CJ144">
            <v>33.049999999999997</v>
          </cell>
          <cell r="CK144">
            <v>27.09</v>
          </cell>
          <cell r="CL144">
            <v>28.81</v>
          </cell>
          <cell r="CM144">
            <v>29.46</v>
          </cell>
          <cell r="CN144">
            <v>34.15</v>
          </cell>
          <cell r="CO144">
            <v>37</v>
          </cell>
          <cell r="CP144">
            <v>41.77</v>
          </cell>
          <cell r="CQ144">
            <v>42.32</v>
          </cell>
          <cell r="CR144">
            <v>45.02</v>
          </cell>
          <cell r="CS144">
            <v>50.13</v>
          </cell>
          <cell r="CT144">
            <v>60.92</v>
          </cell>
          <cell r="CU144">
            <v>57.96</v>
          </cell>
          <cell r="CV144">
            <v>60.94</v>
          </cell>
          <cell r="CW144">
            <v>68.91</v>
          </cell>
          <cell r="CX144">
            <v>69.180000000000007</v>
          </cell>
          <cell r="CY144">
            <v>55.53</v>
          </cell>
          <cell r="CZ144">
            <v>58.24</v>
          </cell>
          <cell r="DA144">
            <v>68.680000000000007</v>
          </cell>
          <cell r="DB144">
            <v>74.89</v>
          </cell>
          <cell r="DC144">
            <v>88.7</v>
          </cell>
          <cell r="DD144">
            <v>96.7</v>
          </cell>
          <cell r="DE144">
            <v>122.18</v>
          </cell>
          <cell r="DF144">
            <v>115.39</v>
          </cell>
          <cell r="DG144">
            <v>55.78</v>
          </cell>
          <cell r="DH144">
            <v>44.74</v>
          </cell>
          <cell r="DI144">
            <v>59.15</v>
          </cell>
          <cell r="DJ144">
            <v>68.61</v>
          </cell>
          <cell r="DK144">
            <v>75.19</v>
          </cell>
          <cell r="DL144">
            <v>76.83</v>
          </cell>
          <cell r="DM144">
            <v>78.900000000000006</v>
          </cell>
          <cell r="DN144">
            <v>76.98</v>
          </cell>
          <cell r="DO144">
            <v>86.96</v>
          </cell>
          <cell r="DP144">
            <v>105.26</v>
          </cell>
          <cell r="DQ144">
            <v>117.16</v>
          </cell>
          <cell r="DR144">
            <v>113.38</v>
          </cell>
          <cell r="DS144">
            <v>109.41666666666667</v>
          </cell>
          <cell r="DT144">
            <v>118.44</v>
          </cell>
          <cell r="DU144">
            <v>93.74666666666667</v>
          </cell>
          <cell r="DV144">
            <v>78.74666666666667</v>
          </cell>
          <cell r="DW144">
            <v>80</v>
          </cell>
          <cell r="DX144">
            <v>83.046666666666681</v>
          </cell>
          <cell r="DY144">
            <v>73.236666666666693</v>
          </cell>
          <cell r="DZ144">
            <v>80.083333333333357</v>
          </cell>
          <cell r="EA144">
            <v>78.47575757575764</v>
          </cell>
          <cell r="EB144">
            <v>76.876666666666708</v>
          </cell>
          <cell r="EC144">
            <v>74.876666666666722</v>
          </cell>
          <cell r="ED144">
            <v>73.876666666666722</v>
          </cell>
          <cell r="EE144">
            <v>72.376666666666722</v>
          </cell>
        </row>
        <row r="145">
          <cell r="A145" t="str">
            <v>Ethane discount to crude</v>
          </cell>
          <cell r="W145">
            <v>0.1556322023595913</v>
          </cell>
          <cell r="X145">
            <v>0.29304892346728906</v>
          </cell>
          <cell r="Y145">
            <v>0.1427288128402453</v>
          </cell>
          <cell r="Z145">
            <v>-0.2970243663870058</v>
          </cell>
          <cell r="AA145">
            <v>-0.26391784773325999</v>
          </cell>
          <cell r="AB145">
            <v>-0.22651234928422115</v>
          </cell>
          <cell r="AC145">
            <v>-0.19075379159870776</v>
          </cell>
          <cell r="AD145">
            <v>-0.22211911323385769</v>
          </cell>
          <cell r="AE145">
            <v>-0.24721137054197762</v>
          </cell>
          <cell r="AF145">
            <v>-0.25975749919603763</v>
          </cell>
          <cell r="AG145">
            <v>-0.27230362785009754</v>
          </cell>
          <cell r="CF145">
            <v>-0.27192513202093838</v>
          </cell>
          <cell r="CG145">
            <v>-0.24522436472747777</v>
          </cell>
          <cell r="CH145">
            <v>-0.16218201337186744</v>
          </cell>
          <cell r="CI145">
            <v>-0.31591369169631611</v>
          </cell>
          <cell r="CJ145">
            <v>-0.39153740484205579</v>
          </cell>
          <cell r="CK145">
            <v>-0.46028076282517272</v>
          </cell>
          <cell r="CL145">
            <v>-0.3769171864927453</v>
          </cell>
          <cell r="CM145">
            <v>-0.42205599753382406</v>
          </cell>
          <cell r="CN145">
            <v>-0.37167627152553584</v>
          </cell>
          <cell r="CO145">
            <v>-0.35484644073621496</v>
          </cell>
          <cell r="CP145">
            <v>-0.36841904169481277</v>
          </cell>
          <cell r="CQ145">
            <v>-0.44496397039294677</v>
          </cell>
          <cell r="CR145">
            <v>-0.3181297118697709</v>
          </cell>
          <cell r="CS145">
            <v>-0.24301614874930277</v>
          </cell>
          <cell r="CT145">
            <v>-0.29962415195217496</v>
          </cell>
          <cell r="CU145">
            <v>-0.39887498382467501</v>
          </cell>
          <cell r="CV145">
            <v>-0.15494892248026082</v>
          </cell>
          <cell r="CW145">
            <v>-0.19615566118052197</v>
          </cell>
          <cell r="CX145">
            <v>-0.27842417611560277</v>
          </cell>
          <cell r="CY145">
            <v>-0.28910305975407558</v>
          </cell>
          <cell r="CZ145">
            <v>-0.21966518038393235</v>
          </cell>
          <cell r="DA145">
            <v>-0.24900959209145979</v>
          </cell>
          <cell r="DB145">
            <v>-0.27685503485166085</v>
          </cell>
          <cell r="DC145">
            <v>-0.32841905155705764</v>
          </cell>
          <cell r="DD145">
            <v>-0.22447817953716376</v>
          </cell>
          <cell r="DE145">
            <v>-7.5014482890992218E-2</v>
          </cell>
          <cell r="DF145">
            <v>-0.15512923777307375</v>
          </cell>
          <cell r="DG145">
            <v>0.17271023869654334</v>
          </cell>
          <cell r="DH145">
            <v>7.6022713993078028E-2</v>
          </cell>
          <cell r="DI145">
            <v>0.19423226176470654</v>
          </cell>
          <cell r="DJ145">
            <v>0.28300895767590006</v>
          </cell>
          <cell r="DK145">
            <v>-5.0645641384318485E-2</v>
          </cell>
          <cell r="DL145">
            <v>-0.12396539879181534</v>
          </cell>
          <cell r="DM145">
            <v>0.29058379617667507</v>
          </cell>
          <cell r="DN145">
            <v>0.43441932674487793</v>
          </cell>
          <cell r="DO145">
            <v>0.17330069917455937</v>
          </cell>
          <cell r="DP145">
            <v>0.37422197208483743</v>
          </cell>
          <cell r="DQ145">
            <v>0.30738874841131536</v>
          </cell>
          <cell r="DR145">
            <v>0.29375176607305109</v>
          </cell>
          <cell r="DS145">
            <v>0.20943822262216649</v>
          </cell>
          <cell r="DT145">
            <v>0.92750680494320892</v>
          </cell>
          <cell r="DU145">
            <v>0.34723523047317029</v>
          </cell>
          <cell r="DV145">
            <v>-0.14737197126112778</v>
          </cell>
          <cell r="DW145">
            <v>-0.20959389479422175</v>
          </cell>
          <cell r="DX145">
            <v>-0.27066008499641636</v>
          </cell>
          <cell r="DY145">
            <v>-0.35681435046384613</v>
          </cell>
          <cell r="DZ145">
            <v>-0.28070050463754459</v>
          </cell>
          <cell r="EA145">
            <v>-0.27874746629619251</v>
          </cell>
          <cell r="EB145">
            <v>-0.24045266648496366</v>
          </cell>
          <cell r="EC145">
            <v>-0.26021281911510796</v>
          </cell>
          <cell r="ED145">
            <v>-0.27009289543018022</v>
          </cell>
          <cell r="EE145">
            <v>-0.28491300990278856</v>
          </cell>
        </row>
        <row r="147">
          <cell r="A147" t="str">
            <v>Ethylene cash costs (purity ethane) (c/lb)</v>
          </cell>
          <cell r="V147">
            <v>28.736372291666658</v>
          </cell>
          <cell r="W147">
            <v>24.490135562499994</v>
          </cell>
          <cell r="X147">
            <v>29.144758479166661</v>
          </cell>
          <cell r="Y147">
            <v>29.27996230224359</v>
          </cell>
          <cell r="Z147">
            <v>40.280249999999995</v>
          </cell>
          <cell r="AA147">
            <v>36.697499999999998</v>
          </cell>
          <cell r="AB147">
            <v>32.482500000000002</v>
          </cell>
          <cell r="AC147">
            <v>29.531999999999996</v>
          </cell>
          <cell r="AD147">
            <v>29.531999999999996</v>
          </cell>
          <cell r="AE147">
            <v>29.531999999999996</v>
          </cell>
          <cell r="AF147">
            <v>29.531999999999996</v>
          </cell>
          <cell r="AG147">
            <v>29.531999999999996</v>
          </cell>
          <cell r="DK147">
            <v>28.736372291666658</v>
          </cell>
          <cell r="DL147">
            <v>31.234398499999998</v>
          </cell>
          <cell r="DM147">
            <v>21.722442749999995</v>
          </cell>
          <cell r="DN147">
            <v>19.302473749999997</v>
          </cell>
          <cell r="DO147">
            <v>25.701227249999995</v>
          </cell>
          <cell r="DP147">
            <v>26.321337249999996</v>
          </cell>
          <cell r="DQ147">
            <v>29.884673874999997</v>
          </cell>
          <cell r="DR147">
            <v>29.133221874999993</v>
          </cell>
          <cell r="DS147">
            <v>31.23980091666666</v>
          </cell>
          <cell r="DT147">
            <v>20.515349208974357</v>
          </cell>
          <cell r="DU147">
            <v>26.159999999999997</v>
          </cell>
          <cell r="DV147">
            <v>33.747</v>
          </cell>
          <cell r="DW147">
            <v>36.697499999999998</v>
          </cell>
          <cell r="DX147">
            <v>40.912500000000001</v>
          </cell>
          <cell r="DY147">
            <v>40.912500000000001</v>
          </cell>
          <cell r="DZ147">
            <v>40.069499999999998</v>
          </cell>
          <cell r="EA147">
            <v>39.226499999999994</v>
          </cell>
          <cell r="EB147">
            <v>36.697499999999998</v>
          </cell>
          <cell r="EC147">
            <v>36.697499999999998</v>
          </cell>
          <cell r="ED147">
            <v>36.697499999999998</v>
          </cell>
          <cell r="EE147">
            <v>36.697499999999998</v>
          </cell>
        </row>
        <row r="148">
          <cell r="A148" t="str">
            <v>Ethylene cash costs (naphtha) (c/lb)</v>
          </cell>
          <cell r="V148">
            <v>41.46</v>
          </cell>
          <cell r="W148">
            <v>42.178333333333327</v>
          </cell>
          <cell r="X148">
            <v>48.539166666666667</v>
          </cell>
          <cell r="Y148">
            <v>47.729058333333342</v>
          </cell>
          <cell r="Z148">
            <v>43.059603030303045</v>
          </cell>
          <cell r="AA148">
            <v>40.955133333333364</v>
          </cell>
          <cell r="AB148">
            <v>37.955133333333364</v>
          </cell>
          <cell r="AC148">
            <v>35.955133333333364</v>
          </cell>
          <cell r="AD148">
            <v>34.705133333333364</v>
          </cell>
          <cell r="AE148">
            <v>33.705133333333364</v>
          </cell>
          <cell r="AF148">
            <v>33.205133333333364</v>
          </cell>
          <cell r="AG148">
            <v>32.705133333333364</v>
          </cell>
          <cell r="DK148">
            <v>41.46</v>
          </cell>
          <cell r="DL148">
            <v>41.250666666666667</v>
          </cell>
          <cell r="DM148">
            <v>38.351666666666667</v>
          </cell>
          <cell r="DN148">
            <v>37.290333333333329</v>
          </cell>
          <cell r="DO148">
            <v>51.820666666666661</v>
          </cell>
          <cell r="DP148">
            <v>49.56</v>
          </cell>
          <cell r="DQ148">
            <v>45.28</v>
          </cell>
          <cell r="DR148">
            <v>42.13</v>
          </cell>
          <cell r="DS148">
            <v>57.186666666666667</v>
          </cell>
          <cell r="DT148">
            <v>53.556666666666672</v>
          </cell>
          <cell r="DU148">
            <v>50.577633333333338</v>
          </cell>
          <cell r="DV148">
            <v>43.077633333333338</v>
          </cell>
          <cell r="DW148">
            <v>43.704300000000003</v>
          </cell>
          <cell r="DX148">
            <v>45.227633333333344</v>
          </cell>
          <cell r="DY148">
            <v>40.322633333333343</v>
          </cell>
          <cell r="DZ148">
            <v>43.745966666666675</v>
          </cell>
          <cell r="EA148">
            <v>42.942178787878817</v>
          </cell>
          <cell r="EB148">
            <v>42.14263333333335</v>
          </cell>
          <cell r="EC148">
            <v>41.142633333333364</v>
          </cell>
          <cell r="ED148">
            <v>40.642633333333364</v>
          </cell>
          <cell r="EE148">
            <v>39.892633333333364</v>
          </cell>
        </row>
        <row r="150">
          <cell r="A150" t="str">
            <v>Ethylene cash costs (LYB) (c/lb)</v>
          </cell>
          <cell r="V150">
            <v>31.281097833333327</v>
          </cell>
          <cell r="W150">
            <v>28.02777511666666</v>
          </cell>
          <cell r="X150">
            <v>33.023640116666662</v>
          </cell>
          <cell r="Y150">
            <v>32.765563591794873</v>
          </cell>
          <cell r="Z150">
            <v>40.697152954545459</v>
          </cell>
          <cell r="AA150">
            <v>37.336145000000002</v>
          </cell>
          <cell r="AB150">
            <v>33.029763333333342</v>
          </cell>
          <cell r="AC150">
            <v>30.174313333333334</v>
          </cell>
          <cell r="AD150">
            <v>30.049313333333334</v>
          </cell>
          <cell r="AE150">
            <v>29.949313333333336</v>
          </cell>
          <cell r="AF150">
            <v>29.899313333333335</v>
          </cell>
          <cell r="AG150">
            <v>29.849313333333335</v>
          </cell>
          <cell r="DK150">
            <v>31.281097833333327</v>
          </cell>
          <cell r="DL150">
            <v>33.237652133333334</v>
          </cell>
          <cell r="DM150">
            <v>25.04828753333333</v>
          </cell>
          <cell r="DN150">
            <v>22.900045666666664</v>
          </cell>
          <cell r="DO150">
            <v>30.925115133333328</v>
          </cell>
          <cell r="DP150">
            <v>30.9690698</v>
          </cell>
          <cell r="DQ150">
            <v>32.963739099999998</v>
          </cell>
          <cell r="DR150">
            <v>31.732577499999998</v>
          </cell>
          <cell r="DS150">
            <v>36.429174066666661</v>
          </cell>
          <cell r="DT150">
            <v>27.123612700512822</v>
          </cell>
          <cell r="DU150">
            <v>31.043526666666665</v>
          </cell>
          <cell r="DV150">
            <v>35.146595000000005</v>
          </cell>
          <cell r="DW150">
            <v>37.748519999999999</v>
          </cell>
          <cell r="DX150">
            <v>41.55977</v>
          </cell>
          <cell r="DY150">
            <v>40.824019999999997</v>
          </cell>
          <cell r="DZ150">
            <v>40.62097</v>
          </cell>
          <cell r="EA150">
            <v>39.783851818181816</v>
          </cell>
          <cell r="EB150">
            <v>37.514269999999996</v>
          </cell>
          <cell r="EC150">
            <v>37.364270000000005</v>
          </cell>
          <cell r="ED150">
            <v>37.289270000000002</v>
          </cell>
          <cell r="EE150">
            <v>37.176770000000005</v>
          </cell>
        </row>
        <row r="151">
          <cell r="A151" t="str">
            <v>Ethylene price (average acquisition, delivered GC) (c/lb)</v>
          </cell>
          <cell r="V151">
            <v>36.583666666666666</v>
          </cell>
          <cell r="W151">
            <v>45.303416666666671</v>
          </cell>
          <cell r="X151">
            <v>55.174166666666665</v>
          </cell>
          <cell r="Y151">
            <v>51.511568105881032</v>
          </cell>
          <cell r="Z151">
            <v>46.427717374288363</v>
          </cell>
          <cell r="AA151">
            <v>44.090616888929375</v>
          </cell>
          <cell r="AB151">
            <v>40.955133333333364</v>
          </cell>
          <cell r="AC151">
            <v>38.955133333333364</v>
          </cell>
          <cell r="AD151">
            <v>37.705133333333364</v>
          </cell>
          <cell r="AE151">
            <v>36.705133333333364</v>
          </cell>
          <cell r="AF151">
            <v>36.205133333333364</v>
          </cell>
          <cell r="AG151">
            <v>35.705133333333364</v>
          </cell>
          <cell r="DK151">
            <v>36.583666666666666</v>
          </cell>
          <cell r="DL151">
            <v>52.552333333333337</v>
          </cell>
          <cell r="DM151">
            <v>46.323</v>
          </cell>
          <cell r="DN151">
            <v>36.510333333333335</v>
          </cell>
          <cell r="DO151">
            <v>45.828000000000003</v>
          </cell>
          <cell r="DP151">
            <v>49.39</v>
          </cell>
          <cell r="DQ151">
            <v>60.75</v>
          </cell>
          <cell r="DR151">
            <v>57.7</v>
          </cell>
          <cell r="DS151">
            <v>52.856666666666662</v>
          </cell>
          <cell r="DT151">
            <v>59.58</v>
          </cell>
          <cell r="DU151">
            <v>53.577633333333338</v>
          </cell>
          <cell r="DV151">
            <v>46.077633333333338</v>
          </cell>
          <cell r="DW151">
            <v>46.81100575685744</v>
          </cell>
          <cell r="DX151">
            <v>48.593724892764435</v>
          </cell>
          <cell r="DY151">
            <v>43.322633333333343</v>
          </cell>
          <cell r="DZ151">
            <v>47.37273068286985</v>
          </cell>
          <cell r="EA151">
            <v>46.421780588185833</v>
          </cell>
          <cell r="EB151">
            <v>45.475849645745164</v>
          </cell>
          <cell r="EC151">
            <v>44.292763759804615</v>
          </cell>
          <cell r="ED151">
            <v>43.701220816834336</v>
          </cell>
          <cell r="EE151">
            <v>42.892633333333364</v>
          </cell>
        </row>
        <row r="152">
          <cell r="A152" t="str">
            <v>Ethylene margin (c/lb)</v>
          </cell>
          <cell r="V152">
            <v>5.3025688333333392</v>
          </cell>
          <cell r="W152">
            <v>17.27564155000001</v>
          </cell>
          <cell r="X152">
            <v>22.150526550000002</v>
          </cell>
          <cell r="Y152">
            <v>18.74600451408616</v>
          </cell>
          <cell r="Z152">
            <v>5.7305644197429046</v>
          </cell>
          <cell r="AA152">
            <v>6.7544718889293733</v>
          </cell>
          <cell r="AB152">
            <v>7.9253700000000222</v>
          </cell>
          <cell r="AC152">
            <v>8.7808200000000305</v>
          </cell>
          <cell r="AD152">
            <v>7.6558200000000305</v>
          </cell>
          <cell r="AE152">
            <v>6.7558200000000284</v>
          </cell>
          <cell r="AF152">
            <v>6.3058200000000291</v>
          </cell>
          <cell r="AG152">
            <v>5.8558200000000298</v>
          </cell>
          <cell r="DK152">
            <v>5.3025688333333392</v>
          </cell>
          <cell r="DL152">
            <v>19.314681200000003</v>
          </cell>
          <cell r="DM152">
            <v>21.274712466666671</v>
          </cell>
          <cell r="DN152">
            <v>13.610287666666672</v>
          </cell>
          <cell r="DO152">
            <v>14.902884866666675</v>
          </cell>
          <cell r="DP152">
            <v>18.420930200000001</v>
          </cell>
          <cell r="DQ152">
            <v>27.786260900000002</v>
          </cell>
          <cell r="DR152">
            <v>25.967422500000005</v>
          </cell>
          <cell r="DS152">
            <v>16.427492600000001</v>
          </cell>
          <cell r="DT152">
            <v>32.456387299487176</v>
          </cell>
          <cell r="DU152">
            <v>22.534106666666673</v>
          </cell>
          <cell r="DV152">
            <v>10.931038333333333</v>
          </cell>
          <cell r="DW152">
            <v>9.0624857568574413</v>
          </cell>
          <cell r="DX152">
            <v>7.0339548927644344</v>
          </cell>
          <cell r="DY152">
            <v>2.4986133333333456</v>
          </cell>
          <cell r="DZ152">
            <v>6.7517606828698504</v>
          </cell>
          <cell r="EA152">
            <v>6.6379287700040166</v>
          </cell>
          <cell r="EB152">
            <v>7.961579645745168</v>
          </cell>
          <cell r="EC152">
            <v>6.9284937598046099</v>
          </cell>
          <cell r="ED152">
            <v>6.4119508168343344</v>
          </cell>
          <cell r="EE152">
            <v>5.7158633333333597</v>
          </cell>
        </row>
        <row r="154">
          <cell r="A154" t="str">
            <v>Polyethylene price ($/MT)</v>
          </cell>
          <cell r="V154">
            <v>1341.1242440477563</v>
          </cell>
          <cell r="W154">
            <v>1473.6882307641943</v>
          </cell>
          <cell r="X154">
            <v>1574.6110666666666</v>
          </cell>
          <cell r="Y154">
            <v>1487.58160112</v>
          </cell>
          <cell r="Z154">
            <v>1382.998605987879</v>
          </cell>
          <cell r="AA154">
            <v>1335.3915955466673</v>
          </cell>
          <cell r="AB154">
            <v>1267.5260275466671</v>
          </cell>
          <cell r="AC154">
            <v>1222.2823155466674</v>
          </cell>
          <cell r="AD154">
            <v>1194.004995546667</v>
          </cell>
          <cell r="AE154">
            <v>1171.3831395466673</v>
          </cell>
          <cell r="AF154">
            <v>1160.0722115466672</v>
          </cell>
          <cell r="AG154">
            <v>1191.839831679667</v>
          </cell>
          <cell r="DK154">
            <v>1341.1242440477563</v>
          </cell>
          <cell r="DL154">
            <v>1470.5848555197836</v>
          </cell>
          <cell r="DM154">
            <v>1494.3039660926831</v>
          </cell>
          <cell r="DN154">
            <v>1405.3573014443093</v>
          </cell>
          <cell r="DO154">
            <v>1524.5067999999999</v>
          </cell>
          <cell r="DP154">
            <v>1550.0731999999998</v>
          </cell>
          <cell r="DQ154">
            <v>1699.5044</v>
          </cell>
          <cell r="DR154">
            <v>1564.84</v>
          </cell>
          <cell r="DS154">
            <v>1484.0266666666664</v>
          </cell>
          <cell r="DT154">
            <v>1616.2666666666664</v>
          </cell>
          <cell r="DU154">
            <v>1553.0704049066667</v>
          </cell>
          <cell r="DV154">
            <v>1383.4064849066665</v>
          </cell>
          <cell r="DW154">
            <v>1397.582848</v>
          </cell>
          <cell r="DX154">
            <v>1432.043475306667</v>
          </cell>
          <cell r="DY154">
            <v>1321.0832716266668</v>
          </cell>
          <cell r="DZ154">
            <v>1398.5254253333335</v>
          </cell>
          <cell r="EA154">
            <v>1380.3422516848491</v>
          </cell>
          <cell r="EB154">
            <v>1362.2550495466669</v>
          </cell>
          <cell r="EC154">
            <v>1339.6331935466674</v>
          </cell>
          <cell r="ED154">
            <v>1328.3222655466673</v>
          </cell>
          <cell r="EE154">
            <v>1311.3558735466672</v>
          </cell>
        </row>
        <row r="155">
          <cell r="A155" t="str">
            <v>Polyethylene price (c/lb)</v>
          </cell>
          <cell r="V155">
            <v>60.849557352439035</v>
          </cell>
          <cell r="W155">
            <v>66.864257294201195</v>
          </cell>
          <cell r="X155">
            <v>71.443333333333328</v>
          </cell>
          <cell r="Y155">
            <v>67.494628000000006</v>
          </cell>
          <cell r="Z155">
            <v>62.749483030303047</v>
          </cell>
          <cell r="AA155">
            <v>60.589455333333362</v>
          </cell>
          <cell r="AB155">
            <v>57.510255333333362</v>
          </cell>
          <cell r="AC155">
            <v>55.457455333333364</v>
          </cell>
          <cell r="AD155">
            <v>54.174455333333356</v>
          </cell>
          <cell r="AE155">
            <v>53.14805533333336</v>
          </cell>
          <cell r="AF155">
            <v>52.634855333333363</v>
          </cell>
          <cell r="AG155">
            <v>54.076217408333349</v>
          </cell>
          <cell r="DK155">
            <v>60.849557352439035</v>
          </cell>
          <cell r="DL155">
            <v>66.723450794908516</v>
          </cell>
          <cell r="DM155">
            <v>67.799635485148968</v>
          </cell>
          <cell r="DN155">
            <v>63.763942896747253</v>
          </cell>
          <cell r="DO155">
            <v>69.17</v>
          </cell>
          <cell r="DP155">
            <v>70.33</v>
          </cell>
          <cell r="DQ155">
            <v>77.11</v>
          </cell>
          <cell r="DR155">
            <v>71</v>
          </cell>
          <cell r="DS155">
            <v>67.333333333333329</v>
          </cell>
          <cell r="DT155">
            <v>73.333333333333329</v>
          </cell>
          <cell r="DU155">
            <v>70.46598933333334</v>
          </cell>
          <cell r="DV155">
            <v>62.767989333333333</v>
          </cell>
          <cell r="DW155">
            <v>63.411200000000001</v>
          </cell>
          <cell r="DX155">
            <v>64.974749333333349</v>
          </cell>
          <cell r="DY155">
            <v>59.940257333333342</v>
          </cell>
          <cell r="DZ155">
            <v>63.45396666666668</v>
          </cell>
          <cell r="EA155">
            <v>62.628958787878823</v>
          </cell>
          <cell r="EB155">
            <v>61.808305333333351</v>
          </cell>
          <cell r="EC155">
            <v>60.781905333333363</v>
          </cell>
          <cell r="ED155">
            <v>60.268705333333358</v>
          </cell>
          <cell r="EE155">
            <v>59.498905333333362</v>
          </cell>
        </row>
        <row r="157">
          <cell r="A157" t="str">
            <v>Ethylene acquisition costs (c/lb)</v>
          </cell>
          <cell r="V157">
            <v>36.583666666666666</v>
          </cell>
          <cell r="W157">
            <v>45.303416666666671</v>
          </cell>
          <cell r="X157">
            <v>55.174166666666665</v>
          </cell>
          <cell r="Y157">
            <v>51.511568105881032</v>
          </cell>
          <cell r="Z157">
            <v>46.427717374288363</v>
          </cell>
          <cell r="AA157">
            <v>44.090616888929375</v>
          </cell>
          <cell r="AB157">
            <v>40.955133333333364</v>
          </cell>
          <cell r="AC157">
            <v>38.955133333333364</v>
          </cell>
          <cell r="AD157">
            <v>37.705133333333364</v>
          </cell>
          <cell r="AE157">
            <v>36.705133333333364</v>
          </cell>
          <cell r="AF157">
            <v>36.205133333333364</v>
          </cell>
          <cell r="AG157">
            <v>35.705133333333364</v>
          </cell>
          <cell r="DK157">
            <v>36.583666666666666</v>
          </cell>
          <cell r="DL157">
            <v>52.552333333333337</v>
          </cell>
          <cell r="DM157">
            <v>46.323</v>
          </cell>
          <cell r="DN157">
            <v>36.510333333333335</v>
          </cell>
          <cell r="DO157">
            <v>45.828000000000003</v>
          </cell>
          <cell r="DP157">
            <v>49.39</v>
          </cell>
          <cell r="DQ157">
            <v>60.75</v>
          </cell>
          <cell r="DR157">
            <v>57.7</v>
          </cell>
          <cell r="DS157">
            <v>52.856666666666662</v>
          </cell>
          <cell r="DT157">
            <v>59.58</v>
          </cell>
          <cell r="DU157">
            <v>53.577633333333338</v>
          </cell>
          <cell r="DV157">
            <v>46.077633333333338</v>
          </cell>
          <cell r="DW157">
            <v>46.81100575685744</v>
          </cell>
          <cell r="DX157">
            <v>48.593724892764435</v>
          </cell>
          <cell r="DY157">
            <v>43.322633333333343</v>
          </cell>
          <cell r="DZ157">
            <v>47.37273068286985</v>
          </cell>
          <cell r="EA157">
            <v>46.421780588185833</v>
          </cell>
          <cell r="EB157">
            <v>45.475849645745164</v>
          </cell>
          <cell r="EC157">
            <v>44.292763759804615</v>
          </cell>
          <cell r="ED157">
            <v>43.701220816834336</v>
          </cell>
          <cell r="EE157">
            <v>42.892633333333364</v>
          </cell>
        </row>
        <row r="158">
          <cell r="A158" t="str">
            <v>Non-feedstock polyethylene costs (c/lb)</v>
          </cell>
          <cell r="V158">
            <v>14.538488843973589</v>
          </cell>
          <cell r="W158">
            <v>15.568609330902142</v>
          </cell>
          <cell r="X158">
            <v>15.079189856825977</v>
          </cell>
          <cell r="Y158">
            <v>14.891859749949575</v>
          </cell>
          <cell r="Z158">
            <v>15.145856775559579</v>
          </cell>
          <cell r="AA158">
            <v>15.163485144802969</v>
          </cell>
          <cell r="AB158">
            <v>15.173539785490384</v>
          </cell>
          <cell r="AC158">
            <v>15.24729203527157</v>
          </cell>
          <cell r="AD158">
            <v>15.375292749781677</v>
          </cell>
          <cell r="AE158">
            <v>15.522474147813847</v>
          </cell>
          <cell r="AF158">
            <v>15.7122530793159</v>
          </cell>
          <cell r="AG158">
            <v>15.903863234329437</v>
          </cell>
          <cell r="DK158">
            <v>16.605478304243839</v>
          </cell>
          <cell r="DL158">
            <v>14.838521172000668</v>
          </cell>
          <cell r="DM158">
            <v>14.299169262120131</v>
          </cell>
          <cell r="DN158">
            <v>18.524178226450822</v>
          </cell>
          <cell r="DO158">
            <v>14.612568663036903</v>
          </cell>
          <cell r="DP158">
            <v>15.000558076225047</v>
          </cell>
          <cell r="DQ158">
            <v>15.287533776971159</v>
          </cell>
          <cell r="DR158">
            <v>15.165930631175641</v>
          </cell>
          <cell r="DS158">
            <v>14.862736942932038</v>
          </cell>
          <cell r="DT158">
            <v>14.937527223230489</v>
          </cell>
          <cell r="DU158">
            <v>14.767619983867711</v>
          </cell>
          <cell r="DV158">
            <v>14.962758116555761</v>
          </cell>
          <cell r="DW158">
            <v>14.899533676144387</v>
          </cell>
          <cell r="DX158">
            <v>15.108107481347041</v>
          </cell>
          <cell r="DY158">
            <v>15.281226053639841</v>
          </cell>
          <cell r="DZ158">
            <v>15.161794716676745</v>
          </cell>
          <cell r="EA158">
            <v>15.032298850574698</v>
          </cell>
          <cell r="EB158">
            <v>15.163485144802959</v>
          </cell>
          <cell r="EC158">
            <v>15.163485144802959</v>
          </cell>
          <cell r="ED158">
            <v>15.163485144802959</v>
          </cell>
          <cell r="EE158">
            <v>15.163485144802959</v>
          </cell>
        </row>
        <row r="159">
          <cell r="A159" t="str">
            <v>Polyethylene cash costs (c/lb)</v>
          </cell>
          <cell r="V159">
            <v>51.122155510640255</v>
          </cell>
          <cell r="W159">
            <v>60.872025997568812</v>
          </cell>
          <cell r="X159">
            <v>70.253356523492641</v>
          </cell>
          <cell r="Y159">
            <v>66.403427855830614</v>
          </cell>
          <cell r="Z159">
            <v>61.573574149847943</v>
          </cell>
          <cell r="AA159">
            <v>59.254102033732345</v>
          </cell>
          <cell r="AB159">
            <v>56.128673118823748</v>
          </cell>
          <cell r="AC159">
            <v>54.202425368604935</v>
          </cell>
          <cell r="AD159">
            <v>53.080426083115043</v>
          </cell>
          <cell r="AE159">
            <v>52.22760748114721</v>
          </cell>
          <cell r="AF159">
            <v>51.917386412649265</v>
          </cell>
          <cell r="AG159">
            <v>51.6089965676628</v>
          </cell>
          <cell r="DK159">
            <v>53.189144970910505</v>
          </cell>
          <cell r="DL159">
            <v>67.390854505334005</v>
          </cell>
          <cell r="DM159">
            <v>60.622169262120131</v>
          </cell>
          <cell r="DN159">
            <v>55.034511559784157</v>
          </cell>
          <cell r="DO159">
            <v>60.440568663036906</v>
          </cell>
          <cell r="DP159">
            <v>64.390558076225048</v>
          </cell>
          <cell r="DQ159">
            <v>76.037533776971159</v>
          </cell>
          <cell r="DR159">
            <v>72.865930631175644</v>
          </cell>
          <cell r="DS159">
            <v>67.7194036095987</v>
          </cell>
          <cell r="DT159">
            <v>74.517527223230488</v>
          </cell>
          <cell r="DU159">
            <v>68.345253317201042</v>
          </cell>
          <cell r="DV159">
            <v>61.0403914498891</v>
          </cell>
          <cell r="DW159">
            <v>61.710539433001827</v>
          </cell>
          <cell r="DX159">
            <v>63.701832374111476</v>
          </cell>
          <cell r="DY159">
            <v>58.603859386973184</v>
          </cell>
          <cell r="DZ159">
            <v>62.534525399546595</v>
          </cell>
          <cell r="EA159">
            <v>61.45407943876053</v>
          </cell>
          <cell r="EB159">
            <v>60.639334790548119</v>
          </cell>
          <cell r="EC159">
            <v>59.456248904607577</v>
          </cell>
          <cell r="ED159">
            <v>58.864705961637299</v>
          </cell>
          <cell r="EE159">
            <v>58.056118478136327</v>
          </cell>
        </row>
        <row r="161">
          <cell r="A161" t="str">
            <v>Polyethylene margin (c/lb)</v>
          </cell>
          <cell r="V161">
            <v>9.7274018417987804</v>
          </cell>
          <cell r="W161">
            <v>5.992231296632383</v>
          </cell>
          <cell r="X161">
            <v>1.1899768098406867</v>
          </cell>
          <cell r="Y161">
            <v>1.0912001441693917</v>
          </cell>
          <cell r="Z161">
            <v>1.1759088804551041</v>
          </cell>
          <cell r="AA161">
            <v>1.3353532996010173</v>
          </cell>
          <cell r="AB161">
            <v>1.3815822145096135</v>
          </cell>
          <cell r="AC161">
            <v>1.2550299647284291</v>
          </cell>
          <cell r="AD161">
            <v>1.0940292502183127</v>
          </cell>
          <cell r="AE161">
            <v>0.92044785218615033</v>
          </cell>
          <cell r="AF161">
            <v>0.71746892068409807</v>
          </cell>
          <cell r="AG161">
            <v>2.4672208406705494</v>
          </cell>
          <cell r="DK161">
            <v>7.6604123815285305</v>
          </cell>
          <cell r="DL161">
            <v>-0.66740371042548929</v>
          </cell>
          <cell r="DM161">
            <v>7.1774662230288371</v>
          </cell>
          <cell r="DN161">
            <v>8.7294313369630956</v>
          </cell>
          <cell r="DO161">
            <v>8.7294313369630956</v>
          </cell>
          <cell r="DP161">
            <v>5.9394419237749503</v>
          </cell>
          <cell r="DQ161">
            <v>1.0724662230288402</v>
          </cell>
          <cell r="DR161">
            <v>-1.8659306311756438</v>
          </cell>
          <cell r="DS161">
            <v>-0.3860702762653716</v>
          </cell>
          <cell r="DT161">
            <v>-1.1841938898971591</v>
          </cell>
          <cell r="DU161">
            <v>2.1207360161322981</v>
          </cell>
          <cell r="DV161">
            <v>1.7275978834442327</v>
          </cell>
          <cell r="DW161">
            <v>1.7006605669981738</v>
          </cell>
          <cell r="DX161">
            <v>1.2729169592218739</v>
          </cell>
          <cell r="DY161">
            <v>1.3363979463601581</v>
          </cell>
          <cell r="DZ161">
            <v>0.91944126712008512</v>
          </cell>
          <cell r="EA161">
            <v>1.1748793491182923</v>
          </cell>
          <cell r="EB161">
            <v>1.1689705427852317</v>
          </cell>
          <cell r="EC161">
            <v>1.3256564287257859</v>
          </cell>
          <cell r="ED161">
            <v>1.4039993716960595</v>
          </cell>
          <cell r="EE161">
            <v>1.4427868551970349</v>
          </cell>
        </row>
        <row r="162">
          <cell r="A162" t="str">
            <v>Polyethylene margin ($/MT)</v>
          </cell>
          <cell r="V162">
            <v>214.39193659324511</v>
          </cell>
          <cell r="W162">
            <v>132.06877777777771</v>
          </cell>
          <cell r="X162">
            <v>26.227088888888733</v>
          </cell>
          <cell r="Y162">
            <v>24.05005117749339</v>
          </cell>
          <cell r="Z162">
            <v>25.917031725230494</v>
          </cell>
          <cell r="AA162">
            <v>29.431186723206419</v>
          </cell>
          <cell r="AB162">
            <v>30.450072007791881</v>
          </cell>
          <cell r="AC162">
            <v>27.660860422614576</v>
          </cell>
          <cell r="AD162">
            <v>24.112404674811611</v>
          </cell>
          <cell r="AE162">
            <v>20.286670662182754</v>
          </cell>
          <cell r="AF162">
            <v>15.813015011877521</v>
          </cell>
          <cell r="AG162">
            <v>54.377547328378903</v>
          </cell>
          <cell r="DK162">
            <v>168.83548888888882</v>
          </cell>
          <cell r="DL162">
            <v>-14.709577777777783</v>
          </cell>
          <cell r="DM162">
            <v>158.19135555555556</v>
          </cell>
          <cell r="DN162">
            <v>192.39666666666662</v>
          </cell>
          <cell r="DO162">
            <v>192.39666666666662</v>
          </cell>
          <cell r="DP162">
            <v>130.9052999999999</v>
          </cell>
          <cell r="DQ162">
            <v>23.637155555555637</v>
          </cell>
          <cell r="DR162">
            <v>-41.125111111111188</v>
          </cell>
          <cell r="DS162">
            <v>-8.5089888888887906</v>
          </cell>
          <cell r="DT162">
            <v>-26.099633333333387</v>
          </cell>
          <cell r="DU162">
            <v>46.741021795555852</v>
          </cell>
          <cell r="DV162">
            <v>38.07625735111089</v>
          </cell>
          <cell r="DW162">
            <v>37.482558896639752</v>
          </cell>
          <cell r="DX162">
            <v>28.0550897812501</v>
          </cell>
          <cell r="DY162">
            <v>29.454210737777881</v>
          </cell>
          <cell r="DZ162">
            <v>20.264485527326674</v>
          </cell>
          <cell r="EA162">
            <v>25.894340854567162</v>
          </cell>
          <cell r="EB162">
            <v>25.764110762986505</v>
          </cell>
          <cell r="EC162">
            <v>29.217467689116322</v>
          </cell>
          <cell r="ED162">
            <v>30.944146152181151</v>
          </cell>
          <cell r="EE162">
            <v>31.799022288542648</v>
          </cell>
        </row>
        <row r="164">
          <cell r="A164" t="str">
            <v>Integrated polyethylene margin (c/lb)</v>
          </cell>
          <cell r="V164">
            <v>15.02997067513212</v>
          </cell>
          <cell r="W164">
            <v>23.267872846632393</v>
          </cell>
          <cell r="X164">
            <v>23.340503359840689</v>
          </cell>
          <cell r="Y164">
            <v>19.837204658255551</v>
          </cell>
          <cell r="Z164">
            <v>6.9064733001980088</v>
          </cell>
          <cell r="AA164">
            <v>8.0898251885303907</v>
          </cell>
          <cell r="AB164">
            <v>9.3069522145096357</v>
          </cell>
          <cell r="AC164">
            <v>10.03584996472846</v>
          </cell>
          <cell r="AD164">
            <v>8.7498492502183431</v>
          </cell>
          <cell r="AE164">
            <v>7.6762678521861787</v>
          </cell>
          <cell r="AF164">
            <v>7.0232889206841271</v>
          </cell>
          <cell r="AG164">
            <v>8.3230408406705791</v>
          </cell>
          <cell r="DK164">
            <v>12.96298121486187</v>
          </cell>
          <cell r="DL164">
            <v>18.647277489574513</v>
          </cell>
          <cell r="DM164">
            <v>28.452178689695508</v>
          </cell>
          <cell r="DN164">
            <v>22.339719003629767</v>
          </cell>
          <cell r="DO164">
            <v>23.63231620362977</v>
          </cell>
          <cell r="DP164">
            <v>24.360372123774951</v>
          </cell>
          <cell r="DQ164">
            <v>28.858727123028842</v>
          </cell>
          <cell r="DR164">
            <v>24.101491868824361</v>
          </cell>
          <cell r="DS164">
            <v>16.041422323734629</v>
          </cell>
          <cell r="DT164">
            <v>31.272193409590017</v>
          </cell>
          <cell r="DU164">
            <v>24.654842682798972</v>
          </cell>
          <cell r="DV164">
            <v>12.658636216777566</v>
          </cell>
          <cell r="DW164">
            <v>10.763146323855615</v>
          </cell>
          <cell r="DX164">
            <v>8.3068718519863083</v>
          </cell>
          <cell r="DY164">
            <v>3.8350112796935036</v>
          </cell>
          <cell r="DZ164">
            <v>7.6712019499899355</v>
          </cell>
          <cell r="EA164">
            <v>7.8128081191223089</v>
          </cell>
          <cell r="EB164">
            <v>9.1305501885303997</v>
          </cell>
          <cell r="EC164">
            <v>8.2541501885303958</v>
          </cell>
          <cell r="ED164">
            <v>7.8159501885303939</v>
          </cell>
          <cell r="EE164">
            <v>7.1586501885303946</v>
          </cell>
        </row>
        <row r="165">
          <cell r="A165" t="str">
            <v>Integrated polyethylene margin ($/MT)</v>
          </cell>
          <cell r="V165">
            <v>331.26055367991188</v>
          </cell>
          <cell r="W165">
            <v>512.82391753977788</v>
          </cell>
          <cell r="X165">
            <v>514.42469405088877</v>
          </cell>
          <cell r="Y165">
            <v>437.21199066795231</v>
          </cell>
          <cell r="Z165">
            <v>152.2186715363641</v>
          </cell>
          <cell r="AA165">
            <v>178.29974715520981</v>
          </cell>
          <cell r="AB165">
            <v>205.12522680779236</v>
          </cell>
          <cell r="AC165">
            <v>221.19013322261523</v>
          </cell>
          <cell r="AD165">
            <v>192.84667747481228</v>
          </cell>
          <cell r="AE165">
            <v>169.18494346218338</v>
          </cell>
          <cell r="AF165">
            <v>154.79328781187814</v>
          </cell>
          <cell r="AG165">
            <v>183.43982012837955</v>
          </cell>
          <cell r="DK165">
            <v>285.70410597555559</v>
          </cell>
          <cell r="DL165">
            <v>410.98599587022227</v>
          </cell>
          <cell r="DM165">
            <v>627.08601832088891</v>
          </cell>
          <cell r="DN165">
            <v>492.36740684000006</v>
          </cell>
          <cell r="DO165">
            <v>520.85624912800017</v>
          </cell>
          <cell r="DP165">
            <v>536.90260160799994</v>
          </cell>
          <cell r="DQ165">
            <v>636.04634579155561</v>
          </cell>
          <cell r="DR165">
            <v>531.19688078888885</v>
          </cell>
          <cell r="DS165">
            <v>353.55294801511121</v>
          </cell>
          <cell r="DT165">
            <v>689.23914274736399</v>
          </cell>
          <cell r="DU165">
            <v>543.39273272888931</v>
          </cell>
          <cell r="DV165">
            <v>278.99634221777757</v>
          </cell>
          <cell r="DW165">
            <v>237.21974497777774</v>
          </cell>
          <cell r="DX165">
            <v>183.08345561777824</v>
          </cell>
          <cell r="DY165">
            <v>84.523648604444816</v>
          </cell>
          <cell r="DZ165">
            <v>169.07329097777819</v>
          </cell>
          <cell r="EA165">
            <v>172.19429094545569</v>
          </cell>
          <cell r="EB165">
            <v>201.23732615521001</v>
          </cell>
          <cell r="EC165">
            <v>181.92147015520993</v>
          </cell>
          <cell r="ED165">
            <v>172.26354215520988</v>
          </cell>
          <cell r="EE165">
            <v>157.77665015520989</v>
          </cell>
        </row>
        <row r="167">
          <cell r="A167" t="str">
            <v>Polypropylene price (c/lb)</v>
          </cell>
          <cell r="V167">
            <v>75</v>
          </cell>
          <cell r="W167">
            <v>85.75</v>
          </cell>
          <cell r="X167">
            <v>87.459166666666675</v>
          </cell>
          <cell r="DK167">
            <v>75</v>
          </cell>
          <cell r="DL167">
            <v>87.833333333333329</v>
          </cell>
          <cell r="DM167">
            <v>89.833333333333329</v>
          </cell>
          <cell r="DN167">
            <v>82.666666666666671</v>
          </cell>
          <cell r="DO167">
            <v>82.666666666666671</v>
          </cell>
          <cell r="DP167">
            <v>89.33</v>
          </cell>
          <cell r="DQ167">
            <v>99.67</v>
          </cell>
          <cell r="DR167">
            <v>90.17</v>
          </cell>
          <cell r="DS167">
            <v>70.666666666666671</v>
          </cell>
          <cell r="DT167">
            <v>81.166666666666671</v>
          </cell>
        </row>
        <row r="168">
          <cell r="A168" t="str">
            <v>Polypropylene price ($/MT)</v>
          </cell>
          <cell r="V168">
            <v>1653</v>
          </cell>
          <cell r="W168">
            <v>1889.9299999999998</v>
          </cell>
          <cell r="X168">
            <v>1927.6000333333334</v>
          </cell>
          <cell r="DK168">
            <v>1653</v>
          </cell>
          <cell r="DL168">
            <v>1935.8466666666666</v>
          </cell>
          <cell r="DM168">
            <v>1979.9266666666665</v>
          </cell>
          <cell r="DN168">
            <v>1821.9733333333334</v>
          </cell>
          <cell r="DO168">
            <v>1821.9733333333334</v>
          </cell>
          <cell r="DP168">
            <v>1968.8331999999998</v>
          </cell>
          <cell r="DQ168">
            <v>2196.7267999999999</v>
          </cell>
          <cell r="DR168">
            <v>1987.3468</v>
          </cell>
          <cell r="DS168">
            <v>1557.4933333333333</v>
          </cell>
          <cell r="DT168">
            <v>1788.9133333333334</v>
          </cell>
        </row>
        <row r="170">
          <cell r="A170" t="str">
            <v>Propylene price (average acquisition) (c/lb)</v>
          </cell>
          <cell r="V170">
            <v>50.166666666666664</v>
          </cell>
          <cell r="W170">
            <v>61.082499999999996</v>
          </cell>
          <cell r="X170">
            <v>75.498333333333335</v>
          </cell>
          <cell r="DK170">
            <v>50.166666666666664</v>
          </cell>
          <cell r="DL170">
            <v>63</v>
          </cell>
          <cell r="DM170">
            <v>64.833333333333329</v>
          </cell>
          <cell r="DN170">
            <v>57.666666666666664</v>
          </cell>
          <cell r="DO170">
            <v>58.83</v>
          </cell>
          <cell r="DP170">
            <v>75.83</v>
          </cell>
          <cell r="DQ170">
            <v>88.83</v>
          </cell>
          <cell r="DR170">
            <v>78</v>
          </cell>
          <cell r="DS170">
            <v>59.333333333333336</v>
          </cell>
          <cell r="DT170">
            <v>68.666666666666671</v>
          </cell>
        </row>
        <row r="171">
          <cell r="A171" t="str">
            <v>Non-feedstock acquisition costs (c/lb)</v>
          </cell>
          <cell r="V171">
            <v>18.902824767049399</v>
          </cell>
          <cell r="W171">
            <v>20.796443587416821</v>
          </cell>
          <cell r="X171">
            <v>10.43708862673927</v>
          </cell>
          <cell r="DK171">
            <v>18.902824767049399</v>
          </cell>
          <cell r="DL171">
            <v>19.981488203266785</v>
          </cell>
          <cell r="DM171">
            <v>21.616938898971569</v>
          </cell>
          <cell r="DN171">
            <v>21.088430127041747</v>
          </cell>
          <cell r="DO171">
            <v>20.49891712038718</v>
          </cell>
          <cell r="DP171">
            <v>10.410617059891107</v>
          </cell>
          <cell r="DQ171">
            <v>10.590000000000003</v>
          </cell>
          <cell r="DR171">
            <v>10.535245009074412</v>
          </cell>
          <cell r="DS171">
            <v>10.212492437991532</v>
          </cell>
          <cell r="DT171">
            <v>10.258771929824562</v>
          </cell>
        </row>
        <row r="173">
          <cell r="A173" t="str">
            <v>Polypropylene margin (c/lb)</v>
          </cell>
          <cell r="V173">
            <v>5.9305085662839359</v>
          </cell>
          <cell r="W173">
            <v>3.8710564125831821</v>
          </cell>
          <cell r="X173">
            <v>1.5237447065940715</v>
          </cell>
          <cell r="Y173">
            <v>1.9355716878402904</v>
          </cell>
          <cell r="Z173">
            <v>2.9513006654567455</v>
          </cell>
          <cell r="AA173">
            <v>4.4365925589836666</v>
          </cell>
          <cell r="AB173">
            <v>2.4841197822141563</v>
          </cell>
          <cell r="AC173">
            <v>2.4841197822141563</v>
          </cell>
          <cell r="AD173">
            <v>2.4841197822141563</v>
          </cell>
          <cell r="AE173">
            <v>2.4841197822141563</v>
          </cell>
          <cell r="AF173">
            <v>2.4841197822141563</v>
          </cell>
          <cell r="AG173">
            <v>2.4841197822141563</v>
          </cell>
          <cell r="DK173">
            <v>5.9305085662839359</v>
          </cell>
          <cell r="DL173">
            <v>4.8518451300665451</v>
          </cell>
          <cell r="DM173">
            <v>3.3830611010284328</v>
          </cell>
          <cell r="DN173">
            <v>3.9115698729582586</v>
          </cell>
          <cell r="DO173">
            <v>3.3377495462794924</v>
          </cell>
          <cell r="DP173">
            <v>3.089382940108893</v>
          </cell>
          <cell r="DQ173">
            <v>0.25</v>
          </cell>
          <cell r="DR173">
            <v>1.6347549909255898</v>
          </cell>
          <cell r="DS173">
            <v>1.1208408953418028</v>
          </cell>
          <cell r="DT173">
            <v>2.2412280701754388</v>
          </cell>
          <cell r="DU173">
            <v>0.86267392619479732</v>
          </cell>
          <cell r="DV173">
            <v>2.4022988505747125</v>
          </cell>
          <cell r="DW173">
            <v>2.2360859044162131</v>
          </cell>
          <cell r="DX173">
            <v>2.4827586206896552</v>
          </cell>
          <cell r="DY173">
            <v>2.2993042952208107</v>
          </cell>
          <cell r="DZ173">
            <v>3.5099818511796737</v>
          </cell>
          <cell r="EA173">
            <v>3.5131578947368425</v>
          </cell>
          <cell r="EB173">
            <v>4.4112220205686636</v>
          </cell>
          <cell r="EC173">
            <v>4.4066848154869938</v>
          </cell>
          <cell r="ED173">
            <v>4.4767090139140961</v>
          </cell>
          <cell r="EE173">
            <v>4.4517543859649127</v>
          </cell>
        </row>
        <row r="174">
          <cell r="A174" t="str">
            <v>Polypropylene margin ($/MT)</v>
          </cell>
          <cell r="V174">
            <v>130.70840880089793</v>
          </cell>
          <cell r="W174">
            <v>85.318083333333334</v>
          </cell>
          <cell r="X174">
            <v>33.583333333333336</v>
          </cell>
          <cell r="Y174">
            <v>42.66</v>
          </cell>
          <cell r="Z174">
            <v>65.046666666666667</v>
          </cell>
          <cell r="AA174">
            <v>97.782500000000013</v>
          </cell>
          <cell r="AB174">
            <v>54.75</v>
          </cell>
          <cell r="AC174">
            <v>54.75</v>
          </cell>
          <cell r="AD174">
            <v>54.75</v>
          </cell>
          <cell r="AE174">
            <v>54.75</v>
          </cell>
          <cell r="AF174">
            <v>54.75</v>
          </cell>
          <cell r="AG174">
            <v>54.75</v>
          </cell>
          <cell r="DK174">
            <v>130.70840880089793</v>
          </cell>
          <cell r="DL174">
            <v>106.93466666666664</v>
          </cell>
          <cell r="DM174">
            <v>74.562666666666658</v>
          </cell>
          <cell r="DN174">
            <v>86.211000000000013</v>
          </cell>
          <cell r="DO174">
            <v>73.564000000000007</v>
          </cell>
          <cell r="DP174">
            <v>68.09</v>
          </cell>
          <cell r="DQ174">
            <v>5.51</v>
          </cell>
          <cell r="DR174">
            <v>36.03</v>
          </cell>
          <cell r="DS174">
            <v>24.703333333333333</v>
          </cell>
          <cell r="DT174">
            <v>49.396666666666668</v>
          </cell>
          <cell r="DU174">
            <v>19.013333333333332</v>
          </cell>
          <cell r="DV174">
            <v>52.946666666666658</v>
          </cell>
          <cell r="DW174">
            <v>49.283333333333339</v>
          </cell>
          <cell r="DX174">
            <v>54.72</v>
          </cell>
          <cell r="DY174">
            <v>50.676666666666669</v>
          </cell>
          <cell r="DZ174">
            <v>77.36</v>
          </cell>
          <cell r="EA174">
            <v>77.430000000000007</v>
          </cell>
          <cell r="EB174">
            <v>97.223333333333343</v>
          </cell>
          <cell r="EC174">
            <v>97.123333333333335</v>
          </cell>
          <cell r="ED174">
            <v>98.666666666666671</v>
          </cell>
          <cell r="EE174">
            <v>98.116666666666674</v>
          </cell>
        </row>
        <row r="176">
          <cell r="A176" t="str">
            <v>Sensitivity ($mm/year)</v>
          </cell>
        </row>
        <row r="177">
          <cell r="A177" t="str">
            <v>Chemicals impact of 1c/lb change in ethylene margin</v>
          </cell>
          <cell r="W177">
            <v>95</v>
          </cell>
          <cell r="X177">
            <v>95.5</v>
          </cell>
          <cell r="Y177">
            <v>95.5</v>
          </cell>
          <cell r="Z177">
            <v>95.5</v>
          </cell>
          <cell r="AA177">
            <v>100.16666666666666</v>
          </cell>
          <cell r="AB177">
            <v>105.23753296741663</v>
          </cell>
          <cell r="AC177">
            <v>116.31953805325642</v>
          </cell>
          <cell r="AD177">
            <v>116.31953805325642</v>
          </cell>
          <cell r="AE177">
            <v>116.63822171915575</v>
          </cell>
          <cell r="AF177">
            <v>116.31953805325642</v>
          </cell>
          <cell r="AG177">
            <v>116.31953805325642</v>
          </cell>
          <cell r="DL177">
            <v>95</v>
          </cell>
          <cell r="DM177">
            <v>95</v>
          </cell>
          <cell r="DN177">
            <v>95</v>
          </cell>
          <cell r="DO177">
            <v>95</v>
          </cell>
          <cell r="DP177">
            <v>95</v>
          </cell>
          <cell r="DQ177">
            <v>95</v>
          </cell>
          <cell r="DR177">
            <v>95</v>
          </cell>
          <cell r="DS177">
            <v>95</v>
          </cell>
          <cell r="DT177">
            <v>95.5</v>
          </cell>
          <cell r="DU177">
            <v>95.5</v>
          </cell>
          <cell r="DV177">
            <v>95.5</v>
          </cell>
          <cell r="DW177">
            <v>95.5</v>
          </cell>
          <cell r="DX177">
            <v>95</v>
          </cell>
          <cell r="DY177">
            <v>95</v>
          </cell>
          <cell r="DZ177">
            <v>95</v>
          </cell>
          <cell r="EA177">
            <v>92.082399999999993</v>
          </cell>
          <cell r="EB177">
            <v>94.4148</v>
          </cell>
          <cell r="EC177">
            <v>86.831999999999994</v>
          </cell>
          <cell r="ED177">
            <v>102.78266086956521</v>
          </cell>
          <cell r="EE177">
            <v>104.05311199999998</v>
          </cell>
        </row>
        <row r="178">
          <cell r="A178" t="str">
            <v>Polymers impact of 1c/lb change in polyethylene</v>
          </cell>
          <cell r="W178">
            <v>60</v>
          </cell>
          <cell r="X178">
            <v>60</v>
          </cell>
          <cell r="Y178">
            <v>60</v>
          </cell>
          <cell r="Z178">
            <v>60</v>
          </cell>
          <cell r="AA178">
            <v>60</v>
          </cell>
          <cell r="AB178">
            <v>60</v>
          </cell>
          <cell r="AC178">
            <v>60</v>
          </cell>
          <cell r="AD178">
            <v>60</v>
          </cell>
          <cell r="AE178">
            <v>60</v>
          </cell>
          <cell r="AF178">
            <v>60</v>
          </cell>
          <cell r="AG178">
            <v>60</v>
          </cell>
          <cell r="DL178">
            <v>58</v>
          </cell>
          <cell r="DM178">
            <v>58</v>
          </cell>
          <cell r="DN178">
            <v>58</v>
          </cell>
          <cell r="DO178">
            <v>58</v>
          </cell>
          <cell r="DP178">
            <v>58</v>
          </cell>
          <cell r="DQ178">
            <v>58</v>
          </cell>
          <cell r="DR178">
            <v>58</v>
          </cell>
          <cell r="DS178">
            <v>58</v>
          </cell>
          <cell r="DT178">
            <v>58</v>
          </cell>
          <cell r="DU178">
            <v>58</v>
          </cell>
          <cell r="DV178">
            <v>58</v>
          </cell>
          <cell r="DW178">
            <v>58</v>
          </cell>
          <cell r="DX178">
            <v>58</v>
          </cell>
          <cell r="DY178">
            <v>58</v>
          </cell>
          <cell r="DZ178">
            <v>58</v>
          </cell>
          <cell r="EA178">
            <v>54.181599999999996</v>
          </cell>
          <cell r="EB178">
            <v>56.479199999999999</v>
          </cell>
          <cell r="EC178">
            <v>50.004000000000005</v>
          </cell>
          <cell r="ED178">
            <v>67.093560719214054</v>
          </cell>
          <cell r="EE178">
            <v>61.225207999999995</v>
          </cell>
        </row>
        <row r="179">
          <cell r="A179" t="str">
            <v>Polymers impact of 1c/lb change in polypropylene</v>
          </cell>
          <cell r="W179">
            <v>28</v>
          </cell>
          <cell r="X179">
            <v>28</v>
          </cell>
          <cell r="Y179">
            <v>28</v>
          </cell>
          <cell r="Z179">
            <v>28</v>
          </cell>
          <cell r="AA179">
            <v>28</v>
          </cell>
          <cell r="AB179">
            <v>28</v>
          </cell>
          <cell r="AC179">
            <v>28</v>
          </cell>
          <cell r="AD179">
            <v>28</v>
          </cell>
          <cell r="AE179">
            <v>28</v>
          </cell>
          <cell r="AF179">
            <v>28</v>
          </cell>
          <cell r="AG179">
            <v>28</v>
          </cell>
          <cell r="DL179">
            <v>28</v>
          </cell>
          <cell r="DM179">
            <v>28</v>
          </cell>
          <cell r="DN179">
            <v>28</v>
          </cell>
          <cell r="DO179">
            <v>28</v>
          </cell>
          <cell r="DP179">
            <v>28</v>
          </cell>
          <cell r="DQ179">
            <v>28</v>
          </cell>
          <cell r="DR179">
            <v>28</v>
          </cell>
          <cell r="DS179">
            <v>28</v>
          </cell>
          <cell r="DT179">
            <v>28</v>
          </cell>
          <cell r="DU179">
            <v>28</v>
          </cell>
          <cell r="DV179">
            <v>28</v>
          </cell>
          <cell r="DW179">
            <v>28</v>
          </cell>
          <cell r="DX179">
            <v>28</v>
          </cell>
          <cell r="DY179">
            <v>28</v>
          </cell>
          <cell r="DZ179">
            <v>28</v>
          </cell>
          <cell r="EA179">
            <v>28</v>
          </cell>
          <cell r="EB179">
            <v>28</v>
          </cell>
          <cell r="EC179">
            <v>28</v>
          </cell>
          <cell r="ED179">
            <v>28</v>
          </cell>
          <cell r="EE179">
            <v>28</v>
          </cell>
        </row>
        <row r="181">
          <cell r="A181" t="str">
            <v>Change in EBITDA ($mm)</v>
          </cell>
          <cell r="Y181">
            <v>-319.52729889515552</v>
          </cell>
          <cell r="Z181">
            <v>-1209.4515934593774</v>
          </cell>
          <cell r="AA181">
            <v>153.71623633101984</v>
          </cell>
          <cell r="AB181">
            <v>71.326925710252752</v>
          </cell>
          <cell r="AC181">
            <v>91.912413840788105</v>
          </cell>
          <cell r="AD181">
            <v>-140.51952318052045</v>
          </cell>
          <cell r="AE181">
            <v>-115.38928342917016</v>
          </cell>
          <cell r="AF181">
            <v>-64.522528014088437</v>
          </cell>
          <cell r="AG181">
            <v>52.64132307522177</v>
          </cell>
          <cell r="DL181">
            <v>204.48369132147823</v>
          </cell>
          <cell r="DM181">
            <v>150.01986841515432</v>
          </cell>
          <cell r="DN181">
            <v>-155.82703344444445</v>
          </cell>
          <cell r="DO181">
            <v>26.682441213248708</v>
          </cell>
          <cell r="DP181">
            <v>41.360163932244198</v>
          </cell>
          <cell r="DQ181">
            <v>131.97977588341917</v>
          </cell>
          <cell r="DR181">
            <v>-76.110881449485817</v>
          </cell>
          <cell r="DS181">
            <v>-208.71275864788765</v>
          </cell>
          <cell r="DT181">
            <v>378.95977877643088</v>
          </cell>
          <cell r="DU181">
            <v>-198.62284547902684</v>
          </cell>
          <cell r="DV181">
            <v>-271.94638491165102</v>
          </cell>
          <cell r="DW181">
            <v>-46.165774474939269</v>
          </cell>
          <cell r="DX181">
            <v>-52.653181321051171</v>
          </cell>
          <cell r="DY181">
            <v>-108.07806800126514</v>
          </cell>
          <cell r="DZ181">
            <v>103.44112059422297</v>
          </cell>
          <cell r="EA181">
            <v>0.86176436747948282</v>
          </cell>
          <cell r="EB181">
            <v>37.446075892892615</v>
          </cell>
          <cell r="EC181">
            <v>-20.499258587426453</v>
          </cell>
          <cell r="ED181">
            <v>-11.468668393706036</v>
          </cell>
          <cell r="EE181">
            <v>-17.688506679989601</v>
          </cell>
        </row>
        <row r="184">
          <cell r="A184" t="str">
            <v>Olefins and Polyolefins, RoW</v>
          </cell>
          <cell r="C184">
            <v>1990</v>
          </cell>
          <cell r="D184">
            <v>1991</v>
          </cell>
          <cell r="E184">
            <v>1992</v>
          </cell>
          <cell r="F184">
            <v>1993</v>
          </cell>
          <cell r="G184">
            <v>1994</v>
          </cell>
          <cell r="H184">
            <v>1995</v>
          </cell>
          <cell r="I184">
            <v>1996</v>
          </cell>
          <cell r="J184">
            <v>1997</v>
          </cell>
          <cell r="K184">
            <v>1998</v>
          </cell>
          <cell r="L184">
            <v>1999</v>
          </cell>
          <cell r="M184">
            <v>2000</v>
          </cell>
          <cell r="N184">
            <v>2001</v>
          </cell>
          <cell r="O184">
            <v>2002</v>
          </cell>
          <cell r="P184">
            <v>2003</v>
          </cell>
          <cell r="Q184">
            <v>2004</v>
          </cell>
          <cell r="R184">
            <v>2005</v>
          </cell>
          <cell r="S184">
            <v>2006</v>
          </cell>
          <cell r="T184">
            <v>2007</v>
          </cell>
          <cell r="U184">
            <v>2008</v>
          </cell>
          <cell r="V184" t="str">
            <v>2009</v>
          </cell>
          <cell r="W184" t="str">
            <v>2010</v>
          </cell>
          <cell r="X184" t="str">
            <v>2011</v>
          </cell>
          <cell r="Y184" t="str">
            <v>2012e</v>
          </cell>
          <cell r="Z184" t="str">
            <v>2013e</v>
          </cell>
          <cell r="AA184" t="str">
            <v>2014e</v>
          </cell>
          <cell r="AB184" t="str">
            <v>2015e</v>
          </cell>
          <cell r="AC184" t="str">
            <v>2016e</v>
          </cell>
          <cell r="AD184" t="str">
            <v>2017e</v>
          </cell>
          <cell r="AE184" t="str">
            <v>2018e</v>
          </cell>
          <cell r="AF184" t="str">
            <v>2019e</v>
          </cell>
          <cell r="AG184" t="str">
            <v>2020e</v>
          </cell>
          <cell r="AJ184" t="str">
            <v>1990q1</v>
          </cell>
          <cell r="AK184" t="str">
            <v>1990q2</v>
          </cell>
          <cell r="AL184" t="str">
            <v>1990q3</v>
          </cell>
          <cell r="AM184" t="str">
            <v>1990q4</v>
          </cell>
          <cell r="AN184" t="str">
            <v>1991q1</v>
          </cell>
          <cell r="AO184" t="str">
            <v>1991q2</v>
          </cell>
          <cell r="AP184" t="str">
            <v>1991q3</v>
          </cell>
          <cell r="AQ184" t="str">
            <v>1991q4</v>
          </cell>
          <cell r="AR184" t="str">
            <v>1992q1</v>
          </cell>
          <cell r="AS184" t="str">
            <v>1992q2</v>
          </cell>
          <cell r="AT184" t="str">
            <v>1992q3</v>
          </cell>
          <cell r="AU184" t="str">
            <v>1992q4</v>
          </cell>
          <cell r="AV184" t="str">
            <v>1993q1</v>
          </cell>
          <cell r="AW184" t="str">
            <v>1993q2</v>
          </cell>
          <cell r="AX184" t="str">
            <v>1993q3</v>
          </cell>
          <cell r="AY184" t="str">
            <v>1993q4</v>
          </cell>
          <cell r="AZ184" t="str">
            <v>1994q1</v>
          </cell>
          <cell r="BA184" t="str">
            <v>1994q2</v>
          </cell>
          <cell r="BB184" t="str">
            <v>1994q3</v>
          </cell>
          <cell r="BC184" t="str">
            <v>1994q4</v>
          </cell>
          <cell r="BD184" t="str">
            <v>1995q1</v>
          </cell>
          <cell r="BE184" t="str">
            <v>1995q2</v>
          </cell>
          <cell r="BF184" t="str">
            <v>1995q3</v>
          </cell>
          <cell r="BG184" t="str">
            <v>1995q4</v>
          </cell>
          <cell r="BH184" t="str">
            <v>1996q1</v>
          </cell>
          <cell r="BI184" t="str">
            <v>1996q2</v>
          </cell>
          <cell r="BJ184" t="str">
            <v>1996q3</v>
          </cell>
          <cell r="BK184" t="str">
            <v>1996q4</v>
          </cell>
          <cell r="BL184" t="str">
            <v>1997q1</v>
          </cell>
          <cell r="BM184" t="str">
            <v>1997q2</v>
          </cell>
          <cell r="BN184" t="str">
            <v>1997q3</v>
          </cell>
          <cell r="BO184" t="str">
            <v>1997q4</v>
          </cell>
          <cell r="BP184" t="str">
            <v>1998q1</v>
          </cell>
          <cell r="BQ184" t="str">
            <v>1998q2</v>
          </cell>
          <cell r="BR184" t="str">
            <v>1998q3</v>
          </cell>
          <cell r="BS184" t="str">
            <v>1998q4</v>
          </cell>
          <cell r="BT184" t="str">
            <v>1999q1</v>
          </cell>
          <cell r="BU184" t="str">
            <v>1999q2</v>
          </cell>
          <cell r="BV184" t="str">
            <v>1999q3</v>
          </cell>
          <cell r="BW184" t="str">
            <v>1999q4</v>
          </cell>
          <cell r="BX184" t="str">
            <v>2000q1</v>
          </cell>
          <cell r="BY184" t="str">
            <v>2000q2</v>
          </cell>
          <cell r="BZ184" t="str">
            <v>2000q3</v>
          </cell>
          <cell r="CA184" t="str">
            <v>2000q4</v>
          </cell>
          <cell r="CB184" t="str">
            <v>2001q1</v>
          </cell>
          <cell r="CC184" t="str">
            <v>2001q2</v>
          </cell>
          <cell r="CD184" t="str">
            <v>2001q3</v>
          </cell>
          <cell r="CE184" t="str">
            <v>2001q4</v>
          </cell>
          <cell r="CF184" t="str">
            <v>2002q1</v>
          </cell>
          <cell r="CG184" t="str">
            <v>2002q2</v>
          </cell>
          <cell r="CH184" t="str">
            <v>2002q3</v>
          </cell>
          <cell r="CI184" t="str">
            <v>2002q4</v>
          </cell>
          <cell r="CJ184" t="str">
            <v>2003q1</v>
          </cell>
          <cell r="CK184" t="str">
            <v>2003q2</v>
          </cell>
          <cell r="CL184" t="str">
            <v>2003q3</v>
          </cell>
          <cell r="CM184" t="str">
            <v>2003q4</v>
          </cell>
          <cell r="CN184" t="str">
            <v>2004q1</v>
          </cell>
          <cell r="CO184" t="str">
            <v>2004q2</v>
          </cell>
          <cell r="CP184" t="str">
            <v>2004q3</v>
          </cell>
          <cell r="CQ184" t="str">
            <v>2004q4</v>
          </cell>
          <cell r="CR184" t="str">
            <v>2005q1</v>
          </cell>
          <cell r="CS184" t="str">
            <v>2005q2</v>
          </cell>
          <cell r="CT184" t="str">
            <v>2005q3</v>
          </cell>
          <cell r="CU184" t="str">
            <v>2005q4</v>
          </cell>
          <cell r="CV184" t="str">
            <v>2006q1</v>
          </cell>
          <cell r="CW184" t="str">
            <v>2006q2</v>
          </cell>
          <cell r="CX184" t="str">
            <v>2006q3</v>
          </cell>
          <cell r="CY184" t="str">
            <v>2006q4</v>
          </cell>
          <cell r="CZ184" t="str">
            <v>2007q1</v>
          </cell>
          <cell r="DA184" t="str">
            <v>2007q2</v>
          </cell>
          <cell r="DB184" t="str">
            <v>2007q3</v>
          </cell>
          <cell r="DC184" t="str">
            <v>2007q4</v>
          </cell>
          <cell r="DD184" t="str">
            <v>2008q1</v>
          </cell>
          <cell r="DE184" t="str">
            <v>2008q2</v>
          </cell>
          <cell r="DF184" t="str">
            <v>2008q3</v>
          </cell>
          <cell r="DG184" t="str">
            <v>2008q4</v>
          </cell>
          <cell r="DH184" t="str">
            <v>2009q1</v>
          </cell>
          <cell r="DI184" t="str">
            <v>2009q2</v>
          </cell>
          <cell r="DJ184" t="str">
            <v>2009q3</v>
          </cell>
          <cell r="DK184" t="str">
            <v>2009q4</v>
          </cell>
          <cell r="DL184" t="str">
            <v>2010q1</v>
          </cell>
          <cell r="DM184" t="str">
            <v>2010q2</v>
          </cell>
          <cell r="DN184" t="str">
            <v>2010q3</v>
          </cell>
          <cell r="DO184" t="str">
            <v>2010q4</v>
          </cell>
          <cell r="DP184" t="str">
            <v>2011q1</v>
          </cell>
          <cell r="DQ184" t="str">
            <v>2011q2</v>
          </cell>
          <cell r="DR184" t="str">
            <v>2011q3</v>
          </cell>
          <cell r="DS184" t="str">
            <v>2011q4</v>
          </cell>
          <cell r="DT184" t="str">
            <v>2012q1</v>
          </cell>
          <cell r="DU184" t="str">
            <v>2012q2</v>
          </cell>
          <cell r="DV184" t="str">
            <v>2012q3</v>
          </cell>
          <cell r="DW184" t="str">
            <v>2012q4</v>
          </cell>
          <cell r="DX184" t="str">
            <v>2013q1</v>
          </cell>
          <cell r="DY184" t="str">
            <v>2013q2</v>
          </cell>
          <cell r="DZ184" t="str">
            <v>2013q3</v>
          </cell>
          <cell r="EA184" t="str">
            <v>2013q4</v>
          </cell>
          <cell r="EB184" t="str">
            <v>2014q1e</v>
          </cell>
          <cell r="EC184" t="str">
            <v>2014q2e</v>
          </cell>
          <cell r="ED184" t="str">
            <v>2014q3e</v>
          </cell>
          <cell r="EE184" t="str">
            <v>2014q4e</v>
          </cell>
        </row>
        <row r="186">
          <cell r="A186" t="str">
            <v>Change in EBITDA ($mm)</v>
          </cell>
          <cell r="B186">
            <v>0</v>
          </cell>
          <cell r="Z186">
            <v>565.35058762183564</v>
          </cell>
          <cell r="AA186">
            <v>-191.28438353424633</v>
          </cell>
          <cell r="AB186">
            <v>264.85528894378547</v>
          </cell>
          <cell r="AC186">
            <v>30.94306863744589</v>
          </cell>
          <cell r="AD186">
            <v>3.1132360609375951</v>
          </cell>
          <cell r="AE186">
            <v>34.410951819940863</v>
          </cell>
          <cell r="AF186">
            <v>37.29592633233392</v>
          </cell>
          <cell r="AG186">
            <v>-72.808604329924947</v>
          </cell>
          <cell r="DL186">
            <v>75.498088219954866</v>
          </cell>
          <cell r="DM186">
            <v>106.4390414657785</v>
          </cell>
          <cell r="DN186">
            <v>72.535437138566806</v>
          </cell>
          <cell r="DO186">
            <v>-135.95950741076828</v>
          </cell>
          <cell r="DP186">
            <v>91.002630389065374</v>
          </cell>
          <cell r="DQ186">
            <v>-53.196989293062593</v>
          </cell>
          <cell r="DR186">
            <v>-168.56898998638843</v>
          </cell>
          <cell r="DS186">
            <v>-98.580417088626646</v>
          </cell>
          <cell r="DT186">
            <v>18.279061507816238</v>
          </cell>
          <cell r="DU186">
            <v>149.59390788563283</v>
          </cell>
          <cell r="DV186">
            <v>-90.00154337390228</v>
          </cell>
          <cell r="DW186">
            <v>59.642628980252795</v>
          </cell>
          <cell r="DX186">
            <v>101.65481765795114</v>
          </cell>
          <cell r="DY186">
            <v>22.632322808112974</v>
          </cell>
          <cell r="DZ186">
            <v>9.693447053345114</v>
          </cell>
          <cell r="EA186">
            <v>-65.465247497107271</v>
          </cell>
          <cell r="EB186">
            <v>17.776184691560353</v>
          </cell>
          <cell r="EC186">
            <v>-2.5841823673237343</v>
          </cell>
          <cell r="ED186">
            <v>-0.88971528107462916</v>
          </cell>
          <cell r="EE186">
            <v>-1.7223712665447266</v>
          </cell>
        </row>
        <row r="188">
          <cell r="A188" t="str">
            <v>Base Case</v>
          </cell>
          <cell r="EB188" t="str">
            <v xml:space="preserve"> </v>
          </cell>
        </row>
        <row r="189">
          <cell r="A189" t="str">
            <v>Brent price (US$/bbl)</v>
          </cell>
          <cell r="T189">
            <v>72.627499999999998</v>
          </cell>
          <cell r="U189">
            <v>97.512499999999989</v>
          </cell>
          <cell r="V189">
            <v>61.922499999999999</v>
          </cell>
          <cell r="W189">
            <v>79.917500000000004</v>
          </cell>
          <cell r="X189">
            <v>111.30416666666667</v>
          </cell>
          <cell r="Y189">
            <v>111.42688461538462</v>
          </cell>
          <cell r="Z189">
            <v>108.8339393939394</v>
          </cell>
          <cell r="AA189">
            <v>104.625</v>
          </cell>
          <cell r="AB189">
            <v>98.625</v>
          </cell>
          <cell r="AC189">
            <v>94.625</v>
          </cell>
          <cell r="AD189">
            <v>92.125</v>
          </cell>
          <cell r="AE189">
            <v>90.125</v>
          </cell>
          <cell r="AF189">
            <v>89.125</v>
          </cell>
          <cell r="AG189">
            <v>88.125</v>
          </cell>
          <cell r="CF189">
            <v>19.829999999999998</v>
          </cell>
          <cell r="CG189">
            <v>25.06</v>
          </cell>
          <cell r="CH189">
            <v>27.29</v>
          </cell>
          <cell r="CI189">
            <v>26.79</v>
          </cell>
          <cell r="CJ189">
            <v>33.049999999999997</v>
          </cell>
          <cell r="CK189">
            <v>27.09</v>
          </cell>
          <cell r="CL189">
            <v>28.81</v>
          </cell>
          <cell r="CM189">
            <v>29.46</v>
          </cell>
          <cell r="CN189">
            <v>34.15</v>
          </cell>
          <cell r="CO189">
            <v>37</v>
          </cell>
          <cell r="CP189">
            <v>41.77</v>
          </cell>
          <cell r="CQ189">
            <v>42.32</v>
          </cell>
          <cell r="CR189">
            <v>45.02</v>
          </cell>
          <cell r="CS189">
            <v>50.13</v>
          </cell>
          <cell r="CT189">
            <v>60.92</v>
          </cell>
          <cell r="CU189">
            <v>57.96</v>
          </cell>
          <cell r="CV189">
            <v>60.94</v>
          </cell>
          <cell r="CW189">
            <v>68.91</v>
          </cell>
          <cell r="CX189">
            <v>69.180000000000007</v>
          </cell>
          <cell r="CY189">
            <v>55.53</v>
          </cell>
          <cell r="CZ189">
            <v>58.24</v>
          </cell>
          <cell r="DA189">
            <v>68.680000000000007</v>
          </cell>
          <cell r="DB189">
            <v>74.89</v>
          </cell>
          <cell r="DC189">
            <v>88.7</v>
          </cell>
          <cell r="DD189">
            <v>96.7</v>
          </cell>
          <cell r="DE189">
            <v>122.18</v>
          </cell>
          <cell r="DF189">
            <v>115.39</v>
          </cell>
          <cell r="DG189">
            <v>55.78</v>
          </cell>
          <cell r="DH189">
            <v>44.74</v>
          </cell>
          <cell r="DI189">
            <v>59.15</v>
          </cell>
          <cell r="DJ189">
            <v>68.61</v>
          </cell>
          <cell r="DK189">
            <v>75.19</v>
          </cell>
          <cell r="DL189">
            <v>76.83</v>
          </cell>
          <cell r="DM189">
            <v>78.900000000000006</v>
          </cell>
          <cell r="DN189">
            <v>76.98</v>
          </cell>
          <cell r="DO189">
            <v>86.96</v>
          </cell>
          <cell r="DP189">
            <v>105.26</v>
          </cell>
          <cell r="DQ189">
            <v>117.16</v>
          </cell>
          <cell r="DR189">
            <v>113.38</v>
          </cell>
          <cell r="DS189">
            <v>109.41666666666667</v>
          </cell>
          <cell r="DT189">
            <v>118.44</v>
          </cell>
          <cell r="DU189">
            <v>108.74666666666667</v>
          </cell>
          <cell r="DV189">
            <v>108.39753846153847</v>
          </cell>
          <cell r="DW189">
            <v>110.12333333333333</v>
          </cell>
          <cell r="DX189">
            <v>113.17</v>
          </cell>
          <cell r="DY189">
            <v>103.36</v>
          </cell>
          <cell r="DZ189">
            <v>110.20666666666666</v>
          </cell>
          <cell r="EA189">
            <v>108.59909090909095</v>
          </cell>
          <cell r="EB189">
            <v>107</v>
          </cell>
          <cell r="EC189">
            <v>105</v>
          </cell>
          <cell r="ED189">
            <v>104</v>
          </cell>
          <cell r="EE189">
            <v>102.5</v>
          </cell>
        </row>
        <row r="190">
          <cell r="A190" t="str">
            <v>USD/EUR</v>
          </cell>
          <cell r="O190">
            <v>0.94551374999999993</v>
          </cell>
          <cell r="P190">
            <v>1.1321939999999999</v>
          </cell>
          <cell r="Q190">
            <v>1.24416525</v>
          </cell>
          <cell r="R190">
            <v>1.24469125</v>
          </cell>
          <cell r="S190">
            <v>1.2565857499999999</v>
          </cell>
          <cell r="T190">
            <v>1.3705699999999998</v>
          </cell>
          <cell r="U190">
            <v>1.4715164999999999</v>
          </cell>
          <cell r="V190">
            <v>1.3938954999999997</v>
          </cell>
          <cell r="W190">
            <v>1.3268592499999998</v>
          </cell>
          <cell r="X190">
            <v>1.3923287499999999</v>
          </cell>
          <cell r="Y190">
            <v>1.2859309999999999</v>
          </cell>
          <cell r="Z190">
            <v>1.32832325</v>
          </cell>
          <cell r="AA190">
            <v>1.32832325</v>
          </cell>
          <cell r="AB190">
            <v>1.32832325</v>
          </cell>
          <cell r="AC190">
            <v>1.32832325</v>
          </cell>
          <cell r="AD190">
            <v>1.32832325</v>
          </cell>
          <cell r="AE190">
            <v>1.32832325</v>
          </cell>
          <cell r="AF190">
            <v>1.32832325</v>
          </cell>
          <cell r="AG190">
            <v>1.32832325</v>
          </cell>
          <cell r="BX190">
            <v>0.98701099999999997</v>
          </cell>
          <cell r="BY190">
            <v>0.93428099999999992</v>
          </cell>
          <cell r="BZ190">
            <v>0.90488799999999991</v>
          </cell>
          <cell r="CA190">
            <v>0.86918999999999991</v>
          </cell>
          <cell r="CB190">
            <v>0.922956</v>
          </cell>
          <cell r="CC190">
            <v>0.87424099999999993</v>
          </cell>
          <cell r="CD190">
            <v>0.89154999999999995</v>
          </cell>
          <cell r="CE190">
            <v>0.89533699999999994</v>
          </cell>
          <cell r="CF190">
            <v>0.877274</v>
          </cell>
          <cell r="CG190">
            <v>0.91924399999999995</v>
          </cell>
          <cell r="CH190">
            <v>0.98403299999999994</v>
          </cell>
          <cell r="CI190">
            <v>1.0015039999999999</v>
          </cell>
          <cell r="CJ190">
            <v>1.073088</v>
          </cell>
          <cell r="CK190">
            <v>1.137313</v>
          </cell>
          <cell r="CL190">
            <v>1.1262889999999999</v>
          </cell>
          <cell r="CM190">
            <v>1.192086</v>
          </cell>
          <cell r="CN190">
            <v>1.2495699999999998</v>
          </cell>
          <cell r="CO190">
            <v>1.205411</v>
          </cell>
          <cell r="CP190">
            <v>1.2228129999999999</v>
          </cell>
          <cell r="CQ190">
            <v>1.298867</v>
          </cell>
          <cell r="CR190">
            <v>1.3106139999999999</v>
          </cell>
          <cell r="CS190">
            <v>1.258859</v>
          </cell>
          <cell r="CT190">
            <v>1.220056</v>
          </cell>
          <cell r="CU190">
            <v>1.189236</v>
          </cell>
          <cell r="CV190">
            <v>1.203276</v>
          </cell>
          <cell r="CW190">
            <v>1.2583689999999998</v>
          </cell>
          <cell r="CX190">
            <v>1.274559</v>
          </cell>
          <cell r="CY190">
            <v>1.2901389999999999</v>
          </cell>
          <cell r="CZ190">
            <v>1.311035</v>
          </cell>
          <cell r="DA190">
            <v>1.3482559999999999</v>
          </cell>
          <cell r="DB190">
            <v>1.374655</v>
          </cell>
          <cell r="DC190">
            <v>1.448334</v>
          </cell>
          <cell r="DD190">
            <v>1.499206</v>
          </cell>
          <cell r="DE190">
            <v>1.5631219999999999</v>
          </cell>
          <cell r="DF190">
            <v>1.503617</v>
          </cell>
          <cell r="DG190">
            <v>1.3201209999999999</v>
          </cell>
          <cell r="DH190">
            <v>1.306173</v>
          </cell>
          <cell r="DI190">
            <v>1.3627259999999999</v>
          </cell>
          <cell r="DJ190">
            <v>1.43014</v>
          </cell>
          <cell r="DK190">
            <v>1.4765429999999999</v>
          </cell>
          <cell r="DL190">
            <v>1.3837969999999999</v>
          </cell>
          <cell r="DM190">
            <v>1.272521</v>
          </cell>
          <cell r="DN190">
            <v>1.29301</v>
          </cell>
          <cell r="DO190">
            <v>1.358109</v>
          </cell>
          <cell r="DP190">
            <v>1.369478</v>
          </cell>
          <cell r="DQ190">
            <v>1.4399579999999998</v>
          </cell>
          <cell r="DR190">
            <v>1.4127209999999999</v>
          </cell>
          <cell r="DS190">
            <v>1.3471579999999999</v>
          </cell>
          <cell r="DT190">
            <v>1.3118559999999999</v>
          </cell>
          <cell r="DU190">
            <v>1.28318</v>
          </cell>
          <cell r="DV190">
            <v>1.251085</v>
          </cell>
          <cell r="DW190">
            <v>1.2976029999999998</v>
          </cell>
          <cell r="DX190">
            <v>1.3200149999999999</v>
          </cell>
          <cell r="DY190">
            <v>1.3062669999999998</v>
          </cell>
          <cell r="DZ190">
            <v>1.325461</v>
          </cell>
          <cell r="EA190">
            <v>1.36155</v>
          </cell>
          <cell r="EB190">
            <v>1.36155</v>
          </cell>
          <cell r="EC190">
            <v>1.36155</v>
          </cell>
          <cell r="ED190">
            <v>1.36155</v>
          </cell>
          <cell r="EE190">
            <v>1.36155</v>
          </cell>
        </row>
        <row r="191">
          <cell r="A191" t="str">
            <v>growth</v>
          </cell>
          <cell r="P191">
            <v>0.19743790082375856</v>
          </cell>
          <cell r="Q191">
            <v>9.889758292306805E-2</v>
          </cell>
          <cell r="R191">
            <v>4.2277342177809984E-4</v>
          </cell>
          <cell r="S191">
            <v>9.5561851181968915E-3</v>
          </cell>
          <cell r="T191">
            <v>9.0709487991567528E-2</v>
          </cell>
          <cell r="U191">
            <v>7.3652932721422593E-2</v>
          </cell>
          <cell r="V191">
            <v>-5.2748983786454429E-2</v>
          </cell>
          <cell r="W191">
            <v>-4.809273722456231E-2</v>
          </cell>
          <cell r="X191">
            <v>4.9341706740937408E-2</v>
          </cell>
          <cell r="Y191">
            <v>-7.6417117724531636E-2</v>
          </cell>
          <cell r="Z191">
            <v>3.2966193364962759E-2</v>
          </cell>
          <cell r="AA191">
            <v>0</v>
          </cell>
          <cell r="AB191">
            <v>0</v>
          </cell>
          <cell r="AC191">
            <v>0</v>
          </cell>
          <cell r="AD191">
            <v>0</v>
          </cell>
          <cell r="AE191">
            <v>0</v>
          </cell>
          <cell r="AF191">
            <v>0</v>
          </cell>
          <cell r="AG191">
            <v>0</v>
          </cell>
          <cell r="DD191">
            <v>0.14352858619335107</v>
          </cell>
          <cell r="DE191">
            <v>0.15936587710345806</v>
          </cell>
          <cell r="DF191">
            <v>9.3814084261141906E-2</v>
          </cell>
          <cell r="DG191">
            <v>-8.8524470184363602E-2</v>
          </cell>
          <cell r="DH191">
            <v>-0.12875682194441596</v>
          </cell>
          <cell r="DI191">
            <v>-0.12820240518654336</v>
          </cell>
          <cell r="DJ191">
            <v>-4.886683244469836E-2</v>
          </cell>
          <cell r="DK191">
            <v>0.11849065350827703</v>
          </cell>
          <cell r="DL191">
            <v>5.9428574928436007E-2</v>
          </cell>
          <cell r="DM191">
            <v>-6.6194524798088406E-2</v>
          </cell>
          <cell r="DN191">
            <v>-9.5885717482204536E-2</v>
          </cell>
          <cell r="DO191">
            <v>-8.0210329126886193E-2</v>
          </cell>
          <cell r="DP191">
            <v>-1.0347616015932926E-2</v>
          </cell>
          <cell r="DQ191">
            <v>0.13157896804846425</v>
          </cell>
          <cell r="DR191">
            <v>9.2583197345728063E-2</v>
          </cell>
          <cell r="DS191">
            <v>-8.0634175901935778E-3</v>
          </cell>
          <cell r="DT191">
            <v>-4.2075885848476657E-2</v>
          </cell>
          <cell r="DU191">
            <v>-0.10887678668405598</v>
          </cell>
          <cell r="DV191">
            <v>-0.11441466503293996</v>
          </cell>
          <cell r="DW191">
            <v>-3.6784846320921494E-2</v>
          </cell>
          <cell r="DX191">
            <v>6.2194326206534978E-3</v>
          </cell>
          <cell r="DY191">
            <v>1.7992019825745276E-2</v>
          </cell>
          <cell r="DZ191">
            <v>5.9449198096052536E-2</v>
          </cell>
          <cell r="EA191">
            <v>4.9280866335851714E-2</v>
          </cell>
          <cell r="EB191">
            <v>3.146555152782371E-2</v>
          </cell>
          <cell r="EC191">
            <v>4.232136309039447E-2</v>
          </cell>
          <cell r="ED191">
            <v>2.7227508014192825E-2</v>
          </cell>
          <cell r="EE191">
            <v>0</v>
          </cell>
        </row>
        <row r="192">
          <cell r="EC192" t="str">
            <v xml:space="preserve"> </v>
          </cell>
        </row>
        <row r="193">
          <cell r="A193" t="str">
            <v>Ethylene cash costs (European naphtha) ($/mt)</v>
          </cell>
          <cell r="W193">
            <v>864.96811690767788</v>
          </cell>
          <cell r="X193">
            <v>1118.5478000000001</v>
          </cell>
          <cell r="Y193">
            <v>1105.3083333333334</v>
          </cell>
          <cell r="Z193">
            <v>1018.5283333333333</v>
          </cell>
          <cell r="AA193">
            <v>1100.8679705</v>
          </cell>
          <cell r="AB193">
            <v>1043.4361385</v>
          </cell>
          <cell r="AC193">
            <v>1005.1482505</v>
          </cell>
          <cell r="AD193">
            <v>981.2183205</v>
          </cell>
          <cell r="AE193">
            <v>962.07437649999997</v>
          </cell>
          <cell r="AF193">
            <v>952.50240450000001</v>
          </cell>
          <cell r="AG193">
            <v>942.93043250000005</v>
          </cell>
          <cell r="DN193">
            <v>754.42919999999992</v>
          </cell>
          <cell r="DO193">
            <v>1063.6504</v>
          </cell>
          <cell r="DP193">
            <v>1042.0511999999999</v>
          </cell>
          <cell r="DQ193">
            <v>1125.58</v>
          </cell>
          <cell r="DR193">
            <v>1158.44</v>
          </cell>
          <cell r="DS193">
            <v>1148.1199999999999</v>
          </cell>
          <cell r="DT193">
            <v>1309.5899999999999</v>
          </cell>
          <cell r="DU193">
            <v>907.50333333333322</v>
          </cell>
          <cell r="DV193">
            <v>1090.6199999999999</v>
          </cell>
          <cell r="DW193">
            <v>1113.52</v>
          </cell>
          <cell r="DX193">
            <v>1054.8833333333334</v>
          </cell>
          <cell r="DY193">
            <v>846.44333333333327</v>
          </cell>
          <cell r="DZ193">
            <v>1018.8166666666666</v>
          </cell>
          <cell r="EA193">
            <v>1153.97</v>
          </cell>
          <cell r="EB193">
            <v>1123.601404</v>
          </cell>
          <cell r="EC193">
            <v>1104.4574599999999</v>
          </cell>
          <cell r="ED193">
            <v>1094.8854879999999</v>
          </cell>
          <cell r="EE193">
            <v>1080.5275300000001</v>
          </cell>
        </row>
        <row r="194">
          <cell r="A194" t="str">
            <v>Ethylene cash costs (European naphtha) (c/lb)</v>
          </cell>
          <cell r="M194">
            <v>16.019805239955307</v>
          </cell>
          <cell r="N194">
            <v>14.496736558628497</v>
          </cell>
          <cell r="O194">
            <v>14.378507707288847</v>
          </cell>
          <cell r="P194">
            <v>15.917187526029586</v>
          </cell>
          <cell r="Q194">
            <v>19.734084164179233</v>
          </cell>
          <cell r="R194">
            <v>25.240253288035902</v>
          </cell>
          <cell r="S194">
            <v>29.923530253294174</v>
          </cell>
          <cell r="T194">
            <v>37.179424386020315</v>
          </cell>
          <cell r="U194">
            <v>54.695191123256983</v>
          </cell>
          <cell r="V194">
            <v>33.281637108486166</v>
          </cell>
          <cell r="W194">
            <v>39.2453773551578</v>
          </cell>
          <cell r="X194">
            <v>50.750807622504539</v>
          </cell>
          <cell r="Y194">
            <v>50.150105868118573</v>
          </cell>
          <cell r="Z194">
            <v>46.212719298245617</v>
          </cell>
          <cell r="AA194">
            <v>49.948637500000004</v>
          </cell>
          <cell r="AB194">
            <v>47.342837500000002</v>
          </cell>
          <cell r="AC194">
            <v>45.6056375</v>
          </cell>
          <cell r="AD194">
            <v>44.519887500000003</v>
          </cell>
          <cell r="AE194">
            <v>43.651287500000002</v>
          </cell>
          <cell r="AF194">
            <v>43.216987500000002</v>
          </cell>
          <cell r="AG194">
            <v>42.782687500000002</v>
          </cell>
          <cell r="BX194">
            <v>18.403406686749253</v>
          </cell>
          <cell r="BY194">
            <v>13.406814571587164</v>
          </cell>
          <cell r="BZ194">
            <v>15.644370614927888</v>
          </cell>
          <cell r="CA194">
            <v>16.624629086556926</v>
          </cell>
          <cell r="CB194">
            <v>15.85034691031762</v>
          </cell>
          <cell r="CC194">
            <v>17.842706037976395</v>
          </cell>
          <cell r="CD194">
            <v>13.965625252150108</v>
          </cell>
          <cell r="CE194">
            <v>10.328268034069856</v>
          </cell>
          <cell r="CF194">
            <v>15.11584478496067</v>
          </cell>
          <cell r="CG194">
            <v>13.762370510982661</v>
          </cell>
          <cell r="CH194">
            <v>13.649048017115964</v>
          </cell>
          <cell r="CI194">
            <v>14.986767516096098</v>
          </cell>
          <cell r="CJ194">
            <v>20.216808504547291</v>
          </cell>
          <cell r="CK194">
            <v>7.3956421621039157</v>
          </cell>
          <cell r="CL194">
            <v>16.708815830499521</v>
          </cell>
          <cell r="CM194">
            <v>19.347483606967618</v>
          </cell>
          <cell r="CN194">
            <v>19.86250750404318</v>
          </cell>
          <cell r="CO194">
            <v>19.444507014991977</v>
          </cell>
          <cell r="CP194">
            <v>19.265564824876922</v>
          </cell>
          <cell r="CQ194">
            <v>20.363757312804854</v>
          </cell>
          <cell r="CR194">
            <v>19.91541149417521</v>
          </cell>
          <cell r="CS194">
            <v>20.484685038748264</v>
          </cell>
          <cell r="CT194">
            <v>32.045544980089751</v>
          </cell>
          <cell r="CU194">
            <v>28.51537163913039</v>
          </cell>
          <cell r="CV194">
            <v>30.911896688543759</v>
          </cell>
          <cell r="CW194">
            <v>33.948198656632968</v>
          </cell>
          <cell r="CX194">
            <v>31.174965143618699</v>
          </cell>
          <cell r="CY194">
            <v>23.65906052438126</v>
          </cell>
          <cell r="CZ194">
            <v>27.830447159856014</v>
          </cell>
          <cell r="DA194">
            <v>35.772259895134951</v>
          </cell>
          <cell r="DB194">
            <v>36.501485229249795</v>
          </cell>
          <cell r="DC194">
            <v>48.613505259840494</v>
          </cell>
          <cell r="DD194">
            <v>48.466616930565657</v>
          </cell>
          <cell r="DE194">
            <v>61.357787695504406</v>
          </cell>
          <cell r="DF194">
            <v>54.261168743700892</v>
          </cell>
          <cell r="DH194">
            <v>28.802707286020677</v>
          </cell>
          <cell r="DI194">
            <v>31.783292991281503</v>
          </cell>
          <cell r="DJ194">
            <v>32.64483121983632</v>
          </cell>
          <cell r="DK194">
            <v>39.895716936806174</v>
          </cell>
          <cell r="DL194">
            <v>39.694488241559753</v>
          </cell>
          <cell r="DM194">
            <v>34.79702117907145</v>
          </cell>
          <cell r="DN194">
            <v>34.229999999999997</v>
          </cell>
          <cell r="DO194">
            <v>48.26</v>
          </cell>
          <cell r="DP194">
            <v>47.279999999999994</v>
          </cell>
          <cell r="DQ194">
            <v>51.069872958257712</v>
          </cell>
          <cell r="DR194">
            <v>52.560798548094375</v>
          </cell>
          <cell r="DS194">
            <v>52.092558983666059</v>
          </cell>
          <cell r="DT194">
            <v>59.418784029038115</v>
          </cell>
          <cell r="DU194">
            <v>41.175287356321839</v>
          </cell>
          <cell r="DV194">
            <v>49.483666061705989</v>
          </cell>
          <cell r="DW194">
            <v>50.522686025408348</v>
          </cell>
          <cell r="DX194">
            <v>47.86222020568664</v>
          </cell>
          <cell r="DY194">
            <v>38.404869933454322</v>
          </cell>
          <cell r="DZ194">
            <v>46.225801572897758</v>
          </cell>
          <cell r="EA194">
            <v>52.357985480943739</v>
          </cell>
          <cell r="EB194">
            <v>50.9801</v>
          </cell>
          <cell r="EC194">
            <v>50.111499999999999</v>
          </cell>
          <cell r="ED194">
            <v>49.677199999999999</v>
          </cell>
          <cell r="EE194">
            <v>49.025750000000002</v>
          </cell>
        </row>
        <row r="195">
          <cell r="EC195" t="str">
            <v xml:space="preserve"> </v>
          </cell>
        </row>
        <row r="196">
          <cell r="A196" t="str">
            <v>Ethylene price (average acquisition, Eur) (EUR/mt)</v>
          </cell>
          <cell r="M196">
            <v>663.75</v>
          </cell>
          <cell r="N196">
            <v>616.5</v>
          </cell>
          <cell r="O196">
            <v>517</v>
          </cell>
          <cell r="P196">
            <v>526.75</v>
          </cell>
          <cell r="Q196">
            <v>630.5</v>
          </cell>
          <cell r="R196">
            <v>738.75</v>
          </cell>
          <cell r="S196">
            <v>862.5</v>
          </cell>
          <cell r="T196">
            <v>903.75</v>
          </cell>
          <cell r="U196">
            <v>1102.25</v>
          </cell>
          <cell r="V196">
            <v>736.50000000000011</v>
          </cell>
          <cell r="W196">
            <v>951.75</v>
          </cell>
          <cell r="X196">
            <v>1139.5841666666668</v>
          </cell>
          <cell r="Y196">
            <v>1239.0833333333335</v>
          </cell>
          <cell r="Z196">
            <v>1230</v>
          </cell>
          <cell r="AA196">
            <v>1100.1008009521133</v>
          </cell>
          <cell r="AB196">
            <v>1045.3629700844065</v>
          </cell>
          <cell r="AC196">
            <v>1033.9663466733921</v>
          </cell>
          <cell r="AD196">
            <v>1023.6083684309148</v>
          </cell>
          <cell r="AE196">
            <v>956.6183671160785</v>
          </cell>
          <cell r="AF196">
            <v>898.78128221314739</v>
          </cell>
          <cell r="AG196">
            <v>891.29253242158882</v>
          </cell>
          <cell r="BX196">
            <v>580</v>
          </cell>
          <cell r="BY196">
            <v>685</v>
          </cell>
          <cell r="BZ196">
            <v>685</v>
          </cell>
          <cell r="CA196">
            <v>705</v>
          </cell>
          <cell r="CB196">
            <v>665</v>
          </cell>
          <cell r="CC196">
            <v>640</v>
          </cell>
          <cell r="CD196">
            <v>608</v>
          </cell>
          <cell r="CE196">
            <v>553</v>
          </cell>
          <cell r="CF196">
            <v>473</v>
          </cell>
          <cell r="CG196">
            <v>540</v>
          </cell>
          <cell r="CH196">
            <v>540</v>
          </cell>
          <cell r="CI196">
            <v>515</v>
          </cell>
          <cell r="CJ196">
            <v>575</v>
          </cell>
          <cell r="CK196">
            <v>575</v>
          </cell>
          <cell r="CL196">
            <v>445</v>
          </cell>
          <cell r="CM196">
            <v>512</v>
          </cell>
          <cell r="CN196">
            <v>580</v>
          </cell>
          <cell r="CO196">
            <v>607</v>
          </cell>
          <cell r="CP196">
            <v>635</v>
          </cell>
          <cell r="CQ196">
            <v>700</v>
          </cell>
          <cell r="CR196">
            <v>740</v>
          </cell>
          <cell r="CS196">
            <v>750</v>
          </cell>
          <cell r="CT196">
            <v>640</v>
          </cell>
          <cell r="CU196">
            <v>825</v>
          </cell>
          <cell r="CV196">
            <v>785</v>
          </cell>
          <cell r="CW196">
            <v>865</v>
          </cell>
          <cell r="CX196">
            <v>900</v>
          </cell>
          <cell r="CY196">
            <v>900</v>
          </cell>
          <cell r="CZ196">
            <v>855</v>
          </cell>
          <cell r="DA196">
            <v>890</v>
          </cell>
          <cell r="DB196">
            <v>925</v>
          </cell>
          <cell r="DC196">
            <v>945</v>
          </cell>
          <cell r="DD196">
            <v>1023</v>
          </cell>
          <cell r="DE196">
            <v>1038</v>
          </cell>
          <cell r="DF196">
            <v>1228</v>
          </cell>
          <cell r="DG196">
            <v>1120</v>
          </cell>
          <cell r="DH196">
            <v>595</v>
          </cell>
          <cell r="DI196">
            <v>688.33333333333337</v>
          </cell>
          <cell r="DJ196">
            <v>818.33333333333337</v>
          </cell>
          <cell r="DK196">
            <v>844.33333333333337</v>
          </cell>
          <cell r="DL196">
            <v>916.66666666666663</v>
          </cell>
          <cell r="DM196">
            <v>963.33333333333337</v>
          </cell>
          <cell r="DN196">
            <v>949.33333333333337</v>
          </cell>
          <cell r="DO196">
            <v>977.66666666666663</v>
          </cell>
          <cell r="DP196">
            <v>1146.67</v>
          </cell>
          <cell r="DQ196">
            <v>1206.67</v>
          </cell>
          <cell r="DR196">
            <v>1108.33</v>
          </cell>
          <cell r="DS196">
            <v>1096.6666666666667</v>
          </cell>
          <cell r="DT196">
            <v>1214.6666666666667</v>
          </cell>
          <cell r="DU196">
            <v>1291.6666666666667</v>
          </cell>
          <cell r="DV196">
            <v>1170</v>
          </cell>
          <cell r="DW196">
            <v>1280</v>
          </cell>
          <cell r="DX196">
            <v>1291.6666666666667</v>
          </cell>
          <cell r="DY196">
            <v>1200</v>
          </cell>
          <cell r="DZ196">
            <v>1213.3333333333333</v>
          </cell>
          <cell r="EA196">
            <v>1215</v>
          </cell>
          <cell r="EB196">
            <v>1119.3805157348611</v>
          </cell>
          <cell r="EC196">
            <v>1103.1449664441261</v>
          </cell>
          <cell r="ED196">
            <v>1095.0271917987586</v>
          </cell>
          <cell r="EE196">
            <v>1082.8505298307077</v>
          </cell>
        </row>
        <row r="197">
          <cell r="A197" t="str">
            <v>Ethylene price (average acquisition, Eur) ($/mt)</v>
          </cell>
          <cell r="M197">
            <v>611.26902374999986</v>
          </cell>
          <cell r="N197">
            <v>552.61593525000001</v>
          </cell>
          <cell r="O197">
            <v>489.62368549999997</v>
          </cell>
          <cell r="P197">
            <v>595.63180299999999</v>
          </cell>
          <cell r="Q197">
            <v>785.53205800000001</v>
          </cell>
          <cell r="R197">
            <v>918.98853749999989</v>
          </cell>
          <cell r="S197">
            <v>1085.3222612500001</v>
          </cell>
          <cell r="T197">
            <v>1240.2785675</v>
          </cell>
          <cell r="U197">
            <v>1620.2963924999999</v>
          </cell>
          <cell r="V197">
            <v>1033.0520928333335</v>
          </cell>
          <cell r="W197">
            <v>1262.4044680833333</v>
          </cell>
          <cell r="X197">
            <v>1587.7594493458332</v>
          </cell>
          <cell r="Y197">
            <v>1593.9024694999998</v>
          </cell>
          <cell r="Z197">
            <v>1633.7622595833332</v>
          </cell>
          <cell r="AA197">
            <v>1497.84224553635</v>
          </cell>
          <cell r="AB197">
            <v>1388.5799378521715</v>
          </cell>
          <cell r="AC197">
            <v>1373.4415380038267</v>
          </cell>
          <cell r="AD197">
            <v>1359.6827946813501</v>
          </cell>
          <cell r="AE197">
            <v>1270.6984184173225</v>
          </cell>
          <cell r="AF197">
            <v>1193.8720738285351</v>
          </cell>
          <cell r="AG197">
            <v>1183.9245933669752</v>
          </cell>
          <cell r="BX197">
            <v>572.46637999999996</v>
          </cell>
          <cell r="BY197">
            <v>639.982485</v>
          </cell>
          <cell r="BZ197">
            <v>619.84827999999993</v>
          </cell>
          <cell r="CA197">
            <v>612.7789499999999</v>
          </cell>
          <cell r="CB197">
            <v>613.76574000000005</v>
          </cell>
          <cell r="CC197">
            <v>559.51423999999997</v>
          </cell>
          <cell r="CD197">
            <v>542.06240000000003</v>
          </cell>
          <cell r="CE197">
            <v>495.12136099999998</v>
          </cell>
          <cell r="CF197">
            <v>414.950602</v>
          </cell>
          <cell r="CG197">
            <v>496.39175999999998</v>
          </cell>
          <cell r="CH197">
            <v>531.37781999999993</v>
          </cell>
          <cell r="CI197">
            <v>515.77455999999995</v>
          </cell>
          <cell r="CJ197">
            <v>617.02560000000005</v>
          </cell>
          <cell r="CK197">
            <v>653.95497499999999</v>
          </cell>
          <cell r="CL197">
            <v>501.19860499999993</v>
          </cell>
          <cell r="CM197">
            <v>610.34803199999999</v>
          </cell>
          <cell r="CN197">
            <v>724.75059999999996</v>
          </cell>
          <cell r="CO197">
            <v>731.68447700000002</v>
          </cell>
          <cell r="CP197">
            <v>776.48625499999991</v>
          </cell>
          <cell r="CQ197">
            <v>909.20690000000002</v>
          </cell>
          <cell r="CR197">
            <v>969.85435999999993</v>
          </cell>
          <cell r="CS197">
            <v>944.14424999999994</v>
          </cell>
          <cell r="CT197">
            <v>780.83583999999996</v>
          </cell>
          <cell r="CU197">
            <v>981.11969999999997</v>
          </cell>
          <cell r="CV197">
            <v>944.57166000000007</v>
          </cell>
          <cell r="CW197">
            <v>1088.4891849999999</v>
          </cell>
          <cell r="CX197">
            <v>1147.1031</v>
          </cell>
          <cell r="CY197">
            <v>1161.1251</v>
          </cell>
          <cell r="CZ197">
            <v>1120.934925</v>
          </cell>
          <cell r="DA197">
            <v>1199.9478399999998</v>
          </cell>
          <cell r="DB197">
            <v>1271.555875</v>
          </cell>
          <cell r="DC197">
            <v>1368.67563</v>
          </cell>
          <cell r="DD197">
            <v>1533.6877380000001</v>
          </cell>
          <cell r="DE197">
            <v>1622.520636</v>
          </cell>
          <cell r="DF197">
            <v>1846.4416759999999</v>
          </cell>
          <cell r="DG197">
            <v>1478.5355199999999</v>
          </cell>
          <cell r="DH197">
            <v>777.17293500000005</v>
          </cell>
          <cell r="DI197">
            <v>938.00972999999999</v>
          </cell>
          <cell r="DJ197">
            <v>1170.3312333333333</v>
          </cell>
          <cell r="DK197">
            <v>1246.694473</v>
          </cell>
          <cell r="DL197">
            <v>1268.4805833333332</v>
          </cell>
          <cell r="DM197">
            <v>1225.8618966666668</v>
          </cell>
          <cell r="DN197">
            <v>1227.4974933333333</v>
          </cell>
          <cell r="DO197">
            <v>1327.7778989999999</v>
          </cell>
          <cell r="DP197">
            <v>1570.33933826</v>
          </cell>
          <cell r="DQ197">
            <v>1737.5541198599999</v>
          </cell>
          <cell r="DR197">
            <v>1565.7610659299999</v>
          </cell>
          <cell r="DS197">
            <v>1477.3832733333334</v>
          </cell>
          <cell r="DT197">
            <v>1593.4677546666667</v>
          </cell>
          <cell r="DU197">
            <v>1657.4408333333333</v>
          </cell>
          <cell r="DV197">
            <v>1463.76945</v>
          </cell>
          <cell r="DW197">
            <v>1660.9318399999997</v>
          </cell>
          <cell r="DX197">
            <v>1705.0193750000001</v>
          </cell>
          <cell r="DY197">
            <v>1567.5203999999999</v>
          </cell>
          <cell r="DZ197">
            <v>1608.2260133333332</v>
          </cell>
          <cell r="EA197">
            <v>1654.28325</v>
          </cell>
          <cell r="EB197">
            <v>1524.0925411988001</v>
          </cell>
          <cell r="EC197">
            <v>1501.9870290619999</v>
          </cell>
          <cell r="ED197">
            <v>1490.9342729936</v>
          </cell>
          <cell r="EE197">
            <v>1474.3551388910003</v>
          </cell>
          <cell r="EF197" t="str">
            <v xml:space="preserve"> </v>
          </cell>
        </row>
        <row r="198">
          <cell r="A198" t="str">
            <v>Ethylene price (average acquisition, Eur) (c/lb)</v>
          </cell>
          <cell r="M198">
            <v>27.734529208257712</v>
          </cell>
          <cell r="N198">
            <v>25.073318296279496</v>
          </cell>
          <cell r="O198">
            <v>22.215230739564426</v>
          </cell>
          <cell r="P198">
            <v>27.025036433756807</v>
          </cell>
          <cell r="Q198">
            <v>35.641200453720508</v>
          </cell>
          <cell r="R198">
            <v>41.696394623411983</v>
          </cell>
          <cell r="S198">
            <v>49.243296789927406</v>
          </cell>
          <cell r="T198">
            <v>56.273982191470054</v>
          </cell>
          <cell r="U198">
            <v>73.51617025862069</v>
          </cell>
          <cell r="V198">
            <v>46.871692052329102</v>
          </cell>
          <cell r="W198">
            <v>57.277879677102234</v>
          </cell>
          <cell r="X198">
            <v>72.039902420409845</v>
          </cell>
          <cell r="Y198">
            <v>72.318623843012702</v>
          </cell>
          <cell r="Z198">
            <v>74.127144264216582</v>
          </cell>
          <cell r="AA198">
            <v>67.960174479870687</v>
          </cell>
          <cell r="AB198">
            <v>63.002719503274569</v>
          </cell>
          <cell r="AC198">
            <v>62.315859256071995</v>
          </cell>
          <cell r="AD198">
            <v>61.691596854870696</v>
          </cell>
          <cell r="AE198">
            <v>57.654193213127158</v>
          </cell>
          <cell r="AF198">
            <v>54.168424402383629</v>
          </cell>
          <cell r="AG198">
            <v>53.717086813383631</v>
          </cell>
          <cell r="BX198">
            <v>25.973973684210524</v>
          </cell>
          <cell r="BY198">
            <v>29.037317831215972</v>
          </cell>
          <cell r="BZ198">
            <v>28.123787658802176</v>
          </cell>
          <cell r="CA198">
            <v>27.803037658802175</v>
          </cell>
          <cell r="CB198">
            <v>27.84781034482759</v>
          </cell>
          <cell r="CC198">
            <v>25.386308529945552</v>
          </cell>
          <cell r="CD198">
            <v>24.594482758620693</v>
          </cell>
          <cell r="CE198">
            <v>22.464671551724138</v>
          </cell>
          <cell r="CF198">
            <v>18.827159800362978</v>
          </cell>
          <cell r="CG198">
            <v>22.522312159709617</v>
          </cell>
          <cell r="CH198">
            <v>24.109701451905625</v>
          </cell>
          <cell r="CI198">
            <v>23.40174954627949</v>
          </cell>
          <cell r="CJ198">
            <v>27.995716878402906</v>
          </cell>
          <cell r="CK198">
            <v>29.671278357531762</v>
          </cell>
          <cell r="CL198">
            <v>22.740408575317602</v>
          </cell>
          <cell r="CM198">
            <v>27.692741923774957</v>
          </cell>
          <cell r="CN198">
            <v>32.883421052631576</v>
          </cell>
          <cell r="CO198">
            <v>33.198025272232307</v>
          </cell>
          <cell r="CP198">
            <v>35.230773820326675</v>
          </cell>
          <cell r="CQ198">
            <v>41.252581669691473</v>
          </cell>
          <cell r="CR198">
            <v>44.004281306715065</v>
          </cell>
          <cell r="CS198">
            <v>42.837760889292198</v>
          </cell>
          <cell r="CT198">
            <v>35.42812341197822</v>
          </cell>
          <cell r="CU198">
            <v>44.515412885662435</v>
          </cell>
          <cell r="CV198">
            <v>42.857153357531764</v>
          </cell>
          <cell r="CW198">
            <v>49.386986615245007</v>
          </cell>
          <cell r="CX198">
            <v>52.046420145190567</v>
          </cell>
          <cell r="CY198">
            <v>52.682627041742286</v>
          </cell>
          <cell r="CZ198">
            <v>50.85911637931035</v>
          </cell>
          <cell r="DA198">
            <v>54.444094373865696</v>
          </cell>
          <cell r="DB198">
            <v>57.693097776769513</v>
          </cell>
          <cell r="DC198">
            <v>62.099620235934665</v>
          </cell>
          <cell r="DD198">
            <v>69.586557985480951</v>
          </cell>
          <cell r="DE198">
            <v>73.617088747731401</v>
          </cell>
          <cell r="DF198">
            <v>83.776845553539019</v>
          </cell>
          <cell r="DG198">
            <v>67.084188747731389</v>
          </cell>
          <cell r="DH198">
            <v>35.261929900181492</v>
          </cell>
          <cell r="DI198">
            <v>42.559425136116154</v>
          </cell>
          <cell r="DJ198">
            <v>53.100328191167577</v>
          </cell>
          <cell r="DK198">
            <v>56.565084981851186</v>
          </cell>
          <cell r="DL198">
            <v>57.553565486993342</v>
          </cell>
          <cell r="DM198">
            <v>55.619868269812471</v>
          </cell>
          <cell r="DN198">
            <v>55.69407864488808</v>
          </cell>
          <cell r="DO198">
            <v>60.244006306715065</v>
          </cell>
          <cell r="DP198">
            <v>71.249516254990922</v>
          </cell>
          <cell r="DQ198">
            <v>78.836393823048994</v>
          </cell>
          <cell r="DR198">
            <v>71.041790650181483</v>
          </cell>
          <cell r="DS198">
            <v>67.031908953418025</v>
          </cell>
          <cell r="DT198">
            <v>72.29889993950394</v>
          </cell>
          <cell r="DU198">
            <v>75.201489715668487</v>
          </cell>
          <cell r="DV198">
            <v>66.4142218693285</v>
          </cell>
          <cell r="DW198">
            <v>75.359883847549895</v>
          </cell>
          <cell r="DX198">
            <v>77.360225725952816</v>
          </cell>
          <cell r="DY198">
            <v>71.121615245009068</v>
          </cell>
          <cell r="DZ198">
            <v>72.968512401693886</v>
          </cell>
          <cell r="EA198">
            <v>75.058223684210532</v>
          </cell>
          <cell r="EB198">
            <v>69.151204228620699</v>
          </cell>
          <cell r="EC198">
            <v>68.148231808620693</v>
          </cell>
          <cell r="ED198">
            <v>67.646745598620697</v>
          </cell>
          <cell r="EE198">
            <v>66.894516283620703</v>
          </cell>
          <cell r="EF198" t="str">
            <v xml:space="preserve"> </v>
          </cell>
        </row>
        <row r="199">
          <cell r="A199" t="str">
            <v>Ethylene margin (c/lb)</v>
          </cell>
          <cell r="M199">
            <v>11.714723968302405</v>
          </cell>
          <cell r="N199">
            <v>10.576581737650999</v>
          </cell>
          <cell r="O199">
            <v>7.8367230322755788</v>
          </cell>
          <cell r="P199">
            <v>11.10784890772722</v>
          </cell>
          <cell r="Q199">
            <v>15.907116289541275</v>
          </cell>
          <cell r="R199">
            <v>16.456141335376081</v>
          </cell>
          <cell r="S199">
            <v>19.319766536633232</v>
          </cell>
          <cell r="T199">
            <v>19.094557805449739</v>
          </cell>
          <cell r="U199">
            <v>18.820979135363707</v>
          </cell>
          <cell r="V199">
            <v>13.590054943842937</v>
          </cell>
          <cell r="W199">
            <v>18.032502321944435</v>
          </cell>
          <cell r="X199">
            <v>21.289094797905307</v>
          </cell>
          <cell r="Y199">
            <v>22.168517974894129</v>
          </cell>
          <cell r="Z199">
            <v>27.914424965970966</v>
          </cell>
          <cell r="AA199">
            <v>18.011536979870684</v>
          </cell>
          <cell r="AB199">
            <v>15.659882003274568</v>
          </cell>
          <cell r="AC199">
            <v>16.710221756071995</v>
          </cell>
          <cell r="AD199">
            <v>17.171709354870693</v>
          </cell>
          <cell r="AE199">
            <v>14.002905713127156</v>
          </cell>
          <cell r="AF199">
            <v>10.951436902383627</v>
          </cell>
          <cell r="AG199">
            <v>10.934399313383629</v>
          </cell>
          <cell r="BX199">
            <v>7.5705669974612704</v>
          </cell>
          <cell r="BY199">
            <v>15.630503259628808</v>
          </cell>
          <cell r="BZ199">
            <v>12.479417043874287</v>
          </cell>
          <cell r="CA199">
            <v>11.17840857224525</v>
          </cell>
          <cell r="CB199">
            <v>11.997463434509969</v>
          </cell>
          <cell r="CC199">
            <v>7.5436024919691569</v>
          </cell>
          <cell r="CD199">
            <v>10.628857506470585</v>
          </cell>
          <cell r="CE199">
            <v>12.136403517654282</v>
          </cell>
          <cell r="CF199">
            <v>3.7113150154023078</v>
          </cell>
          <cell r="CG199">
            <v>8.7599416487269561</v>
          </cell>
          <cell r="CH199">
            <v>10.460653434789661</v>
          </cell>
          <cell r="CI199">
            <v>8.414982030183392</v>
          </cell>
          <cell r="CJ199">
            <v>7.7789083738556144</v>
          </cell>
          <cell r="CK199">
            <v>22.275636195427847</v>
          </cell>
          <cell r="CL199">
            <v>6.0315927448180808</v>
          </cell>
          <cell r="CM199">
            <v>8.3452583168073389</v>
          </cell>
          <cell r="CN199">
            <v>13.020913548588396</v>
          </cell>
          <cell r="CO199">
            <v>13.75351825724033</v>
          </cell>
          <cell r="CP199">
            <v>15.965208995449753</v>
          </cell>
          <cell r="CQ199">
            <v>20.888824356886619</v>
          </cell>
          <cell r="CR199">
            <v>24.088869812539855</v>
          </cell>
          <cell r="CS199">
            <v>22.353075850543934</v>
          </cell>
          <cell r="CT199">
            <v>3.3825784318884686</v>
          </cell>
          <cell r="CU199">
            <v>16.000041246532046</v>
          </cell>
          <cell r="CV199">
            <v>11.945256668988005</v>
          </cell>
          <cell r="CW199">
            <v>15.438787958612039</v>
          </cell>
          <cell r="CX199">
            <v>20.871455001571867</v>
          </cell>
          <cell r="CY199">
            <v>29.023566517361026</v>
          </cell>
          <cell r="CZ199">
            <v>23.028669219454336</v>
          </cell>
          <cell r="DA199">
            <v>18.671834478730744</v>
          </cell>
          <cell r="DB199">
            <v>21.191612547519718</v>
          </cell>
          <cell r="DC199">
            <v>13.486114976094171</v>
          </cell>
          <cell r="DD199">
            <v>21.119941054915294</v>
          </cell>
          <cell r="DE199">
            <v>12.259301052226995</v>
          </cell>
          <cell r="DF199">
            <v>29.515676809838126</v>
          </cell>
          <cell r="DG199">
            <v>67.084188747731389</v>
          </cell>
          <cell r="DH199">
            <v>6.4592226141608151</v>
          </cell>
          <cell r="DI199">
            <v>10.776132144834651</v>
          </cell>
          <cell r="DJ199">
            <v>20.455496971331257</v>
          </cell>
          <cell r="DK199">
            <v>16.669368045045012</v>
          </cell>
          <cell r="DL199">
            <v>17.859077245433589</v>
          </cell>
          <cell r="DM199">
            <v>20.822847090741021</v>
          </cell>
          <cell r="DN199">
            <v>21.464078644888083</v>
          </cell>
          <cell r="DO199">
            <v>11.984006306715067</v>
          </cell>
          <cell r="DP199">
            <v>23.969516254990928</v>
          </cell>
          <cell r="DQ199">
            <v>27.766520864791282</v>
          </cell>
          <cell r="DR199">
            <v>18.480992102087107</v>
          </cell>
          <cell r="DS199">
            <v>14.939349969751966</v>
          </cell>
          <cell r="DT199">
            <v>12.880115910465825</v>
          </cell>
          <cell r="DU199">
            <v>34.026202359346648</v>
          </cell>
          <cell r="DV199">
            <v>16.930555807622511</v>
          </cell>
          <cell r="DW199">
            <v>24.837197822141547</v>
          </cell>
          <cell r="DX199">
            <v>29.498005520266176</v>
          </cell>
          <cell r="DY199">
            <v>32.716745311554746</v>
          </cell>
          <cell r="DZ199">
            <v>26.742710828796127</v>
          </cell>
          <cell r="EA199">
            <v>22.700238203266792</v>
          </cell>
          <cell r="EB199">
            <v>18.171104228620699</v>
          </cell>
          <cell r="EC199">
            <v>18.036731808620694</v>
          </cell>
          <cell r="ED199">
            <v>17.969545598620698</v>
          </cell>
          <cell r="EE199">
            <v>17.868766283620701</v>
          </cell>
        </row>
        <row r="200">
          <cell r="C200">
            <v>326.26236363636372</v>
          </cell>
          <cell r="D200">
            <v>223.62284687868083</v>
          </cell>
          <cell r="E200">
            <v>161.83517521902377</v>
          </cell>
          <cell r="F200">
            <v>98.598526627218973</v>
          </cell>
          <cell r="G200">
            <v>190.79112048192775</v>
          </cell>
          <cell r="H200">
            <v>463.19047945205489</v>
          </cell>
          <cell r="I200">
            <v>230.28245903771131</v>
          </cell>
          <cell r="J200">
            <v>319.50073814898417</v>
          </cell>
          <cell r="K200">
            <v>273.59157397107896</v>
          </cell>
          <cell r="L200">
            <v>172.65548827292116</v>
          </cell>
          <cell r="M200">
            <v>257.44957497700096</v>
          </cell>
          <cell r="N200">
            <v>232.32679856759177</v>
          </cell>
          <cell r="O200">
            <v>170.28415457115926</v>
          </cell>
          <cell r="P200">
            <v>245.63186636466594</v>
          </cell>
          <cell r="Q200">
            <v>347.19606451612901</v>
          </cell>
          <cell r="R200">
            <v>363.53554669987545</v>
          </cell>
        </row>
        <row r="201">
          <cell r="A201" t="str">
            <v>Polyethylene price (Euro/ MT)</v>
          </cell>
          <cell r="V201">
            <v>856.14233333333323</v>
          </cell>
          <cell r="W201">
            <v>849.875</v>
          </cell>
          <cell r="X201">
            <v>1243.5388888888888</v>
          </cell>
          <cell r="Y201">
            <v>1281.0944444444444</v>
          </cell>
          <cell r="Z201">
            <v>1294.940277777778</v>
          </cell>
          <cell r="AA201">
            <v>1243.2416293929712</v>
          </cell>
          <cell r="AB201">
            <v>1229.086798714093</v>
          </cell>
          <cell r="AC201">
            <v>1202.4401119983409</v>
          </cell>
          <cell r="AD201">
            <v>1177.6138131286946</v>
          </cell>
          <cell r="AE201">
            <v>1157.7527740329772</v>
          </cell>
          <cell r="AF201">
            <v>1147.8222544851185</v>
          </cell>
          <cell r="AG201">
            <v>1107.9472155968062</v>
          </cell>
          <cell r="DD201">
            <v>1219</v>
          </cell>
          <cell r="DE201">
            <v>1204.69</v>
          </cell>
          <cell r="DF201">
            <v>1398.4</v>
          </cell>
          <cell r="DG201">
            <v>897</v>
          </cell>
          <cell r="DH201">
            <v>731</v>
          </cell>
          <cell r="DI201">
            <v>794.5</v>
          </cell>
          <cell r="DJ201">
            <v>936.5</v>
          </cell>
          <cell r="DK201">
            <v>937.5</v>
          </cell>
          <cell r="DL201">
            <v>1053.5</v>
          </cell>
          <cell r="DM201">
            <v>1153</v>
          </cell>
          <cell r="DN201">
            <v>1149</v>
          </cell>
          <cell r="DO201">
            <v>1138</v>
          </cell>
          <cell r="DP201">
            <v>1305</v>
          </cell>
          <cell r="DQ201">
            <v>1336.21</v>
          </cell>
          <cell r="DR201">
            <v>1193.0899999999999</v>
          </cell>
          <cell r="DS201">
            <v>1139.8555555555554</v>
          </cell>
          <cell r="DT201">
            <v>1266.7944444444445</v>
          </cell>
          <cell r="DU201">
            <v>1310.9611111111112</v>
          </cell>
          <cell r="DV201">
            <v>1232.6722222222224</v>
          </cell>
          <cell r="DW201">
            <v>1313.95</v>
          </cell>
          <cell r="DX201">
            <v>1329.6611111111113</v>
          </cell>
          <cell r="DY201">
            <v>1244.2944444444447</v>
          </cell>
          <cell r="DZ201">
            <v>1307.8611111111111</v>
          </cell>
          <cell r="EA201">
            <v>1297.9444444444443</v>
          </cell>
          <cell r="EB201">
            <v>1265.7666453674121</v>
          </cell>
          <cell r="EC201">
            <v>1246.79821086262</v>
          </cell>
          <cell r="ED201">
            <v>1237.3139936102236</v>
          </cell>
          <cell r="EE201">
            <v>1223.0876677316294</v>
          </cell>
        </row>
        <row r="202">
          <cell r="A202" t="str">
            <v>Polyethylene price ($/MT)</v>
          </cell>
          <cell r="V202">
            <v>1190.2708606250001</v>
          </cell>
          <cell r="W202">
            <v>1489.0608461249999</v>
          </cell>
          <cell r="X202">
            <v>1731.4149467430552</v>
          </cell>
          <cell r="Y202">
            <v>1647.3990600388888</v>
          </cell>
          <cell r="Z202">
            <v>1720.0992783336808</v>
          </cell>
          <cell r="AA202">
            <v>1651.426761690567</v>
          </cell>
          <cell r="AB202">
            <v>1632.6245709999998</v>
          </cell>
          <cell r="AC202">
            <v>1597.2291574999999</v>
          </cell>
          <cell r="AD202">
            <v>1564.2518075</v>
          </cell>
          <cell r="AE202">
            <v>1537.8699274999999</v>
          </cell>
          <cell r="AF202">
            <v>1524.6789874999997</v>
          </cell>
          <cell r="AG202">
            <v>1471.7120462500002</v>
          </cell>
          <cell r="DD202">
            <v>1827.5321140000001</v>
          </cell>
          <cell r="DE202">
            <v>1883.0774421799999</v>
          </cell>
          <cell r="DF202">
            <v>2102.6580128000001</v>
          </cell>
          <cell r="DG202">
            <v>1184.1485369999998</v>
          </cell>
          <cell r="DH202">
            <v>954.81246299999998</v>
          </cell>
          <cell r="DI202">
            <v>1082.6858069999998</v>
          </cell>
          <cell r="DJ202">
            <v>1339.32611</v>
          </cell>
          <cell r="DK202">
            <v>1384.2590625</v>
          </cell>
          <cell r="DL202">
            <v>1457.8301394999999</v>
          </cell>
          <cell r="DM202">
            <v>1467.216713</v>
          </cell>
          <cell r="DN202">
            <v>1485.66849</v>
          </cell>
          <cell r="DO202">
            <v>1545.5280419999999</v>
          </cell>
          <cell r="DP202">
            <v>1787.1687899999999</v>
          </cell>
          <cell r="DQ202">
            <v>1924.0862791799998</v>
          </cell>
          <cell r="DR202">
            <v>1685.5032978899997</v>
          </cell>
          <cell r="DS202">
            <v>1535.5655305111106</v>
          </cell>
          <cell r="DT202">
            <v>1661.8518927111111</v>
          </cell>
          <cell r="DU202">
            <v>1682.1990785555556</v>
          </cell>
          <cell r="DV202">
            <v>1542.1777271388892</v>
          </cell>
          <cell r="DW202">
            <v>1704.9854618499999</v>
          </cell>
          <cell r="DX202">
            <v>1755.1726115833335</v>
          </cell>
          <cell r="DY202">
            <v>1625.3807710611113</v>
          </cell>
          <cell r="DZ202">
            <v>1733.5188961944443</v>
          </cell>
          <cell r="EA202">
            <v>1767.2162583333331</v>
          </cell>
          <cell r="EB202">
            <v>1723.4045759999999</v>
          </cell>
          <cell r="EC202">
            <v>1697.5781040000002</v>
          </cell>
          <cell r="ED202">
            <v>1684.6648680000001</v>
          </cell>
          <cell r="EE202">
            <v>1665.295014</v>
          </cell>
        </row>
        <row r="203">
          <cell r="A203" t="str">
            <v>Polyethylene price (c/lb)</v>
          </cell>
          <cell r="V203">
            <v>54.005029973911071</v>
          </cell>
          <cell r="W203">
            <v>67.561744379537203</v>
          </cell>
          <cell r="X203">
            <v>78.557846948414493</v>
          </cell>
          <cell r="Y203">
            <v>74.745873867463203</v>
          </cell>
          <cell r="Z203">
            <v>78.044431866319457</v>
          </cell>
          <cell r="AA203">
            <v>74.928618951477631</v>
          </cell>
          <cell r="AB203">
            <v>74.075524999999999</v>
          </cell>
          <cell r="AC203">
            <v>72.469562499999995</v>
          </cell>
          <cell r="AD203">
            <v>70.973312500000006</v>
          </cell>
          <cell r="AE203">
            <v>69.776312500000003</v>
          </cell>
          <cell r="AF203">
            <v>69.177812499999987</v>
          </cell>
          <cell r="AG203">
            <v>66.774593750000008</v>
          </cell>
          <cell r="DD203">
            <v>82.918879945553542</v>
          </cell>
          <cell r="DE203">
            <v>85.439085398366601</v>
          </cell>
          <cell r="DF203">
            <v>95.401906206896555</v>
          </cell>
          <cell r="DG203">
            <v>53.727247595281298</v>
          </cell>
          <cell r="DH203">
            <v>43.321799591651541</v>
          </cell>
          <cell r="DI203">
            <v>49.123675453720502</v>
          </cell>
          <cell r="DJ203">
            <v>60.767972323049001</v>
          </cell>
          <cell r="DK203">
            <v>62.806672527223235</v>
          </cell>
          <cell r="DL203">
            <v>66.144743171506349</v>
          </cell>
          <cell r="DM203">
            <v>66.57063126134301</v>
          </cell>
          <cell r="DN203">
            <v>67.407826225045369</v>
          </cell>
          <cell r="DO203">
            <v>70.123776860254083</v>
          </cell>
          <cell r="DP203">
            <v>81.087513157894733</v>
          </cell>
          <cell r="DQ203">
            <v>87.299740434664244</v>
          </cell>
          <cell r="DR203">
            <v>76.474741283575298</v>
          </cell>
          <cell r="DS203">
            <v>69.671757282718275</v>
          </cell>
          <cell r="DT203">
            <v>75.401628525912486</v>
          </cell>
          <cell r="DU203">
            <v>76.324822076023395</v>
          </cell>
          <cell r="DV203">
            <v>69.971766204123824</v>
          </cell>
          <cell r="DW203">
            <v>77.358687016787655</v>
          </cell>
          <cell r="DX203">
            <v>79.635780924833639</v>
          </cell>
          <cell r="DY203">
            <v>73.746858941066762</v>
          </cell>
          <cell r="DZ203">
            <v>78.653307449838678</v>
          </cell>
          <cell r="EA203">
            <v>80.182225877192977</v>
          </cell>
          <cell r="EB203">
            <v>78.194400000000002</v>
          </cell>
          <cell r="EC203">
            <v>77.022600000000011</v>
          </cell>
          <cell r="ED203">
            <v>76.436700000000002</v>
          </cell>
          <cell r="EE203">
            <v>75.557850000000002</v>
          </cell>
        </row>
        <row r="205">
          <cell r="A205" t="str">
            <v>Ethylene acquisition costs (c/lb)</v>
          </cell>
          <cell r="V205">
            <v>46.871692052329102</v>
          </cell>
          <cell r="W205">
            <v>57.277879677102234</v>
          </cell>
          <cell r="X205">
            <v>72.039902420409845</v>
          </cell>
          <cell r="Y205">
            <v>72.318623843012702</v>
          </cell>
          <cell r="Z205">
            <v>74.127144264216582</v>
          </cell>
          <cell r="AA205">
            <v>67.960174479870687</v>
          </cell>
          <cell r="AB205">
            <v>63.002719503274569</v>
          </cell>
          <cell r="AC205">
            <v>62.315859256071995</v>
          </cell>
          <cell r="AD205">
            <v>61.691596854870696</v>
          </cell>
          <cell r="AE205">
            <v>57.654193213127158</v>
          </cell>
          <cell r="AF205">
            <v>54.168424402383629</v>
          </cell>
          <cell r="AG205">
            <v>53.717086813383631</v>
          </cell>
          <cell r="BX205">
            <v>25.973973684210524</v>
          </cell>
          <cell r="BY205">
            <v>29.037317831215972</v>
          </cell>
          <cell r="BZ205">
            <v>28.123787658802176</v>
          </cell>
          <cell r="CA205">
            <v>27.803037658802175</v>
          </cell>
          <cell r="CB205">
            <v>27.84781034482759</v>
          </cell>
          <cell r="CC205">
            <v>25.386308529945552</v>
          </cell>
          <cell r="CD205">
            <v>24.594482758620693</v>
          </cell>
          <cell r="CE205">
            <v>22.464671551724138</v>
          </cell>
          <cell r="CF205">
            <v>18.827159800362978</v>
          </cell>
          <cell r="CG205">
            <v>22.522312159709617</v>
          </cell>
          <cell r="CH205">
            <v>24.109701451905625</v>
          </cell>
          <cell r="CI205">
            <v>23.40174954627949</v>
          </cell>
          <cell r="CJ205">
            <v>27.995716878402906</v>
          </cell>
          <cell r="CK205">
            <v>29.671278357531762</v>
          </cell>
          <cell r="CL205">
            <v>22.740408575317602</v>
          </cell>
          <cell r="CM205">
            <v>27.692741923774957</v>
          </cell>
          <cell r="CN205">
            <v>32.883421052631576</v>
          </cell>
          <cell r="CO205">
            <v>33.198025272232307</v>
          </cell>
          <cell r="CP205">
            <v>35.230773820326675</v>
          </cell>
          <cell r="CQ205">
            <v>41.252581669691473</v>
          </cell>
          <cell r="CR205">
            <v>44.004281306715065</v>
          </cell>
          <cell r="CS205">
            <v>42.837760889292198</v>
          </cell>
          <cell r="CT205">
            <v>35.42812341197822</v>
          </cell>
          <cell r="CU205">
            <v>44.515412885662435</v>
          </cell>
          <cell r="CV205">
            <v>42.857153357531764</v>
          </cell>
          <cell r="CW205">
            <v>49.386986615245007</v>
          </cell>
          <cell r="CX205">
            <v>52.046420145190567</v>
          </cell>
          <cell r="CY205">
            <v>52.682627041742286</v>
          </cell>
          <cell r="CZ205">
            <v>50.85911637931035</v>
          </cell>
          <cell r="DA205">
            <v>54.444094373865696</v>
          </cell>
          <cell r="DB205">
            <v>57.693097776769513</v>
          </cell>
          <cell r="DC205">
            <v>62.099620235934665</v>
          </cell>
          <cell r="DD205">
            <v>69.586557985480951</v>
          </cell>
          <cell r="DE205">
            <v>73.617088747731401</v>
          </cell>
          <cell r="DF205">
            <v>83.776845553539019</v>
          </cell>
          <cell r="DG205">
            <v>67.084188747731389</v>
          </cell>
          <cell r="DH205">
            <v>35.261929900181492</v>
          </cell>
          <cell r="DI205">
            <v>42.559425136116154</v>
          </cell>
          <cell r="DJ205">
            <v>53.100328191167577</v>
          </cell>
          <cell r="DK205">
            <v>56.565084981851186</v>
          </cell>
          <cell r="DL205">
            <v>57.553565486993342</v>
          </cell>
          <cell r="DM205">
            <v>55.619868269812471</v>
          </cell>
          <cell r="DN205">
            <v>55.69407864488808</v>
          </cell>
          <cell r="DO205">
            <v>60.244006306715065</v>
          </cell>
          <cell r="DP205">
            <v>71.249516254990922</v>
          </cell>
          <cell r="DQ205">
            <v>78.836393823048994</v>
          </cell>
          <cell r="DR205">
            <v>71.041790650181483</v>
          </cell>
          <cell r="DS205">
            <v>67.031908953418025</v>
          </cell>
          <cell r="DT205">
            <v>72.29889993950394</v>
          </cell>
          <cell r="DU205">
            <v>75.201489715668487</v>
          </cell>
          <cell r="DV205">
            <v>66.4142218693285</v>
          </cell>
          <cell r="DW205">
            <v>75.359883847549895</v>
          </cell>
          <cell r="DX205">
            <v>77.360225725952816</v>
          </cell>
          <cell r="DY205">
            <v>71.121615245009068</v>
          </cell>
          <cell r="DZ205">
            <v>72.968512401693886</v>
          </cell>
          <cell r="EA205">
            <v>75.058223684210532</v>
          </cell>
          <cell r="EB205">
            <v>69.151204228620699</v>
          </cell>
          <cell r="EC205">
            <v>68.148231808620693</v>
          </cell>
          <cell r="ED205">
            <v>67.646745598620697</v>
          </cell>
          <cell r="EE205">
            <v>66.894516283620703</v>
          </cell>
        </row>
        <row r="206">
          <cell r="A206" t="str">
            <v>Non-feedstock polyethylene costs (c/lb)</v>
          </cell>
          <cell r="V206">
            <v>11.984971315411368</v>
          </cell>
          <cell r="W206">
            <v>10.321069784104653</v>
          </cell>
          <cell r="X206">
            <v>12.157658426320825</v>
          </cell>
          <cell r="Y206">
            <v>11.915360254461586</v>
          </cell>
          <cell r="Z206">
            <v>10.925397118307622</v>
          </cell>
          <cell r="AA206">
            <v>11.54262833163674</v>
          </cell>
          <cell r="AB206">
            <v>10.940454130056587</v>
          </cell>
          <cell r="AC206">
            <v>10.539004662336485</v>
          </cell>
          <cell r="AD206">
            <v>10.288098745011421</v>
          </cell>
          <cell r="AE206">
            <v>10.08737401115137</v>
          </cell>
          <cell r="AF206">
            <v>9.9870116442213455</v>
          </cell>
          <cell r="AG206">
            <v>9.886649277291319</v>
          </cell>
          <cell r="DD206">
            <v>11.809635934664243</v>
          </cell>
          <cell r="DE206">
            <v>12.422722603448264</v>
          </cell>
          <cell r="DF206">
            <v>11.691303847549918</v>
          </cell>
          <cell r="DG206">
            <v>10.412568829401096</v>
          </cell>
          <cell r="DH206">
            <v>12.062592014519048</v>
          </cell>
          <cell r="DI206">
            <v>12.190384618874766</v>
          </cell>
          <cell r="DJ206">
            <v>11.705756654567452</v>
          </cell>
          <cell r="DK206">
            <v>11.981151973684206</v>
          </cell>
          <cell r="DL206">
            <v>10.24725753932244</v>
          </cell>
          <cell r="DM206">
            <v>10.202124153055038</v>
          </cell>
          <cell r="DN206">
            <v>10.443330157289779</v>
          </cell>
          <cell r="DO206">
            <v>10.391567286751354</v>
          </cell>
          <cell r="DP206">
            <v>11.380646630671507</v>
          </cell>
          <cell r="DQ206">
            <v>12.847647882032675</v>
          </cell>
          <cell r="DR206">
            <v>12.215618509981837</v>
          </cell>
          <cell r="DS206">
            <v>12.186720682597283</v>
          </cell>
          <cell r="DT206">
            <v>12.036812070982052</v>
          </cell>
          <cell r="DU206">
            <v>11.76049005343819</v>
          </cell>
          <cell r="DV206">
            <v>12.181918704627947</v>
          </cell>
          <cell r="DW206">
            <v>11.682220188798155</v>
          </cell>
          <cell r="DX206">
            <v>10.870846084139941</v>
          </cell>
          <cell r="DY206">
            <v>11.107958457098221</v>
          </cell>
          <cell r="DZ206">
            <v>10.591391136065738</v>
          </cell>
          <cell r="EA206">
            <v>11.131392795926587</v>
          </cell>
          <cell r="EB206">
            <v>11.54262833163674</v>
          </cell>
          <cell r="EC206">
            <v>11.54262833163674</v>
          </cell>
          <cell r="ED206">
            <v>11.54262833163674</v>
          </cell>
          <cell r="EE206">
            <v>11.54262833163674</v>
          </cell>
        </row>
        <row r="207">
          <cell r="A207" t="str">
            <v>Polyethylene cash costs (c/lb)</v>
          </cell>
          <cell r="V207">
            <v>58.856663367740467</v>
          </cell>
          <cell r="W207">
            <v>67.598949461206885</v>
          </cell>
          <cell r="X207">
            <v>84.197560846730667</v>
          </cell>
          <cell r="Y207">
            <v>84.233984097474291</v>
          </cell>
          <cell r="Z207">
            <v>85.052541382524197</v>
          </cell>
          <cell r="AA207">
            <v>79.502802811507422</v>
          </cell>
          <cell r="AB207">
            <v>73.943173633331156</v>
          </cell>
          <cell r="AC207">
            <v>72.854863918408483</v>
          </cell>
          <cell r="AD207">
            <v>71.97969559988212</v>
          </cell>
          <cell r="AE207">
            <v>67.741567224278526</v>
          </cell>
          <cell r="AF207">
            <v>64.155436046604976</v>
          </cell>
          <cell r="AG207">
            <v>63.60373609067495</v>
          </cell>
          <cell r="DD207">
            <v>81.396193920145194</v>
          </cell>
          <cell r="DE207">
            <v>86.039811351179665</v>
          </cell>
          <cell r="DF207">
            <v>95.468149401088937</v>
          </cell>
          <cell r="DG207">
            <v>77.496757577132485</v>
          </cell>
          <cell r="DH207">
            <v>47.32452191470054</v>
          </cell>
          <cell r="DI207">
            <v>54.74980975499092</v>
          </cell>
          <cell r="DJ207">
            <v>64.806084845735029</v>
          </cell>
          <cell r="DK207">
            <v>68.546236955535392</v>
          </cell>
          <cell r="DL207">
            <v>67.800823026315783</v>
          </cell>
          <cell r="DM207">
            <v>65.82199242286751</v>
          </cell>
          <cell r="DN207">
            <v>66.137408802177859</v>
          </cell>
          <cell r="DO207">
            <v>70.635573593466418</v>
          </cell>
          <cell r="DP207">
            <v>82.630162885662429</v>
          </cell>
          <cell r="DQ207">
            <v>91.684041705081668</v>
          </cell>
          <cell r="DR207">
            <v>83.25740916016332</v>
          </cell>
          <cell r="DS207">
            <v>79.218629636015308</v>
          </cell>
          <cell r="DT207">
            <v>84.335712010485992</v>
          </cell>
          <cell r="DU207">
            <v>86.961979769106676</v>
          </cell>
          <cell r="DV207">
            <v>78.596140573956447</v>
          </cell>
          <cell r="DW207">
            <v>87.04210403634805</v>
          </cell>
          <cell r="DX207">
            <v>88.231071810092757</v>
          </cell>
          <cell r="DY207">
            <v>82.229573702107288</v>
          </cell>
          <cell r="DZ207">
            <v>83.559903537759624</v>
          </cell>
          <cell r="EA207">
            <v>86.189616480137119</v>
          </cell>
          <cell r="EB207">
            <v>80.693832560257434</v>
          </cell>
          <cell r="EC207">
            <v>79.690860140257428</v>
          </cell>
          <cell r="ED207">
            <v>79.189373930257432</v>
          </cell>
          <cell r="EE207">
            <v>78.437144615257438</v>
          </cell>
        </row>
        <row r="208">
          <cell r="EA208" t="str">
            <v xml:space="preserve"> </v>
          </cell>
          <cell r="EB208" t="str">
            <v xml:space="preserve"> </v>
          </cell>
        </row>
        <row r="209">
          <cell r="A209" t="str">
            <v>Polyethylene margin (c/lb)</v>
          </cell>
          <cell r="V209">
            <v>-4.8516333938293954</v>
          </cell>
          <cell r="W209">
            <v>-3.7205081669682727E-2</v>
          </cell>
          <cell r="X209">
            <v>-5.6397138983161739</v>
          </cell>
          <cell r="Y209">
            <v>-9.4881102300110882</v>
          </cell>
          <cell r="Z209">
            <v>-7.0081095162047404</v>
          </cell>
          <cell r="AA209">
            <v>-4.574183860029791</v>
          </cell>
          <cell r="AB209">
            <v>0.13235136666884273</v>
          </cell>
          <cell r="AC209">
            <v>-0.38530141840848842</v>
          </cell>
          <cell r="AD209">
            <v>-1.0063830998821146</v>
          </cell>
          <cell r="AE209">
            <v>2.0347452757214768</v>
          </cell>
          <cell r="AF209">
            <v>5.0223764533950117</v>
          </cell>
          <cell r="AG209">
            <v>3.1708576593250584</v>
          </cell>
          <cell r="BX209">
            <v>2.6211433756805809</v>
          </cell>
          <cell r="BY209">
            <v>-1.2504537205081669</v>
          </cell>
          <cell r="BZ209">
            <v>-4.0562613430127046</v>
          </cell>
          <cell r="CA209">
            <v>-6.0149727767695103</v>
          </cell>
          <cell r="CB209">
            <v>-6.1343012704174225</v>
          </cell>
          <cell r="CC209">
            <v>-4.9614337568058078</v>
          </cell>
          <cell r="CD209">
            <v>-5.4006352087114342</v>
          </cell>
          <cell r="CE209">
            <v>-6.7631578947368425</v>
          </cell>
          <cell r="CF209">
            <v>-5.7735934664246829</v>
          </cell>
          <cell r="CG209">
            <v>-2.1705989110707806</v>
          </cell>
          <cell r="CH209">
            <v>-1.9382940108892923</v>
          </cell>
          <cell r="CI209">
            <v>-5.3017241379310347</v>
          </cell>
          <cell r="CJ209">
            <v>-3.4528130671506352</v>
          </cell>
          <cell r="CK209">
            <v>-3.9078947368421053</v>
          </cell>
          <cell r="CL209">
            <v>-1.5902903811252267</v>
          </cell>
          <cell r="CM209">
            <v>-3.4986388384754994</v>
          </cell>
          <cell r="CN209">
            <v>-2.2518148820326682</v>
          </cell>
          <cell r="CO209">
            <v>-2.4323956442831216</v>
          </cell>
          <cell r="CP209">
            <v>0.96733212341197827</v>
          </cell>
          <cell r="CQ209">
            <v>3.6914700544464609</v>
          </cell>
          <cell r="CR209">
            <v>2.2146098003629766</v>
          </cell>
          <cell r="CS209">
            <v>-4.7586206896551726</v>
          </cell>
          <cell r="CT209">
            <v>1.9346642468239565</v>
          </cell>
          <cell r="CU209">
            <v>1.5303992740471868</v>
          </cell>
          <cell r="CV209">
            <v>0.20099818511796733</v>
          </cell>
          <cell r="CW209">
            <v>1.3779491833030855</v>
          </cell>
          <cell r="CX209">
            <v>3.3616152450090748</v>
          </cell>
          <cell r="CY209">
            <v>0.96143375680580767</v>
          </cell>
          <cell r="CZ209">
            <v>2.4201451905626135</v>
          </cell>
          <cell r="DA209">
            <v>3.70961887477314</v>
          </cell>
          <cell r="DB209">
            <v>4.5058983666061705</v>
          </cell>
          <cell r="DC209">
            <v>3.3298548094373865</v>
          </cell>
          <cell r="DD209">
            <v>1.5226860254083485</v>
          </cell>
          <cell r="DE209">
            <v>-0.60072595281306718</v>
          </cell>
          <cell r="DF209">
            <v>-6.6243194192377494E-2</v>
          </cell>
          <cell r="DG209">
            <v>-23.769509981851179</v>
          </cell>
          <cell r="DH209">
            <v>-4.0027223230490021</v>
          </cell>
          <cell r="DI209">
            <v>-5.6261343012704179</v>
          </cell>
          <cell r="DJ209">
            <v>-4.0381125226860259</v>
          </cell>
          <cell r="DK209">
            <v>-5.7395644283121596</v>
          </cell>
          <cell r="DL209">
            <v>-1.6560798548094375</v>
          </cell>
          <cell r="DM209">
            <v>0.74863883847549917</v>
          </cell>
          <cell r="DN209">
            <v>1.2704174228675136</v>
          </cell>
          <cell r="DO209">
            <v>-0.5117967332123412</v>
          </cell>
          <cell r="DP209">
            <v>-1.5426497277676952</v>
          </cell>
          <cell r="DQ209">
            <v>-4.3843012704174225</v>
          </cell>
          <cell r="DR209">
            <v>-6.7826678765880226</v>
          </cell>
          <cell r="DS209">
            <v>-9.5468723532970348</v>
          </cell>
          <cell r="DT209">
            <v>-8.9340834845735024</v>
          </cell>
          <cell r="DU209">
            <v>-10.637157693083285</v>
          </cell>
          <cell r="DV209">
            <v>-8.6243743698326281</v>
          </cell>
          <cell r="DW209">
            <v>-9.6834170195603946</v>
          </cell>
          <cell r="DX209">
            <v>-8.5952908852591214</v>
          </cell>
          <cell r="DY209">
            <v>-8.4827147610405316</v>
          </cell>
          <cell r="DZ209">
            <v>-4.9065960879209527</v>
          </cell>
          <cell r="EA209">
            <v>-6.0073906029441426</v>
          </cell>
          <cell r="EB209">
            <v>-2.4994325602574321</v>
          </cell>
          <cell r="EC209">
            <v>-2.6682601402574164</v>
          </cell>
          <cell r="ED209">
            <v>-2.7526739302574299</v>
          </cell>
          <cell r="EE209">
            <v>-2.8792946152574359</v>
          </cell>
        </row>
        <row r="210">
          <cell r="A210" t="str">
            <v>Polyethylene margin ($/MT)</v>
          </cell>
          <cell r="V210">
            <v>-106.92999999999986</v>
          </cell>
          <cell r="W210">
            <v>-0.81999999999980722</v>
          </cell>
          <cell r="X210">
            <v>-124.29929431888847</v>
          </cell>
          <cell r="Y210">
            <v>-209.11794946944437</v>
          </cell>
          <cell r="Z210">
            <v>-154.45873373715247</v>
          </cell>
          <cell r="AA210">
            <v>-100.81501227505659</v>
          </cell>
          <cell r="AB210">
            <v>2.9170241213812935</v>
          </cell>
          <cell r="AC210">
            <v>-8.4920432617230848</v>
          </cell>
          <cell r="AD210">
            <v>-22.180683521401804</v>
          </cell>
          <cell r="AE210">
            <v>44.845785876901346</v>
          </cell>
          <cell r="AF210">
            <v>110.69317703282606</v>
          </cell>
          <cell r="AG210">
            <v>69.885702811524283</v>
          </cell>
          <cell r="BX210">
            <v>57.77</v>
          </cell>
          <cell r="BY210">
            <v>-27.56</v>
          </cell>
          <cell r="BZ210">
            <v>-89.4</v>
          </cell>
          <cell r="CA210">
            <v>-132.57</v>
          </cell>
          <cell r="CB210">
            <v>-135.19999999999999</v>
          </cell>
          <cell r="CC210">
            <v>-109.35</v>
          </cell>
          <cell r="CD210">
            <v>-119.03</v>
          </cell>
          <cell r="CE210">
            <v>-149.06</v>
          </cell>
          <cell r="CF210">
            <v>-127.25</v>
          </cell>
          <cell r="CG210">
            <v>-47.84</v>
          </cell>
          <cell r="CH210">
            <v>-42.72</v>
          </cell>
          <cell r="CI210">
            <v>-116.85</v>
          </cell>
          <cell r="CJ210">
            <v>-76.099999999999994</v>
          </cell>
          <cell r="CK210">
            <v>-86.13</v>
          </cell>
          <cell r="CL210">
            <v>-35.049999999999997</v>
          </cell>
          <cell r="CM210">
            <v>-77.11</v>
          </cell>
          <cell r="CN210">
            <v>-49.63</v>
          </cell>
          <cell r="CO210">
            <v>-53.61</v>
          </cell>
          <cell r="CP210">
            <v>21.32</v>
          </cell>
          <cell r="CQ210">
            <v>81.36</v>
          </cell>
          <cell r="CR210">
            <v>48.81</v>
          </cell>
          <cell r="CS210">
            <v>-104.88</v>
          </cell>
          <cell r="CT210">
            <v>42.64</v>
          </cell>
          <cell r="CU210">
            <v>33.729999999999997</v>
          </cell>
          <cell r="CV210">
            <v>4.43</v>
          </cell>
          <cell r="CW210">
            <v>30.37</v>
          </cell>
          <cell r="CX210">
            <v>74.09</v>
          </cell>
          <cell r="CY210">
            <v>21.19</v>
          </cell>
          <cell r="CZ210">
            <v>53.34</v>
          </cell>
          <cell r="DA210">
            <v>81.760000000000005</v>
          </cell>
          <cell r="DB210">
            <v>99.31</v>
          </cell>
          <cell r="DC210">
            <v>73.39</v>
          </cell>
          <cell r="DD210">
            <v>33.56</v>
          </cell>
          <cell r="DE210">
            <v>-13.24</v>
          </cell>
          <cell r="DF210">
            <v>-1.46</v>
          </cell>
          <cell r="DG210">
            <v>-523.88</v>
          </cell>
          <cell r="DH210">
            <v>-88.22</v>
          </cell>
          <cell r="DI210">
            <v>-124</v>
          </cell>
          <cell r="DJ210">
            <v>-89</v>
          </cell>
          <cell r="DK210">
            <v>-126.5</v>
          </cell>
          <cell r="DL210">
            <v>-36.5</v>
          </cell>
          <cell r="DM210">
            <v>16.5</v>
          </cell>
          <cell r="DN210">
            <v>28</v>
          </cell>
          <cell r="DO210">
            <v>-11.28</v>
          </cell>
          <cell r="DP210">
            <v>-34</v>
          </cell>
          <cell r="DQ210">
            <v>-96.63</v>
          </cell>
          <cell r="DR210">
            <v>-149.49</v>
          </cell>
          <cell r="DS210">
            <v>-210.41306666666662</v>
          </cell>
          <cell r="DT210">
            <v>-196.90719999999999</v>
          </cell>
          <cell r="DU210">
            <v>-234.44295555555559</v>
          </cell>
          <cell r="DV210">
            <v>-190.08121111111112</v>
          </cell>
          <cell r="DW210">
            <v>-213.42251111111111</v>
          </cell>
          <cell r="DX210">
            <v>-189.44021111111101</v>
          </cell>
          <cell r="DY210">
            <v>-186.95903333333331</v>
          </cell>
          <cell r="DZ210">
            <v>-108.14137777777779</v>
          </cell>
          <cell r="EA210">
            <v>-132.4028888888889</v>
          </cell>
          <cell r="EB210">
            <v>-55.087493628073801</v>
          </cell>
          <cell r="EC210">
            <v>-58.808453491273454</v>
          </cell>
          <cell r="ED210">
            <v>-60.668933422873749</v>
          </cell>
          <cell r="EE210">
            <v>-63.459653320273887</v>
          </cell>
        </row>
        <row r="212">
          <cell r="A212" t="str">
            <v>Integrated polyethylene margin</v>
          </cell>
          <cell r="V212">
            <v>8.7384215500135412</v>
          </cell>
          <cell r="W212">
            <v>17.995297240274752</v>
          </cell>
          <cell r="X212">
            <v>15.649380899589133</v>
          </cell>
          <cell r="Y212">
            <v>12.680407744883041</v>
          </cell>
          <cell r="Z212">
            <v>20.906315449766225</v>
          </cell>
          <cell r="AA212">
            <v>13.437353119840893</v>
          </cell>
          <cell r="AB212">
            <v>15.792233369943411</v>
          </cell>
          <cell r="AC212">
            <v>16.324920337663507</v>
          </cell>
          <cell r="AD212">
            <v>16.165326254988578</v>
          </cell>
          <cell r="AE212">
            <v>16.037650988848632</v>
          </cell>
          <cell r="AF212">
            <v>15.973813355778638</v>
          </cell>
          <cell r="AG212">
            <v>14.105256972708688</v>
          </cell>
          <cell r="BX212">
            <v>10.191710373141852</v>
          </cell>
          <cell r="BY212">
            <v>14.380049539120641</v>
          </cell>
          <cell r="BZ212">
            <v>8.4231557008615816</v>
          </cell>
          <cell r="CA212">
            <v>5.1634357954757393</v>
          </cell>
          <cell r="CB212">
            <v>5.8631621640925466</v>
          </cell>
          <cell r="CC212">
            <v>2.5821687351633491</v>
          </cell>
          <cell r="CD212">
            <v>5.2282222977591504</v>
          </cell>
          <cell r="CE212">
            <v>5.3732456229174392</v>
          </cell>
          <cell r="CF212">
            <v>-2.0622784510223751</v>
          </cell>
          <cell r="CG212">
            <v>6.5893427376561755</v>
          </cell>
          <cell r="CH212">
            <v>8.5223594239003688</v>
          </cell>
          <cell r="CI212">
            <v>3.1132578922523573</v>
          </cell>
          <cell r="CJ212">
            <v>4.3260953067049792</v>
          </cell>
          <cell r="CK212">
            <v>18.367741458585741</v>
          </cell>
          <cell r="CL212">
            <v>4.4413023636928539</v>
          </cell>
          <cell r="CM212">
            <v>4.8466194783318395</v>
          </cell>
          <cell r="CN212">
            <v>10.769098666555728</v>
          </cell>
          <cell r="CO212">
            <v>11.321122612957208</v>
          </cell>
          <cell r="CP212">
            <v>16.932541118861732</v>
          </cell>
          <cell r="CQ212">
            <v>24.580294411333082</v>
          </cell>
          <cell r="CR212">
            <v>26.30347961290283</v>
          </cell>
          <cell r="CS212">
            <v>17.594455160888764</v>
          </cell>
          <cell r="CT212">
            <v>5.3172426787124252</v>
          </cell>
          <cell r="CU212">
            <v>17.530440520579234</v>
          </cell>
          <cell r="CV212">
            <v>12.146254854105972</v>
          </cell>
          <cell r="CW212">
            <v>16.816737141915123</v>
          </cell>
          <cell r="CX212">
            <v>24.233070246580944</v>
          </cell>
          <cell r="CY212">
            <v>29.985000274166833</v>
          </cell>
          <cell r="CZ212">
            <v>25.448814410016951</v>
          </cell>
          <cell r="DA212">
            <v>22.381453353503886</v>
          </cell>
          <cell r="DB212">
            <v>25.697510914125889</v>
          </cell>
          <cell r="DC212">
            <v>16.815969785531557</v>
          </cell>
          <cell r="DD212">
            <v>22.642627080323642</v>
          </cell>
          <cell r="DE212">
            <v>11.658575099413929</v>
          </cell>
          <cell r="DF212">
            <v>29.449433615645749</v>
          </cell>
          <cell r="DG212">
            <v>43.31467876588021</v>
          </cell>
          <cell r="DH212">
            <v>2.456500291111813</v>
          </cell>
          <cell r="DI212">
            <v>5.1499978435642335</v>
          </cell>
          <cell r="DJ212">
            <v>16.41738444864523</v>
          </cell>
          <cell r="DK212">
            <v>10.929803616732851</v>
          </cell>
          <cell r="DL212">
            <v>16.202997390624152</v>
          </cell>
          <cell r="DM212">
            <v>21.571485929216522</v>
          </cell>
          <cell r="DN212">
            <v>22.734496067755597</v>
          </cell>
          <cell r="DO212">
            <v>11.472209573502726</v>
          </cell>
          <cell r="DP212">
            <v>22.426866527223233</v>
          </cell>
          <cell r="DQ212">
            <v>23.382219594373858</v>
          </cell>
          <cell r="DR212">
            <v>11.698324225499086</v>
          </cell>
          <cell r="DS212">
            <v>5.3924776164549311</v>
          </cell>
          <cell r="DT212">
            <v>3.9460324258923229</v>
          </cell>
          <cell r="DU212">
            <v>23.389044666263363</v>
          </cell>
          <cell r="DV212">
            <v>8.306181437789883</v>
          </cell>
          <cell r="DW212">
            <v>15.153780802581153</v>
          </cell>
          <cell r="DX212">
            <v>20.902714635007055</v>
          </cell>
          <cell r="DY212">
            <v>24.234030550514213</v>
          </cell>
          <cell r="DZ212">
            <v>21.836114740875175</v>
          </cell>
          <cell r="EA212">
            <v>16.692847600322651</v>
          </cell>
          <cell r="EB212">
            <v>15.671671668363267</v>
          </cell>
          <cell r="EC212">
            <v>15.368471668363277</v>
          </cell>
          <cell r="ED212">
            <v>15.216871668363268</v>
          </cell>
          <cell r="EE212">
            <v>14.989471668363265</v>
          </cell>
        </row>
        <row r="213">
          <cell r="DY213" t="str">
            <v xml:space="preserve"> </v>
          </cell>
        </row>
        <row r="214">
          <cell r="A214" t="str">
            <v>Polypropylene margin (c/lb)</v>
          </cell>
          <cell r="M214">
            <v>-1.6259400289863062</v>
          </cell>
          <cell r="N214">
            <v>-0.83808977096799742</v>
          </cell>
          <cell r="O214">
            <v>-1.1429272794694145</v>
          </cell>
          <cell r="P214">
            <v>1.1881111274575722</v>
          </cell>
          <cell r="Q214">
            <v>1.3669716709459627</v>
          </cell>
          <cell r="R214">
            <v>4.1502189915236597E-2</v>
          </cell>
          <cell r="S214">
            <v>1.2302079013716489</v>
          </cell>
          <cell r="T214">
            <v>4.6043481128756634</v>
          </cell>
          <cell r="U214">
            <v>-2.8782102852596152</v>
          </cell>
          <cell r="V214">
            <v>-0.36405059051179767</v>
          </cell>
          <cell r="W214">
            <v>1.1175000000000002</v>
          </cell>
          <cell r="X214">
            <v>-1.5612545372050817</v>
          </cell>
          <cell r="Y214">
            <v>-2.9662942377495467</v>
          </cell>
          <cell r="Z214">
            <v>-0.8075586055656383</v>
          </cell>
          <cell r="AA214">
            <v>0</v>
          </cell>
          <cell r="AB214">
            <v>1.282214156079855</v>
          </cell>
          <cell r="AC214">
            <v>1.282214156079855</v>
          </cell>
          <cell r="AD214">
            <v>1.282214156079855</v>
          </cell>
          <cell r="AE214">
            <v>1.282214156079855</v>
          </cell>
          <cell r="AF214">
            <v>1.282214156079855</v>
          </cell>
          <cell r="AG214">
            <v>1.282214156079855</v>
          </cell>
          <cell r="BX214">
            <v>0.91451630544067153</v>
          </cell>
          <cell r="BY214">
            <v>-1.5896265577945792</v>
          </cell>
          <cell r="BZ214">
            <v>-2.7674698659613073</v>
          </cell>
          <cell r="CA214">
            <v>-3.0611799976300098</v>
          </cell>
          <cell r="CB214">
            <v>-1.7207268486310516</v>
          </cell>
          <cell r="CC214">
            <v>0.31668458522846871</v>
          </cell>
          <cell r="CD214">
            <v>0.26710845112046122</v>
          </cell>
          <cell r="CE214">
            <v>-2.2154252715898681</v>
          </cell>
          <cell r="CF214">
            <v>-2.5269101762792099</v>
          </cell>
          <cell r="CG214">
            <v>1.161464087672293</v>
          </cell>
          <cell r="CH214">
            <v>-1.2670785351916598</v>
          </cell>
          <cell r="CI214">
            <v>-1.9391844940790819</v>
          </cell>
          <cell r="CJ214">
            <v>0.39900555255423553</v>
          </cell>
          <cell r="CK214">
            <v>-0.43251998082707394</v>
          </cell>
          <cell r="CL214">
            <v>2.3558075742988915</v>
          </cell>
          <cell r="CM214">
            <v>2.4301513638042356</v>
          </cell>
          <cell r="CN214">
            <v>2.4490056866663794</v>
          </cell>
          <cell r="CO214">
            <v>0.59892185387568353</v>
          </cell>
          <cell r="CP214">
            <v>4.4647097016540627E-2</v>
          </cell>
          <cell r="CQ214">
            <v>2.3753120462252477</v>
          </cell>
          <cell r="CR214">
            <v>1.4019179391346348</v>
          </cell>
          <cell r="CS214">
            <v>-2.5351973088860591</v>
          </cell>
          <cell r="CT214">
            <v>1.1101038235741225</v>
          </cell>
          <cell r="CU214">
            <v>0.18918430583824816</v>
          </cell>
          <cell r="CV214">
            <v>-0.86072025031355881</v>
          </cell>
          <cell r="CW214">
            <v>1.8146567566894207</v>
          </cell>
          <cell r="CX214">
            <v>3.1337184895012395</v>
          </cell>
          <cell r="CY214">
            <v>0.83317660960949402</v>
          </cell>
          <cell r="CZ214">
            <v>3.0327941870916058</v>
          </cell>
          <cell r="DA214">
            <v>3.9467374541710307</v>
          </cell>
          <cell r="DB214">
            <v>5.7006430727208386</v>
          </cell>
          <cell r="DC214">
            <v>5.7372177375191766</v>
          </cell>
          <cell r="DD214">
            <v>3.0586791916946461</v>
          </cell>
          <cell r="DE214">
            <v>0.56383648402676134</v>
          </cell>
          <cell r="DF214">
            <v>9.9645171925161424E-2</v>
          </cell>
          <cell r="DG214">
            <v>-15.235001988685029</v>
          </cell>
          <cell r="DH214">
            <v>1.5882990441239326</v>
          </cell>
          <cell r="DI214">
            <v>-0.58878708834681792</v>
          </cell>
          <cell r="DJ214">
            <v>-0.4985101108445793</v>
          </cell>
          <cell r="DK214">
            <v>-1.9572042069797262</v>
          </cell>
          <cell r="DL214">
            <v>-1.5</v>
          </cell>
          <cell r="DM214">
            <v>0.48</v>
          </cell>
          <cell r="DN214">
            <v>3.06</v>
          </cell>
          <cell r="DO214">
            <v>2.4300000000000002</v>
          </cell>
          <cell r="DP214">
            <v>1.7186932849364793</v>
          </cell>
          <cell r="DQ214">
            <v>-0.67921960072595289</v>
          </cell>
          <cell r="DR214">
            <v>-3.2676950998185119</v>
          </cell>
          <cell r="DS214">
            <v>-4.0167967332123409</v>
          </cell>
          <cell r="DT214">
            <v>-2.722944646098004</v>
          </cell>
          <cell r="DU214">
            <v>-4.5011267392619487</v>
          </cell>
          <cell r="DV214">
            <v>-2.1710238959467634</v>
          </cell>
          <cell r="DW214">
            <v>-2.4700816696914698</v>
          </cell>
          <cell r="DX214">
            <v>-0.74604960677555954</v>
          </cell>
          <cell r="DY214">
            <v>-1.2805611010284335</v>
          </cell>
          <cell r="DZ214">
            <v>-0.33962038717483367</v>
          </cell>
          <cell r="EA214">
            <v>-0.86400332728372664</v>
          </cell>
          <cell r="EB214">
            <v>0</v>
          </cell>
          <cell r="EC214">
            <v>0</v>
          </cell>
          <cell r="ED214">
            <v>0</v>
          </cell>
          <cell r="EE214">
            <v>0</v>
          </cell>
        </row>
        <row r="215">
          <cell r="A215" t="str">
            <v>Polypropylene margin ($/MT)</v>
          </cell>
          <cell r="M215">
            <v>-35.835718238858185</v>
          </cell>
          <cell r="N215">
            <v>-18.471498552134662</v>
          </cell>
          <cell r="O215">
            <v>-25.190117239505895</v>
          </cell>
          <cell r="P215">
            <v>26.185969249164891</v>
          </cell>
          <cell r="Q215">
            <v>30.128055627649019</v>
          </cell>
          <cell r="R215">
            <v>0.91470826573181452</v>
          </cell>
          <cell r="S215">
            <v>27.113782146231141</v>
          </cell>
          <cell r="T215">
            <v>101.47983240777961</v>
          </cell>
          <cell r="U215">
            <v>-63.435754687121914</v>
          </cell>
          <cell r="V215">
            <v>-8.0236750148800198</v>
          </cell>
          <cell r="W215">
            <v>24.629700000000003</v>
          </cell>
          <cell r="X215">
            <v>-34.410049999999998</v>
          </cell>
          <cell r="Y215">
            <v>-65.377125000000007</v>
          </cell>
          <cell r="Z215">
            <v>-17.798591666666667</v>
          </cell>
          <cell r="AA215">
            <v>0</v>
          </cell>
          <cell r="AB215">
            <v>28.26</v>
          </cell>
          <cell r="AC215">
            <v>28.26</v>
          </cell>
          <cell r="AD215">
            <v>28.26</v>
          </cell>
          <cell r="AE215">
            <v>28.26</v>
          </cell>
          <cell r="AF215">
            <v>28.26</v>
          </cell>
          <cell r="AG215">
            <v>28.26</v>
          </cell>
          <cell r="BX215">
            <v>20.1559393719124</v>
          </cell>
          <cell r="BY215">
            <v>-35.035369333792524</v>
          </cell>
          <cell r="BZ215">
            <v>-60.995035845787207</v>
          </cell>
          <cell r="CA215">
            <v>-67.468407147765419</v>
          </cell>
          <cell r="CB215">
            <v>-37.92481974382838</v>
          </cell>
          <cell r="CC215">
            <v>6.9797282584354496</v>
          </cell>
          <cell r="CD215">
            <v>5.8870702626949649</v>
          </cell>
          <cell r="CE215">
            <v>-48.827972985840688</v>
          </cell>
          <cell r="CF215">
            <v>-55.693100285193786</v>
          </cell>
          <cell r="CG215">
            <v>25.598668492297339</v>
          </cell>
          <cell r="CH215">
            <v>-27.926410915624182</v>
          </cell>
          <cell r="CI215">
            <v>-42.739626249502962</v>
          </cell>
          <cell r="CJ215">
            <v>8.7940823782953501</v>
          </cell>
          <cell r="CK215">
            <v>-9.5327403774287092</v>
          </cell>
          <cell r="CL215">
            <v>51.921998937547571</v>
          </cell>
          <cell r="CM215">
            <v>53.560536058245347</v>
          </cell>
          <cell r="CN215">
            <v>53.976085334126999</v>
          </cell>
          <cell r="CO215">
            <v>13.200237659420065</v>
          </cell>
          <cell r="CP215">
            <v>0.98402201824455537</v>
          </cell>
          <cell r="CQ215">
            <v>52.351877498804456</v>
          </cell>
          <cell r="CR215">
            <v>30.898271378527351</v>
          </cell>
          <cell r="CS215">
            <v>-55.875748687848741</v>
          </cell>
          <cell r="CT215">
            <v>24.466688271573659</v>
          </cell>
          <cell r="CU215">
            <v>4.1696221006749896</v>
          </cell>
          <cell r="CV215">
            <v>-18.970274316910835</v>
          </cell>
          <cell r="CW215">
            <v>39.995034917434829</v>
          </cell>
          <cell r="CX215">
            <v>69.067155508607314</v>
          </cell>
          <cell r="CY215">
            <v>18.363212475793247</v>
          </cell>
          <cell r="CZ215">
            <v>66.842783883498981</v>
          </cell>
          <cell r="DA215">
            <v>86.986093489929516</v>
          </cell>
          <cell r="DB215">
            <v>125.64217332276728</v>
          </cell>
          <cell r="DC215">
            <v>126.44827893492266</v>
          </cell>
          <cell r="DD215">
            <v>67.413289384949991</v>
          </cell>
          <cell r="DE215">
            <v>12.42695610794982</v>
          </cell>
          <cell r="DF215">
            <v>2.1961795892305576</v>
          </cell>
          <cell r="DG215">
            <v>-335.77944383061805</v>
          </cell>
          <cell r="DH215">
            <v>35.006110932491474</v>
          </cell>
          <cell r="DI215">
            <v>-12.976867427163867</v>
          </cell>
          <cell r="DJ215">
            <v>-10.987162843014527</v>
          </cell>
          <cell r="DK215">
            <v>-43.136780721833162</v>
          </cell>
          <cell r="DL215">
            <v>-33.06</v>
          </cell>
          <cell r="DM215">
            <v>10.579199999999998</v>
          </cell>
          <cell r="DN215">
            <v>67.442399999999992</v>
          </cell>
          <cell r="DO215">
            <v>53.557200000000002</v>
          </cell>
          <cell r="DP215">
            <v>37.880000000000003</v>
          </cell>
          <cell r="DQ215">
            <v>-14.97</v>
          </cell>
          <cell r="DR215">
            <v>-72.02</v>
          </cell>
          <cell r="DS215">
            <v>-88.530199999999994</v>
          </cell>
          <cell r="DT215">
            <v>-60.013700000000007</v>
          </cell>
          <cell r="DU215">
            <v>-99.20483333333334</v>
          </cell>
          <cell r="DV215">
            <v>-47.849366666666661</v>
          </cell>
          <cell r="DW215">
            <v>-54.440599999999996</v>
          </cell>
          <cell r="DX215">
            <v>-16.442933333333333</v>
          </cell>
          <cell r="DY215">
            <v>-28.22356666666667</v>
          </cell>
          <cell r="DZ215">
            <v>-7.4852333333333334</v>
          </cell>
          <cell r="EA215">
            <v>-19.042633333333335</v>
          </cell>
          <cell r="EB215">
            <v>0</v>
          </cell>
          <cell r="EC215">
            <v>0</v>
          </cell>
          <cell r="ED215">
            <v>0</v>
          </cell>
          <cell r="EE215">
            <v>0</v>
          </cell>
        </row>
        <row r="217">
          <cell r="A217" t="str">
            <v>Sensitivity ($mm/year)</v>
          </cell>
        </row>
        <row r="218">
          <cell r="A218" t="str">
            <v>Chemicals impact of 1c/lb change in ethylene margin</v>
          </cell>
          <cell r="W218">
            <v>40</v>
          </cell>
          <cell r="X218">
            <v>40</v>
          </cell>
          <cell r="Y218">
            <v>40</v>
          </cell>
          <cell r="Z218">
            <v>40</v>
          </cell>
          <cell r="AA218">
            <v>40</v>
          </cell>
          <cell r="AB218">
            <v>40</v>
          </cell>
          <cell r="AC218">
            <v>40</v>
          </cell>
          <cell r="AD218">
            <v>40</v>
          </cell>
          <cell r="AE218">
            <v>40</v>
          </cell>
          <cell r="AF218">
            <v>40</v>
          </cell>
          <cell r="AG218">
            <v>40</v>
          </cell>
          <cell r="DH218">
            <v>42</v>
          </cell>
          <cell r="DI218">
            <v>40</v>
          </cell>
          <cell r="DJ218">
            <v>40</v>
          </cell>
          <cell r="DK218">
            <v>40</v>
          </cell>
          <cell r="DL218">
            <v>40</v>
          </cell>
          <cell r="DM218">
            <v>40</v>
          </cell>
          <cell r="DN218">
            <v>40</v>
          </cell>
          <cell r="DO218">
            <v>40</v>
          </cell>
          <cell r="DP218">
            <v>40</v>
          </cell>
          <cell r="DQ218">
            <v>40</v>
          </cell>
          <cell r="DR218">
            <v>40</v>
          </cell>
          <cell r="DS218">
            <v>40</v>
          </cell>
          <cell r="DT218">
            <v>40</v>
          </cell>
          <cell r="DU218">
            <v>40</v>
          </cell>
          <cell r="DV218">
            <v>40</v>
          </cell>
          <cell r="DW218">
            <v>40</v>
          </cell>
          <cell r="DX218">
            <v>40</v>
          </cell>
          <cell r="DY218">
            <v>40</v>
          </cell>
          <cell r="DZ218">
            <v>40</v>
          </cell>
          <cell r="EA218">
            <v>40</v>
          </cell>
          <cell r="EB218">
            <v>40</v>
          </cell>
          <cell r="EC218">
            <v>40</v>
          </cell>
          <cell r="ED218">
            <v>40</v>
          </cell>
          <cell r="EE218">
            <v>40</v>
          </cell>
        </row>
        <row r="219">
          <cell r="A219" t="str">
            <v>Polymers impact of 1c/lb change in polyethylene</v>
          </cell>
          <cell r="W219">
            <v>48</v>
          </cell>
          <cell r="X219">
            <v>48</v>
          </cell>
          <cell r="Y219">
            <v>48</v>
          </cell>
          <cell r="Z219">
            <v>48</v>
          </cell>
          <cell r="AA219">
            <v>48</v>
          </cell>
          <cell r="AB219">
            <v>48</v>
          </cell>
          <cell r="AC219">
            <v>48</v>
          </cell>
          <cell r="AD219">
            <v>48</v>
          </cell>
          <cell r="AE219">
            <v>48</v>
          </cell>
          <cell r="AF219">
            <v>48</v>
          </cell>
          <cell r="AG219">
            <v>48</v>
          </cell>
          <cell r="DH219">
            <v>52</v>
          </cell>
          <cell r="DI219">
            <v>52</v>
          </cell>
          <cell r="DJ219">
            <v>52</v>
          </cell>
          <cell r="DK219">
            <v>52</v>
          </cell>
          <cell r="DL219">
            <v>52</v>
          </cell>
          <cell r="DM219">
            <v>52</v>
          </cell>
          <cell r="DN219">
            <v>52</v>
          </cell>
          <cell r="DO219">
            <v>52</v>
          </cell>
          <cell r="DP219">
            <v>52</v>
          </cell>
          <cell r="DQ219">
            <v>52</v>
          </cell>
          <cell r="DR219">
            <v>52</v>
          </cell>
          <cell r="DS219">
            <v>52</v>
          </cell>
          <cell r="DT219">
            <v>52</v>
          </cell>
          <cell r="DU219">
            <v>52</v>
          </cell>
          <cell r="DV219">
            <v>52</v>
          </cell>
          <cell r="DW219">
            <v>52</v>
          </cell>
          <cell r="DX219">
            <v>52</v>
          </cell>
          <cell r="DY219">
            <v>52</v>
          </cell>
          <cell r="DZ219">
            <v>52</v>
          </cell>
          <cell r="EA219">
            <v>52</v>
          </cell>
          <cell r="EB219">
            <v>48</v>
          </cell>
          <cell r="EC219">
            <v>48</v>
          </cell>
          <cell r="ED219">
            <v>48</v>
          </cell>
          <cell r="EE219">
            <v>48</v>
          </cell>
        </row>
        <row r="220">
          <cell r="A220" t="str">
            <v>Polymers impact of 1c/lb change in polypropylene</v>
          </cell>
          <cell r="W220">
            <v>93.5</v>
          </cell>
          <cell r="X220">
            <v>93.5</v>
          </cell>
          <cell r="Y220">
            <v>93.5</v>
          </cell>
          <cell r="Z220">
            <v>93.5</v>
          </cell>
          <cell r="AA220">
            <v>93.5</v>
          </cell>
          <cell r="AB220">
            <v>93.5</v>
          </cell>
          <cell r="AC220">
            <v>93.5</v>
          </cell>
          <cell r="AD220">
            <v>93.5</v>
          </cell>
          <cell r="AE220">
            <v>93.5</v>
          </cell>
          <cell r="AF220">
            <v>93.5</v>
          </cell>
          <cell r="AG220">
            <v>93.5</v>
          </cell>
          <cell r="DH220">
            <v>92</v>
          </cell>
          <cell r="DI220">
            <v>92</v>
          </cell>
          <cell r="DJ220">
            <v>92</v>
          </cell>
          <cell r="DK220">
            <v>92</v>
          </cell>
          <cell r="DL220">
            <v>92</v>
          </cell>
          <cell r="DM220">
            <v>92</v>
          </cell>
          <cell r="DN220">
            <v>92</v>
          </cell>
          <cell r="DO220">
            <v>92</v>
          </cell>
          <cell r="DP220">
            <v>92</v>
          </cell>
          <cell r="DQ220">
            <v>92</v>
          </cell>
          <cell r="DR220">
            <v>92</v>
          </cell>
          <cell r="DS220">
            <v>92</v>
          </cell>
          <cell r="DT220">
            <v>92</v>
          </cell>
          <cell r="DU220">
            <v>92</v>
          </cell>
          <cell r="DV220">
            <v>92</v>
          </cell>
          <cell r="DW220">
            <v>92</v>
          </cell>
          <cell r="DX220">
            <v>92</v>
          </cell>
          <cell r="DY220">
            <v>92</v>
          </cell>
          <cell r="DZ220">
            <v>92</v>
          </cell>
          <cell r="EA220">
            <v>92</v>
          </cell>
          <cell r="EB220">
            <v>93.5</v>
          </cell>
          <cell r="EC220">
            <v>93.5</v>
          </cell>
          <cell r="ED220">
            <v>93.5</v>
          </cell>
          <cell r="EE220">
            <v>93.5</v>
          </cell>
        </row>
        <row r="222">
          <cell r="A222" t="str">
            <v>RoW Polymers impact of 1c/lb change in polyethylene</v>
          </cell>
          <cell r="W222">
            <v>48</v>
          </cell>
          <cell r="X222">
            <v>48</v>
          </cell>
          <cell r="Y222">
            <v>48</v>
          </cell>
          <cell r="Z222">
            <v>48</v>
          </cell>
          <cell r="AA222">
            <v>48</v>
          </cell>
          <cell r="AB222">
            <v>48</v>
          </cell>
          <cell r="AC222">
            <v>48</v>
          </cell>
          <cell r="AD222">
            <v>48</v>
          </cell>
          <cell r="AE222">
            <v>48</v>
          </cell>
          <cell r="AF222">
            <v>48</v>
          </cell>
          <cell r="AG222">
            <v>48</v>
          </cell>
          <cell r="DH222">
            <v>42</v>
          </cell>
          <cell r="DI222">
            <v>42</v>
          </cell>
          <cell r="DJ222">
            <v>42</v>
          </cell>
          <cell r="DK222">
            <v>42</v>
          </cell>
          <cell r="DL222">
            <v>42</v>
          </cell>
          <cell r="DM222">
            <v>42</v>
          </cell>
          <cell r="DN222">
            <v>42</v>
          </cell>
          <cell r="DO222">
            <v>42</v>
          </cell>
          <cell r="DP222">
            <v>42</v>
          </cell>
          <cell r="DQ222">
            <v>42</v>
          </cell>
          <cell r="DR222">
            <v>42</v>
          </cell>
          <cell r="DS222">
            <v>42</v>
          </cell>
          <cell r="DT222">
            <v>42</v>
          </cell>
          <cell r="DU222">
            <v>42</v>
          </cell>
          <cell r="DV222">
            <v>42</v>
          </cell>
          <cell r="DW222">
            <v>42</v>
          </cell>
          <cell r="DX222">
            <v>42</v>
          </cell>
          <cell r="DY222">
            <v>42</v>
          </cell>
          <cell r="DZ222">
            <v>42</v>
          </cell>
          <cell r="EA222">
            <v>42</v>
          </cell>
          <cell r="EB222">
            <v>48</v>
          </cell>
          <cell r="EC222">
            <v>48</v>
          </cell>
          <cell r="ED222">
            <v>48</v>
          </cell>
          <cell r="EE222">
            <v>48</v>
          </cell>
        </row>
        <row r="223">
          <cell r="A223" t="str">
            <v>RoW Polymers impact of 1c/lb change in polypropylene</v>
          </cell>
          <cell r="W223">
            <v>93.5</v>
          </cell>
          <cell r="X223">
            <v>93.5</v>
          </cell>
          <cell r="Y223">
            <v>93.5</v>
          </cell>
          <cell r="Z223">
            <v>93.5</v>
          </cell>
          <cell r="AA223">
            <v>93.5</v>
          </cell>
          <cell r="AB223">
            <v>93.5</v>
          </cell>
          <cell r="AC223">
            <v>93.5</v>
          </cell>
          <cell r="AD223">
            <v>93.5</v>
          </cell>
          <cell r="AE223">
            <v>93.5</v>
          </cell>
          <cell r="AF223">
            <v>93.5</v>
          </cell>
          <cell r="AG223">
            <v>93.5</v>
          </cell>
          <cell r="DH223">
            <v>62</v>
          </cell>
          <cell r="DI223">
            <v>62</v>
          </cell>
          <cell r="DJ223">
            <v>62</v>
          </cell>
          <cell r="DK223">
            <v>62</v>
          </cell>
          <cell r="DL223">
            <v>62</v>
          </cell>
          <cell r="DM223">
            <v>62</v>
          </cell>
          <cell r="DN223">
            <v>62</v>
          </cell>
          <cell r="DO223">
            <v>62</v>
          </cell>
          <cell r="DP223">
            <v>62</v>
          </cell>
          <cell r="DQ223">
            <v>62</v>
          </cell>
          <cell r="DR223">
            <v>62</v>
          </cell>
          <cell r="DS223">
            <v>62</v>
          </cell>
          <cell r="DT223">
            <v>62</v>
          </cell>
          <cell r="DU223">
            <v>62</v>
          </cell>
          <cell r="DV223">
            <v>62</v>
          </cell>
          <cell r="DW223">
            <v>62</v>
          </cell>
          <cell r="DX223">
            <v>62</v>
          </cell>
          <cell r="DY223">
            <v>62</v>
          </cell>
          <cell r="DZ223">
            <v>62</v>
          </cell>
          <cell r="EA223">
            <v>62</v>
          </cell>
          <cell r="EB223">
            <v>93.5</v>
          </cell>
          <cell r="EC223">
            <v>93.5</v>
          </cell>
          <cell r="ED223">
            <v>93.5</v>
          </cell>
          <cell r="EE223">
            <v>93.5</v>
          </cell>
        </row>
        <row r="225">
          <cell r="A225" t="str">
            <v>JV Polymers impact of 1c/lb change in polyethylene</v>
          </cell>
          <cell r="W225">
            <v>48</v>
          </cell>
          <cell r="X225">
            <v>48</v>
          </cell>
          <cell r="Y225">
            <v>48</v>
          </cell>
          <cell r="Z225">
            <v>48</v>
          </cell>
          <cell r="AA225">
            <v>48</v>
          </cell>
          <cell r="AB225">
            <v>48</v>
          </cell>
          <cell r="AC225">
            <v>48</v>
          </cell>
          <cell r="AD225">
            <v>48</v>
          </cell>
          <cell r="AE225">
            <v>48</v>
          </cell>
          <cell r="AF225">
            <v>48</v>
          </cell>
          <cell r="AG225">
            <v>48</v>
          </cell>
          <cell r="DH225">
            <v>10</v>
          </cell>
          <cell r="DI225">
            <v>10</v>
          </cell>
          <cell r="DJ225">
            <v>10</v>
          </cell>
          <cell r="DK225">
            <v>10</v>
          </cell>
          <cell r="DL225">
            <v>10</v>
          </cell>
          <cell r="DM225">
            <v>10</v>
          </cell>
          <cell r="DN225">
            <v>10</v>
          </cell>
          <cell r="DO225">
            <v>10</v>
          </cell>
          <cell r="DP225">
            <v>10</v>
          </cell>
          <cell r="DQ225">
            <v>10</v>
          </cell>
          <cell r="DR225">
            <v>10</v>
          </cell>
          <cell r="DS225">
            <v>10</v>
          </cell>
          <cell r="DT225">
            <v>10</v>
          </cell>
          <cell r="DU225">
            <v>10</v>
          </cell>
          <cell r="DV225">
            <v>10</v>
          </cell>
          <cell r="DW225">
            <v>10</v>
          </cell>
          <cell r="DX225">
            <v>10</v>
          </cell>
          <cell r="DY225">
            <v>10</v>
          </cell>
          <cell r="DZ225">
            <v>10</v>
          </cell>
          <cell r="EA225">
            <v>10</v>
          </cell>
          <cell r="EB225">
            <v>48</v>
          </cell>
          <cell r="EC225">
            <v>48</v>
          </cell>
          <cell r="ED225">
            <v>48</v>
          </cell>
          <cell r="EE225">
            <v>48</v>
          </cell>
        </row>
        <row r="226">
          <cell r="A226" t="str">
            <v>JV Polymers impact of 1c/lb change in polypropylene</v>
          </cell>
          <cell r="W226">
            <v>93.5</v>
          </cell>
          <cell r="X226">
            <v>93.5</v>
          </cell>
          <cell r="Y226">
            <v>93.5</v>
          </cell>
          <cell r="Z226">
            <v>93.5</v>
          </cell>
          <cell r="AA226">
            <v>93.5</v>
          </cell>
          <cell r="AB226">
            <v>93.5</v>
          </cell>
          <cell r="AC226">
            <v>93.5</v>
          </cell>
          <cell r="AD226">
            <v>93.5</v>
          </cell>
          <cell r="AE226">
            <v>93.5</v>
          </cell>
          <cell r="AF226">
            <v>93.5</v>
          </cell>
          <cell r="AG226">
            <v>93.5</v>
          </cell>
          <cell r="DH226">
            <v>30</v>
          </cell>
          <cell r="DI226">
            <v>30</v>
          </cell>
          <cell r="DJ226">
            <v>30</v>
          </cell>
          <cell r="DK226">
            <v>30</v>
          </cell>
          <cell r="DL226">
            <v>30</v>
          </cell>
          <cell r="DM226">
            <v>30</v>
          </cell>
          <cell r="DN226">
            <v>30</v>
          </cell>
          <cell r="DO226">
            <v>30</v>
          </cell>
          <cell r="DP226">
            <v>30</v>
          </cell>
          <cell r="DQ226">
            <v>30</v>
          </cell>
          <cell r="DR226">
            <v>30</v>
          </cell>
          <cell r="DS226">
            <v>30</v>
          </cell>
          <cell r="DT226">
            <v>30</v>
          </cell>
          <cell r="DU226">
            <v>30</v>
          </cell>
          <cell r="DV226">
            <v>30</v>
          </cell>
          <cell r="DW226">
            <v>30</v>
          </cell>
          <cell r="DX226">
            <v>30</v>
          </cell>
          <cell r="DY226">
            <v>30</v>
          </cell>
          <cell r="DZ226">
            <v>30</v>
          </cell>
          <cell r="EA226">
            <v>30</v>
          </cell>
          <cell r="EB226">
            <v>93.5</v>
          </cell>
          <cell r="EC226">
            <v>93.5</v>
          </cell>
          <cell r="ED226">
            <v>93.5</v>
          </cell>
          <cell r="EE226">
            <v>93.5</v>
          </cell>
        </row>
        <row r="228">
          <cell r="A228" t="str">
            <v>Polymers impact of 1c/lb change in PP compounding</v>
          </cell>
          <cell r="W228">
            <v>21</v>
          </cell>
          <cell r="X228">
            <v>21</v>
          </cell>
          <cell r="Y228">
            <v>21</v>
          </cell>
          <cell r="Z228">
            <v>21</v>
          </cell>
          <cell r="AA228">
            <v>21</v>
          </cell>
          <cell r="AB228">
            <v>21</v>
          </cell>
          <cell r="AC228">
            <v>21</v>
          </cell>
          <cell r="AD228">
            <v>21</v>
          </cell>
          <cell r="AE228">
            <v>21</v>
          </cell>
          <cell r="AF228">
            <v>21</v>
          </cell>
          <cell r="AG228">
            <v>21</v>
          </cell>
          <cell r="DH228">
            <v>21</v>
          </cell>
          <cell r="DI228">
            <v>21</v>
          </cell>
          <cell r="DJ228">
            <v>21</v>
          </cell>
          <cell r="DK228">
            <v>21</v>
          </cell>
          <cell r="DL228">
            <v>21</v>
          </cell>
          <cell r="DM228">
            <v>21</v>
          </cell>
          <cell r="DN228">
            <v>21</v>
          </cell>
          <cell r="DO228">
            <v>21</v>
          </cell>
          <cell r="DP228">
            <v>21</v>
          </cell>
          <cell r="DQ228">
            <v>21</v>
          </cell>
          <cell r="DR228">
            <v>21</v>
          </cell>
          <cell r="DS228">
            <v>21</v>
          </cell>
          <cell r="DT228">
            <v>21</v>
          </cell>
          <cell r="DU228">
            <v>21</v>
          </cell>
          <cell r="DV228">
            <v>21</v>
          </cell>
          <cell r="DW228">
            <v>21</v>
          </cell>
          <cell r="DX228">
            <v>21</v>
          </cell>
          <cell r="DY228">
            <v>21</v>
          </cell>
          <cell r="DZ228">
            <v>21</v>
          </cell>
          <cell r="EA228">
            <v>21</v>
          </cell>
          <cell r="EB228">
            <v>21</v>
          </cell>
          <cell r="EC228">
            <v>21</v>
          </cell>
          <cell r="ED228">
            <v>21</v>
          </cell>
          <cell r="EE228">
            <v>21</v>
          </cell>
        </row>
        <row r="229">
          <cell r="A229" t="str">
            <v>PP compounding EBITDA</v>
          </cell>
          <cell r="V229">
            <v>200</v>
          </cell>
          <cell r="W229">
            <v>200</v>
          </cell>
          <cell r="X229">
            <v>216.09734358843701</v>
          </cell>
          <cell r="Y229">
            <v>235.28700375274241</v>
          </cell>
          <cell r="Z229">
            <v>249.91949585960444</v>
          </cell>
          <cell r="AA229">
            <v>262.41547065258464</v>
          </cell>
          <cell r="AB229">
            <v>275.53624418521389</v>
          </cell>
          <cell r="AC229">
            <v>289.31305639447459</v>
          </cell>
          <cell r="AD229">
            <v>303.77870921419833</v>
          </cell>
          <cell r="AE229">
            <v>318.96764467490829</v>
          </cell>
          <cell r="AF229">
            <v>334.91602690865369</v>
          </cell>
          <cell r="AG229">
            <v>351.6618282540864</v>
          </cell>
          <cell r="DH229">
            <v>50</v>
          </cell>
          <cell r="DI229">
            <v>50</v>
          </cell>
          <cell r="DJ229">
            <v>50</v>
          </cell>
          <cell r="DK229">
            <v>50</v>
          </cell>
          <cell r="DL229">
            <v>50</v>
          </cell>
          <cell r="DM229">
            <v>50</v>
          </cell>
          <cell r="DN229">
            <v>50</v>
          </cell>
          <cell r="DO229">
            <v>46.5</v>
          </cell>
          <cell r="DP229">
            <v>47.408674281987331</v>
          </cell>
          <cell r="DQ229">
            <v>48.335105315603592</v>
          </cell>
          <cell r="DR229">
            <v>63.335105315603592</v>
          </cell>
          <cell r="DS229">
            <v>53.335105315603592</v>
          </cell>
          <cell r="DT229">
            <v>54.481654119245569</v>
          </cell>
          <cell r="DU229">
            <v>55.652850369468069</v>
          </cell>
          <cell r="DV229">
            <v>56.849223914299372</v>
          </cell>
          <cell r="DW229">
            <v>58.07131599195101</v>
          </cell>
          <cell r="DX229">
            <v>59.319679475673382</v>
          </cell>
          <cell r="DY229">
            <v>60.594879123875089</v>
          </cell>
          <cell r="DZ229">
            <v>61.897491835619064</v>
          </cell>
          <cell r="EA229">
            <v>63.228106911611157</v>
          </cell>
          <cell r="EB229">
            <v>64.004057062134805</v>
          </cell>
          <cell r="EC229">
            <v>64.789529854810937</v>
          </cell>
          <cell r="ED229">
            <v>65.584642153736425</v>
          </cell>
          <cell r="EE229">
            <v>66.38951225719174</v>
          </cell>
        </row>
        <row r="230">
          <cell r="A230" t="str">
            <v>PP compounding growth (sequential)</v>
          </cell>
          <cell r="X230">
            <v>8.0486717942185093E-2</v>
          </cell>
          <cell r="Y230">
            <v>8.8800999797816083E-2</v>
          </cell>
          <cell r="Z230">
            <v>6.2189971708930258E-2</v>
          </cell>
          <cell r="AA230">
            <v>0.05</v>
          </cell>
          <cell r="AB230">
            <v>0.05</v>
          </cell>
          <cell r="AC230">
            <v>0.05</v>
          </cell>
          <cell r="AD230">
            <v>0.05</v>
          </cell>
          <cell r="AE230">
            <v>0.05</v>
          </cell>
          <cell r="AF230">
            <v>0.05</v>
          </cell>
          <cell r="AG230">
            <v>0.05</v>
          </cell>
          <cell r="DJ230">
            <v>0</v>
          </cell>
          <cell r="DK230">
            <v>0</v>
          </cell>
          <cell r="DN230">
            <v>0</v>
          </cell>
          <cell r="DO230">
            <v>0</v>
          </cell>
          <cell r="DP230">
            <v>1.9541382408329699E-2</v>
          </cell>
          <cell r="DQ230">
            <v>1.9541382408329699E-2</v>
          </cell>
          <cell r="DR230">
            <v>1.9541382408329699E-2</v>
          </cell>
          <cell r="DS230">
            <v>1.9541382408329699E-2</v>
          </cell>
          <cell r="DT230">
            <v>2.1497075835088753E-2</v>
          </cell>
          <cell r="DU230">
            <v>2.1497075835088753E-2</v>
          </cell>
          <cell r="DV230">
            <v>2.1497075835088753E-2</v>
          </cell>
          <cell r="DW230">
            <v>2.1497075835088753E-2</v>
          </cell>
          <cell r="DX230">
            <v>2.1497075835088753E-2</v>
          </cell>
          <cell r="DY230">
            <v>2.1497075835088753E-2</v>
          </cell>
          <cell r="DZ230">
            <v>2.1497075835088753E-2</v>
          </cell>
          <cell r="EA230">
            <v>2.1497075835088753E-2</v>
          </cell>
          <cell r="EB230">
            <v>1.2272234429039353E-2</v>
          </cell>
          <cell r="EC230">
            <v>1.2272234429039353E-2</v>
          </cell>
          <cell r="ED230">
            <v>1.2272234429039353E-2</v>
          </cell>
          <cell r="EE230">
            <v>1.2272234429039353E-2</v>
          </cell>
        </row>
        <row r="232">
          <cell r="A232" t="str">
            <v>EBITDA</v>
          </cell>
          <cell r="DH232">
            <v>-15</v>
          </cell>
          <cell r="DI232">
            <v>100</v>
          </cell>
          <cell r="DJ232">
            <v>180</v>
          </cell>
          <cell r="DK232">
            <v>42</v>
          </cell>
          <cell r="DL232">
            <v>152</v>
          </cell>
          <cell r="DM232">
            <v>257</v>
          </cell>
          <cell r="DN232">
            <v>294</v>
          </cell>
          <cell r="DO232">
            <v>115</v>
          </cell>
          <cell r="DP232">
            <v>333</v>
          </cell>
          <cell r="DQ232">
            <v>335</v>
          </cell>
          <cell r="DR232">
            <v>261</v>
          </cell>
          <cell r="DS232">
            <v>62</v>
          </cell>
          <cell r="DT232">
            <v>103</v>
          </cell>
          <cell r="DU232">
            <v>335</v>
          </cell>
          <cell r="DV232">
            <v>75</v>
          </cell>
          <cell r="DW232">
            <v>50</v>
          </cell>
          <cell r="DX232">
            <v>225</v>
          </cell>
          <cell r="DY232">
            <v>295</v>
          </cell>
          <cell r="DZ232">
            <v>204</v>
          </cell>
          <cell r="EA232">
            <v>138.53475250289273</v>
          </cell>
          <cell r="EB232">
            <v>156.31093719445309</v>
          </cell>
          <cell r="EC232">
            <v>153.72675482712935</v>
          </cell>
          <cell r="ED232">
            <v>152.83703954605471</v>
          </cell>
          <cell r="EE232">
            <v>151.11466827951</v>
          </cell>
        </row>
        <row r="233">
          <cell r="A233" t="str">
            <v>Actuals vs. Est</v>
          </cell>
          <cell r="DI233">
            <v>143.00824145696731</v>
          </cell>
          <cell r="DJ233">
            <v>-39.514301869114661</v>
          </cell>
          <cell r="DK233">
            <v>-44.469871752889418</v>
          </cell>
          <cell r="DL233">
            <v>34.501911780045134</v>
          </cell>
          <cell r="DM233">
            <v>-1.4390414657784731</v>
          </cell>
          <cell r="DN233">
            <v>-35.535437138566806</v>
          </cell>
          <cell r="DO233">
            <v>-43.040492589231718</v>
          </cell>
          <cell r="DP233">
            <v>126.99736961093464</v>
          </cell>
          <cell r="DQ233">
            <v>55.196989293062586</v>
          </cell>
          <cell r="DR233">
            <v>94.568989986388431</v>
          </cell>
          <cell r="DS233">
            <v>-100.41958291137337</v>
          </cell>
          <cell r="DT233">
            <v>22.720938492183762</v>
          </cell>
          <cell r="DU233">
            <v>82.406092114367169</v>
          </cell>
          <cell r="DV233">
            <v>-169.99845662609772</v>
          </cell>
          <cell r="DW233">
            <v>-84.642628980252795</v>
          </cell>
          <cell r="DX233">
            <v>73.345182342048872</v>
          </cell>
          <cell r="DY233">
            <v>47.367677191887026</v>
          </cell>
          <cell r="DZ233">
            <v>-100.6934470533451</v>
          </cell>
          <cell r="EA233">
            <v>-23.534752502892729</v>
          </cell>
          <cell r="EB233">
            <v>107.18242231620349</v>
          </cell>
        </row>
        <row r="234">
          <cell r="EB234" t="str">
            <v xml:space="preserve"> </v>
          </cell>
        </row>
        <row r="235">
          <cell r="A235" t="str">
            <v>EBITDA Calc by Rate of Change, Q/Q</v>
          </cell>
          <cell r="DJ235">
            <v>219.51430186911466</v>
          </cell>
          <cell r="DK235">
            <v>86.469871752889418</v>
          </cell>
          <cell r="DL235">
            <v>117.49808821995487</v>
          </cell>
          <cell r="DM235">
            <v>258.43904146577847</v>
          </cell>
          <cell r="DN235">
            <v>329.53543713856681</v>
          </cell>
          <cell r="DO235">
            <v>158.04049258923172</v>
          </cell>
          <cell r="DP235">
            <v>206.00263038906536</v>
          </cell>
          <cell r="DQ235">
            <v>279.80301070693741</v>
          </cell>
          <cell r="DR235">
            <v>166.43101001361157</v>
          </cell>
          <cell r="DS235">
            <v>162.41958291137337</v>
          </cell>
          <cell r="DT235">
            <v>80.279061507816238</v>
          </cell>
          <cell r="DU235">
            <v>252.59390788563283</v>
          </cell>
          <cell r="DV235">
            <v>244.99845662609772</v>
          </cell>
          <cell r="DW235">
            <v>134.64262898025279</v>
          </cell>
          <cell r="DX235">
            <v>151.65481765795113</v>
          </cell>
          <cell r="DY235">
            <v>247.63232280811297</v>
          </cell>
          <cell r="DZ235">
            <v>304.6934470533451</v>
          </cell>
          <cell r="EA235">
            <v>138.53475250289273</v>
          </cell>
          <cell r="EB235">
            <v>156.31093719445309</v>
          </cell>
          <cell r="EC235">
            <v>153.72675482712935</v>
          </cell>
          <cell r="ED235">
            <v>152.83703954605471</v>
          </cell>
          <cell r="EE235">
            <v>151.11466827951</v>
          </cell>
        </row>
        <row r="236">
          <cell r="A236" t="str">
            <v>Change in EBITDA ($mm), Q/Q</v>
          </cell>
          <cell r="Y236">
            <v>-261.72764867840505</v>
          </cell>
          <cell r="Z236">
            <v>565.35058762183564</v>
          </cell>
          <cell r="AA236">
            <v>-191.28438353424633</v>
          </cell>
          <cell r="AB236">
            <v>264.85528894378547</v>
          </cell>
          <cell r="AC236">
            <v>30.94306863744589</v>
          </cell>
          <cell r="AD236">
            <v>3.1132360609375951</v>
          </cell>
          <cell r="AE236">
            <v>34.410951819940863</v>
          </cell>
          <cell r="AF236">
            <v>37.29592633233392</v>
          </cell>
          <cell r="AG236">
            <v>-72.808604329924947</v>
          </cell>
          <cell r="DH236">
            <v>57.342018916543395</v>
          </cell>
          <cell r="DI236">
            <v>-28.008241456967301</v>
          </cell>
          <cell r="DJ236">
            <v>119.51430186911465</v>
          </cell>
          <cell r="DK236">
            <v>-93.530128247110582</v>
          </cell>
          <cell r="DL236">
            <v>75.498088219954866</v>
          </cell>
          <cell r="DM236">
            <v>106.4390414657785</v>
          </cell>
          <cell r="DN236">
            <v>72.535437138566806</v>
          </cell>
          <cell r="DO236">
            <v>-135.95950741076828</v>
          </cell>
          <cell r="DP236">
            <v>91.002630389065374</v>
          </cell>
          <cell r="DQ236">
            <v>-53.196989293062593</v>
          </cell>
          <cell r="DR236">
            <v>-168.56898998638843</v>
          </cell>
          <cell r="DS236">
            <v>-98.580417088626646</v>
          </cell>
          <cell r="DT236">
            <v>18.279061507816238</v>
          </cell>
          <cell r="DU236">
            <v>149.59390788563283</v>
          </cell>
          <cell r="DV236">
            <v>-90.00154337390228</v>
          </cell>
          <cell r="DW236">
            <v>59.642628980252795</v>
          </cell>
          <cell r="DX236">
            <v>101.65481765795114</v>
          </cell>
          <cell r="DY236">
            <v>22.632322808112974</v>
          </cell>
          <cell r="DZ236">
            <v>9.693447053345114</v>
          </cell>
          <cell r="EA236">
            <v>-65.465247497107271</v>
          </cell>
          <cell r="EB236">
            <v>17.776184691560353</v>
          </cell>
          <cell r="EC236">
            <v>-2.5841823673237343</v>
          </cell>
          <cell r="ED236">
            <v>-0.88971528107462916</v>
          </cell>
          <cell r="EE236">
            <v>-1.7223712665447266</v>
          </cell>
        </row>
        <row r="237">
          <cell r="A237" t="str">
            <v>Change in EBITDA ($mm), Y/Y</v>
          </cell>
          <cell r="DM237">
            <v>207.92130330773742</v>
          </cell>
          <cell r="DN237">
            <v>160.94243857718959</v>
          </cell>
          <cell r="DO237">
            <v>118.51305941353189</v>
          </cell>
          <cell r="DP237">
            <v>134.01760158264238</v>
          </cell>
          <cell r="DQ237">
            <v>-25.618429176198703</v>
          </cell>
          <cell r="DR237">
            <v>-266.72285630115391</v>
          </cell>
          <cell r="DS237">
            <v>-229.34376597901229</v>
          </cell>
          <cell r="DT237">
            <v>-302.06733486026144</v>
          </cell>
          <cell r="DU237">
            <v>-99.276437681565994</v>
          </cell>
          <cell r="DV237">
            <v>-20.708991069079836</v>
          </cell>
          <cell r="DW237">
            <v>137.51405499979958</v>
          </cell>
          <cell r="DX237">
            <v>220.8898111499345</v>
          </cell>
          <cell r="DY237">
            <v>93.92822607241466</v>
          </cell>
          <cell r="DZ237">
            <v>193.62321649966202</v>
          </cell>
          <cell r="EA237">
            <v>68.515340022301956</v>
          </cell>
          <cell r="EB237">
            <v>-17.995425871594371</v>
          </cell>
          <cell r="EC237">
            <v>-42.898913112467682</v>
          </cell>
          <cell r="ED237">
            <v>-50.258809541462924</v>
          </cell>
          <cell r="EE237">
            <v>12.579915776617263</v>
          </cell>
        </row>
        <row r="239">
          <cell r="A239" t="str">
            <v>EBITDA Calc by Regression</v>
          </cell>
          <cell r="DH239">
            <v>77.249826031803821</v>
          </cell>
          <cell r="DI239">
            <v>66.107468427202051</v>
          </cell>
          <cell r="DJ239">
            <v>176.08487927662242</v>
          </cell>
          <cell r="DK239">
            <v>70.043259022898809</v>
          </cell>
          <cell r="DL239">
            <v>152.91008891650549</v>
          </cell>
          <cell r="DM239">
            <v>238.12733535713642</v>
          </cell>
          <cell r="DN239">
            <v>332.50049732954386</v>
          </cell>
          <cell r="DO239">
            <v>189.29466653492241</v>
          </cell>
          <cell r="DP239">
            <v>290.25144289896451</v>
          </cell>
          <cell r="DQ239">
            <v>253.6151461901519</v>
          </cell>
          <cell r="DR239">
            <v>85.388192689739682</v>
          </cell>
          <cell r="DS239">
            <v>-11.480534275893644</v>
          </cell>
          <cell r="DT239">
            <v>10.053697599889047</v>
          </cell>
          <cell r="DU239">
            <v>181.40626276549239</v>
          </cell>
          <cell r="DV239">
            <v>45.271935349410356</v>
          </cell>
          <cell r="DW239">
            <v>95.706632778219927</v>
          </cell>
          <cell r="DX239">
            <v>179.21093112423301</v>
          </cell>
          <cell r="DY239">
            <v>199.08632989934316</v>
          </cell>
          <cell r="DZ239">
            <v>208.3776172281008</v>
          </cell>
          <cell r="EA239">
            <v>155.96970738289633</v>
          </cell>
          <cell r="EB239">
            <v>178.86193308403031</v>
          </cell>
          <cell r="EC239">
            <v>176.45081073326577</v>
          </cell>
          <cell r="ED239">
            <v>173.16740049171165</v>
          </cell>
          <cell r="EE239">
            <v>172.83875213061816</v>
          </cell>
        </row>
        <row r="241">
          <cell r="A241" t="str">
            <v>EBITDA Calc by Production</v>
          </cell>
          <cell r="V241">
            <v>405.97228587365748</v>
          </cell>
          <cell r="W241">
            <v>932.10796032784572</v>
          </cell>
          <cell r="X241">
            <v>635.47747813708895</v>
          </cell>
          <cell r="Y241">
            <v>348.62142202976952</v>
          </cell>
          <cell r="Z241">
            <v>765.57957028478506</v>
          </cell>
          <cell r="AA241">
            <v>628.70155073836861</v>
          </cell>
          <cell r="AB241">
            <v>885.40653330952864</v>
          </cell>
          <cell r="AC241">
            <v>908.17966541349938</v>
          </cell>
          <cell r="AD241">
            <v>907.20138599914742</v>
          </cell>
          <cell r="AE241">
            <v>969.9252953525081</v>
          </cell>
          <cell r="AF241">
            <v>1031.0698806171331</v>
          </cell>
          <cell r="AG241">
            <v>956.0224085861189</v>
          </cell>
          <cell r="DH241">
            <v>81.264326964716815</v>
          </cell>
          <cell r="DI241">
            <v>70.062600208306065</v>
          </cell>
          <cell r="DJ241">
            <v>180.62599706104595</v>
          </cell>
          <cell r="DK241">
            <v>74.019361639588624</v>
          </cell>
          <cell r="DL241">
            <v>157.32772586358246</v>
          </cell>
          <cell r="DM241">
            <v>242.99903021728804</v>
          </cell>
          <cell r="DN241">
            <v>337.87503501512401</v>
          </cell>
          <cell r="DO241">
            <v>193.90616923185121</v>
          </cell>
          <cell r="DP241">
            <v>295.400867496697</v>
          </cell>
          <cell r="DQ241">
            <v>258.56936381838938</v>
          </cell>
          <cell r="DR241">
            <v>89.446056790730552</v>
          </cell>
          <cell r="DS241">
            <v>-7.9388099687279023</v>
          </cell>
          <cell r="DT241">
            <v>13.710161455603746</v>
          </cell>
          <cell r="DU241">
            <v>185.97573415652195</v>
          </cell>
          <cell r="DV241">
            <v>49.116050416618428</v>
          </cell>
          <cell r="DW241">
            <v>99.81947600102535</v>
          </cell>
          <cell r="DX241">
            <v>183.76870526212224</v>
          </cell>
          <cell r="DY241">
            <v>203.75000492544802</v>
          </cell>
          <cell r="DZ241">
            <v>213.09079845993847</v>
          </cell>
          <cell r="EA241">
            <v>160.40364671046177</v>
          </cell>
          <cell r="EB241">
            <v>183.41784767671689</v>
          </cell>
          <cell r="EC241">
            <v>180.99387828819317</v>
          </cell>
          <cell r="ED241">
            <v>177.6929732499363</v>
          </cell>
          <cell r="EE241">
            <v>177.36257377160769</v>
          </cell>
        </row>
        <row r="242">
          <cell r="A242" t="str">
            <v>Production Volumes (mn pounds)</v>
          </cell>
        </row>
        <row r="243">
          <cell r="A243" t="str">
            <v>Ethylene</v>
          </cell>
          <cell r="V243">
            <v>3503</v>
          </cell>
          <cell r="W243">
            <v>3610</v>
          </cell>
          <cell r="X243">
            <v>3729</v>
          </cell>
          <cell r="Y243">
            <v>3498</v>
          </cell>
          <cell r="Z243">
            <v>3285</v>
          </cell>
          <cell r="AA243">
            <v>3285</v>
          </cell>
          <cell r="AB243">
            <v>3285</v>
          </cell>
          <cell r="AC243">
            <v>3285</v>
          </cell>
          <cell r="AD243">
            <v>3285</v>
          </cell>
          <cell r="AE243">
            <v>3294</v>
          </cell>
          <cell r="AF243">
            <v>3285</v>
          </cell>
          <cell r="AG243">
            <v>3285</v>
          </cell>
          <cell r="DH243">
            <v>785</v>
          </cell>
          <cell r="DI243">
            <v>926</v>
          </cell>
          <cell r="DJ243">
            <v>924</v>
          </cell>
          <cell r="DK243">
            <v>868</v>
          </cell>
          <cell r="DL243">
            <v>861</v>
          </cell>
          <cell r="DM243">
            <v>842</v>
          </cell>
          <cell r="DN243">
            <v>994</v>
          </cell>
          <cell r="DO243">
            <v>913</v>
          </cell>
          <cell r="DP243">
            <v>997</v>
          </cell>
          <cell r="DQ243">
            <v>999</v>
          </cell>
          <cell r="DR243">
            <v>926</v>
          </cell>
          <cell r="DS243">
            <v>807</v>
          </cell>
          <cell r="DT243">
            <v>947</v>
          </cell>
          <cell r="DU243">
            <v>930</v>
          </cell>
          <cell r="DV243">
            <v>802</v>
          </cell>
          <cell r="DW243">
            <v>819</v>
          </cell>
          <cell r="DX243">
            <v>828</v>
          </cell>
          <cell r="DY243">
            <v>828</v>
          </cell>
          <cell r="DZ243">
            <v>810</v>
          </cell>
          <cell r="EA243">
            <v>819</v>
          </cell>
          <cell r="EB243">
            <v>828</v>
          </cell>
          <cell r="EC243">
            <v>828</v>
          </cell>
          <cell r="ED243">
            <v>810</v>
          </cell>
          <cell r="EE243">
            <v>819</v>
          </cell>
        </row>
        <row r="244">
          <cell r="A244" t="str">
            <v>per day</v>
          </cell>
          <cell r="V244">
            <v>9.5972602739726032</v>
          </cell>
          <cell r="W244">
            <v>9.8904109589041092</v>
          </cell>
          <cell r="X244">
            <v>10.216438356164383</v>
          </cell>
          <cell r="Y244">
            <v>9.557377049180328</v>
          </cell>
          <cell r="Z244">
            <v>9</v>
          </cell>
          <cell r="AA244">
            <v>9</v>
          </cell>
          <cell r="AB244">
            <v>9</v>
          </cell>
          <cell r="AC244">
            <v>9</v>
          </cell>
          <cell r="AD244">
            <v>9</v>
          </cell>
          <cell r="AE244">
            <v>9</v>
          </cell>
          <cell r="AF244">
            <v>9</v>
          </cell>
          <cell r="AG244">
            <v>9</v>
          </cell>
          <cell r="DH244">
            <v>8.7222222222222214</v>
          </cell>
          <cell r="DI244">
            <v>10.175824175824175</v>
          </cell>
          <cell r="DJ244">
            <v>10.043478260869565</v>
          </cell>
          <cell r="DK244">
            <v>9.4347826086956523</v>
          </cell>
          <cell r="DL244">
            <v>9.5666666666666664</v>
          </cell>
          <cell r="DM244">
            <v>9.2527472527472536</v>
          </cell>
          <cell r="DN244">
            <v>10.804347826086957</v>
          </cell>
          <cell r="DO244">
            <v>9.9239130434782616</v>
          </cell>
          <cell r="DP244">
            <v>11.077777777777778</v>
          </cell>
          <cell r="DQ244">
            <v>10.978021978021978</v>
          </cell>
          <cell r="DR244">
            <v>10.065217391304348</v>
          </cell>
          <cell r="DS244">
            <v>8.7717391304347831</v>
          </cell>
          <cell r="DT244">
            <v>10.406593406593407</v>
          </cell>
          <cell r="DU244">
            <v>10.219780219780219</v>
          </cell>
          <cell r="DV244">
            <v>8.7173913043478262</v>
          </cell>
          <cell r="DW244">
            <v>9</v>
          </cell>
          <cell r="DX244">
            <v>9</v>
          </cell>
          <cell r="DY244">
            <v>9</v>
          </cell>
          <cell r="DZ244">
            <v>9</v>
          </cell>
          <cell r="EA244">
            <v>9</v>
          </cell>
          <cell r="EB244">
            <v>9</v>
          </cell>
          <cell r="EC244">
            <v>9</v>
          </cell>
          <cell r="ED244">
            <v>9</v>
          </cell>
          <cell r="EE244">
            <v>9</v>
          </cell>
        </row>
        <row r="245">
          <cell r="A245" t="str">
            <v>growth</v>
          </cell>
          <cell r="W245">
            <v>3.0545246931201753E-2</v>
          </cell>
          <cell r="X245">
            <v>3.2963988919667564E-2</v>
          </cell>
          <cell r="Y245">
            <v>-6.45098892596353E-2</v>
          </cell>
          <cell r="Z245">
            <v>-5.831903945111494E-2</v>
          </cell>
          <cell r="AA245">
            <v>0</v>
          </cell>
          <cell r="AB245">
            <v>0</v>
          </cell>
          <cell r="AC245">
            <v>0</v>
          </cell>
          <cell r="AD245">
            <v>0</v>
          </cell>
          <cell r="AE245">
            <v>0</v>
          </cell>
          <cell r="AF245">
            <v>0</v>
          </cell>
          <cell r="AG245">
            <v>0</v>
          </cell>
          <cell r="DL245">
            <v>9.68152866242038E-2</v>
          </cell>
          <cell r="DM245">
            <v>-9.0712742980561423E-2</v>
          </cell>
          <cell r="DN245">
            <v>7.5757575757575912E-2</v>
          </cell>
          <cell r="DO245">
            <v>5.1843317972350311E-2</v>
          </cell>
          <cell r="DP245">
            <v>0.15795586527293848</v>
          </cell>
          <cell r="DQ245">
            <v>0.18646080760094996</v>
          </cell>
          <cell r="DR245">
            <v>-6.8410462776659964E-2</v>
          </cell>
          <cell r="DS245">
            <v>-0.11610076670317637</v>
          </cell>
          <cell r="DT245">
            <v>-6.0588358482039473E-2</v>
          </cell>
          <cell r="DU245">
            <v>-6.9069069069069178E-2</v>
          </cell>
          <cell r="DV245">
            <v>-0.13390928725701945</v>
          </cell>
          <cell r="DW245">
            <v>2.6022304832713727E-2</v>
          </cell>
          <cell r="DX245">
            <v>-0.13516367476240765</v>
          </cell>
          <cell r="DY245">
            <v>-0.11935483870967734</v>
          </cell>
          <cell r="DZ245">
            <v>3.2418952618453956E-2</v>
          </cell>
          <cell r="EA245">
            <v>0</v>
          </cell>
          <cell r="EB245">
            <v>0</v>
          </cell>
          <cell r="EC245">
            <v>0</v>
          </cell>
          <cell r="ED245">
            <v>0</v>
          </cell>
          <cell r="EE245">
            <v>0</v>
          </cell>
        </row>
        <row r="246">
          <cell r="A246" t="str">
            <v>Propylene</v>
          </cell>
          <cell r="V246">
            <v>2149</v>
          </cell>
          <cell r="W246">
            <v>2233</v>
          </cell>
          <cell r="X246">
            <v>2286</v>
          </cell>
          <cell r="Y246">
            <v>2178</v>
          </cell>
          <cell r="Z246">
            <v>2190</v>
          </cell>
          <cell r="AA246">
            <v>2190</v>
          </cell>
          <cell r="AB246">
            <v>2190</v>
          </cell>
          <cell r="AC246">
            <v>2190</v>
          </cell>
          <cell r="AD246">
            <v>2190</v>
          </cell>
          <cell r="AE246">
            <v>2196</v>
          </cell>
          <cell r="AF246">
            <v>2190</v>
          </cell>
          <cell r="AG246">
            <v>2190</v>
          </cell>
          <cell r="DH246">
            <v>467</v>
          </cell>
          <cell r="DI246">
            <v>567</v>
          </cell>
          <cell r="DJ246">
            <v>586</v>
          </cell>
          <cell r="DK246">
            <v>529</v>
          </cell>
          <cell r="DL246">
            <v>509</v>
          </cell>
          <cell r="DM246">
            <v>540</v>
          </cell>
          <cell r="DN246">
            <v>624</v>
          </cell>
          <cell r="DO246">
            <v>560</v>
          </cell>
          <cell r="DP246">
            <v>608</v>
          </cell>
          <cell r="DQ246">
            <v>631</v>
          </cell>
          <cell r="DR246">
            <v>560</v>
          </cell>
          <cell r="DS246">
            <v>487</v>
          </cell>
          <cell r="DT246">
            <v>577</v>
          </cell>
          <cell r="DU246">
            <v>562</v>
          </cell>
          <cell r="DV246">
            <v>493</v>
          </cell>
          <cell r="DW246">
            <v>546</v>
          </cell>
          <cell r="DX246">
            <v>552</v>
          </cell>
          <cell r="DY246">
            <v>552</v>
          </cell>
          <cell r="DZ246">
            <v>540</v>
          </cell>
          <cell r="EA246">
            <v>546</v>
          </cell>
          <cell r="EB246">
            <v>552</v>
          </cell>
          <cell r="EC246">
            <v>552</v>
          </cell>
          <cell r="ED246">
            <v>540</v>
          </cell>
          <cell r="EE246">
            <v>546</v>
          </cell>
        </row>
        <row r="247">
          <cell r="A247" t="str">
            <v>per day</v>
          </cell>
          <cell r="V247">
            <v>5.8876712328767127</v>
          </cell>
          <cell r="W247">
            <v>6.117808219178082</v>
          </cell>
          <cell r="X247">
            <v>6.2630136986301368</v>
          </cell>
          <cell r="Y247">
            <v>5.9508196721311473</v>
          </cell>
          <cell r="Z247">
            <v>6</v>
          </cell>
          <cell r="AA247">
            <v>6</v>
          </cell>
          <cell r="AB247">
            <v>6</v>
          </cell>
          <cell r="AC247">
            <v>6</v>
          </cell>
          <cell r="AD247">
            <v>6</v>
          </cell>
          <cell r="AE247">
            <v>6</v>
          </cell>
          <cell r="AF247">
            <v>6</v>
          </cell>
          <cell r="AG247">
            <v>6</v>
          </cell>
          <cell r="DH247">
            <v>5.1888888888888891</v>
          </cell>
          <cell r="DI247">
            <v>6.2307692307692308</v>
          </cell>
          <cell r="DJ247">
            <v>6.3695652173913047</v>
          </cell>
          <cell r="DK247">
            <v>5.75</v>
          </cell>
          <cell r="DL247">
            <v>5.6555555555555559</v>
          </cell>
          <cell r="DM247">
            <v>5.9340659340659343</v>
          </cell>
          <cell r="DN247">
            <v>6.7826086956521738</v>
          </cell>
          <cell r="DO247">
            <v>6.0869565217391308</v>
          </cell>
          <cell r="DP247">
            <v>6.7555555555555555</v>
          </cell>
          <cell r="DQ247">
            <v>6.9340659340659343</v>
          </cell>
          <cell r="DR247">
            <v>6.0869565217391308</v>
          </cell>
          <cell r="DS247">
            <v>5.2934782608695654</v>
          </cell>
          <cell r="DT247">
            <v>6.3406593406593403</v>
          </cell>
          <cell r="DU247">
            <v>6.1758241758241761</v>
          </cell>
          <cell r="DV247">
            <v>5.3586956521739131</v>
          </cell>
          <cell r="DW247">
            <v>6</v>
          </cell>
          <cell r="DX247">
            <v>6</v>
          </cell>
          <cell r="DY247">
            <v>6</v>
          </cell>
          <cell r="DZ247">
            <v>6</v>
          </cell>
          <cell r="EA247">
            <v>6</v>
          </cell>
          <cell r="EB247">
            <v>6</v>
          </cell>
          <cell r="EC247">
            <v>6</v>
          </cell>
          <cell r="ED247">
            <v>6</v>
          </cell>
          <cell r="EE247">
            <v>6</v>
          </cell>
        </row>
        <row r="248">
          <cell r="A248" t="str">
            <v>growth</v>
          </cell>
          <cell r="W248">
            <v>3.9087947882736174E-2</v>
          </cell>
          <cell r="X248">
            <v>2.3734885803851302E-2</v>
          </cell>
          <cell r="Y248">
            <v>-4.9847252699969924E-2</v>
          </cell>
          <cell r="Z248">
            <v>8.2644628099173278E-3</v>
          </cell>
          <cell r="AA248">
            <v>0</v>
          </cell>
          <cell r="AB248">
            <v>0</v>
          </cell>
          <cell r="AC248">
            <v>0</v>
          </cell>
          <cell r="AD248">
            <v>0</v>
          </cell>
          <cell r="AE248">
            <v>0</v>
          </cell>
          <cell r="AF248">
            <v>0</v>
          </cell>
          <cell r="AG248">
            <v>0</v>
          </cell>
          <cell r="DL248">
            <v>8.9935760171306223E-2</v>
          </cell>
          <cell r="DM248">
            <v>-4.7619047619047561E-2</v>
          </cell>
          <cell r="DN248">
            <v>6.4846416382252414E-2</v>
          </cell>
          <cell r="DO248">
            <v>5.8601134215501061E-2</v>
          </cell>
          <cell r="DP248">
            <v>0.19449901768172873</v>
          </cell>
          <cell r="DQ248">
            <v>0.16851851851851851</v>
          </cell>
          <cell r="DR248">
            <v>-0.10256410256410253</v>
          </cell>
          <cell r="DS248">
            <v>-0.13035714285714284</v>
          </cell>
          <cell r="DT248">
            <v>-6.1415558126084457E-2</v>
          </cell>
          <cell r="DU248">
            <v>-0.10935023771790808</v>
          </cell>
          <cell r="DV248">
            <v>-0.11964285714285716</v>
          </cell>
          <cell r="DW248">
            <v>0.13347022587268986</v>
          </cell>
          <cell r="DX248">
            <v>-5.3726169844020788E-2</v>
          </cell>
          <cell r="DY248">
            <v>-2.8469750889679735E-2</v>
          </cell>
          <cell r="DZ248">
            <v>0.11967545638945243</v>
          </cell>
          <cell r="EA248">
            <v>0</v>
          </cell>
          <cell r="EB248">
            <v>0</v>
          </cell>
          <cell r="EC248">
            <v>0</v>
          </cell>
          <cell r="ED248">
            <v>0</v>
          </cell>
          <cell r="EE248">
            <v>0</v>
          </cell>
        </row>
        <row r="250">
          <cell r="A250" t="str">
            <v>Sales Volumes (mn pounds)</v>
          </cell>
        </row>
        <row r="251">
          <cell r="A251" t="str">
            <v>Polyethylene</v>
          </cell>
          <cell r="V251">
            <v>5027</v>
          </cell>
          <cell r="W251">
            <v>5185</v>
          </cell>
          <cell r="X251">
            <v>5152</v>
          </cell>
          <cell r="Y251">
            <v>4934.5</v>
          </cell>
          <cell r="Z251">
            <v>4927.5</v>
          </cell>
          <cell r="AA251">
            <v>4927.5</v>
          </cell>
          <cell r="AB251">
            <v>4927.5</v>
          </cell>
          <cell r="AC251">
            <v>4927.5</v>
          </cell>
          <cell r="AD251">
            <v>4927.5</v>
          </cell>
          <cell r="AE251">
            <v>4941</v>
          </cell>
          <cell r="AF251">
            <v>4927.5</v>
          </cell>
          <cell r="AG251">
            <v>4927.5</v>
          </cell>
          <cell r="DH251">
            <v>1117</v>
          </cell>
          <cell r="DI251">
            <v>1234</v>
          </cell>
          <cell r="DJ251">
            <v>1260</v>
          </cell>
          <cell r="DK251">
            <v>1416</v>
          </cell>
          <cell r="DL251">
            <v>1364</v>
          </cell>
          <cell r="DM251">
            <v>1230</v>
          </cell>
          <cell r="DN251">
            <v>1316</v>
          </cell>
          <cell r="DO251">
            <v>1275</v>
          </cell>
          <cell r="DP251">
            <v>1314</v>
          </cell>
          <cell r="DQ251">
            <v>1279</v>
          </cell>
          <cell r="DR251">
            <v>1349</v>
          </cell>
          <cell r="DS251">
            <v>1210</v>
          </cell>
          <cell r="DT251">
            <v>1316</v>
          </cell>
          <cell r="DU251">
            <v>1137</v>
          </cell>
          <cell r="DV251">
            <v>1253</v>
          </cell>
          <cell r="DW251">
            <v>1228.5</v>
          </cell>
          <cell r="DX251">
            <v>1242</v>
          </cell>
          <cell r="DY251">
            <v>1242</v>
          </cell>
          <cell r="DZ251">
            <v>1215</v>
          </cell>
          <cell r="EA251">
            <v>1228.5</v>
          </cell>
          <cell r="EB251">
            <v>1242</v>
          </cell>
          <cell r="EC251">
            <v>1242</v>
          </cell>
          <cell r="ED251">
            <v>1215</v>
          </cell>
          <cell r="EE251">
            <v>1228.5</v>
          </cell>
        </row>
        <row r="252">
          <cell r="A252" t="str">
            <v>per day</v>
          </cell>
          <cell r="V252">
            <v>13.772602739726027</v>
          </cell>
          <cell r="W252">
            <v>14.205479452054794</v>
          </cell>
          <cell r="X252">
            <v>14.115068493150686</v>
          </cell>
          <cell r="Y252">
            <v>13.48224043715847</v>
          </cell>
          <cell r="Z252">
            <v>13.5</v>
          </cell>
          <cell r="AA252">
            <v>13.5</v>
          </cell>
          <cell r="AB252">
            <v>13.5</v>
          </cell>
          <cell r="AC252">
            <v>13.5</v>
          </cell>
          <cell r="AD252">
            <v>13.5</v>
          </cell>
          <cell r="AE252">
            <v>13.5</v>
          </cell>
          <cell r="AF252">
            <v>13.5</v>
          </cell>
          <cell r="AG252">
            <v>13.5</v>
          </cell>
          <cell r="DH252">
            <v>12.411111111111111</v>
          </cell>
          <cell r="DI252">
            <v>13.56043956043956</v>
          </cell>
          <cell r="DJ252">
            <v>13.695652173913043</v>
          </cell>
          <cell r="DK252">
            <v>15.391304347826088</v>
          </cell>
          <cell r="DL252">
            <v>15.155555555555555</v>
          </cell>
          <cell r="DM252">
            <v>13.516483516483516</v>
          </cell>
          <cell r="DN252">
            <v>14.304347826086957</v>
          </cell>
          <cell r="DO252">
            <v>13.858695652173912</v>
          </cell>
          <cell r="DP252">
            <v>14.6</v>
          </cell>
          <cell r="DQ252">
            <v>14.054945054945055</v>
          </cell>
          <cell r="DR252">
            <v>14.663043478260869</v>
          </cell>
          <cell r="DS252">
            <v>13.152173913043478</v>
          </cell>
          <cell r="DT252">
            <v>14.461538461538462</v>
          </cell>
          <cell r="DU252">
            <v>12.494505494505495</v>
          </cell>
          <cell r="DV252">
            <v>13.619565217391305</v>
          </cell>
          <cell r="DW252">
            <v>13.5</v>
          </cell>
          <cell r="DX252">
            <v>13.5</v>
          </cell>
          <cell r="DY252">
            <v>13.5</v>
          </cell>
          <cell r="DZ252">
            <v>13.5</v>
          </cell>
          <cell r="EA252">
            <v>13.5</v>
          </cell>
          <cell r="EB252">
            <v>13.5</v>
          </cell>
          <cell r="EC252">
            <v>13.5</v>
          </cell>
          <cell r="ED252">
            <v>13.5</v>
          </cell>
          <cell r="EE252">
            <v>13.5</v>
          </cell>
        </row>
        <row r="253">
          <cell r="A253" t="str">
            <v>growth</v>
          </cell>
          <cell r="W253">
            <v>3.1430276506863031E-2</v>
          </cell>
          <cell r="X253">
            <v>-6.3645130183219711E-3</v>
          </cell>
          <cell r="Y253">
            <v>-4.483350940162234E-2</v>
          </cell>
          <cell r="Z253">
            <v>1.3172560543115441E-3</v>
          </cell>
          <cell r="AA253">
            <v>0</v>
          </cell>
          <cell r="AB253">
            <v>0</v>
          </cell>
          <cell r="AC253">
            <v>0</v>
          </cell>
          <cell r="AD253">
            <v>0</v>
          </cell>
          <cell r="AE253">
            <v>0</v>
          </cell>
          <cell r="AF253">
            <v>0</v>
          </cell>
          <cell r="AG253">
            <v>0</v>
          </cell>
          <cell r="DL253">
            <v>0.22112802148612354</v>
          </cell>
          <cell r="DM253">
            <v>-3.2414910858995505E-3</v>
          </cell>
          <cell r="DN253">
            <v>4.4444444444444509E-2</v>
          </cell>
          <cell r="DO253">
            <v>-9.9576271186440746E-2</v>
          </cell>
          <cell r="DP253">
            <v>-3.665689149560114E-2</v>
          </cell>
          <cell r="DQ253">
            <v>3.9837398373983701E-2</v>
          </cell>
          <cell r="DR253">
            <v>2.5075987841945313E-2</v>
          </cell>
          <cell r="DS253">
            <v>-5.0980392156862675E-2</v>
          </cell>
          <cell r="DT253">
            <v>-9.4836670179135885E-3</v>
          </cell>
          <cell r="DU253">
            <v>-0.11102423768569192</v>
          </cell>
          <cell r="DV253">
            <v>-7.1163825055596708E-2</v>
          </cell>
          <cell r="DW253">
            <v>2.6446280991735627E-2</v>
          </cell>
          <cell r="DX253">
            <v>-6.6489361702127714E-2</v>
          </cell>
          <cell r="DY253">
            <v>8.0474934036939283E-2</v>
          </cell>
          <cell r="DZ253">
            <v>-8.7789305666401418E-3</v>
          </cell>
          <cell r="EA253">
            <v>0</v>
          </cell>
          <cell r="EB253">
            <v>0</v>
          </cell>
          <cell r="EC253">
            <v>0</v>
          </cell>
          <cell r="ED253">
            <v>0</v>
          </cell>
          <cell r="EE253">
            <v>0</v>
          </cell>
        </row>
        <row r="254">
          <cell r="A254" t="str">
            <v>Polypropylene</v>
          </cell>
          <cell r="V254">
            <v>6858</v>
          </cell>
          <cell r="W254">
            <v>7074</v>
          </cell>
          <cell r="X254">
            <v>6624</v>
          </cell>
          <cell r="Y254">
            <v>6469</v>
          </cell>
          <cell r="Z254">
            <v>6935</v>
          </cell>
          <cell r="AA254">
            <v>6935</v>
          </cell>
          <cell r="AB254">
            <v>6935</v>
          </cell>
          <cell r="AC254">
            <v>6935</v>
          </cell>
          <cell r="AD254">
            <v>6935</v>
          </cell>
          <cell r="AE254">
            <v>6954</v>
          </cell>
          <cell r="AF254">
            <v>6935</v>
          </cell>
          <cell r="AG254">
            <v>6935</v>
          </cell>
          <cell r="DH254">
            <v>1591</v>
          </cell>
          <cell r="DI254">
            <v>1749</v>
          </cell>
          <cell r="DJ254">
            <v>1505</v>
          </cell>
          <cell r="DK254">
            <v>2013</v>
          </cell>
          <cell r="DL254">
            <v>1590</v>
          </cell>
          <cell r="DM254">
            <v>1763</v>
          </cell>
          <cell r="DN254">
            <v>1889</v>
          </cell>
          <cell r="DO254">
            <v>1832</v>
          </cell>
          <cell r="DP254">
            <v>1704</v>
          </cell>
          <cell r="DQ254">
            <v>1631</v>
          </cell>
          <cell r="DR254">
            <v>1638</v>
          </cell>
          <cell r="DS254">
            <v>1651</v>
          </cell>
          <cell r="DT254">
            <v>1659</v>
          </cell>
          <cell r="DU254">
            <v>1448</v>
          </cell>
          <cell r="DV254">
            <v>1633</v>
          </cell>
          <cell r="DW254">
            <v>1729</v>
          </cell>
          <cell r="DX254">
            <v>1748</v>
          </cell>
          <cell r="DY254">
            <v>1748</v>
          </cell>
          <cell r="DZ254">
            <v>1710</v>
          </cell>
          <cell r="EA254">
            <v>1729</v>
          </cell>
          <cell r="EB254">
            <v>1748</v>
          </cell>
          <cell r="EC254">
            <v>1748</v>
          </cell>
          <cell r="ED254">
            <v>1710</v>
          </cell>
          <cell r="EE254">
            <v>1729</v>
          </cell>
        </row>
        <row r="255">
          <cell r="A255" t="str">
            <v>per day</v>
          </cell>
          <cell r="V255">
            <v>18.789041095890411</v>
          </cell>
          <cell r="W255">
            <v>19.38082191780822</v>
          </cell>
          <cell r="X255">
            <v>18.147945205479452</v>
          </cell>
          <cell r="Y255">
            <v>17.674863387978142</v>
          </cell>
          <cell r="Z255">
            <v>19</v>
          </cell>
          <cell r="AA255">
            <v>19</v>
          </cell>
          <cell r="AB255">
            <v>19</v>
          </cell>
          <cell r="AC255">
            <v>19</v>
          </cell>
          <cell r="AD255">
            <v>19</v>
          </cell>
          <cell r="AE255">
            <v>19</v>
          </cell>
          <cell r="AF255">
            <v>19</v>
          </cell>
          <cell r="AG255">
            <v>19</v>
          </cell>
          <cell r="DH255">
            <v>17.677777777777777</v>
          </cell>
          <cell r="DI255">
            <v>19.219780219780219</v>
          </cell>
          <cell r="DJ255">
            <v>16.358695652173914</v>
          </cell>
          <cell r="DK255">
            <v>21.880434782608695</v>
          </cell>
          <cell r="DL255">
            <v>17.666666666666668</v>
          </cell>
          <cell r="DM255">
            <v>19.373626373626372</v>
          </cell>
          <cell r="DN255">
            <v>20.532608695652176</v>
          </cell>
          <cell r="DO255">
            <v>19.913043478260871</v>
          </cell>
          <cell r="DP255">
            <v>18.933333333333334</v>
          </cell>
          <cell r="DQ255">
            <v>17.923076923076923</v>
          </cell>
          <cell r="DR255">
            <v>17.804347826086957</v>
          </cell>
          <cell r="DS255">
            <v>17.945652173913043</v>
          </cell>
          <cell r="DT255">
            <v>18.23076923076923</v>
          </cell>
          <cell r="DU255">
            <v>15.912087912087912</v>
          </cell>
          <cell r="DV255">
            <v>17.75</v>
          </cell>
          <cell r="DW255">
            <v>19</v>
          </cell>
          <cell r="DX255">
            <v>19</v>
          </cell>
          <cell r="DY255">
            <v>19</v>
          </cell>
          <cell r="DZ255">
            <v>19</v>
          </cell>
          <cell r="EA255">
            <v>19</v>
          </cell>
          <cell r="EB255">
            <v>19</v>
          </cell>
          <cell r="EC255">
            <v>19</v>
          </cell>
          <cell r="ED255">
            <v>19</v>
          </cell>
          <cell r="EE255">
            <v>19</v>
          </cell>
        </row>
        <row r="256">
          <cell r="A256" t="str">
            <v>growth</v>
          </cell>
          <cell r="W256">
            <v>3.1496062992125928E-2</v>
          </cell>
          <cell r="X256">
            <v>-6.3613231552162919E-2</v>
          </cell>
          <cell r="Y256">
            <v>-2.6068065124996709E-2</v>
          </cell>
          <cell r="Z256">
            <v>7.4972947905394882E-2</v>
          </cell>
          <cell r="AA256">
            <v>0</v>
          </cell>
          <cell r="AB256">
            <v>0</v>
          </cell>
          <cell r="AC256">
            <v>0</v>
          </cell>
          <cell r="AD256">
            <v>0</v>
          </cell>
          <cell r="AE256">
            <v>0</v>
          </cell>
          <cell r="AF256">
            <v>0</v>
          </cell>
          <cell r="AG256">
            <v>0</v>
          </cell>
          <cell r="DL256">
            <v>-6.2853551225638959E-4</v>
          </cell>
          <cell r="DM256">
            <v>8.0045740423098088E-3</v>
          </cell>
          <cell r="DN256">
            <v>0.2551495016611296</v>
          </cell>
          <cell r="DO256">
            <v>-8.9915548931942313E-2</v>
          </cell>
          <cell r="DP256">
            <v>7.1698113207547154E-2</v>
          </cell>
          <cell r="DQ256">
            <v>-7.4872376630742976E-2</v>
          </cell>
          <cell r="DR256">
            <v>-0.13287453679195349</v>
          </cell>
          <cell r="DS256">
            <v>-9.8799126637554635E-2</v>
          </cell>
          <cell r="DT256">
            <v>-3.7107258938244958E-2</v>
          </cell>
          <cell r="DU256">
            <v>-0.11220110361741265</v>
          </cell>
          <cell r="DV256">
            <v>-3.0525030525030417E-3</v>
          </cell>
          <cell r="DW256">
            <v>5.8752271350696494E-2</v>
          </cell>
          <cell r="DX256">
            <v>4.219409282700437E-2</v>
          </cell>
          <cell r="DY256">
            <v>0.19406077348066297</v>
          </cell>
          <cell r="DZ256">
            <v>7.0422535211267512E-2</v>
          </cell>
          <cell r="EA256">
            <v>0</v>
          </cell>
          <cell r="EB256">
            <v>0</v>
          </cell>
          <cell r="EC256">
            <v>0</v>
          </cell>
          <cell r="ED256">
            <v>0</v>
          </cell>
          <cell r="EE256">
            <v>0</v>
          </cell>
        </row>
        <row r="258">
          <cell r="A258" t="str">
            <v>Bull Case</v>
          </cell>
        </row>
        <row r="260">
          <cell r="A260" t="str">
            <v>Brent price (US$/bbl)</v>
          </cell>
          <cell r="O260">
            <v>24.7425</v>
          </cell>
          <cell r="P260">
            <v>29.602499999999999</v>
          </cell>
          <cell r="Q260">
            <v>38.81</v>
          </cell>
          <cell r="R260">
            <v>53.5075</v>
          </cell>
          <cell r="S260">
            <v>0</v>
          </cell>
          <cell r="T260">
            <v>72.627499999999998</v>
          </cell>
          <cell r="U260">
            <v>97.512499999999989</v>
          </cell>
          <cell r="V260">
            <v>61.922499999999999</v>
          </cell>
          <cell r="W260">
            <v>79.917500000000004</v>
          </cell>
          <cell r="X260">
            <v>111.30416666666667</v>
          </cell>
          <cell r="Y260">
            <v>129.61000000000001</v>
          </cell>
          <cell r="Z260">
            <v>138.71060606060607</v>
          </cell>
          <cell r="AA260">
            <v>134.50166666666667</v>
          </cell>
          <cell r="AB260">
            <v>128.50166666666667</v>
          </cell>
          <cell r="AC260">
            <v>124.50166666666667</v>
          </cell>
          <cell r="AD260">
            <v>122.00166666666667</v>
          </cell>
          <cell r="AE260">
            <v>120.00166666666667</v>
          </cell>
          <cell r="AF260">
            <v>119.00166666666667</v>
          </cell>
          <cell r="AG260">
            <v>118.00166666666667</v>
          </cell>
          <cell r="CF260">
            <v>19.829999999999998</v>
          </cell>
          <cell r="CG260">
            <v>25.06</v>
          </cell>
          <cell r="CH260">
            <v>27.29</v>
          </cell>
          <cell r="CI260">
            <v>26.79</v>
          </cell>
          <cell r="CJ260">
            <v>33.049999999999997</v>
          </cell>
          <cell r="CK260">
            <v>27.09</v>
          </cell>
          <cell r="CL260">
            <v>28.81</v>
          </cell>
          <cell r="CM260">
            <v>29.46</v>
          </cell>
          <cell r="CN260">
            <v>34.15</v>
          </cell>
          <cell r="CO260">
            <v>37</v>
          </cell>
          <cell r="CP260">
            <v>41.77</v>
          </cell>
          <cell r="CQ260">
            <v>42.32</v>
          </cell>
          <cell r="CR260">
            <v>45.02</v>
          </cell>
          <cell r="CS260">
            <v>50.13</v>
          </cell>
          <cell r="CT260">
            <v>60.92</v>
          </cell>
          <cell r="CU260">
            <v>57.96</v>
          </cell>
          <cell r="CV260">
            <v>60.94</v>
          </cell>
          <cell r="CW260">
            <v>68.91</v>
          </cell>
          <cell r="CX260">
            <v>69.180000000000007</v>
          </cell>
          <cell r="CY260">
            <v>55.53</v>
          </cell>
          <cell r="CZ260">
            <v>58.24</v>
          </cell>
          <cell r="DA260">
            <v>68.680000000000007</v>
          </cell>
          <cell r="DB260">
            <v>74.89</v>
          </cell>
          <cell r="DC260">
            <v>88.7</v>
          </cell>
          <cell r="DD260">
            <v>96.7</v>
          </cell>
          <cell r="DE260">
            <v>122.18</v>
          </cell>
          <cell r="DF260">
            <v>115.39</v>
          </cell>
          <cell r="DG260">
            <v>55.78</v>
          </cell>
          <cell r="DH260">
            <v>44.74</v>
          </cell>
          <cell r="DI260">
            <v>59.15</v>
          </cell>
          <cell r="DJ260">
            <v>68.61</v>
          </cell>
          <cell r="DK260">
            <v>75.19</v>
          </cell>
          <cell r="DL260">
            <v>76.83</v>
          </cell>
          <cell r="DM260">
            <v>78.900000000000006</v>
          </cell>
          <cell r="DN260">
            <v>76.98</v>
          </cell>
          <cell r="DO260">
            <v>86.96</v>
          </cell>
          <cell r="DP260">
            <v>105.26</v>
          </cell>
          <cell r="DQ260">
            <v>117.16</v>
          </cell>
          <cell r="DR260">
            <v>113.38</v>
          </cell>
          <cell r="DS260">
            <v>109.41666666666667</v>
          </cell>
          <cell r="DT260">
            <v>118.44</v>
          </cell>
          <cell r="DU260">
            <v>125</v>
          </cell>
          <cell r="DV260">
            <v>135</v>
          </cell>
          <cell r="DW260">
            <v>140</v>
          </cell>
          <cell r="DX260">
            <v>143.04666666666668</v>
          </cell>
          <cell r="DY260">
            <v>133.23666666666668</v>
          </cell>
          <cell r="DZ260">
            <v>140.08333333333331</v>
          </cell>
          <cell r="EA260">
            <v>138.4757575757576</v>
          </cell>
          <cell r="EB260">
            <v>136.87666666666667</v>
          </cell>
          <cell r="EC260">
            <v>134.87666666666667</v>
          </cell>
          <cell r="ED260">
            <v>133.87666666666667</v>
          </cell>
          <cell r="EE260">
            <v>132.37666666666667</v>
          </cell>
        </row>
        <row r="261">
          <cell r="A261" t="str">
            <v>Ethylene cash costs (European naphtha) ($/mt)</v>
          </cell>
          <cell r="V261">
            <v>733.52728187103503</v>
          </cell>
          <cell r="W261">
            <v>864.96811690767788</v>
          </cell>
          <cell r="X261">
            <v>1123.7112174166666</v>
          </cell>
          <cell r="Y261">
            <v>1340.0236909199998</v>
          </cell>
          <cell r="Z261">
            <v>1427.1344373151517</v>
          </cell>
          <cell r="AA261">
            <v>1386.8465872866666</v>
          </cell>
          <cell r="AB261">
            <v>1329.4147552866666</v>
          </cell>
          <cell r="AC261">
            <v>1291.1268672866665</v>
          </cell>
          <cell r="AD261">
            <v>1267.1969372866665</v>
          </cell>
          <cell r="AE261">
            <v>1248.0529932866666</v>
          </cell>
          <cell r="AF261">
            <v>1238.4810212866666</v>
          </cell>
          <cell r="AG261">
            <v>1228.9090492866667</v>
          </cell>
          <cell r="DH261">
            <v>634.81166858389565</v>
          </cell>
          <cell r="DI261">
            <v>700.50377752784425</v>
          </cell>
          <cell r="DJ261">
            <v>719.49208008519247</v>
          </cell>
          <cell r="DK261">
            <v>879.30160128720809</v>
          </cell>
          <cell r="DL261">
            <v>874.8665208439769</v>
          </cell>
          <cell r="DM261">
            <v>766.92634678673471</v>
          </cell>
          <cell r="DN261">
            <v>754.42919999999992</v>
          </cell>
          <cell r="DO261">
            <v>1063.6504</v>
          </cell>
          <cell r="DP261">
            <v>1042.0511999999999</v>
          </cell>
          <cell r="DQ261">
            <v>1125.58</v>
          </cell>
          <cell r="DR261">
            <v>1158.44</v>
          </cell>
          <cell r="DS261">
            <v>1168.7736696666668</v>
          </cell>
          <cell r="DT261">
            <v>1233.1047636799999</v>
          </cell>
          <cell r="DU261">
            <v>1295.8969</v>
          </cell>
          <cell r="DV261">
            <v>1391.61662</v>
          </cell>
          <cell r="DW261">
            <v>1439.4764799999998</v>
          </cell>
          <cell r="DX261">
            <v>1468.6390880266667</v>
          </cell>
          <cell r="DY261">
            <v>1374.7380427066669</v>
          </cell>
          <cell r="DZ261">
            <v>1440.2741443333332</v>
          </cell>
          <cell r="EA261">
            <v>1424.8864741939394</v>
          </cell>
          <cell r="EB261">
            <v>1409.5800207866666</v>
          </cell>
          <cell r="EC261">
            <v>1390.4360767866667</v>
          </cell>
          <cell r="ED261">
            <v>1380.8641047866665</v>
          </cell>
          <cell r="EE261">
            <v>1366.5061467866667</v>
          </cell>
        </row>
        <row r="262">
          <cell r="A262" t="str">
            <v>Ethylene cash costs (European naphtha) (c/lb)</v>
          </cell>
          <cell r="V262">
            <v>33.281637108486166</v>
          </cell>
          <cell r="W262">
            <v>39.2453773551578</v>
          </cell>
          <cell r="X262">
            <v>50.985082459921358</v>
          </cell>
          <cell r="Y262">
            <v>60.799622999999997</v>
          </cell>
          <cell r="Z262">
            <v>64.752016212121219</v>
          </cell>
          <cell r="AA262">
            <v>62.924073833333331</v>
          </cell>
          <cell r="AB262">
            <v>60.318273833333336</v>
          </cell>
          <cell r="AC262">
            <v>58.581073833333335</v>
          </cell>
          <cell r="AD262">
            <v>57.49532383333333</v>
          </cell>
          <cell r="AE262">
            <v>56.62672383333333</v>
          </cell>
          <cell r="AF262">
            <v>56.192423833333336</v>
          </cell>
          <cell r="AG262">
            <v>55.758123833333336</v>
          </cell>
          <cell r="DH262">
            <v>28.802707286020677</v>
          </cell>
          <cell r="DI262">
            <v>31.783292991281503</v>
          </cell>
          <cell r="DJ262">
            <v>32.64483121983632</v>
          </cell>
          <cell r="DK262">
            <v>39.895716936806174</v>
          </cell>
          <cell r="DL262">
            <v>39.694488241559753</v>
          </cell>
          <cell r="DM262">
            <v>34.79702117907145</v>
          </cell>
          <cell r="DN262">
            <v>34.229999999999997</v>
          </cell>
          <cell r="DO262">
            <v>48.26</v>
          </cell>
          <cell r="DP262">
            <v>47.279999999999994</v>
          </cell>
          <cell r="DQ262">
            <v>51.069872958257712</v>
          </cell>
          <cell r="DR262">
            <v>52.560798548094375</v>
          </cell>
          <cell r="DS262">
            <v>53.029658333333337</v>
          </cell>
          <cell r="DT262">
            <v>55.948492000000002</v>
          </cell>
          <cell r="DU262">
            <v>58.797499999999999</v>
          </cell>
          <cell r="DV262">
            <v>63.140500000000003</v>
          </cell>
          <cell r="DW262">
            <v>65.311999999999998</v>
          </cell>
          <cell r="DX262">
            <v>66.635167333333342</v>
          </cell>
          <cell r="DY262">
            <v>62.374684333333342</v>
          </cell>
          <cell r="DZ262">
            <v>65.348191666666665</v>
          </cell>
          <cell r="EA262">
            <v>64.650021515151522</v>
          </cell>
          <cell r="EB262">
            <v>63.955536333333335</v>
          </cell>
          <cell r="EC262">
            <v>63.086936333333334</v>
          </cell>
          <cell r="ED262">
            <v>62.652636333333334</v>
          </cell>
          <cell r="EE262">
            <v>62.001186333333337</v>
          </cell>
        </row>
        <row r="264">
          <cell r="A264" t="str">
            <v>Ethylene price (average acquisition, Eur) (EUR/mt)</v>
          </cell>
          <cell r="V264">
            <v>736.50000000000011</v>
          </cell>
          <cell r="W264">
            <v>951.75</v>
          </cell>
          <cell r="X264">
            <v>1187.1834420796431</v>
          </cell>
          <cell r="Y264">
            <v>1518.5983346995372</v>
          </cell>
          <cell r="Z264">
            <v>1552.597010868664</v>
          </cell>
          <cell r="AA264">
            <v>1342.6328481068738</v>
          </cell>
          <cell r="AB264">
            <v>1326.2925405615797</v>
          </cell>
          <cell r="AC264">
            <v>1293.009208154652</v>
          </cell>
          <cell r="AD264">
            <v>1208.5967691303065</v>
          </cell>
          <cell r="AE264">
            <v>1192.7871862370159</v>
          </cell>
          <cell r="AF264">
            <v>1184.8823947903707</v>
          </cell>
          <cell r="AG264">
            <v>1053.085224044386</v>
          </cell>
          <cell r="DH264">
            <v>595</v>
          </cell>
          <cell r="DI264">
            <v>688.33333333333337</v>
          </cell>
          <cell r="DJ264">
            <v>818.33333333333337</v>
          </cell>
          <cell r="DK264">
            <v>844.33333333333337</v>
          </cell>
          <cell r="DL264">
            <v>916.66666666666663</v>
          </cell>
          <cell r="DM264">
            <v>963.33333333333337</v>
          </cell>
          <cell r="DN264">
            <v>949.33333333333337</v>
          </cell>
          <cell r="DO264">
            <v>977.66666666666663</v>
          </cell>
          <cell r="DP264">
            <v>1146.67</v>
          </cell>
          <cell r="DQ264">
            <v>1206.67</v>
          </cell>
          <cell r="DR264">
            <v>1108.33</v>
          </cell>
          <cell r="DS264">
            <v>1287.0637683185719</v>
          </cell>
          <cell r="DT264">
            <v>1383.9854966424864</v>
          </cell>
          <cell r="DU264">
            <v>1477.0697528585235</v>
          </cell>
          <cell r="DV264">
            <v>1612.1420065186621</v>
          </cell>
          <cell r="DW264">
            <v>1601.1960827784774</v>
          </cell>
          <cell r="DX264">
            <v>1602.071423763239</v>
          </cell>
          <cell r="DY264">
            <v>1527.6264498029329</v>
          </cell>
          <cell r="DZ264">
            <v>1568.3071851286988</v>
          </cell>
          <cell r="EA264">
            <v>1512.3829847797849</v>
          </cell>
          <cell r="EB264">
            <v>1361.9125628896215</v>
          </cell>
          <cell r="EC264">
            <v>1345.6770135988868</v>
          </cell>
          <cell r="ED264">
            <v>1337.5592389535191</v>
          </cell>
          <cell r="EE264">
            <v>1325.3825769854682</v>
          </cell>
        </row>
        <row r="265">
          <cell r="A265" t="str">
            <v>Ethylene price (average acquisition, Eur) ($/mt)</v>
          </cell>
          <cell r="V265">
            <v>1033.0520928333335</v>
          </cell>
          <cell r="W265">
            <v>1262.4044680833333</v>
          </cell>
          <cell r="X265">
            <v>1651.8831940126277</v>
          </cell>
          <cell r="Y265">
            <v>1951.3948914958564</v>
          </cell>
          <cell r="Z265">
            <v>2062.0403482445863</v>
          </cell>
          <cell r="AA265">
            <v>1828.0617543399142</v>
          </cell>
          <cell r="AB265">
            <v>1761.7452179295142</v>
          </cell>
          <cell r="AC265">
            <v>1717.5341936559139</v>
          </cell>
          <cell r="AD265">
            <v>1605.4071883106683</v>
          </cell>
          <cell r="AE265">
            <v>1584.4069517807084</v>
          </cell>
          <cell r="AF265">
            <v>1573.9068335157283</v>
          </cell>
          <cell r="AG265">
            <v>1398.837587329617</v>
          </cell>
          <cell r="DH265">
            <v>777.17293500000005</v>
          </cell>
          <cell r="DI265">
            <v>938.00972999999999</v>
          </cell>
          <cell r="DJ265">
            <v>1170.3312333333333</v>
          </cell>
          <cell r="DK265">
            <v>1246.694473</v>
          </cell>
          <cell r="DL265">
            <v>1268.4805833333332</v>
          </cell>
          <cell r="DM265">
            <v>1225.8618966666668</v>
          </cell>
          <cell r="DN265">
            <v>1227.4974933333333</v>
          </cell>
          <cell r="DO265">
            <v>1327.7778989999999</v>
          </cell>
          <cell r="DP265">
            <v>1570.33933826</v>
          </cell>
          <cell r="DQ265">
            <v>1737.5541198599999</v>
          </cell>
          <cell r="DR265">
            <v>1565.7610659299999</v>
          </cell>
          <cell r="DS265">
            <v>1733.8782520005104</v>
          </cell>
          <cell r="DT265">
            <v>1815.5896776834256</v>
          </cell>
          <cell r="DU265">
            <v>1895.3463654730001</v>
          </cell>
          <cell r="DV265">
            <v>2016.9266822254006</v>
          </cell>
          <cell r="DW265">
            <v>2077.7168406016003</v>
          </cell>
          <cell r="DX265">
            <v>2114.7583104388318</v>
          </cell>
          <cell r="DY265">
            <v>1995.4880197047275</v>
          </cell>
          <cell r="DZ265">
            <v>2078.7300099078702</v>
          </cell>
          <cell r="EA265">
            <v>2059.1850529269163</v>
          </cell>
          <cell r="EB265">
            <v>1854.3120500023642</v>
          </cell>
          <cell r="EC265">
            <v>1832.2065378655643</v>
          </cell>
          <cell r="ED265">
            <v>1821.1537817971639</v>
          </cell>
          <cell r="EE265">
            <v>1804.5746476945642</v>
          </cell>
        </row>
        <row r="266">
          <cell r="A266" t="str">
            <v>Ethylene price (average acquisition, Eur) (c/lb)</v>
          </cell>
          <cell r="V266">
            <v>46.871692052329102</v>
          </cell>
          <cell r="W266">
            <v>57.277879677102234</v>
          </cell>
          <cell r="X266">
            <v>74.949328221988537</v>
          </cell>
          <cell r="Y266">
            <v>88.538788180392771</v>
          </cell>
          <cell r="Z266">
            <v>93.558999466632784</v>
          </cell>
          <cell r="AA266">
            <v>82.942910813970713</v>
          </cell>
          <cell r="AB266">
            <v>79.933993553970694</v>
          </cell>
          <cell r="AC266">
            <v>77.928048713970682</v>
          </cell>
          <cell r="AD266">
            <v>72.840616529522151</v>
          </cell>
          <cell r="AE266">
            <v>71.887792730522165</v>
          </cell>
          <cell r="AF266">
            <v>71.411380831022157</v>
          </cell>
          <cell r="AG266">
            <v>63.468130096625096</v>
          </cell>
          <cell r="DH266">
            <v>35.261929900181492</v>
          </cell>
          <cell r="DI266">
            <v>42.559425136116154</v>
          </cell>
          <cell r="DJ266">
            <v>53.100328191167577</v>
          </cell>
          <cell r="DK266">
            <v>56.565084981851186</v>
          </cell>
          <cell r="DL266">
            <v>57.553565486993342</v>
          </cell>
          <cell r="DM266">
            <v>55.619868269812471</v>
          </cell>
          <cell r="DN266">
            <v>55.69407864488808</v>
          </cell>
          <cell r="DO266">
            <v>60.244006306715065</v>
          </cell>
          <cell r="DP266">
            <v>71.249516254990922</v>
          </cell>
          <cell r="DQ266">
            <v>78.836393823048994</v>
          </cell>
          <cell r="DR266">
            <v>71.041790650181483</v>
          </cell>
          <cell r="DS266">
            <v>78.669612159732779</v>
          </cell>
          <cell r="DT266">
            <v>82.377027118122768</v>
          </cell>
          <cell r="DU266">
            <v>85.995751609482767</v>
          </cell>
          <cell r="DV266">
            <v>91.512099919482793</v>
          </cell>
          <cell r="DW266">
            <v>94.270274074482771</v>
          </cell>
          <cell r="DX266">
            <v>95.950921526262789</v>
          </cell>
          <cell r="DY266">
            <v>90.539383834152801</v>
          </cell>
          <cell r="DZ266">
            <v>94.316243643732776</v>
          </cell>
          <cell r="EA266">
            <v>93.429448862382785</v>
          </cell>
          <cell r="EB266">
            <v>84.13394056272071</v>
          </cell>
          <cell r="EC266">
            <v>83.130968142720704</v>
          </cell>
          <cell r="ED266">
            <v>82.629481932720694</v>
          </cell>
          <cell r="EE266">
            <v>81.8772526177207</v>
          </cell>
        </row>
        <row r="267">
          <cell r="A267" t="str">
            <v>Ethylene margin (c/lb)</v>
          </cell>
          <cell r="V267">
            <v>13.590054943842937</v>
          </cell>
          <cell r="W267">
            <v>18.032502321944435</v>
          </cell>
          <cell r="X267">
            <v>23.964245762067179</v>
          </cell>
          <cell r="Y267">
            <v>27.739165180392774</v>
          </cell>
          <cell r="Z267">
            <v>28.806983254511564</v>
          </cell>
          <cell r="AA267">
            <v>20.018836980637381</v>
          </cell>
          <cell r="AB267">
            <v>19.615719720637358</v>
          </cell>
          <cell r="AC267">
            <v>19.346974880637347</v>
          </cell>
          <cell r="AD267">
            <v>15.345292696188821</v>
          </cell>
          <cell r="AE267">
            <v>15.261068897188835</v>
          </cell>
          <cell r="AF267">
            <v>15.218956997688821</v>
          </cell>
          <cell r="AG267">
            <v>7.7100062632917599</v>
          </cell>
          <cell r="DH267">
            <v>6.4592226141608151</v>
          </cell>
          <cell r="DI267">
            <v>10.776132144834651</v>
          </cell>
          <cell r="DJ267">
            <v>20.455496971331257</v>
          </cell>
          <cell r="DK267">
            <v>16.669368045045012</v>
          </cell>
          <cell r="DL267">
            <v>17.859077245433589</v>
          </cell>
          <cell r="DM267">
            <v>20.822847090741021</v>
          </cell>
          <cell r="DN267">
            <v>21.464078644888083</v>
          </cell>
          <cell r="DO267">
            <v>11.984006306715067</v>
          </cell>
          <cell r="DP267">
            <v>23.969516254990928</v>
          </cell>
          <cell r="DQ267">
            <v>27.766520864791282</v>
          </cell>
          <cell r="DR267">
            <v>18.480992102087107</v>
          </cell>
          <cell r="DS267">
            <v>25.639953826399442</v>
          </cell>
          <cell r="DT267">
            <v>26.428535118122767</v>
          </cell>
          <cell r="DU267">
            <v>27.198251609482767</v>
          </cell>
          <cell r="DV267">
            <v>28.37159991948279</v>
          </cell>
          <cell r="DW267">
            <v>28.958274074482773</v>
          </cell>
          <cell r="DX267">
            <v>29.315754192929447</v>
          </cell>
          <cell r="DY267">
            <v>28.164699500819459</v>
          </cell>
          <cell r="DZ267">
            <v>28.968051977066111</v>
          </cell>
          <cell r="EA267">
            <v>28.779427347231263</v>
          </cell>
          <cell r="EB267">
            <v>20.178404229387375</v>
          </cell>
          <cell r="EC267">
            <v>20.04403180938737</v>
          </cell>
          <cell r="ED267">
            <v>19.97684559938736</v>
          </cell>
          <cell r="EE267">
            <v>19.876066284387363</v>
          </cell>
        </row>
        <row r="269">
          <cell r="A269" t="str">
            <v>Polyethylene price ($/MT)</v>
          </cell>
          <cell r="V269">
            <v>1190.2708606250001</v>
          </cell>
          <cell r="W269">
            <v>1489.0608461249999</v>
          </cell>
          <cell r="X269">
            <v>1745.9095917674999</v>
          </cell>
          <cell r="Y269">
            <v>2090.4801148000001</v>
          </cell>
          <cell r="Z269">
            <v>2293.4313072727277</v>
          </cell>
          <cell r="AA269">
            <v>2458.4882761999997</v>
          </cell>
          <cell r="AB269">
            <v>2431.39630046</v>
          </cell>
          <cell r="AC269">
            <v>2410.5579432999998</v>
          </cell>
          <cell r="AD269">
            <v>2061.4243419999998</v>
          </cell>
          <cell r="AE269">
            <v>1931.9712449000001</v>
          </cell>
          <cell r="AF269">
            <v>1918.7803048999997</v>
          </cell>
          <cell r="AG269">
            <v>1805.2951877999999</v>
          </cell>
          <cell r="DH269">
            <v>954.81246299999998</v>
          </cell>
          <cell r="DI269">
            <v>1082.6858069999998</v>
          </cell>
          <cell r="DJ269">
            <v>1339.32611</v>
          </cell>
          <cell r="DK269">
            <v>1384.2590625</v>
          </cell>
          <cell r="DL269">
            <v>1457.8301394999999</v>
          </cell>
          <cell r="DM269">
            <v>1467.216713</v>
          </cell>
          <cell r="DN269">
            <v>1485.66849</v>
          </cell>
          <cell r="DO269">
            <v>1545.5280419999999</v>
          </cell>
          <cell r="DP269">
            <v>1787.1687899999999</v>
          </cell>
          <cell r="DQ269">
            <v>1924.0862791799998</v>
          </cell>
          <cell r="DR269">
            <v>1685.5032978899997</v>
          </cell>
          <cell r="DS269">
            <v>1586.8799999999999</v>
          </cell>
          <cell r="DT269">
            <v>1810.7728992</v>
          </cell>
          <cell r="DU269">
            <v>1997.9039599999999</v>
          </cell>
          <cell r="DV269">
            <v>2241.9088000000002</v>
          </cell>
          <cell r="DW269">
            <v>2311.3347999999996</v>
          </cell>
          <cell r="DX269">
            <v>2353.6383760000003</v>
          </cell>
          <cell r="DY269">
            <v>2217.4245640000004</v>
          </cell>
          <cell r="DZ269">
            <v>2312.4918999999995</v>
          </cell>
          <cell r="EA269">
            <v>2290.1703890909093</v>
          </cell>
          <cell r="EB269">
            <v>2494.7633612</v>
          </cell>
          <cell r="EC269">
            <v>2464.2159212000001</v>
          </cell>
          <cell r="ED269">
            <v>2448.9422012</v>
          </cell>
          <cell r="EE269">
            <v>2426.0316211999998</v>
          </cell>
        </row>
        <row r="270">
          <cell r="A270" t="str">
            <v>Polyethylene price (c/lb)</v>
          </cell>
          <cell r="V270">
            <v>54.005029973911071</v>
          </cell>
          <cell r="W270">
            <v>67.561744379537203</v>
          </cell>
          <cell r="X270">
            <v>79.215498719033576</v>
          </cell>
          <cell r="Y270">
            <v>94.849370000000008</v>
          </cell>
          <cell r="Z270">
            <v>104.05768181818183</v>
          </cell>
          <cell r="AA270">
            <v>111.546655</v>
          </cell>
          <cell r="AB270">
            <v>110.3174365</v>
          </cell>
          <cell r="AC270">
            <v>109.37195749999999</v>
          </cell>
          <cell r="AD270">
            <v>93.531049999999993</v>
          </cell>
          <cell r="AE270">
            <v>87.657497500000005</v>
          </cell>
          <cell r="AF270">
            <v>87.05899749999999</v>
          </cell>
          <cell r="AG270">
            <v>81.909944999999993</v>
          </cell>
          <cell r="DH270">
            <v>43.321799591651541</v>
          </cell>
          <cell r="DI270">
            <v>49.123675453720502</v>
          </cell>
          <cell r="DJ270">
            <v>60.767972323049001</v>
          </cell>
          <cell r="DK270">
            <v>62.806672527223235</v>
          </cell>
          <cell r="DL270">
            <v>66.144743171506349</v>
          </cell>
          <cell r="DM270">
            <v>66.57063126134301</v>
          </cell>
          <cell r="DN270">
            <v>67.407826225045369</v>
          </cell>
          <cell r="DO270">
            <v>70.123776860254083</v>
          </cell>
          <cell r="DP270">
            <v>81.087513157894733</v>
          </cell>
          <cell r="DQ270">
            <v>87.299740434664244</v>
          </cell>
          <cell r="DR270">
            <v>76.474741283575298</v>
          </cell>
          <cell r="DS270">
            <v>72</v>
          </cell>
          <cell r="DT270">
            <v>82.158479999999997</v>
          </cell>
          <cell r="DU270">
            <v>90.649000000000001</v>
          </cell>
          <cell r="DV270">
            <v>101.72000000000001</v>
          </cell>
          <cell r="DW270">
            <v>104.86999999999999</v>
          </cell>
          <cell r="DX270">
            <v>106.78940000000001</v>
          </cell>
          <cell r="DY270">
            <v>100.60910000000001</v>
          </cell>
          <cell r="DZ270">
            <v>104.92249999999999</v>
          </cell>
          <cell r="EA270">
            <v>103.9097272727273</v>
          </cell>
          <cell r="EB270">
            <v>113.19253</v>
          </cell>
          <cell r="EC270">
            <v>111.80653000000001</v>
          </cell>
          <cell r="ED270">
            <v>111.11353000000001</v>
          </cell>
          <cell r="EE270">
            <v>110.07402999999999</v>
          </cell>
        </row>
        <row r="272">
          <cell r="A272" t="str">
            <v>Ethylene acquisition costs (c/lb)</v>
          </cell>
          <cell r="V272">
            <v>46.871692052329102</v>
          </cell>
          <cell r="W272">
            <v>57.277879677102234</v>
          </cell>
          <cell r="X272">
            <v>74.949328221988537</v>
          </cell>
          <cell r="Y272">
            <v>88.538788180392771</v>
          </cell>
          <cell r="Z272">
            <v>93.558999466632784</v>
          </cell>
          <cell r="AA272">
            <v>82.942910813970713</v>
          </cell>
          <cell r="AB272">
            <v>79.933993553970694</v>
          </cell>
          <cell r="AC272">
            <v>77.928048713970682</v>
          </cell>
          <cell r="AD272">
            <v>72.840616529522151</v>
          </cell>
          <cell r="AE272">
            <v>71.887792730522165</v>
          </cell>
          <cell r="AF272">
            <v>71.411380831022157</v>
          </cell>
          <cell r="AG272">
            <v>63.468130096625096</v>
          </cell>
          <cell r="DH272">
            <v>35.261929900181492</v>
          </cell>
          <cell r="DI272">
            <v>42.559425136116154</v>
          </cell>
          <cell r="DJ272">
            <v>53.100328191167577</v>
          </cell>
          <cell r="DK272">
            <v>56.565084981851186</v>
          </cell>
          <cell r="DL272">
            <v>57.553565486993342</v>
          </cell>
          <cell r="DM272">
            <v>55.619868269812471</v>
          </cell>
          <cell r="DN272">
            <v>55.69407864488808</v>
          </cell>
          <cell r="DO272">
            <v>60.244006306715065</v>
          </cell>
          <cell r="DP272">
            <v>71.249516254990922</v>
          </cell>
          <cell r="DQ272">
            <v>78.836393823048994</v>
          </cell>
          <cell r="DR272">
            <v>71.041790650181483</v>
          </cell>
          <cell r="DS272">
            <v>78.669612159732779</v>
          </cell>
          <cell r="DT272">
            <v>82.377027118122768</v>
          </cell>
          <cell r="DU272">
            <v>85.995751609482767</v>
          </cell>
          <cell r="DV272">
            <v>91.512099919482793</v>
          </cell>
          <cell r="DW272">
            <v>94.270274074482771</v>
          </cell>
          <cell r="DX272">
            <v>95.950921526262789</v>
          </cell>
          <cell r="DY272">
            <v>90.539383834152801</v>
          </cell>
          <cell r="DZ272">
            <v>94.316243643732776</v>
          </cell>
          <cell r="EA272">
            <v>93.429448862382785</v>
          </cell>
          <cell r="EB272">
            <v>84.13394056272071</v>
          </cell>
          <cell r="EC272">
            <v>83.130968142720704</v>
          </cell>
          <cell r="ED272">
            <v>82.629481932720694</v>
          </cell>
          <cell r="EE272">
            <v>81.8772526177207</v>
          </cell>
        </row>
        <row r="273">
          <cell r="A273" t="str">
            <v>Non-feedstock polyethylene costs (c/lb)</v>
          </cell>
          <cell r="V273">
            <v>11.984971315411368</v>
          </cell>
          <cell r="W273">
            <v>10.321069784104653</v>
          </cell>
          <cell r="X273">
            <v>12.160978255671505</v>
          </cell>
          <cell r="Y273">
            <v>14.501945619824061</v>
          </cell>
          <cell r="Z273">
            <v>15.444671719134641</v>
          </cell>
          <cell r="AA273">
            <v>15.008670315419462</v>
          </cell>
          <cell r="AB273">
            <v>14.387134061878259</v>
          </cell>
          <cell r="AC273">
            <v>13.972776559517456</v>
          </cell>
          <cell r="AD273">
            <v>13.713803120541954</v>
          </cell>
          <cell r="AE273">
            <v>13.506624369361553</v>
          </cell>
          <cell r="AF273">
            <v>13.403034993771355</v>
          </cell>
          <cell r="AG273">
            <v>13.299445618181155</v>
          </cell>
          <cell r="DH273">
            <v>12.062592014519048</v>
          </cell>
          <cell r="DI273">
            <v>12.190384618874766</v>
          </cell>
          <cell r="DJ273">
            <v>11.705756654567452</v>
          </cell>
          <cell r="DK273">
            <v>11.981151973684206</v>
          </cell>
          <cell r="DL273">
            <v>10.24725753932244</v>
          </cell>
          <cell r="DM273">
            <v>10.202124153055038</v>
          </cell>
          <cell r="DN273">
            <v>10.443330157289779</v>
          </cell>
          <cell r="DO273">
            <v>10.391567286751354</v>
          </cell>
          <cell r="DP273">
            <v>11.380646630671507</v>
          </cell>
          <cell r="DQ273">
            <v>12.847647882032675</v>
          </cell>
          <cell r="DR273">
            <v>12.215618509981837</v>
          </cell>
          <cell r="DS273">
            <v>12.2</v>
          </cell>
          <cell r="DT273">
            <v>14.501945619824061</v>
          </cell>
          <cell r="DU273">
            <v>14.501945619824061</v>
          </cell>
          <cell r="DV273">
            <v>14.501945619824061</v>
          </cell>
          <cell r="DW273">
            <v>14.501945619824061</v>
          </cell>
          <cell r="DX273">
            <v>15.444671719134641</v>
          </cell>
          <cell r="DY273">
            <v>15.444671719134641</v>
          </cell>
          <cell r="DZ273">
            <v>15.444671719134641</v>
          </cell>
          <cell r="EA273">
            <v>15.444671719134641</v>
          </cell>
          <cell r="EB273">
            <v>15.008670315419462</v>
          </cell>
          <cell r="EC273">
            <v>15.008670315419462</v>
          </cell>
          <cell r="ED273">
            <v>15.008670315419462</v>
          </cell>
          <cell r="EE273">
            <v>15.008670315419462</v>
          </cell>
        </row>
        <row r="274">
          <cell r="A274" t="str">
            <v>Polyethylene cash costs (c/lb)</v>
          </cell>
          <cell r="V274">
            <v>58.856663367740467</v>
          </cell>
          <cell r="W274">
            <v>67.598949461206885</v>
          </cell>
          <cell r="X274">
            <v>87.110306477660046</v>
          </cell>
          <cell r="Y274">
            <v>103.04073380021683</v>
          </cell>
          <cell r="Z274">
            <v>109.00367118576743</v>
          </cell>
          <cell r="AA274">
            <v>97.951581129390178</v>
          </cell>
          <cell r="AB274">
            <v>94.321127615848951</v>
          </cell>
          <cell r="AC274">
            <v>91.900825273488138</v>
          </cell>
          <cell r="AD274">
            <v>86.554419650064105</v>
          </cell>
          <cell r="AE274">
            <v>85.394417099883725</v>
          </cell>
          <cell r="AF274">
            <v>84.814415824793514</v>
          </cell>
          <cell r="AG274">
            <v>76.767575714806256</v>
          </cell>
          <cell r="DH274">
            <v>47.32452191470054</v>
          </cell>
          <cell r="DI274">
            <v>54.74980975499092</v>
          </cell>
          <cell r="DJ274">
            <v>64.806084845735029</v>
          </cell>
          <cell r="DK274">
            <v>68.546236955535392</v>
          </cell>
          <cell r="DL274">
            <v>67.800823026315783</v>
          </cell>
          <cell r="DM274">
            <v>65.82199242286751</v>
          </cell>
          <cell r="DN274">
            <v>66.137408802177859</v>
          </cell>
          <cell r="DO274">
            <v>70.635573593466418</v>
          </cell>
          <cell r="DP274">
            <v>82.630162885662429</v>
          </cell>
          <cell r="DQ274">
            <v>91.684041705081668</v>
          </cell>
          <cell r="DR274">
            <v>83.25740916016332</v>
          </cell>
          <cell r="DS274">
            <v>90.869612159732782</v>
          </cell>
          <cell r="DT274">
            <v>96.878972737946825</v>
          </cell>
          <cell r="DU274">
            <v>100.49769722930682</v>
          </cell>
          <cell r="DV274">
            <v>106.01404553930685</v>
          </cell>
          <cell r="DW274">
            <v>108.77221969430683</v>
          </cell>
          <cell r="DX274">
            <v>111.39559324539744</v>
          </cell>
          <cell r="DY274">
            <v>105.98405555328745</v>
          </cell>
          <cell r="DZ274">
            <v>109.76091536286742</v>
          </cell>
          <cell r="EA274">
            <v>108.87412058151743</v>
          </cell>
          <cell r="EB274">
            <v>99.142610878140175</v>
          </cell>
          <cell r="EC274">
            <v>98.139638458140169</v>
          </cell>
          <cell r="ED274">
            <v>97.638152248140159</v>
          </cell>
          <cell r="EE274">
            <v>96.885922933140165</v>
          </cell>
        </row>
        <row r="276">
          <cell r="A276" t="str">
            <v>Polyethylene margin (c/lb)</v>
          </cell>
          <cell r="V276">
            <v>-4.8516333938293954</v>
          </cell>
          <cell r="W276">
            <v>-3.7205081669682727E-2</v>
          </cell>
          <cell r="X276">
            <v>-7.8948077586264702</v>
          </cell>
          <cell r="Y276">
            <v>-8.1913638002168199</v>
          </cell>
          <cell r="Z276">
            <v>-4.9459893675855966</v>
          </cell>
          <cell r="AA276">
            <v>13.595073870609824</v>
          </cell>
          <cell r="AB276">
            <v>15.996308884151048</v>
          </cell>
          <cell r="AC276">
            <v>17.471132226511855</v>
          </cell>
          <cell r="AD276">
            <v>6.9766303499358884</v>
          </cell>
          <cell r="AE276">
            <v>2.2630804001162801</v>
          </cell>
          <cell r="AF276">
            <v>2.2445816752064758</v>
          </cell>
          <cell r="AG276">
            <v>5.1423692851937375</v>
          </cell>
          <cell r="DH276">
            <v>-4.0027223230490021</v>
          </cell>
          <cell r="DI276">
            <v>-5.6261343012704179</v>
          </cell>
          <cell r="DJ276">
            <v>-4.0381125226860259</v>
          </cell>
          <cell r="DK276">
            <v>-5.7395644283121596</v>
          </cell>
          <cell r="DL276">
            <v>-1.6560798548094375</v>
          </cell>
          <cell r="DM276">
            <v>0.74863883847549917</v>
          </cell>
          <cell r="DN276">
            <v>1.2704174228675136</v>
          </cell>
          <cell r="DO276">
            <v>-0.5117967332123412</v>
          </cell>
          <cell r="DP276">
            <v>-1.5426497277676952</v>
          </cell>
          <cell r="DQ276">
            <v>-4.3843012704174225</v>
          </cell>
          <cell r="DR276">
            <v>-6.7826678765880226</v>
          </cell>
          <cell r="DS276">
            <v>-18.869612159732782</v>
          </cell>
          <cell r="DT276">
            <v>-14.720492737946827</v>
          </cell>
          <cell r="DU276">
            <v>-9.848697229306822</v>
          </cell>
          <cell r="DV276">
            <v>-4.2940455393068362</v>
          </cell>
          <cell r="DW276">
            <v>-3.9022196943068366</v>
          </cell>
          <cell r="DX276">
            <v>-4.6061932453974208</v>
          </cell>
          <cell r="DY276">
            <v>-5.3749555532874354</v>
          </cell>
          <cell r="DZ276">
            <v>-4.8384153628674369</v>
          </cell>
          <cell r="EA276">
            <v>-4.964393308790136</v>
          </cell>
          <cell r="EB276">
            <v>14.04991912185983</v>
          </cell>
          <cell r="EC276">
            <v>13.66689154185984</v>
          </cell>
          <cell r="ED276">
            <v>13.475377751859853</v>
          </cell>
          <cell r="EE276">
            <v>13.188107066859828</v>
          </cell>
        </row>
        <row r="277">
          <cell r="A277" t="str">
            <v>Polyethylene margin ($/MT)</v>
          </cell>
          <cell r="V277">
            <v>-106.92999999999986</v>
          </cell>
          <cell r="W277">
            <v>-0.81999999999980722</v>
          </cell>
          <cell r="X277">
            <v>-174.00156300012739</v>
          </cell>
          <cell r="Y277">
            <v>-180.53765815677869</v>
          </cell>
          <cell r="Z277">
            <v>-109.00960566158655</v>
          </cell>
          <cell r="AA277">
            <v>299.63542810824049</v>
          </cell>
          <cell r="AB277">
            <v>352.55864780668907</v>
          </cell>
          <cell r="AC277">
            <v>385.06375427232126</v>
          </cell>
          <cell r="AD277">
            <v>153.76493291258697</v>
          </cell>
          <cell r="AE277">
            <v>49.87829201856281</v>
          </cell>
          <cell r="AF277">
            <v>49.470580121550725</v>
          </cell>
          <cell r="AG277">
            <v>113.33781904566997</v>
          </cell>
          <cell r="DH277">
            <v>-88.22</v>
          </cell>
          <cell r="DI277">
            <v>-124</v>
          </cell>
          <cell r="DJ277">
            <v>-89.000000000000014</v>
          </cell>
          <cell r="DK277">
            <v>-126.5</v>
          </cell>
          <cell r="DL277">
            <v>-36.5</v>
          </cell>
          <cell r="DM277">
            <v>16.5</v>
          </cell>
          <cell r="DN277">
            <v>27.999999999999996</v>
          </cell>
          <cell r="DO277">
            <v>-11.28</v>
          </cell>
          <cell r="DP277">
            <v>-34</v>
          </cell>
          <cell r="DQ277">
            <v>-96.629999999999981</v>
          </cell>
          <cell r="DR277">
            <v>-149.49</v>
          </cell>
          <cell r="DS277">
            <v>-415.88625200051047</v>
          </cell>
          <cell r="DT277">
            <v>-324.43965994434808</v>
          </cell>
          <cell r="DU277">
            <v>-217.06528693392235</v>
          </cell>
          <cell r="DV277">
            <v>-94.640763686322671</v>
          </cell>
          <cell r="DW277">
            <v>-86.004922062522681</v>
          </cell>
          <cell r="DX277">
            <v>-101.52049912855915</v>
          </cell>
          <cell r="DY277">
            <v>-118.46402039445508</v>
          </cell>
          <cell r="DZ277">
            <v>-106.63867459759831</v>
          </cell>
          <cell r="EA277">
            <v>-109.41522852573459</v>
          </cell>
          <cell r="EB277">
            <v>309.66021744579064</v>
          </cell>
          <cell r="EC277">
            <v>301.21828958259084</v>
          </cell>
          <cell r="ED277">
            <v>296.99732565099112</v>
          </cell>
          <cell r="EE277">
            <v>290.66587975359062</v>
          </cell>
        </row>
        <row r="279">
          <cell r="A279" t="str">
            <v>Integrated polyethylene margin</v>
          </cell>
          <cell r="V279">
            <v>8.7384215500135412</v>
          </cell>
          <cell r="W279">
            <v>17.995297240274752</v>
          </cell>
          <cell r="X279">
            <v>16.069438003440709</v>
          </cell>
          <cell r="Y279">
            <v>19.547801380175954</v>
          </cell>
          <cell r="Z279">
            <v>23.860993886925968</v>
          </cell>
          <cell r="AA279">
            <v>33.613910851247205</v>
          </cell>
          <cell r="AB279">
            <v>35.612028604788406</v>
          </cell>
          <cell r="AC279">
            <v>36.818107107149203</v>
          </cell>
          <cell r="AD279">
            <v>22.321923046124709</v>
          </cell>
          <cell r="AE279">
            <v>17.524149297305115</v>
          </cell>
          <cell r="AF279">
            <v>17.463538672895297</v>
          </cell>
          <cell r="AG279">
            <v>12.852375548485497</v>
          </cell>
          <cell r="DH279">
            <v>2.456500291111813</v>
          </cell>
          <cell r="DI279">
            <v>5.1499978435642335</v>
          </cell>
          <cell r="DJ279">
            <v>16.41738444864523</v>
          </cell>
          <cell r="DK279">
            <v>10.929803616732851</v>
          </cell>
          <cell r="DL279">
            <v>16.202997390624152</v>
          </cell>
          <cell r="DM279">
            <v>21.571485929216522</v>
          </cell>
          <cell r="DN279">
            <v>22.734496067755597</v>
          </cell>
          <cell r="DO279">
            <v>11.472209573502726</v>
          </cell>
          <cell r="DP279">
            <v>22.426866527223233</v>
          </cell>
          <cell r="DQ279">
            <v>23.382219594373858</v>
          </cell>
          <cell r="DR279">
            <v>11.698324225499086</v>
          </cell>
          <cell r="DS279">
            <v>6.7703416666666598</v>
          </cell>
          <cell r="DT279">
            <v>11.708042380175939</v>
          </cell>
          <cell r="DU279">
            <v>17.349554380175945</v>
          </cell>
          <cell r="DV279">
            <v>24.077554380175954</v>
          </cell>
          <cell r="DW279">
            <v>25.056054380175937</v>
          </cell>
          <cell r="DX279">
            <v>24.709560947532026</v>
          </cell>
          <cell r="DY279">
            <v>22.789743947532024</v>
          </cell>
          <cell r="DZ279">
            <v>24.129636614198674</v>
          </cell>
          <cell r="EA279">
            <v>23.815034038441127</v>
          </cell>
          <cell r="EB279">
            <v>34.228323351247205</v>
          </cell>
          <cell r="EC279">
            <v>33.71092335124721</v>
          </cell>
          <cell r="ED279">
            <v>33.452223351247213</v>
          </cell>
          <cell r="EE279">
            <v>33.064173351247192</v>
          </cell>
        </row>
        <row r="281">
          <cell r="A281" t="str">
            <v>Polypropylene margin (c/lb)</v>
          </cell>
          <cell r="V281">
            <v>-0.36405059051179767</v>
          </cell>
          <cell r="W281">
            <v>1.1175000000000002</v>
          </cell>
          <cell r="X281">
            <v>-0.55705535390199634</v>
          </cell>
          <cell r="Y281">
            <v>0</v>
          </cell>
          <cell r="Z281">
            <v>0</v>
          </cell>
          <cell r="AA281">
            <v>0</v>
          </cell>
          <cell r="AB281">
            <v>1.282214156079855</v>
          </cell>
          <cell r="AC281">
            <v>1.282214156079855</v>
          </cell>
          <cell r="AD281">
            <v>1.282214156079855</v>
          </cell>
          <cell r="AE281">
            <v>1.282214156079855</v>
          </cell>
          <cell r="AF281">
            <v>1.282214156079855</v>
          </cell>
          <cell r="AG281">
            <v>1.282214156079855</v>
          </cell>
          <cell r="DH281">
            <v>1.5882990441239326</v>
          </cell>
          <cell r="DI281">
            <v>-0.58878708834681792</v>
          </cell>
          <cell r="DJ281">
            <v>-0.4985101108445793</v>
          </cell>
          <cell r="DK281">
            <v>-1.9572042069797262</v>
          </cell>
          <cell r="DL281">
            <v>-1.5</v>
          </cell>
          <cell r="DM281">
            <v>0.48</v>
          </cell>
          <cell r="DN281">
            <v>3.06</v>
          </cell>
          <cell r="DO281">
            <v>2.4300000000000002</v>
          </cell>
          <cell r="DP281">
            <v>1.7186932849364793</v>
          </cell>
          <cell r="DQ281">
            <v>-0.67921960072595289</v>
          </cell>
          <cell r="DR281">
            <v>-3.2676950998185119</v>
          </cell>
          <cell r="DS281">
            <v>0</v>
          </cell>
          <cell r="DT281">
            <v>0</v>
          </cell>
          <cell r="DU281">
            <v>0</v>
          </cell>
          <cell r="DV281">
            <v>0</v>
          </cell>
          <cell r="DW281">
            <v>0</v>
          </cell>
          <cell r="DX281">
            <v>0</v>
          </cell>
          <cell r="DY281">
            <v>0</v>
          </cell>
          <cell r="DZ281">
            <v>0</v>
          </cell>
          <cell r="EA281">
            <v>0</v>
          </cell>
          <cell r="EB281">
            <v>0</v>
          </cell>
          <cell r="EC281">
            <v>0</v>
          </cell>
          <cell r="ED281">
            <v>0</v>
          </cell>
          <cell r="EE281">
            <v>0</v>
          </cell>
        </row>
        <row r="282">
          <cell r="A282" t="str">
            <v>Polypropylene margin ($/MT)</v>
          </cell>
          <cell r="V282">
            <v>-8.0236750148800198</v>
          </cell>
          <cell r="W282">
            <v>24.629700000000003</v>
          </cell>
          <cell r="X282">
            <v>-12.277499999999998</v>
          </cell>
          <cell r="Y282">
            <v>0</v>
          </cell>
          <cell r="Z282">
            <v>0</v>
          </cell>
          <cell r="AA282">
            <v>0</v>
          </cell>
          <cell r="AB282">
            <v>28.26</v>
          </cell>
          <cell r="AC282">
            <v>28.26</v>
          </cell>
          <cell r="AD282">
            <v>28.26</v>
          </cell>
          <cell r="AE282">
            <v>28.26</v>
          </cell>
          <cell r="AF282">
            <v>28.26</v>
          </cell>
          <cell r="AG282">
            <v>28.26</v>
          </cell>
          <cell r="DH282">
            <v>35.006110932491474</v>
          </cell>
          <cell r="DI282">
            <v>-12.976867427163867</v>
          </cell>
          <cell r="DJ282">
            <v>-10.987162843014527</v>
          </cell>
          <cell r="DK282">
            <v>-43.136780721833162</v>
          </cell>
          <cell r="DL282">
            <v>-33.06</v>
          </cell>
          <cell r="DM282">
            <v>10.579199999999998</v>
          </cell>
          <cell r="DN282">
            <v>67.442399999999992</v>
          </cell>
          <cell r="DO282">
            <v>53.557200000000002</v>
          </cell>
          <cell r="DP282">
            <v>37.880000000000003</v>
          </cell>
          <cell r="DQ282">
            <v>-14.97</v>
          </cell>
          <cell r="DR282">
            <v>-72.02</v>
          </cell>
          <cell r="DS282">
            <v>0</v>
          </cell>
          <cell r="DT282">
            <v>0</v>
          </cell>
          <cell r="DU282">
            <v>0</v>
          </cell>
          <cell r="DV282">
            <v>0</v>
          </cell>
          <cell r="DW282">
            <v>0</v>
          </cell>
          <cell r="DX282">
            <v>0</v>
          </cell>
          <cell r="DY282">
            <v>0</v>
          </cell>
          <cell r="DZ282">
            <v>0</v>
          </cell>
          <cell r="EA282">
            <v>0</v>
          </cell>
          <cell r="EB282">
            <v>0</v>
          </cell>
          <cell r="EC282">
            <v>0</v>
          </cell>
          <cell r="ED282">
            <v>0</v>
          </cell>
          <cell r="EE282">
            <v>0</v>
          </cell>
        </row>
        <row r="284">
          <cell r="A284" t="str">
            <v>Sensitivity ($mm/year)</v>
          </cell>
        </row>
        <row r="285">
          <cell r="A285" t="str">
            <v>Chemicals impact of 1c/lb change in ethylene margin</v>
          </cell>
          <cell r="W285">
            <v>40</v>
          </cell>
          <cell r="X285">
            <v>40</v>
          </cell>
          <cell r="Y285">
            <v>40</v>
          </cell>
          <cell r="Z285">
            <v>40</v>
          </cell>
          <cell r="AA285">
            <v>40</v>
          </cell>
          <cell r="AB285">
            <v>40</v>
          </cell>
          <cell r="AC285">
            <v>40</v>
          </cell>
          <cell r="AD285">
            <v>40</v>
          </cell>
          <cell r="AE285">
            <v>40</v>
          </cell>
          <cell r="AF285">
            <v>40</v>
          </cell>
          <cell r="AG285">
            <v>40</v>
          </cell>
          <cell r="DL285">
            <v>40</v>
          </cell>
          <cell r="DM285">
            <v>40</v>
          </cell>
          <cell r="DN285">
            <v>40</v>
          </cell>
          <cell r="DO285">
            <v>40</v>
          </cell>
          <cell r="DP285">
            <v>40</v>
          </cell>
          <cell r="DQ285">
            <v>40</v>
          </cell>
          <cell r="DR285">
            <v>40</v>
          </cell>
          <cell r="DS285">
            <v>40</v>
          </cell>
          <cell r="DT285">
            <v>40</v>
          </cell>
          <cell r="DU285">
            <v>40</v>
          </cell>
          <cell r="DV285">
            <v>40</v>
          </cell>
          <cell r="DW285">
            <v>40</v>
          </cell>
          <cell r="DX285">
            <v>40</v>
          </cell>
          <cell r="DY285">
            <v>40</v>
          </cell>
          <cell r="DZ285">
            <v>40</v>
          </cell>
          <cell r="EA285">
            <v>40</v>
          </cell>
          <cell r="EB285">
            <v>40</v>
          </cell>
          <cell r="EC285">
            <v>40</v>
          </cell>
          <cell r="ED285">
            <v>40</v>
          </cell>
          <cell r="EE285">
            <v>40</v>
          </cell>
        </row>
        <row r="286">
          <cell r="A286" t="str">
            <v>Polymers impact of 1c/lb change in polyethylene</v>
          </cell>
          <cell r="W286">
            <v>48</v>
          </cell>
          <cell r="X286">
            <v>48</v>
          </cell>
          <cell r="Y286">
            <v>48</v>
          </cell>
          <cell r="Z286">
            <v>48</v>
          </cell>
          <cell r="AA286">
            <v>48</v>
          </cell>
          <cell r="AB286">
            <v>48</v>
          </cell>
          <cell r="AC286">
            <v>48</v>
          </cell>
          <cell r="AD286">
            <v>48</v>
          </cell>
          <cell r="AE286">
            <v>48</v>
          </cell>
          <cell r="AF286">
            <v>48</v>
          </cell>
          <cell r="AG286">
            <v>48</v>
          </cell>
          <cell r="DL286">
            <v>48</v>
          </cell>
          <cell r="DM286">
            <v>48</v>
          </cell>
          <cell r="DN286">
            <v>48</v>
          </cell>
          <cell r="DO286">
            <v>48</v>
          </cell>
          <cell r="DP286">
            <v>48</v>
          </cell>
          <cell r="DQ286">
            <v>48</v>
          </cell>
          <cell r="DR286">
            <v>48</v>
          </cell>
          <cell r="DS286">
            <v>48</v>
          </cell>
          <cell r="DT286">
            <v>48</v>
          </cell>
          <cell r="DU286">
            <v>48</v>
          </cell>
          <cell r="DV286">
            <v>48</v>
          </cell>
          <cell r="DW286">
            <v>48</v>
          </cell>
          <cell r="DX286">
            <v>48</v>
          </cell>
          <cell r="DY286">
            <v>48</v>
          </cell>
          <cell r="DZ286">
            <v>48</v>
          </cell>
          <cell r="EA286">
            <v>48</v>
          </cell>
          <cell r="EB286">
            <v>48</v>
          </cell>
          <cell r="EC286">
            <v>48</v>
          </cell>
          <cell r="ED286">
            <v>48</v>
          </cell>
          <cell r="EE286">
            <v>48</v>
          </cell>
        </row>
        <row r="287">
          <cell r="A287" t="str">
            <v>Polymers impact of 1c/lb change in polypropylene</v>
          </cell>
          <cell r="W287">
            <v>93.5</v>
          </cell>
          <cell r="X287">
            <v>93.5</v>
          </cell>
          <cell r="Y287">
            <v>93.5</v>
          </cell>
          <cell r="Z287">
            <v>93.5</v>
          </cell>
          <cell r="AA287">
            <v>93.5</v>
          </cell>
          <cell r="AB287">
            <v>93.5</v>
          </cell>
          <cell r="AC287">
            <v>93.5</v>
          </cell>
          <cell r="AD287">
            <v>93.5</v>
          </cell>
          <cell r="AE287">
            <v>93.5</v>
          </cell>
          <cell r="AF287">
            <v>93.5</v>
          </cell>
          <cell r="AG287">
            <v>93.5</v>
          </cell>
          <cell r="DL287">
            <v>93.5</v>
          </cell>
          <cell r="DM287">
            <v>93.5</v>
          </cell>
          <cell r="DN287">
            <v>93.5</v>
          </cell>
          <cell r="DO287">
            <v>93.5</v>
          </cell>
          <cell r="DP287">
            <v>93.5</v>
          </cell>
          <cell r="DQ287">
            <v>93.5</v>
          </cell>
          <cell r="DR287">
            <v>93.5</v>
          </cell>
          <cell r="DS287">
            <v>93.5</v>
          </cell>
          <cell r="DT287">
            <v>93.5</v>
          </cell>
          <cell r="DU287">
            <v>93.5</v>
          </cell>
          <cell r="DV287">
            <v>93.5</v>
          </cell>
          <cell r="DW287">
            <v>93.5</v>
          </cell>
          <cell r="DX287">
            <v>93.5</v>
          </cell>
          <cell r="DY287">
            <v>93.5</v>
          </cell>
          <cell r="DZ287">
            <v>93.5</v>
          </cell>
          <cell r="EA287">
            <v>93.5</v>
          </cell>
          <cell r="EB287">
            <v>93.5</v>
          </cell>
          <cell r="EC287">
            <v>93.5</v>
          </cell>
          <cell r="ED287">
            <v>93.5</v>
          </cell>
          <cell r="EE287">
            <v>93.5</v>
          </cell>
        </row>
        <row r="289">
          <cell r="A289" t="str">
            <v>Change in EBITDA ($mm)</v>
          </cell>
          <cell r="Y289">
            <v>208.03642249082907</v>
          </cell>
          <cell r="Z289">
            <v>213.12318783791235</v>
          </cell>
          <cell r="AA289">
            <v>550.94115927139296</v>
          </cell>
          <cell r="AB289">
            <v>232.14238737607354</v>
          </cell>
          <cell r="AC289">
            <v>73.818539042579005</v>
          </cell>
          <cell r="AD289">
            <v>-649.33772463386367</v>
          </cell>
          <cell r="AE289">
            <v>-214.43041409063068</v>
          </cell>
          <cell r="AF289">
            <v>13.375967458074228</v>
          </cell>
          <cell r="AG289">
            <v>-144.51842275106117</v>
          </cell>
          <cell r="DL289">
            <v>71.58605522406954</v>
          </cell>
          <cell r="DM289">
            <v>104.77682277249356</v>
          </cell>
          <cell r="DN289">
            <v>72.981158554174797</v>
          </cell>
          <cell r="DO289">
            <v>-134.41354325468842</v>
          </cell>
          <cell r="DP289">
            <v>91.766743365471896</v>
          </cell>
          <cell r="DQ289">
            <v>-51.254555082536278</v>
          </cell>
          <cell r="DR289">
            <v>-167.14130169237751</v>
          </cell>
          <cell r="DS289">
            <v>-7.0713411963560588</v>
          </cell>
          <cell r="DT289">
            <v>58.821794782306682</v>
          </cell>
          <cell r="DU289">
            <v>67.329907267502563</v>
          </cell>
          <cell r="DV289">
            <v>79.585676924831361</v>
          </cell>
          <cell r="DW289">
            <v>11.790743767651463</v>
          </cell>
          <cell r="DX289">
            <v>-3.624517944897903</v>
          </cell>
          <cell r="DY289">
            <v>-19.460494967578342</v>
          </cell>
          <cell r="DZ289">
            <v>15.77461975925047</v>
          </cell>
          <cell r="EA289">
            <v>-2.0673665734287781</v>
          </cell>
          <cell r="EB289">
            <v>142.93746813988437</v>
          </cell>
          <cell r="EC289">
            <v>-5.1545823673237976</v>
          </cell>
          <cell r="ED289">
            <v>-2.1749152810744619</v>
          </cell>
          <cell r="EE289">
            <v>-3.6501712665449446</v>
          </cell>
        </row>
        <row r="292">
          <cell r="A292" t="str">
            <v>Bear Case</v>
          </cell>
        </row>
        <row r="294">
          <cell r="A294" t="str">
            <v>WTI price (US$/bbl)</v>
          </cell>
          <cell r="O294">
            <v>24.7425</v>
          </cell>
          <cell r="P294">
            <v>29.602499999999999</v>
          </cell>
          <cell r="Q294">
            <v>38.81</v>
          </cell>
          <cell r="R294">
            <v>53.5075</v>
          </cell>
          <cell r="S294">
            <v>0</v>
          </cell>
          <cell r="T294">
            <v>72.627499999999998</v>
          </cell>
          <cell r="U294">
            <v>97.512499999999989</v>
          </cell>
          <cell r="V294">
            <v>61.922499999999999</v>
          </cell>
          <cell r="W294">
            <v>79.917500000000004</v>
          </cell>
          <cell r="X294">
            <v>111.30416666666667</v>
          </cell>
          <cell r="Y294">
            <v>92.733333333333334</v>
          </cell>
          <cell r="Z294">
            <v>78.710606060606096</v>
          </cell>
          <cell r="AA294">
            <v>74.501666666666722</v>
          </cell>
          <cell r="AB294">
            <v>68.501666666666722</v>
          </cell>
          <cell r="AC294">
            <v>64.501666666666722</v>
          </cell>
          <cell r="AD294">
            <v>62.001666666666722</v>
          </cell>
          <cell r="AE294">
            <v>60.001666666666722</v>
          </cell>
          <cell r="AF294">
            <v>59.001666666666722</v>
          </cell>
          <cell r="AG294">
            <v>58.001666666666722</v>
          </cell>
          <cell r="CF294">
            <v>19.829999999999998</v>
          </cell>
          <cell r="CG294">
            <v>25.06</v>
          </cell>
          <cell r="CH294">
            <v>27.29</v>
          </cell>
          <cell r="CI294">
            <v>26.79</v>
          </cell>
          <cell r="CJ294">
            <v>33.049999999999997</v>
          </cell>
          <cell r="CK294">
            <v>27.09</v>
          </cell>
          <cell r="CL294">
            <v>28.81</v>
          </cell>
          <cell r="CM294">
            <v>29.46</v>
          </cell>
          <cell r="CN294">
            <v>34.15</v>
          </cell>
          <cell r="CO294">
            <v>37</v>
          </cell>
          <cell r="CP294">
            <v>41.77</v>
          </cell>
          <cell r="CQ294">
            <v>42.32</v>
          </cell>
          <cell r="CR294">
            <v>45.02</v>
          </cell>
          <cell r="CS294">
            <v>50.13</v>
          </cell>
          <cell r="CT294">
            <v>60.92</v>
          </cell>
          <cell r="CU294">
            <v>57.96</v>
          </cell>
          <cell r="CV294">
            <v>60.94</v>
          </cell>
          <cell r="CW294">
            <v>68.91</v>
          </cell>
          <cell r="CX294">
            <v>69.180000000000007</v>
          </cell>
          <cell r="CY294">
            <v>55.53</v>
          </cell>
          <cell r="CZ294">
            <v>58.24</v>
          </cell>
          <cell r="DA294">
            <v>68.680000000000007</v>
          </cell>
          <cell r="DB294">
            <v>74.89</v>
          </cell>
          <cell r="DC294">
            <v>88.7</v>
          </cell>
          <cell r="DD294">
            <v>96.7</v>
          </cell>
          <cell r="DE294">
            <v>122.18</v>
          </cell>
          <cell r="DF294">
            <v>115.39</v>
          </cell>
          <cell r="DG294">
            <v>55.78</v>
          </cell>
          <cell r="DH294">
            <v>44.74</v>
          </cell>
          <cell r="DI294">
            <v>59.15</v>
          </cell>
          <cell r="DJ294">
            <v>68.61</v>
          </cell>
          <cell r="DK294">
            <v>75.19</v>
          </cell>
          <cell r="DL294">
            <v>76.83</v>
          </cell>
          <cell r="DM294">
            <v>78.900000000000006</v>
          </cell>
          <cell r="DN294">
            <v>76.98</v>
          </cell>
          <cell r="DO294">
            <v>86.96</v>
          </cell>
          <cell r="DP294">
            <v>105.26</v>
          </cell>
          <cell r="DQ294">
            <v>117.16</v>
          </cell>
          <cell r="DR294">
            <v>113.38</v>
          </cell>
          <cell r="DS294">
            <v>109.41666666666667</v>
          </cell>
          <cell r="DT294">
            <v>118.44</v>
          </cell>
          <cell r="DU294">
            <v>93.74666666666667</v>
          </cell>
          <cell r="DV294">
            <v>78.74666666666667</v>
          </cell>
          <cell r="DW294">
            <v>80</v>
          </cell>
          <cell r="DX294">
            <v>83.046666666666681</v>
          </cell>
          <cell r="DY294">
            <v>73.236666666666693</v>
          </cell>
          <cell r="DZ294">
            <v>80.083333333333357</v>
          </cell>
          <cell r="EA294">
            <v>78.47575757575764</v>
          </cell>
          <cell r="EB294">
            <v>76.876666666666708</v>
          </cell>
          <cell r="EC294">
            <v>74.876666666666722</v>
          </cell>
          <cell r="ED294">
            <v>73.876666666666722</v>
          </cell>
          <cell r="EE294">
            <v>72.376666666666722</v>
          </cell>
        </row>
        <row r="295">
          <cell r="A295" t="str">
            <v>Ethylene cash costs (European naphtha) ($/mt)</v>
          </cell>
          <cell r="V295">
            <v>733.52728187103503</v>
          </cell>
          <cell r="W295">
            <v>864.96811690767788</v>
          </cell>
          <cell r="X295">
            <v>1140.2412174166666</v>
          </cell>
          <cell r="Y295">
            <v>987.04127013333334</v>
          </cell>
          <cell r="Z295">
            <v>852.81611731515181</v>
          </cell>
          <cell r="AA295">
            <v>812.52826728666719</v>
          </cell>
          <cell r="AB295">
            <v>755.0964352866672</v>
          </cell>
          <cell r="AC295">
            <v>716.80854728666714</v>
          </cell>
          <cell r="AD295">
            <v>692.87861728666724</v>
          </cell>
          <cell r="AE295">
            <v>673.7346732866672</v>
          </cell>
          <cell r="AF295">
            <v>664.16270128666713</v>
          </cell>
          <cell r="AG295">
            <v>654.59072928666717</v>
          </cell>
          <cell r="DH295">
            <v>634.81166858389565</v>
          </cell>
          <cell r="DI295">
            <v>700.50377752784425</v>
          </cell>
          <cell r="DJ295">
            <v>719.49208008519247</v>
          </cell>
          <cell r="DK295">
            <v>879.30160128720809</v>
          </cell>
          <cell r="DL295">
            <v>874.8665208439769</v>
          </cell>
          <cell r="DM295">
            <v>766.92634678673471</v>
          </cell>
          <cell r="DN295">
            <v>754.42919999999992</v>
          </cell>
          <cell r="DO295">
            <v>1063.6504</v>
          </cell>
          <cell r="DP295">
            <v>1042.0511999999999</v>
          </cell>
          <cell r="DQ295">
            <v>1125.58</v>
          </cell>
          <cell r="DR295">
            <v>1158.44</v>
          </cell>
          <cell r="DS295">
            <v>1234.8936696666667</v>
          </cell>
          <cell r="DT295">
            <v>1233.1047636799999</v>
          </cell>
          <cell r="DU295">
            <v>996.74086842666668</v>
          </cell>
          <cell r="DV295">
            <v>853.1612884266666</v>
          </cell>
          <cell r="DW295">
            <v>865.15815999999995</v>
          </cell>
          <cell r="DX295">
            <v>894.32076802666688</v>
          </cell>
          <cell r="DY295">
            <v>800.41972270666702</v>
          </cell>
          <cell r="DZ295">
            <v>865.95582433333357</v>
          </cell>
          <cell r="EA295">
            <v>850.56815419394002</v>
          </cell>
          <cell r="EB295">
            <v>835.26170078666701</v>
          </cell>
          <cell r="EC295">
            <v>816.11775678666709</v>
          </cell>
          <cell r="ED295">
            <v>806.54578478666713</v>
          </cell>
          <cell r="EE295">
            <v>792.18782678666719</v>
          </cell>
        </row>
        <row r="296">
          <cell r="A296" t="str">
            <v>Ethylene cash costs (European naphtha) (c/lb)</v>
          </cell>
          <cell r="V296">
            <v>33.281637108486166</v>
          </cell>
          <cell r="W296">
            <v>39.2453773551578</v>
          </cell>
          <cell r="X296">
            <v>51.735082459921358</v>
          </cell>
          <cell r="Y296">
            <v>44.784086666666667</v>
          </cell>
          <cell r="Z296">
            <v>38.694016212121227</v>
          </cell>
          <cell r="AA296">
            <v>36.86607383333336</v>
          </cell>
          <cell r="AB296">
            <v>34.260273833333358</v>
          </cell>
          <cell r="AC296">
            <v>32.523073833333356</v>
          </cell>
          <cell r="AD296">
            <v>31.437323833333359</v>
          </cell>
          <cell r="AE296">
            <v>30.568723833333358</v>
          </cell>
          <cell r="AF296">
            <v>30.134423833333358</v>
          </cell>
          <cell r="AG296">
            <v>29.700123833333357</v>
          </cell>
          <cell r="DH296">
            <v>28.802707286020677</v>
          </cell>
          <cell r="DI296">
            <v>31.783292991281503</v>
          </cell>
          <cell r="DJ296">
            <v>32.64483121983632</v>
          </cell>
          <cell r="DK296">
            <v>39.895716936806174</v>
          </cell>
          <cell r="DL296">
            <v>39.694488241559753</v>
          </cell>
          <cell r="DM296">
            <v>34.79702117907145</v>
          </cell>
          <cell r="DN296">
            <v>34.229999999999997</v>
          </cell>
          <cell r="DO296">
            <v>48.26</v>
          </cell>
          <cell r="DP296">
            <v>47.279999999999994</v>
          </cell>
          <cell r="DQ296">
            <v>51.069872958257712</v>
          </cell>
          <cell r="DR296">
            <v>52.560798548094375</v>
          </cell>
          <cell r="DS296">
            <v>56.029658333333337</v>
          </cell>
          <cell r="DT296">
            <v>55.948492000000002</v>
          </cell>
          <cell r="DU296">
            <v>45.224177333333337</v>
          </cell>
          <cell r="DV296">
            <v>38.709677333333332</v>
          </cell>
          <cell r="DW296">
            <v>39.253999999999998</v>
          </cell>
          <cell r="DX296">
            <v>40.577167333333342</v>
          </cell>
          <cell r="DY296">
            <v>36.316684333333349</v>
          </cell>
          <cell r="DZ296">
            <v>39.290191666666679</v>
          </cell>
          <cell r="EA296">
            <v>38.592021515151544</v>
          </cell>
          <cell r="EB296">
            <v>37.897536333333349</v>
          </cell>
          <cell r="EC296">
            <v>37.028936333333355</v>
          </cell>
          <cell r="ED296">
            <v>36.594636333333355</v>
          </cell>
          <cell r="EE296">
            <v>35.943186333333358</v>
          </cell>
        </row>
        <row r="298">
          <cell r="A298" t="str">
            <v>Ethylene price (average acquisition, Eur) (EUR/mt)</v>
          </cell>
          <cell r="V298">
            <v>736.50000000000011</v>
          </cell>
          <cell r="W298">
            <v>951.75</v>
          </cell>
          <cell r="X298">
            <v>1126.0980330758316</v>
          </cell>
          <cell r="Y298">
            <v>902.04793103970155</v>
          </cell>
          <cell r="Z298">
            <v>775.27238987383225</v>
          </cell>
          <cell r="AA298">
            <v>727.23141397710503</v>
          </cell>
          <cell r="AB298">
            <v>702.98617128901981</v>
          </cell>
          <cell r="AC298">
            <v>674.69533874313152</v>
          </cell>
          <cell r="AD298">
            <v>657.01356840195149</v>
          </cell>
          <cell r="AE298">
            <v>642.8681521290074</v>
          </cell>
          <cell r="AF298">
            <v>635.7954439925353</v>
          </cell>
          <cell r="AG298">
            <v>628.7227358560632</v>
          </cell>
          <cell r="DH298">
            <v>595</v>
          </cell>
          <cell r="DI298">
            <v>688.33333333333337</v>
          </cell>
          <cell r="DJ298">
            <v>818.33333333333337</v>
          </cell>
          <cell r="DK298">
            <v>844.33333333333337</v>
          </cell>
          <cell r="DL298">
            <v>916.66666666666663</v>
          </cell>
          <cell r="DM298">
            <v>963.33333333333337</v>
          </cell>
          <cell r="DN298">
            <v>949.33333333333337</v>
          </cell>
          <cell r="DO298">
            <v>977.66666666666663</v>
          </cell>
          <cell r="DP298">
            <v>1146.67</v>
          </cell>
          <cell r="DQ298">
            <v>1206.67</v>
          </cell>
          <cell r="DR298">
            <v>1108.33</v>
          </cell>
          <cell r="DS298">
            <v>1042.7221323033268</v>
          </cell>
          <cell r="DT298">
            <v>1069.4433383146486</v>
          </cell>
          <cell r="DU298">
            <v>912.54982049005696</v>
          </cell>
          <cell r="DV298">
            <v>823.31978945022217</v>
          </cell>
          <cell r="DW298">
            <v>802.87877590387825</v>
          </cell>
          <cell r="DX298">
            <v>810.93083200897991</v>
          </cell>
          <cell r="DY298">
            <v>748.91079368764599</v>
          </cell>
          <cell r="DZ298">
            <v>786.59486156442563</v>
          </cell>
          <cell r="EA298">
            <v>754.65307223427794</v>
          </cell>
          <cell r="EB298">
            <v>743.61917154244043</v>
          </cell>
          <cell r="EC298">
            <v>729.8189546453159</v>
          </cell>
          <cell r="ED298">
            <v>722.91884619675363</v>
          </cell>
          <cell r="EE298">
            <v>712.56868352391018</v>
          </cell>
        </row>
        <row r="299">
          <cell r="A299" t="str">
            <v>Ethylene price (average acquisition, Eur) ($/mt)</v>
          </cell>
          <cell r="V299">
            <v>1033.0520928333335</v>
          </cell>
          <cell r="W299">
            <v>1262.4044680833333</v>
          </cell>
          <cell r="X299">
            <v>1569.5914965898712</v>
          </cell>
          <cell r="Y299">
            <v>1161.4455714295159</v>
          </cell>
          <cell r="Z299">
            <v>1029.704255064235</v>
          </cell>
          <cell r="AA299">
            <v>990.16193170052748</v>
          </cell>
          <cell r="AB299">
            <v>933.79287575168746</v>
          </cell>
          <cell r="AC299">
            <v>896.21350511912738</v>
          </cell>
          <cell r="AD299">
            <v>872.72639847377741</v>
          </cell>
          <cell r="AE299">
            <v>853.93671315749748</v>
          </cell>
          <cell r="AF299">
            <v>844.5418704993574</v>
          </cell>
          <cell r="AG299">
            <v>835.14702784121744</v>
          </cell>
          <cell r="DH299">
            <v>777.17293500000005</v>
          </cell>
          <cell r="DI299">
            <v>938.00972999999999</v>
          </cell>
          <cell r="DJ299">
            <v>1170.3312333333333</v>
          </cell>
          <cell r="DK299">
            <v>1246.694473</v>
          </cell>
          <cell r="DL299">
            <v>1268.4805833333332</v>
          </cell>
          <cell r="DM299">
            <v>1225.8618966666668</v>
          </cell>
          <cell r="DN299">
            <v>1227.4974933333333</v>
          </cell>
          <cell r="DO299">
            <v>1327.7778989999999</v>
          </cell>
          <cell r="DP299">
            <v>1570.33933826</v>
          </cell>
          <cell r="DQ299">
            <v>1737.5541198599999</v>
          </cell>
          <cell r="DR299">
            <v>1565.7610659299999</v>
          </cell>
          <cell r="DS299">
            <v>1404.7114623094851</v>
          </cell>
          <cell r="DT299">
            <v>1402.9556600281014</v>
          </cell>
          <cell r="DU299">
            <v>1170.9656786564312</v>
          </cell>
          <cell r="DV299">
            <v>1030.0430387843312</v>
          </cell>
          <cell r="DW299">
            <v>1041.8179082491999</v>
          </cell>
          <cell r="DX299">
            <v>1070.4408622143335</v>
          </cell>
          <cell r="DY299">
            <v>978.27745573798018</v>
          </cell>
          <cell r="DZ299">
            <v>1042.6008118040452</v>
          </cell>
          <cell r="EA299">
            <v>1027.4978905005812</v>
          </cell>
          <cell r="EB299">
            <v>1012.4746830136098</v>
          </cell>
          <cell r="EC299">
            <v>993.68499769732989</v>
          </cell>
          <cell r="ED299">
            <v>984.29015503918993</v>
          </cell>
          <cell r="EE299">
            <v>970.19789105197992</v>
          </cell>
        </row>
        <row r="300">
          <cell r="A300" t="str">
            <v>Ethylene price (average acquisition, Eur) (c/lb)</v>
          </cell>
          <cell r="V300">
            <v>46.871692052329102</v>
          </cell>
          <cell r="W300">
            <v>57.277879677102234</v>
          </cell>
          <cell r="X300">
            <v>71.215585144730994</v>
          </cell>
          <cell r="Y300">
            <v>52.697167487727583</v>
          </cell>
          <cell r="Z300">
            <v>46.719793786943512</v>
          </cell>
          <cell r="AA300">
            <v>44.925677481875113</v>
          </cell>
          <cell r="AB300">
            <v>42.368097810875113</v>
          </cell>
          <cell r="AC300">
            <v>40.663044696875112</v>
          </cell>
          <cell r="AD300">
            <v>39.597386500625113</v>
          </cell>
          <cell r="AE300">
            <v>38.744859943625116</v>
          </cell>
          <cell r="AF300">
            <v>38.318596665125114</v>
          </cell>
          <cell r="AG300">
            <v>37.892333386625111</v>
          </cell>
          <cell r="DH300">
            <v>35.261929900181492</v>
          </cell>
          <cell r="DI300">
            <v>42.559425136116154</v>
          </cell>
          <cell r="DJ300">
            <v>53.100328191167577</v>
          </cell>
          <cell r="DK300">
            <v>56.565084981851186</v>
          </cell>
          <cell r="DL300">
            <v>57.553565486993342</v>
          </cell>
          <cell r="DM300">
            <v>55.619868269812471</v>
          </cell>
          <cell r="DN300">
            <v>55.69407864488808</v>
          </cell>
          <cell r="DO300">
            <v>60.244006306715065</v>
          </cell>
          <cell r="DP300">
            <v>71.249516254990922</v>
          </cell>
          <cell r="DQ300">
            <v>78.836393823048994</v>
          </cell>
          <cell r="DR300">
            <v>71.041790650181483</v>
          </cell>
          <cell r="DS300">
            <v>63.734639850702592</v>
          </cell>
          <cell r="DT300">
            <v>63.654975500367577</v>
          </cell>
          <cell r="DU300">
            <v>53.129114276607588</v>
          </cell>
          <cell r="DV300">
            <v>46.73516509910759</v>
          </cell>
          <cell r="DW300">
            <v>47.269415074827585</v>
          </cell>
          <cell r="DX300">
            <v>48.568097196657604</v>
          </cell>
          <cell r="DY300">
            <v>44.386454434572606</v>
          </cell>
          <cell r="DZ300">
            <v>47.304937014702595</v>
          </cell>
          <cell r="EA300">
            <v>46.619686501841251</v>
          </cell>
          <cell r="EB300">
            <v>45.938052768312609</v>
          </cell>
          <cell r="EC300">
            <v>45.085526211312612</v>
          </cell>
          <cell r="ED300">
            <v>44.659262932812609</v>
          </cell>
          <cell r="EE300">
            <v>44.019868015062613</v>
          </cell>
        </row>
        <row r="301">
          <cell r="A301" t="str">
            <v>Ethylene margin (c/lb)</v>
          </cell>
          <cell r="V301">
            <v>13.590054943842937</v>
          </cell>
          <cell r="W301">
            <v>18.032502321944435</v>
          </cell>
          <cell r="X301">
            <v>19.480502684809636</v>
          </cell>
          <cell r="Y301">
            <v>7.913080821060916</v>
          </cell>
          <cell r="Z301">
            <v>8.0257775748222855</v>
          </cell>
          <cell r="AA301">
            <v>8.0596036485417528</v>
          </cell>
          <cell r="AB301">
            <v>8.1078239775417558</v>
          </cell>
          <cell r="AC301">
            <v>8.1399708635417554</v>
          </cell>
          <cell r="AD301">
            <v>8.1600626672917542</v>
          </cell>
          <cell r="AE301">
            <v>8.1761361102917576</v>
          </cell>
          <cell r="AF301">
            <v>8.1841728317917557</v>
          </cell>
          <cell r="AG301">
            <v>8.1922095532917538</v>
          </cell>
          <cell r="DH301">
            <v>6.4592226141608151</v>
          </cell>
          <cell r="DI301">
            <v>10.776132144834651</v>
          </cell>
          <cell r="DJ301">
            <v>20.455496971331257</v>
          </cell>
          <cell r="DK301">
            <v>16.669368045045012</v>
          </cell>
          <cell r="DL301">
            <v>17.859077245433589</v>
          </cell>
          <cell r="DM301">
            <v>20.822847090741021</v>
          </cell>
          <cell r="DN301">
            <v>21.464078644888083</v>
          </cell>
          <cell r="DO301">
            <v>11.984006306715067</v>
          </cell>
          <cell r="DP301">
            <v>23.969516254990928</v>
          </cell>
          <cell r="DQ301">
            <v>27.766520864791282</v>
          </cell>
          <cell r="DR301">
            <v>18.480992102087107</v>
          </cell>
          <cell r="DS301">
            <v>7.7049815173692551</v>
          </cell>
          <cell r="DT301">
            <v>7.7064835003675753</v>
          </cell>
          <cell r="DU301">
            <v>7.9049369432742509</v>
          </cell>
          <cell r="DV301">
            <v>8.0254877657742583</v>
          </cell>
          <cell r="DW301">
            <v>8.0154150748275867</v>
          </cell>
          <cell r="DX301">
            <v>7.9909298633242614</v>
          </cell>
          <cell r="DY301">
            <v>8.0697701012392571</v>
          </cell>
          <cell r="DZ301">
            <v>8.0147453480359161</v>
          </cell>
          <cell r="EA301">
            <v>8.0276649866897074</v>
          </cell>
          <cell r="EB301">
            <v>8.0405164349792599</v>
          </cell>
          <cell r="EC301">
            <v>8.0565898779792562</v>
          </cell>
          <cell r="ED301">
            <v>8.0646265994792543</v>
          </cell>
          <cell r="EE301">
            <v>8.076681681729255</v>
          </cell>
        </row>
        <row r="303">
          <cell r="A303" t="str">
            <v>Polyethylene price ($/MT)</v>
          </cell>
          <cell r="V303">
            <v>1190.2708606250001</v>
          </cell>
          <cell r="W303">
            <v>1489.0608461249999</v>
          </cell>
          <cell r="X303">
            <v>1726.5254117674997</v>
          </cell>
          <cell r="Y303">
            <v>1226.2534313199999</v>
          </cell>
          <cell r="Z303">
            <v>1168.2554458181821</v>
          </cell>
          <cell r="AA303">
            <v>1261.6896078000007</v>
          </cell>
          <cell r="AB303">
            <v>1054.8529136000006</v>
          </cell>
          <cell r="AC303">
            <v>1010.4202736000007</v>
          </cell>
          <cell r="AD303">
            <v>982.64987360000077</v>
          </cell>
          <cell r="AE303">
            <v>960.43355360000066</v>
          </cell>
          <cell r="AF303">
            <v>949.32539360000078</v>
          </cell>
          <cell r="AG303">
            <v>938.21723360000067</v>
          </cell>
          <cell r="DH303">
            <v>954.81246299999998</v>
          </cell>
          <cell r="DI303">
            <v>1082.6858069999998</v>
          </cell>
          <cell r="DJ303">
            <v>1339.32611</v>
          </cell>
          <cell r="DK303">
            <v>1384.2590625</v>
          </cell>
          <cell r="DL303">
            <v>1457.8301394999999</v>
          </cell>
          <cell r="DM303">
            <v>1467.216713</v>
          </cell>
          <cell r="DN303">
            <v>1485.66849</v>
          </cell>
          <cell r="DO303">
            <v>1545.5280419999999</v>
          </cell>
          <cell r="DP303">
            <v>1787.1687899999999</v>
          </cell>
          <cell r="DQ303">
            <v>1924.0862791799998</v>
          </cell>
          <cell r="DR303">
            <v>1685.5032978899997</v>
          </cell>
          <cell r="DS303">
            <v>1509.3432800000003</v>
          </cell>
          <cell r="DT303">
            <v>1408.3789215999998</v>
          </cell>
          <cell r="DU303">
            <v>1218.44155168</v>
          </cell>
          <cell r="DV303">
            <v>1095.6150120000002</v>
          </cell>
          <cell r="DW303">
            <v>1182.5782399999998</v>
          </cell>
          <cell r="DX303">
            <v>1216.4211008000004</v>
          </cell>
          <cell r="DY303">
            <v>1107.4500512000004</v>
          </cell>
          <cell r="DZ303">
            <v>1183.5039200000003</v>
          </cell>
          <cell r="EA303">
            <v>1165.646711272728</v>
          </cell>
          <cell r="EB303">
            <v>1291.3692228000007</v>
          </cell>
          <cell r="EC303">
            <v>1266.3758628000007</v>
          </cell>
          <cell r="ED303">
            <v>1253.8791828000008</v>
          </cell>
          <cell r="EE303">
            <v>1235.1341628000007</v>
          </cell>
        </row>
        <row r="304">
          <cell r="A304" t="str">
            <v>Polyethylene price (c/lb)</v>
          </cell>
          <cell r="V304">
            <v>54.005029973911071</v>
          </cell>
          <cell r="W304">
            <v>67.561744379537203</v>
          </cell>
          <cell r="X304">
            <v>78.335998719033569</v>
          </cell>
          <cell r="Y304">
            <v>55.637633000000001</v>
          </cell>
          <cell r="Z304">
            <v>53.006145454545475</v>
          </cell>
          <cell r="AA304">
            <v>57.245445000000032</v>
          </cell>
          <cell r="AB304">
            <v>47.860840000000032</v>
          </cell>
          <cell r="AC304">
            <v>45.844840000000033</v>
          </cell>
          <cell r="AD304">
            <v>44.584840000000035</v>
          </cell>
          <cell r="AE304">
            <v>43.576840000000033</v>
          </cell>
          <cell r="AF304">
            <v>43.072840000000035</v>
          </cell>
          <cell r="AG304">
            <v>42.56884000000003</v>
          </cell>
          <cell r="DH304">
            <v>43.321799591651541</v>
          </cell>
          <cell r="DI304">
            <v>49.123675453720502</v>
          </cell>
          <cell r="DJ304">
            <v>60.767972323049001</v>
          </cell>
          <cell r="DK304">
            <v>62.806672527223235</v>
          </cell>
          <cell r="DL304">
            <v>66.144743171506349</v>
          </cell>
          <cell r="DM304">
            <v>66.57063126134301</v>
          </cell>
          <cell r="DN304">
            <v>67.407826225045369</v>
          </cell>
          <cell r="DO304">
            <v>70.123776860254083</v>
          </cell>
          <cell r="DP304">
            <v>81.087513157894733</v>
          </cell>
          <cell r="DQ304">
            <v>87.299740434664244</v>
          </cell>
          <cell r="DR304">
            <v>76.474741283575298</v>
          </cell>
          <cell r="DS304">
            <v>68.482000000000014</v>
          </cell>
          <cell r="DT304">
            <v>63.901039999999995</v>
          </cell>
          <cell r="DU304">
            <v>55.283192</v>
          </cell>
          <cell r="DV304">
            <v>49.710300000000011</v>
          </cell>
          <cell r="DW304">
            <v>53.655999999999999</v>
          </cell>
          <cell r="DX304">
            <v>55.191520000000018</v>
          </cell>
          <cell r="DY304">
            <v>50.247280000000018</v>
          </cell>
          <cell r="DZ304">
            <v>53.698000000000015</v>
          </cell>
          <cell r="EA304">
            <v>52.88778181818185</v>
          </cell>
          <cell r="EB304">
            <v>58.592070000000028</v>
          </cell>
          <cell r="EC304">
            <v>57.458070000000035</v>
          </cell>
          <cell r="ED304">
            <v>56.891070000000035</v>
          </cell>
          <cell r="EE304">
            <v>56.040570000000031</v>
          </cell>
        </row>
        <row r="306">
          <cell r="A306" t="str">
            <v>Ethylene acquisition costs (c/lb)</v>
          </cell>
          <cell r="V306">
            <v>46.871692052329102</v>
          </cell>
          <cell r="W306">
            <v>57.277879677102234</v>
          </cell>
          <cell r="X306">
            <v>71.215585144730994</v>
          </cell>
          <cell r="Y306">
            <v>52.697167487727583</v>
          </cell>
          <cell r="Z306">
            <v>46.719793786943512</v>
          </cell>
          <cell r="AA306">
            <v>44.925677481875113</v>
          </cell>
          <cell r="AB306">
            <v>42.368097810875113</v>
          </cell>
          <cell r="AC306">
            <v>40.663044696875112</v>
          </cell>
          <cell r="AD306">
            <v>39.597386500625113</v>
          </cell>
          <cell r="AE306">
            <v>38.744859943625116</v>
          </cell>
          <cell r="AF306">
            <v>38.318596665125114</v>
          </cell>
          <cell r="AG306">
            <v>37.892333386625111</v>
          </cell>
          <cell r="DH306">
            <v>35.261929900181492</v>
          </cell>
          <cell r="DI306">
            <v>42.559425136116154</v>
          </cell>
          <cell r="DJ306">
            <v>53.100328191167577</v>
          </cell>
          <cell r="DK306">
            <v>56.565084981851186</v>
          </cell>
          <cell r="DL306">
            <v>57.553565486993342</v>
          </cell>
          <cell r="DM306">
            <v>55.619868269812471</v>
          </cell>
          <cell r="DN306">
            <v>55.69407864488808</v>
          </cell>
          <cell r="DO306">
            <v>60.244006306715065</v>
          </cell>
          <cell r="DP306">
            <v>71.249516254990922</v>
          </cell>
          <cell r="DQ306">
            <v>78.836393823048994</v>
          </cell>
          <cell r="DR306">
            <v>71.041790650181483</v>
          </cell>
          <cell r="DS306">
            <v>63.734639850702592</v>
          </cell>
          <cell r="DT306">
            <v>63.654975500367577</v>
          </cell>
          <cell r="DU306">
            <v>53.129114276607588</v>
          </cell>
          <cell r="DV306">
            <v>46.73516509910759</v>
          </cell>
          <cell r="DW306">
            <v>47.269415074827585</v>
          </cell>
          <cell r="DX306">
            <v>48.568097196657604</v>
          </cell>
          <cell r="DY306">
            <v>44.386454434572606</v>
          </cell>
          <cell r="DZ306">
            <v>47.304937014702595</v>
          </cell>
          <cell r="EA306">
            <v>46.619686501841251</v>
          </cell>
          <cell r="EB306">
            <v>45.938052768312609</v>
          </cell>
          <cell r="EC306">
            <v>45.085526211312612</v>
          </cell>
          <cell r="ED306">
            <v>44.659262932812609</v>
          </cell>
          <cell r="EE306">
            <v>44.019868015062613</v>
          </cell>
        </row>
        <row r="307">
          <cell r="A307" t="str">
            <v>Non-feedstock polyethylene costs (c/lb)</v>
          </cell>
          <cell r="V307">
            <v>11.984971315411368</v>
          </cell>
          <cell r="W307">
            <v>10.321069784104653</v>
          </cell>
          <cell r="X307">
            <v>12.160978255671505</v>
          </cell>
          <cell r="Y307">
            <v>10.527059748582634</v>
          </cell>
          <cell r="Z307">
            <v>9.0955125111618944</v>
          </cell>
          <cell r="AA307">
            <v>8.6658317903805813</v>
          </cell>
          <cell r="AB307">
            <v>8.0533059059736498</v>
          </cell>
          <cell r="AC307">
            <v>7.6449553163690291</v>
          </cell>
          <cell r="AD307">
            <v>7.3897361978661422</v>
          </cell>
          <cell r="AE307">
            <v>7.1855609030638314</v>
          </cell>
          <cell r="AF307">
            <v>7.0834732556626765</v>
          </cell>
          <cell r="AG307">
            <v>6.9813856082615215</v>
          </cell>
          <cell r="DH307">
            <v>12.062592014519048</v>
          </cell>
          <cell r="DI307">
            <v>12.190384618874766</v>
          </cell>
          <cell r="DJ307">
            <v>11.705756654567452</v>
          </cell>
          <cell r="DK307">
            <v>11.981151973684206</v>
          </cell>
          <cell r="DL307">
            <v>10.24725753932244</v>
          </cell>
          <cell r="DM307">
            <v>10.202124153055038</v>
          </cell>
          <cell r="DN307">
            <v>10.443330157289779</v>
          </cell>
          <cell r="DO307">
            <v>10.391567286751354</v>
          </cell>
          <cell r="DP307">
            <v>11.380646630671507</v>
          </cell>
          <cell r="DQ307">
            <v>12.847647882032675</v>
          </cell>
          <cell r="DR307">
            <v>12.215618509981837</v>
          </cell>
          <cell r="DS307">
            <v>12.2</v>
          </cell>
          <cell r="DT307">
            <v>12.2</v>
          </cell>
          <cell r="DU307">
            <v>10.527059748582634</v>
          </cell>
          <cell r="DV307">
            <v>10.527059748582634</v>
          </cell>
          <cell r="DW307">
            <v>10.527059748582634</v>
          </cell>
          <cell r="DX307">
            <v>12.2</v>
          </cell>
          <cell r="DY307">
            <v>10.527059748582634</v>
          </cell>
          <cell r="DZ307">
            <v>10.527059748582634</v>
          </cell>
          <cell r="EA307">
            <v>10.527059748582634</v>
          </cell>
          <cell r="EB307">
            <v>8.6658317903805813</v>
          </cell>
          <cell r="EC307">
            <v>8.6658317903805813</v>
          </cell>
          <cell r="ED307">
            <v>8.6658317903805813</v>
          </cell>
          <cell r="EE307">
            <v>8.6658317903805813</v>
          </cell>
        </row>
        <row r="308">
          <cell r="A308" t="str">
            <v>Polyethylene cash costs (c/lb)</v>
          </cell>
          <cell r="V308">
            <v>58.856663367740467</v>
          </cell>
          <cell r="W308">
            <v>67.598949461206885</v>
          </cell>
          <cell r="X308">
            <v>83.376563400402503</v>
          </cell>
          <cell r="Y308">
            <v>63.224227236310213</v>
          </cell>
          <cell r="Z308">
            <v>55.815306298105405</v>
          </cell>
          <cell r="AA308">
            <v>53.591509272255692</v>
          </cell>
          <cell r="AB308">
            <v>50.421403716848765</v>
          </cell>
          <cell r="AC308">
            <v>48.30800001324414</v>
          </cell>
          <cell r="AD308">
            <v>46.987122698491255</v>
          </cell>
          <cell r="AE308">
            <v>45.930420846688946</v>
          </cell>
          <cell r="AF308">
            <v>45.402069920787788</v>
          </cell>
          <cell r="AG308">
            <v>44.87371899488663</v>
          </cell>
          <cell r="DH308">
            <v>47.32452191470054</v>
          </cell>
          <cell r="DI308">
            <v>54.74980975499092</v>
          </cell>
          <cell r="DJ308">
            <v>64.806084845735029</v>
          </cell>
          <cell r="DK308">
            <v>68.546236955535392</v>
          </cell>
          <cell r="DL308">
            <v>67.800823026315783</v>
          </cell>
          <cell r="DM308">
            <v>65.82199242286751</v>
          </cell>
          <cell r="DN308">
            <v>66.137408802177859</v>
          </cell>
          <cell r="DO308">
            <v>70.635573593466418</v>
          </cell>
          <cell r="DP308">
            <v>82.630162885662429</v>
          </cell>
          <cell r="DQ308">
            <v>91.684041705081668</v>
          </cell>
          <cell r="DR308">
            <v>83.25740916016332</v>
          </cell>
          <cell r="DS308">
            <v>75.934639850702595</v>
          </cell>
          <cell r="DT308">
            <v>75.854975500367573</v>
          </cell>
          <cell r="DU308">
            <v>63.656174025190225</v>
          </cell>
          <cell r="DV308">
            <v>57.26222484769022</v>
          </cell>
          <cell r="DW308">
            <v>57.796474823410222</v>
          </cell>
          <cell r="DX308">
            <v>60.768097196657607</v>
          </cell>
          <cell r="DY308">
            <v>54.913514183155243</v>
          </cell>
          <cell r="DZ308">
            <v>57.831996763285233</v>
          </cell>
          <cell r="EA308">
            <v>57.146746250423888</v>
          </cell>
          <cell r="EB308">
            <v>54.603884558693188</v>
          </cell>
          <cell r="EC308">
            <v>53.751358001693191</v>
          </cell>
          <cell r="ED308">
            <v>53.325094723193189</v>
          </cell>
          <cell r="EE308">
            <v>52.685699805443193</v>
          </cell>
        </row>
        <row r="310">
          <cell r="A310" t="str">
            <v>Polyethylene margin (c/lb)</v>
          </cell>
          <cell r="V310">
            <v>-4.8516333938293954</v>
          </cell>
          <cell r="W310">
            <v>-3.7205081669682727E-2</v>
          </cell>
          <cell r="X310">
            <v>-5.0405646813689344</v>
          </cell>
          <cell r="Y310">
            <v>-7.5865942363102121</v>
          </cell>
          <cell r="Z310">
            <v>-2.8091608435599298</v>
          </cell>
          <cell r="AA310">
            <v>3.6539357277443401</v>
          </cell>
          <cell r="AB310">
            <v>-2.5605637168487334</v>
          </cell>
          <cell r="AC310">
            <v>-2.4631600132441065</v>
          </cell>
          <cell r="AD310">
            <v>-2.40228269849122</v>
          </cell>
          <cell r="AE310">
            <v>-2.3535808466889137</v>
          </cell>
          <cell r="AF310">
            <v>-2.3292299207877534</v>
          </cell>
          <cell r="AG310">
            <v>-2.3048789948866002</v>
          </cell>
          <cell r="DH310">
            <v>-4.0027223230490021</v>
          </cell>
          <cell r="DI310">
            <v>-5.6261343012704179</v>
          </cell>
          <cell r="DJ310">
            <v>-4.0381125226860259</v>
          </cell>
          <cell r="DK310">
            <v>-5.7395644283121596</v>
          </cell>
          <cell r="DL310">
            <v>-1.6560798548094375</v>
          </cell>
          <cell r="DM310">
            <v>0.74863883847549917</v>
          </cell>
          <cell r="DN310">
            <v>1.2704174228675136</v>
          </cell>
          <cell r="DO310">
            <v>-0.5117967332123412</v>
          </cell>
          <cell r="DP310">
            <v>-1.5426497277676952</v>
          </cell>
          <cell r="DQ310">
            <v>-4.3843012704174225</v>
          </cell>
          <cell r="DR310">
            <v>-6.7826678765880226</v>
          </cell>
          <cell r="DS310">
            <v>-7.4526398507025817</v>
          </cell>
          <cell r="DT310">
            <v>-11.953935500367578</v>
          </cell>
          <cell r="DU310">
            <v>-8.3729820251902254</v>
          </cell>
          <cell r="DV310">
            <v>-7.5519248476902092</v>
          </cell>
          <cell r="DW310">
            <v>-4.1404748234102229</v>
          </cell>
          <cell r="DX310">
            <v>-5.5765771966575883</v>
          </cell>
          <cell r="DY310">
            <v>-4.6662341831552254</v>
          </cell>
          <cell r="DZ310">
            <v>-4.1339967632852179</v>
          </cell>
          <cell r="EA310">
            <v>-4.2589644322420384</v>
          </cell>
          <cell r="EB310">
            <v>3.9881854413068396</v>
          </cell>
          <cell r="EC310">
            <v>3.7067119983068437</v>
          </cell>
          <cell r="ED310">
            <v>3.5659752768068458</v>
          </cell>
          <cell r="EE310">
            <v>3.3548701945568382</v>
          </cell>
        </row>
        <row r="311">
          <cell r="A311" t="str">
            <v>Polyethylene margin ($/MT)</v>
          </cell>
          <cell r="V311">
            <v>-106.92999999999986</v>
          </cell>
          <cell r="W311">
            <v>-0.81999999999980722</v>
          </cell>
          <cell r="X311">
            <v>-111.0940455773713</v>
          </cell>
          <cell r="Y311">
            <v>-167.20853696827706</v>
          </cell>
          <cell r="Z311">
            <v>-61.91390499206085</v>
          </cell>
          <cell r="AA311">
            <v>80.532743439485259</v>
          </cell>
          <cell r="AB311">
            <v>-56.434824319346085</v>
          </cell>
          <cell r="AC311">
            <v>-54.288046691900107</v>
          </cell>
          <cell r="AD311">
            <v>-52.946310674746485</v>
          </cell>
          <cell r="AE311">
            <v>-51.872921861023656</v>
          </cell>
          <cell r="AF311">
            <v>-51.336227454162085</v>
          </cell>
          <cell r="AG311">
            <v>-50.799533047300663</v>
          </cell>
          <cell r="DH311">
            <v>-88.22</v>
          </cell>
          <cell r="DI311">
            <v>-124</v>
          </cell>
          <cell r="DJ311">
            <v>-89.000000000000014</v>
          </cell>
          <cell r="DK311">
            <v>-126.5</v>
          </cell>
          <cell r="DL311">
            <v>-36.5</v>
          </cell>
          <cell r="DM311">
            <v>16.5</v>
          </cell>
          <cell r="DN311">
            <v>27.999999999999996</v>
          </cell>
          <cell r="DO311">
            <v>-11.28</v>
          </cell>
          <cell r="DP311">
            <v>-34</v>
          </cell>
          <cell r="DQ311">
            <v>-96.629999999999981</v>
          </cell>
          <cell r="DR311">
            <v>-149.49</v>
          </cell>
          <cell r="DS311">
            <v>-164.2561823094849</v>
          </cell>
          <cell r="DT311">
            <v>-263.46473842810138</v>
          </cell>
          <cell r="DU311">
            <v>-184.54052383519257</v>
          </cell>
          <cell r="DV311">
            <v>-166.44442364309219</v>
          </cell>
          <cell r="DW311">
            <v>-91.256065107961305</v>
          </cell>
          <cell r="DX311">
            <v>-122.90776141433324</v>
          </cell>
          <cell r="DY311">
            <v>-102.84380139674117</v>
          </cell>
          <cell r="DZ311">
            <v>-91.113288662806198</v>
          </cell>
          <cell r="EA311">
            <v>-93.86757608661452</v>
          </cell>
          <cell r="EB311">
            <v>87.899607126402742</v>
          </cell>
          <cell r="EC311">
            <v>81.695932442682832</v>
          </cell>
          <cell r="ED311">
            <v>78.594095100822884</v>
          </cell>
          <cell r="EE311">
            <v>73.941339088032706</v>
          </cell>
        </row>
        <row r="313">
          <cell r="A313" t="str">
            <v>Integrated polyethylene margin</v>
          </cell>
          <cell r="V313">
            <v>8.7384215500135412</v>
          </cell>
          <cell r="W313">
            <v>17.995297240274752</v>
          </cell>
          <cell r="X313">
            <v>14.439938003440702</v>
          </cell>
          <cell r="Y313">
            <v>0.32648658475070391</v>
          </cell>
          <cell r="Z313">
            <v>5.2166167312623557</v>
          </cell>
          <cell r="AA313">
            <v>11.713539376286093</v>
          </cell>
          <cell r="AB313">
            <v>5.5472602606930224</v>
          </cell>
          <cell r="AC313">
            <v>5.6768108502976489</v>
          </cell>
          <cell r="AD313">
            <v>5.7577799688005342</v>
          </cell>
          <cell r="AE313">
            <v>5.8225552636028439</v>
          </cell>
          <cell r="AF313">
            <v>5.8549429110040023</v>
          </cell>
          <cell r="AG313">
            <v>5.8873305584051536</v>
          </cell>
          <cell r="DH313">
            <v>2.456500291111813</v>
          </cell>
          <cell r="DI313">
            <v>5.1499978435642335</v>
          </cell>
          <cell r="DJ313">
            <v>16.41738444864523</v>
          </cell>
          <cell r="DK313">
            <v>10.929803616732851</v>
          </cell>
          <cell r="DL313">
            <v>16.202997390624152</v>
          </cell>
          <cell r="DM313">
            <v>21.571485929216522</v>
          </cell>
          <cell r="DN313">
            <v>22.734496067755597</v>
          </cell>
          <cell r="DO313">
            <v>11.472209573502726</v>
          </cell>
          <cell r="DP313">
            <v>22.426866527223233</v>
          </cell>
          <cell r="DQ313">
            <v>23.382219594373858</v>
          </cell>
          <cell r="DR313">
            <v>11.698324225499086</v>
          </cell>
          <cell r="DS313">
            <v>0.25234166666667335</v>
          </cell>
          <cell r="DT313">
            <v>-4.2474520000000027</v>
          </cell>
          <cell r="DU313">
            <v>-0.46804508191597449</v>
          </cell>
          <cell r="DV313">
            <v>0.47356291808404904</v>
          </cell>
          <cell r="DW313">
            <v>3.8749402514173639</v>
          </cell>
          <cell r="DX313">
            <v>2.414352666666673</v>
          </cell>
          <cell r="DY313">
            <v>3.4035359180840317</v>
          </cell>
          <cell r="DZ313">
            <v>3.8807485847506982</v>
          </cell>
          <cell r="EA313">
            <v>3.768700554447669</v>
          </cell>
          <cell r="EB313">
            <v>12.0287018762861</v>
          </cell>
          <cell r="EC313">
            <v>11.7633018762861</v>
          </cell>
          <cell r="ED313">
            <v>11.6306018762861</v>
          </cell>
          <cell r="EE313">
            <v>11.431551876286093</v>
          </cell>
        </row>
        <row r="315">
          <cell r="A315" t="str">
            <v>Polypropylene margin (c/lb)</v>
          </cell>
          <cell r="V315">
            <v>-0.36405059051179767</v>
          </cell>
          <cell r="W315">
            <v>1.1175000000000002</v>
          </cell>
          <cell r="X315">
            <v>-1.5612545372050817</v>
          </cell>
          <cell r="Y315">
            <v>-2.9662942377495467</v>
          </cell>
          <cell r="Z315">
            <v>-0.8075586055656383</v>
          </cell>
          <cell r="AA315">
            <v>0</v>
          </cell>
          <cell r="AB315">
            <v>0</v>
          </cell>
          <cell r="AC315">
            <v>0</v>
          </cell>
          <cell r="AD315">
            <v>0</v>
          </cell>
          <cell r="AE315">
            <v>0</v>
          </cell>
          <cell r="AF315">
            <v>0</v>
          </cell>
          <cell r="AG315">
            <v>0</v>
          </cell>
          <cell r="DH315">
            <v>1.5882990441239326</v>
          </cell>
          <cell r="DI315">
            <v>-0.58878708834681792</v>
          </cell>
          <cell r="DJ315">
            <v>-0.4985101108445793</v>
          </cell>
          <cell r="DK315">
            <v>-1.9572042069797262</v>
          </cell>
          <cell r="DL315">
            <v>-1.5</v>
          </cell>
          <cell r="DM315">
            <v>0.48</v>
          </cell>
          <cell r="DN315">
            <v>3.06</v>
          </cell>
          <cell r="DO315">
            <v>2.4300000000000002</v>
          </cell>
          <cell r="DP315">
            <v>1.7186932849364793</v>
          </cell>
          <cell r="DQ315">
            <v>-0.67921960072595289</v>
          </cell>
          <cell r="DR315">
            <v>-3.2676950998185119</v>
          </cell>
          <cell r="DS315">
            <v>-4.0167967332123409</v>
          </cell>
          <cell r="DT315">
            <v>-2.722944646098004</v>
          </cell>
          <cell r="DU315">
            <v>-4.5011267392619487</v>
          </cell>
          <cell r="DV315">
            <v>-2.1710238959467634</v>
          </cell>
          <cell r="DW315">
            <v>-2.4700816696914698</v>
          </cell>
          <cell r="DX315">
            <v>-0.74604960677555954</v>
          </cell>
          <cell r="DY315">
            <v>-1.2805611010284335</v>
          </cell>
          <cell r="DZ315">
            <v>-0.33962038717483367</v>
          </cell>
          <cell r="EA315">
            <v>-0.86400332728372664</v>
          </cell>
          <cell r="EB315">
            <v>0</v>
          </cell>
          <cell r="EC315">
            <v>0</v>
          </cell>
          <cell r="ED315">
            <v>0</v>
          </cell>
          <cell r="EE315">
            <v>0</v>
          </cell>
        </row>
        <row r="316">
          <cell r="A316" t="str">
            <v>Polypropylene margin ($/MT)</v>
          </cell>
          <cell r="V316">
            <v>-8.0236750148800198</v>
          </cell>
          <cell r="W316">
            <v>24.629700000000003</v>
          </cell>
          <cell r="X316">
            <v>-34.410049999999998</v>
          </cell>
          <cell r="Y316">
            <v>-65.377125000000007</v>
          </cell>
          <cell r="Z316">
            <v>-17.798591666666667</v>
          </cell>
          <cell r="AA316">
            <v>0</v>
          </cell>
          <cell r="AB316">
            <v>0</v>
          </cell>
          <cell r="AC316">
            <v>0</v>
          </cell>
          <cell r="AD316">
            <v>0</v>
          </cell>
          <cell r="AE316">
            <v>0</v>
          </cell>
          <cell r="AF316">
            <v>0</v>
          </cell>
          <cell r="AG316">
            <v>0</v>
          </cell>
          <cell r="DH316">
            <v>35.006110932491474</v>
          </cell>
          <cell r="DI316">
            <v>-12.976867427163867</v>
          </cell>
          <cell r="DJ316">
            <v>-10.987162843014527</v>
          </cell>
          <cell r="DK316">
            <v>-43.136780721833162</v>
          </cell>
          <cell r="DL316">
            <v>-33.06</v>
          </cell>
          <cell r="DM316">
            <v>10.579199999999998</v>
          </cell>
          <cell r="DN316">
            <v>67.442399999999992</v>
          </cell>
          <cell r="DO316">
            <v>53.557200000000002</v>
          </cell>
          <cell r="DP316">
            <v>37.880000000000003</v>
          </cell>
          <cell r="DQ316">
            <v>-14.97</v>
          </cell>
          <cell r="DR316">
            <v>-72.02</v>
          </cell>
          <cell r="DS316">
            <v>-88.530199999999994</v>
          </cell>
          <cell r="DT316">
            <v>-60.013700000000007</v>
          </cell>
          <cell r="DU316">
            <v>-99.20483333333334</v>
          </cell>
          <cell r="DV316">
            <v>-47.849366666666661</v>
          </cell>
          <cell r="DW316">
            <v>-54.440599999999989</v>
          </cell>
          <cell r="DX316">
            <v>-16.442933333333333</v>
          </cell>
          <cell r="DY316">
            <v>-28.223566666666674</v>
          </cell>
          <cell r="DZ316">
            <v>-7.4852333333333334</v>
          </cell>
          <cell r="EA316">
            <v>-19.042633333333335</v>
          </cell>
          <cell r="EB316">
            <v>0</v>
          </cell>
          <cell r="EC316">
            <v>0</v>
          </cell>
          <cell r="ED316">
            <v>0</v>
          </cell>
          <cell r="EE316">
            <v>0</v>
          </cell>
        </row>
        <row r="318">
          <cell r="A318" t="str">
            <v>Sensitivity ($mm/year)</v>
          </cell>
        </row>
        <row r="319">
          <cell r="A319" t="str">
            <v>Chemicals impact of 1c/lb change in ethylene margin</v>
          </cell>
          <cell r="W319">
            <v>40</v>
          </cell>
          <cell r="X319">
            <v>40</v>
          </cell>
          <cell r="Y319">
            <v>40</v>
          </cell>
          <cell r="Z319">
            <v>40</v>
          </cell>
          <cell r="AA319">
            <v>40</v>
          </cell>
          <cell r="AB319">
            <v>40</v>
          </cell>
          <cell r="AC319">
            <v>40</v>
          </cell>
          <cell r="AD319">
            <v>40</v>
          </cell>
          <cell r="AE319">
            <v>40</v>
          </cell>
          <cell r="AF319">
            <v>40</v>
          </cell>
          <cell r="AG319">
            <v>40</v>
          </cell>
          <cell r="DL319">
            <v>40</v>
          </cell>
          <cell r="DM319">
            <v>40</v>
          </cell>
          <cell r="DN319">
            <v>40</v>
          </cell>
          <cell r="DO319">
            <v>40</v>
          </cell>
          <cell r="DP319">
            <v>40</v>
          </cell>
          <cell r="DQ319">
            <v>40</v>
          </cell>
          <cell r="DR319">
            <v>40</v>
          </cell>
          <cell r="DS319">
            <v>40</v>
          </cell>
          <cell r="DT319">
            <v>40</v>
          </cell>
          <cell r="DU319">
            <v>40</v>
          </cell>
          <cell r="DV319">
            <v>40</v>
          </cell>
          <cell r="DW319">
            <v>40</v>
          </cell>
          <cell r="DX319">
            <v>40</v>
          </cell>
          <cell r="DY319">
            <v>40</v>
          </cell>
          <cell r="DZ319">
            <v>40</v>
          </cell>
          <cell r="EA319">
            <v>40</v>
          </cell>
          <cell r="EB319">
            <v>40</v>
          </cell>
          <cell r="EC319">
            <v>40</v>
          </cell>
          <cell r="ED319">
            <v>40</v>
          </cell>
          <cell r="EE319">
            <v>40</v>
          </cell>
        </row>
        <row r="320">
          <cell r="A320" t="str">
            <v>Polymers impact of 1c/lb change in polyethylene</v>
          </cell>
          <cell r="W320">
            <v>48</v>
          </cell>
          <cell r="X320">
            <v>48</v>
          </cell>
          <cell r="Y320">
            <v>48</v>
          </cell>
          <cell r="Z320">
            <v>48</v>
          </cell>
          <cell r="AA320">
            <v>48</v>
          </cell>
          <cell r="AB320">
            <v>48</v>
          </cell>
          <cell r="AC320">
            <v>48</v>
          </cell>
          <cell r="AD320">
            <v>48</v>
          </cell>
          <cell r="AE320">
            <v>48</v>
          </cell>
          <cell r="AF320">
            <v>48</v>
          </cell>
          <cell r="AG320">
            <v>48</v>
          </cell>
          <cell r="DL320">
            <v>48</v>
          </cell>
          <cell r="DM320">
            <v>48</v>
          </cell>
          <cell r="DN320">
            <v>48</v>
          </cell>
          <cell r="DO320">
            <v>48</v>
          </cell>
          <cell r="DP320">
            <v>48</v>
          </cell>
          <cell r="DQ320">
            <v>48</v>
          </cell>
          <cell r="DR320">
            <v>48</v>
          </cell>
          <cell r="DS320">
            <v>48</v>
          </cell>
          <cell r="DT320">
            <v>48</v>
          </cell>
          <cell r="DU320">
            <v>48</v>
          </cell>
          <cell r="DV320">
            <v>48</v>
          </cell>
          <cell r="DW320">
            <v>48</v>
          </cell>
          <cell r="DX320">
            <v>48</v>
          </cell>
          <cell r="DY320">
            <v>48</v>
          </cell>
          <cell r="DZ320">
            <v>48</v>
          </cell>
          <cell r="EA320">
            <v>48</v>
          </cell>
          <cell r="EB320">
            <v>48</v>
          </cell>
          <cell r="EC320">
            <v>48</v>
          </cell>
          <cell r="ED320">
            <v>48</v>
          </cell>
          <cell r="EE320">
            <v>48</v>
          </cell>
        </row>
        <row r="321">
          <cell r="A321" t="str">
            <v>Polymers impact of 1c/lb change in polypropylene</v>
          </cell>
          <cell r="W321">
            <v>93.5</v>
          </cell>
          <cell r="X321">
            <v>93.5</v>
          </cell>
          <cell r="Y321">
            <v>93.5</v>
          </cell>
          <cell r="Z321">
            <v>93.5</v>
          </cell>
          <cell r="AA321">
            <v>93.5</v>
          </cell>
          <cell r="AB321">
            <v>93.5</v>
          </cell>
          <cell r="AC321">
            <v>93.5</v>
          </cell>
          <cell r="AD321">
            <v>93.5</v>
          </cell>
          <cell r="AE321">
            <v>93.5</v>
          </cell>
          <cell r="AF321">
            <v>93.5</v>
          </cell>
          <cell r="AG321">
            <v>93.5</v>
          </cell>
          <cell r="DL321">
            <v>93.5</v>
          </cell>
          <cell r="DM321">
            <v>93.5</v>
          </cell>
          <cell r="DN321">
            <v>93.5</v>
          </cell>
          <cell r="DO321">
            <v>93.5</v>
          </cell>
          <cell r="DP321">
            <v>93.5</v>
          </cell>
          <cell r="DQ321">
            <v>93.5</v>
          </cell>
          <cell r="DR321">
            <v>93.5</v>
          </cell>
          <cell r="DS321">
            <v>93.5</v>
          </cell>
          <cell r="DT321">
            <v>93.5</v>
          </cell>
          <cell r="DU321">
            <v>93.5</v>
          </cell>
          <cell r="DV321">
            <v>93.5</v>
          </cell>
          <cell r="DW321">
            <v>93.5</v>
          </cell>
          <cell r="DX321">
            <v>93.5</v>
          </cell>
          <cell r="DY321">
            <v>93.5</v>
          </cell>
          <cell r="DZ321">
            <v>93.5</v>
          </cell>
          <cell r="EA321">
            <v>93.5</v>
          </cell>
          <cell r="EB321">
            <v>93.5</v>
          </cell>
          <cell r="EC321">
            <v>93.5</v>
          </cell>
          <cell r="ED321">
            <v>93.5</v>
          </cell>
          <cell r="EE321">
            <v>93.5</v>
          </cell>
        </row>
        <row r="323">
          <cell r="A323" t="str">
            <v>Change in EBITDA ($mm)</v>
          </cell>
          <cell r="Y323">
            <v>-697.08784502373214</v>
          </cell>
          <cell r="Z323">
            <v>450.29894671852583</v>
          </cell>
          <cell r="AA323">
            <v>399.58438278475103</v>
          </cell>
          <cell r="AB323">
            <v>-283.24638664783816</v>
          </cell>
          <cell r="AC323">
            <v>19.738065422282773</v>
          </cell>
          <cell r="AD323">
            <v>18.191436077862249</v>
          </cell>
          <cell r="AE323">
            <v>18.169562067220795</v>
          </cell>
          <cell r="AF323">
            <v>17.438695537001024</v>
          </cell>
          <cell r="AG323">
            <v>18.236114648687987</v>
          </cell>
          <cell r="DL323">
            <v>71.58605522406954</v>
          </cell>
          <cell r="DM323">
            <v>104.77682277249356</v>
          </cell>
          <cell r="DN323">
            <v>72.981158554174797</v>
          </cell>
          <cell r="DO323">
            <v>-134.41354325468842</v>
          </cell>
          <cell r="DP323">
            <v>91.766743365471896</v>
          </cell>
          <cell r="DQ323">
            <v>-51.254555082536278</v>
          </cell>
          <cell r="DR323">
            <v>-167.14130169237751</v>
          </cell>
          <cell r="DS323">
            <v>-143.31002021713397</v>
          </cell>
          <cell r="DT323">
            <v>-22.610186626057153</v>
          </cell>
          <cell r="DU323">
            <v>4.5621659537102772</v>
          </cell>
          <cell r="DV323">
            <v>66.720721862324027</v>
          </cell>
          <cell r="DW323">
            <v>35.068289998262244</v>
          </cell>
          <cell r="DX323">
            <v>24.069532360380137</v>
          </cell>
          <cell r="DY323">
            <v>0.4935120112190905</v>
          </cell>
          <cell r="DZ323">
            <v>29.133703404478549</v>
          </cell>
          <cell r="EA323">
            <v>-12.297251789997214</v>
          </cell>
          <cell r="EB323">
            <v>120.06634089126283</v>
          </cell>
          <cell r="EC323">
            <v>-2.4314740933238568</v>
          </cell>
          <cell r="ED323">
            <v>-0.81336114407450566</v>
          </cell>
          <cell r="EE323">
            <v>-1.6078400610447687</v>
          </cell>
        </row>
        <row r="338">
          <cell r="A338" t="str">
            <v>Integrated Margins</v>
          </cell>
        </row>
        <row r="340">
          <cell r="A340" t="str">
            <v>CMAI</v>
          </cell>
          <cell r="C340">
            <v>326.26236363636372</v>
          </cell>
          <cell r="D340">
            <v>223.62284687868083</v>
          </cell>
          <cell r="E340">
            <v>161.83517521902377</v>
          </cell>
          <cell r="F340">
            <v>98.598526627218973</v>
          </cell>
          <cell r="G340">
            <v>190.79112048192775</v>
          </cell>
          <cell r="H340">
            <v>463.19047945205489</v>
          </cell>
          <cell r="I340">
            <v>230.28245903771131</v>
          </cell>
          <cell r="J340">
            <v>319.50073814898417</v>
          </cell>
          <cell r="K340">
            <v>273.59157397107896</v>
          </cell>
          <cell r="L340">
            <v>172.65548827292116</v>
          </cell>
          <cell r="M340">
            <v>257.44957497700096</v>
          </cell>
          <cell r="N340">
            <v>232.32679856759177</v>
          </cell>
          <cell r="O340">
            <v>170.28415457115926</v>
          </cell>
          <cell r="P340">
            <v>245.63186636466594</v>
          </cell>
          <cell r="Q340">
            <v>347.19606451612901</v>
          </cell>
          <cell r="R340">
            <v>363.53554669987545</v>
          </cell>
          <cell r="S340">
            <v>422.48218695106652</v>
          </cell>
          <cell r="T340">
            <v>416.65410943912445</v>
          </cell>
          <cell r="U340">
            <v>671.68301756954588</v>
          </cell>
          <cell r="V340">
            <v>290.60436022253123</v>
          </cell>
          <cell r="W340">
            <v>436.19271049136796</v>
          </cell>
          <cell r="X340">
            <v>305.96513359273661</v>
          </cell>
          <cell r="Y340">
            <v>214.78938895558235</v>
          </cell>
          <cell r="Z340">
            <v>317.3424405762305</v>
          </cell>
          <cell r="AA340">
            <v>400.30332412965197</v>
          </cell>
        </row>
        <row r="341">
          <cell r="A341" t="str">
            <v>CMAI</v>
          </cell>
          <cell r="C341">
            <v>174.08233333333337</v>
          </cell>
          <cell r="D341">
            <v>83.371500000000012</v>
          </cell>
          <cell r="E341">
            <v>-24.437133333333332</v>
          </cell>
          <cell r="F341">
            <v>-49.275566666666663</v>
          </cell>
          <cell r="G341">
            <v>19.397300000000001</v>
          </cell>
          <cell r="H341">
            <v>139.85333333333332</v>
          </cell>
          <cell r="I341">
            <v>32.965533333333333</v>
          </cell>
          <cell r="J341">
            <v>53.580999999999996</v>
          </cell>
          <cell r="K341">
            <v>-14.328066666666665</v>
          </cell>
          <cell r="L341">
            <v>25.177566666666667</v>
          </cell>
          <cell r="M341">
            <v>-47.947000000000003</v>
          </cell>
          <cell r="N341">
            <v>-128.17223333333334</v>
          </cell>
          <cell r="O341">
            <v>-83.675200000000004</v>
          </cell>
          <cell r="P341">
            <v>-68.611533333333327</v>
          </cell>
          <cell r="Q341">
            <v>-0.15476666666666597</v>
          </cell>
          <cell r="R341">
            <v>5.0548999999999991</v>
          </cell>
          <cell r="S341">
            <v>32.499400000000001</v>
          </cell>
          <cell r="T341">
            <v>76.931666666666658</v>
          </cell>
          <cell r="U341">
            <v>-134.33773333333332</v>
          </cell>
          <cell r="V341">
            <v>-76.246833333333328</v>
          </cell>
          <cell r="W341">
            <v>58.797333333333334</v>
          </cell>
          <cell r="X341">
            <v>-10.398466666666666</v>
          </cell>
          <cell r="Y341">
            <v>-13.961399999999999</v>
          </cell>
          <cell r="Z341">
            <v>18.754999999999999</v>
          </cell>
          <cell r="AA341">
            <v>42.954999999999998</v>
          </cell>
        </row>
        <row r="343">
          <cell r="C343">
            <v>1990</v>
          </cell>
          <cell r="D343">
            <v>1991</v>
          </cell>
          <cell r="E343">
            <v>1992</v>
          </cell>
          <cell r="F343">
            <v>1993</v>
          </cell>
          <cell r="G343">
            <v>1994</v>
          </cell>
          <cell r="H343">
            <v>1995</v>
          </cell>
          <cell r="I343">
            <v>1996</v>
          </cell>
          <cell r="J343">
            <v>1997</v>
          </cell>
          <cell r="K343">
            <v>1998</v>
          </cell>
          <cell r="L343">
            <v>1999</v>
          </cell>
          <cell r="M343">
            <v>2000</v>
          </cell>
          <cell r="N343">
            <v>2001</v>
          </cell>
          <cell r="O343">
            <v>2002</v>
          </cell>
          <cell r="P343">
            <v>2003</v>
          </cell>
          <cell r="Q343">
            <v>2004</v>
          </cell>
          <cell r="R343">
            <v>2005</v>
          </cell>
          <cell r="S343">
            <v>2006</v>
          </cell>
          <cell r="T343">
            <v>2007</v>
          </cell>
          <cell r="U343">
            <v>2008</v>
          </cell>
          <cell r="V343" t="str">
            <v>2009</v>
          </cell>
          <cell r="W343" t="str">
            <v>2010</v>
          </cell>
          <cell r="X343" t="str">
            <v>2011</v>
          </cell>
          <cell r="Y343" t="str">
            <v>2012e</v>
          </cell>
          <cell r="Z343" t="str">
            <v>2013e</v>
          </cell>
          <cell r="AA343" t="str">
            <v>2014e</v>
          </cell>
        </row>
        <row r="344">
          <cell r="A344" t="str">
            <v>CMAI</v>
          </cell>
          <cell r="B344" t="str">
            <v>CMAI</v>
          </cell>
          <cell r="C344">
            <v>500.34469696969711</v>
          </cell>
          <cell r="D344">
            <v>306.99434687868086</v>
          </cell>
          <cell r="E344">
            <v>137.39804188569045</v>
          </cell>
          <cell r="F344">
            <v>49.322959960552311</v>
          </cell>
          <cell r="G344">
            <v>210.18842048192775</v>
          </cell>
          <cell r="H344">
            <v>603.04381278538824</v>
          </cell>
          <cell r="I344">
            <v>263.24799237104463</v>
          </cell>
          <cell r="J344">
            <v>373.08173814898419</v>
          </cell>
          <cell r="K344">
            <v>259.26350730441231</v>
          </cell>
          <cell r="L344">
            <v>197.83305493958784</v>
          </cell>
          <cell r="M344">
            <v>209.50257497700096</v>
          </cell>
          <cell r="N344">
            <v>104.15456523425843</v>
          </cell>
          <cell r="O344">
            <v>86.608954571159259</v>
          </cell>
          <cell r="P344">
            <v>177.0203330313326</v>
          </cell>
          <cell r="Q344">
            <v>347.04129784946235</v>
          </cell>
          <cell r="R344">
            <v>368.59044669987543</v>
          </cell>
          <cell r="S344">
            <v>20.637829399939513</v>
          </cell>
          <cell r="T344">
            <v>22.388903932948885</v>
          </cell>
          <cell r="U344">
            <v>24.373822200680966</v>
          </cell>
          <cell r="V344">
            <v>9.7231936355437689</v>
          </cell>
          <cell r="W344">
            <v>17.96244216637939</v>
          </cell>
          <cell r="X344">
            <v>15.493179586373223</v>
          </cell>
          <cell r="Y344">
            <v>13.917095820228653</v>
          </cell>
          <cell r="Z344">
            <v>25.488328550180313</v>
          </cell>
          <cell r="AA344">
            <v>36.533291158987133</v>
          </cell>
        </row>
        <row r="345">
          <cell r="A345" t="str">
            <v>Base Case</v>
          </cell>
          <cell r="B345" t="str">
            <v>Base Case</v>
          </cell>
          <cell r="C345">
            <v>500.34469696969711</v>
          </cell>
          <cell r="D345">
            <v>306.99434687868086</v>
          </cell>
          <cell r="E345">
            <v>137.39804188569045</v>
          </cell>
          <cell r="F345">
            <v>49.322959960552311</v>
          </cell>
          <cell r="G345">
            <v>210.18842048192775</v>
          </cell>
          <cell r="H345">
            <v>603.04381278538824</v>
          </cell>
          <cell r="I345">
            <v>263.24799237104463</v>
          </cell>
          <cell r="J345">
            <v>373.08173814898419</v>
          </cell>
          <cell r="K345">
            <v>259.26350730441231</v>
          </cell>
          <cell r="L345">
            <v>197.83305493958784</v>
          </cell>
          <cell r="M345">
            <v>209.50257497700096</v>
          </cell>
          <cell r="N345">
            <v>104.15456523425843</v>
          </cell>
          <cell r="O345">
            <v>86.608954571159259</v>
          </cell>
          <cell r="P345">
            <v>177.0203330313326</v>
          </cell>
          <cell r="Q345">
            <v>347.04129784946235</v>
          </cell>
          <cell r="R345">
            <v>368.59044669987543</v>
          </cell>
          <cell r="S345">
            <v>20.637829399939513</v>
          </cell>
          <cell r="T345">
            <v>22.388903932948885</v>
          </cell>
          <cell r="U345">
            <v>24.373822200680966</v>
          </cell>
          <cell r="V345">
            <v>9.7231936355437689</v>
          </cell>
          <cell r="W345">
            <v>17.990399672305884</v>
          </cell>
          <cell r="X345">
            <v>15.645121792023245</v>
          </cell>
          <cell r="Y345">
            <v>12.676956667750261</v>
          </cell>
          <cell r="Z345">
            <v>20.900625624278675</v>
          </cell>
          <cell r="AA345">
            <v>13.433696033806282</v>
          </cell>
        </row>
        <row r="346">
          <cell r="A346" t="str">
            <v>Bear Case</v>
          </cell>
          <cell r="B346" t="str">
            <v>Bear Case</v>
          </cell>
          <cell r="W346">
            <v>17.990399672305884</v>
          </cell>
          <cell r="X346">
            <v>14.43600805569414</v>
          </cell>
          <cell r="Y346">
            <v>0.32639772874469392</v>
          </cell>
          <cell r="Z346">
            <v>5.215196986166303</v>
          </cell>
          <cell r="AA346">
            <v>11.710351440322304</v>
          </cell>
        </row>
        <row r="347">
          <cell r="A347" t="str">
            <v>Bull Case</v>
          </cell>
          <cell r="B347" t="str">
            <v>Bull Case</v>
          </cell>
          <cell r="W347">
            <v>17.990399672305884</v>
          </cell>
          <cell r="X347">
            <v>16.06506457388339</v>
          </cell>
          <cell r="Y347">
            <v>19.542481285452148</v>
          </cell>
          <cell r="Z347">
            <v>23.854499921430115</v>
          </cell>
          <cell r="AA347">
            <v>33.604762549282789</v>
          </cell>
        </row>
        <row r="352">
          <cell r="A352" t="str">
            <v>EBITDA</v>
          </cell>
        </row>
        <row r="353">
          <cell r="A353" t="str">
            <v>CMAI</v>
          </cell>
          <cell r="B353" t="str">
            <v>CMAI</v>
          </cell>
          <cell r="T353">
            <v>1328</v>
          </cell>
          <cell r="U353">
            <v>610</v>
          </cell>
          <cell r="V353">
            <v>43</v>
          </cell>
          <cell r="W353">
            <v>818</v>
          </cell>
          <cell r="X353">
            <v>991</v>
          </cell>
          <cell r="Y353">
            <v>563</v>
          </cell>
          <cell r="Z353">
            <v>839</v>
          </cell>
          <cell r="AA353">
            <v>859.85038983557615</v>
          </cell>
        </row>
        <row r="354">
          <cell r="A354" t="str">
            <v>Base Case</v>
          </cell>
          <cell r="B354" t="str">
            <v>Base Case</v>
          </cell>
          <cell r="X354">
            <v>-173</v>
          </cell>
        </row>
        <row r="355">
          <cell r="A355" t="str">
            <v>Bear Case</v>
          </cell>
          <cell r="B355" t="str">
            <v>Bear Case</v>
          </cell>
        </row>
        <row r="356">
          <cell r="A356" t="str">
            <v>Bull Case</v>
          </cell>
          <cell r="B356" t="str">
            <v>Bull Case</v>
          </cell>
        </row>
        <row r="367">
          <cell r="A367" t="str">
            <v>Integrated Margins</v>
          </cell>
        </row>
        <row r="369">
          <cell r="A369" t="str">
            <v>CMAI</v>
          </cell>
          <cell r="B369" t="str">
            <v>CMAI</v>
          </cell>
          <cell r="C369">
            <v>324.22424000000001</v>
          </cell>
          <cell r="D369">
            <v>171.89530666666661</v>
          </cell>
          <cell r="E369">
            <v>82.907060000000044</v>
          </cell>
          <cell r="F369">
            <v>65.006706666666673</v>
          </cell>
          <cell r="G369">
            <v>195.46562666666668</v>
          </cell>
          <cell r="H369">
            <v>453.72615999999994</v>
          </cell>
          <cell r="I369">
            <v>206.86541333333335</v>
          </cell>
          <cell r="J369">
            <v>335.62937333333338</v>
          </cell>
          <cell r="K369">
            <v>170.96650666666667</v>
          </cell>
          <cell r="L369">
            <v>190.82363333333328</v>
          </cell>
          <cell r="M369">
            <v>122.13387333333328</v>
          </cell>
          <cell r="N369">
            <v>101.93654666666663</v>
          </cell>
          <cell r="O369">
            <v>133.39674666666664</v>
          </cell>
          <cell r="P369">
            <v>184.39468000000002</v>
          </cell>
          <cell r="Q369">
            <v>246.18685333333337</v>
          </cell>
          <cell r="R369">
            <v>371.25332000000003</v>
          </cell>
          <cell r="S369">
            <v>18.17063594302822</v>
          </cell>
          <cell r="T369">
            <v>10.866019534911851</v>
          </cell>
          <cell r="U369">
            <v>13.76762405878617</v>
          </cell>
          <cell r="V369">
            <v>15.752848286915235</v>
          </cell>
          <cell r="W369">
            <v>22.906649732377755</v>
          </cell>
          <cell r="X369">
            <v>20.575461081375295</v>
          </cell>
          <cell r="Y369">
            <v>20.136657519126675</v>
          </cell>
          <cell r="Z369">
            <v>31.552569475944232</v>
          </cell>
          <cell r="AA369">
            <v>36.753431915086637</v>
          </cell>
        </row>
        <row r="370">
          <cell r="A370" t="str">
            <v>Base Case</v>
          </cell>
          <cell r="B370" t="str">
            <v>Base Case</v>
          </cell>
          <cell r="C370">
            <v>324.22424000000001</v>
          </cell>
          <cell r="D370">
            <v>171.89530666666661</v>
          </cell>
          <cell r="E370">
            <v>82.907060000000044</v>
          </cell>
          <cell r="F370">
            <v>65.006706666666673</v>
          </cell>
          <cell r="G370">
            <v>195.46562666666668</v>
          </cell>
          <cell r="H370">
            <v>453.72615999999994</v>
          </cell>
          <cell r="I370">
            <v>206.86541333333335</v>
          </cell>
          <cell r="J370">
            <v>335.62937333333338</v>
          </cell>
          <cell r="K370">
            <v>170.96650666666667</v>
          </cell>
          <cell r="L370">
            <v>190.82363333333328</v>
          </cell>
          <cell r="M370">
            <v>122.13387333333328</v>
          </cell>
          <cell r="N370">
            <v>101.93654666666663</v>
          </cell>
          <cell r="O370">
            <v>133.39674666666664</v>
          </cell>
          <cell r="P370">
            <v>184.39468000000002</v>
          </cell>
          <cell r="Q370">
            <v>246.18685333333337</v>
          </cell>
          <cell r="R370">
            <v>371.25332000000003</v>
          </cell>
          <cell r="S370">
            <v>18.17063594302822</v>
          </cell>
          <cell r="T370">
            <v>10.866019534911851</v>
          </cell>
          <cell r="U370">
            <v>13.76762405878617</v>
          </cell>
          <cell r="V370">
            <v>15.752848286915235</v>
          </cell>
          <cell r="W370">
            <v>23.261540303899938</v>
          </cell>
          <cell r="X370">
            <v>23.334151050117431</v>
          </cell>
          <cell r="Y370">
            <v>33.780694617912197</v>
          </cell>
          <cell r="Z370">
            <v>42.267549306419326</v>
          </cell>
          <cell r="AA370">
            <v>42.957409160688698</v>
          </cell>
        </row>
        <row r="371">
          <cell r="A371" t="str">
            <v>Bear Case</v>
          </cell>
          <cell r="B371" t="str">
            <v>Bear Case</v>
          </cell>
          <cell r="W371">
            <v>23.261540303899938</v>
          </cell>
          <cell r="X371">
            <v>23.334151050117427</v>
          </cell>
          <cell r="Y371">
            <v>19.831805800052273</v>
          </cell>
          <cell r="Z371">
            <v>6.9045936467551527</v>
          </cell>
          <cell r="AA371">
            <v>8.0876234761503145</v>
          </cell>
        </row>
        <row r="372">
          <cell r="A372" t="str">
            <v>Bull Case</v>
          </cell>
          <cell r="B372" t="str">
            <v>Bull Case</v>
          </cell>
          <cell r="W372">
            <v>15.80761939526824</v>
          </cell>
          <cell r="X372">
            <v>26.399200498808046</v>
          </cell>
          <cell r="Y372">
            <v>43.38889146699109</v>
          </cell>
          <cell r="Z372">
            <v>50.37417889485485</v>
          </cell>
          <cell r="AA372">
            <v>60.33666346623162</v>
          </cell>
        </row>
        <row r="374">
          <cell r="S374">
            <v>4.5359702440351993E-2</v>
          </cell>
        </row>
        <row r="377">
          <cell r="A377" t="str">
            <v>EBITDA</v>
          </cell>
        </row>
        <row r="378">
          <cell r="T378">
            <v>0</v>
          </cell>
          <cell r="U378">
            <v>0</v>
          </cell>
          <cell r="V378">
            <v>0</v>
          </cell>
          <cell r="W378">
            <v>0</v>
          </cell>
          <cell r="X378">
            <v>0</v>
          </cell>
          <cell r="Y378">
            <v>0</v>
          </cell>
          <cell r="Z378">
            <v>0</v>
          </cell>
          <cell r="AA378">
            <v>0</v>
          </cell>
        </row>
        <row r="379">
          <cell r="X379">
            <v>0</v>
          </cell>
        </row>
      </sheetData>
      <sheetData sheetId="7" refreshError="1"/>
      <sheetData sheetId="8" refreshError="1">
        <row r="23">
          <cell r="U23" t="str">
            <v>1Q10</v>
          </cell>
          <cell r="V23" t="str">
            <v>2Q10</v>
          </cell>
          <cell r="W23" t="str">
            <v>3Q10</v>
          </cell>
        </row>
        <row r="24">
          <cell r="U24">
            <v>5.3</v>
          </cell>
          <cell r="V24">
            <v>7.9</v>
          </cell>
          <cell r="W24">
            <v>6</v>
          </cell>
        </row>
        <row r="25">
          <cell r="U25">
            <v>-0.3</v>
          </cell>
          <cell r="V25">
            <v>-0.7</v>
          </cell>
          <cell r="W25">
            <v>-1.1000000000000001</v>
          </cell>
        </row>
        <row r="62">
          <cell r="R62" t="str">
            <v>%age of revenue</v>
          </cell>
          <cell r="U62">
            <v>2010</v>
          </cell>
          <cell r="V62">
            <v>2011</v>
          </cell>
          <cell r="W62">
            <v>2012</v>
          </cell>
          <cell r="X62">
            <v>2013</v>
          </cell>
        </row>
        <row r="63">
          <cell r="R63" t="str">
            <v>Olefins and Polyolefins - Americas</v>
          </cell>
          <cell r="S63">
            <v>0.26982596021947874</v>
          </cell>
          <cell r="U63">
            <v>12589</v>
          </cell>
          <cell r="V63">
            <v>14880</v>
          </cell>
          <cell r="W63">
            <v>12934</v>
          </cell>
          <cell r="X63">
            <v>13089</v>
          </cell>
        </row>
        <row r="64">
          <cell r="R64" t="str">
            <v>Olefins and Polyolefins - Rest of World</v>
          </cell>
          <cell r="S64">
            <v>0.2767918381344307</v>
          </cell>
          <cell r="U64">
            <v>12914</v>
          </cell>
          <cell r="V64">
            <v>15514</v>
          </cell>
          <cell r="W64">
            <v>14489</v>
          </cell>
          <cell r="X64">
            <v>14685</v>
          </cell>
        </row>
        <row r="65">
          <cell r="R65" t="str">
            <v>Intermediates &amp; Derivatives</v>
          </cell>
          <cell r="S65">
            <v>0.11947016460905349</v>
          </cell>
          <cell r="U65">
            <v>5574</v>
          </cell>
          <cell r="V65">
            <v>9557</v>
          </cell>
          <cell r="W65">
            <v>9658</v>
          </cell>
          <cell r="X65">
            <v>9472</v>
          </cell>
        </row>
        <row r="66">
          <cell r="R66" t="str">
            <v>Refining</v>
          </cell>
          <cell r="S66">
            <v>0.3229809670781893</v>
          </cell>
          <cell r="U66">
            <v>15069</v>
          </cell>
          <cell r="V66">
            <v>13706</v>
          </cell>
          <cell r="W66">
            <v>13291</v>
          </cell>
          <cell r="X66">
            <v>11698</v>
          </cell>
        </row>
        <row r="67">
          <cell r="R67" t="str">
            <v>Technology</v>
          </cell>
          <cell r="S67">
            <v>1.0931069958847737E-2</v>
          </cell>
          <cell r="U67">
            <v>510</v>
          </cell>
          <cell r="V67">
            <v>506</v>
          </cell>
          <cell r="W67">
            <v>498</v>
          </cell>
          <cell r="X67">
            <v>532</v>
          </cell>
        </row>
        <row r="68">
          <cell r="R68" t="str">
            <v>Other</v>
          </cell>
          <cell r="U68">
            <v>-5505</v>
          </cell>
          <cell r="V68">
            <v>-7041</v>
          </cell>
          <cell r="W68">
            <v>-5645</v>
          </cell>
          <cell r="X68">
            <v>-5414</v>
          </cell>
        </row>
        <row r="69">
          <cell r="U69">
            <v>46656</v>
          </cell>
          <cell r="V69">
            <v>54163</v>
          </cell>
          <cell r="W69">
            <v>50870</v>
          </cell>
          <cell r="X69">
            <v>49476</v>
          </cell>
        </row>
        <row r="70">
          <cell r="R70" t="str">
            <v>%age of EBITDA</v>
          </cell>
        </row>
        <row r="71">
          <cell r="R71" t="str">
            <v>Olefins and Polyolefins - Americas</v>
          </cell>
          <cell r="S71">
            <v>0.42921348314606744</v>
          </cell>
          <cell r="U71">
            <v>1719</v>
          </cell>
          <cell r="V71">
            <v>2142</v>
          </cell>
          <cell r="W71">
            <v>2934</v>
          </cell>
          <cell r="X71">
            <v>3573</v>
          </cell>
        </row>
        <row r="72">
          <cell r="R72" t="str">
            <v>Olefins and Polyolefins - Rest of World</v>
          </cell>
          <cell r="S72">
            <v>0.20424469413233459</v>
          </cell>
          <cell r="U72">
            <v>818</v>
          </cell>
          <cell r="V72">
            <v>991</v>
          </cell>
          <cell r="W72">
            <v>563</v>
          </cell>
          <cell r="X72">
            <v>839</v>
          </cell>
        </row>
        <row r="73">
          <cell r="R73" t="str">
            <v>Intermediates &amp; Derivatives</v>
          </cell>
          <cell r="S73">
            <v>0.20674157303370785</v>
          </cell>
          <cell r="U73">
            <v>828</v>
          </cell>
          <cell r="V73">
            <v>1386</v>
          </cell>
          <cell r="W73">
            <v>1635</v>
          </cell>
          <cell r="X73">
            <v>1492</v>
          </cell>
        </row>
        <row r="74">
          <cell r="R74" t="str">
            <v>Refining</v>
          </cell>
          <cell r="S74">
            <v>0.11385767790262172</v>
          </cell>
          <cell r="U74">
            <v>456</v>
          </cell>
          <cell r="V74">
            <v>977</v>
          </cell>
          <cell r="W74">
            <v>404</v>
          </cell>
          <cell r="X74">
            <v>182</v>
          </cell>
        </row>
        <row r="75">
          <cell r="R75" t="str">
            <v>Technology</v>
          </cell>
          <cell r="S75">
            <v>5.2184769038701624E-2</v>
          </cell>
          <cell r="U75">
            <v>209</v>
          </cell>
          <cell r="V75">
            <v>191</v>
          </cell>
          <cell r="W75">
            <v>213</v>
          </cell>
          <cell r="X75">
            <v>232</v>
          </cell>
        </row>
        <row r="76">
          <cell r="R76" t="str">
            <v>Other</v>
          </cell>
          <cell r="S76">
            <v>-6.2421972534332081E-3</v>
          </cell>
          <cell r="U76">
            <v>-25</v>
          </cell>
          <cell r="V76">
            <v>-34</v>
          </cell>
          <cell r="W76">
            <v>-1</v>
          </cell>
          <cell r="X76">
            <v>-7</v>
          </cell>
        </row>
        <row r="77">
          <cell r="U77">
            <v>4005</v>
          </cell>
          <cell r="V77">
            <v>5653</v>
          </cell>
          <cell r="W77">
            <v>5748</v>
          </cell>
          <cell r="X77">
            <v>6311</v>
          </cell>
        </row>
        <row r="78">
          <cell r="R78" t="str">
            <v>%age of incremental EBITDA growth</v>
          </cell>
        </row>
        <row r="79">
          <cell r="R79" t="str">
            <v>Olefins and Polyolefins - Americas</v>
          </cell>
          <cell r="S79">
            <v>0.80398959236773637</v>
          </cell>
        </row>
        <row r="80">
          <cell r="R80" t="str">
            <v>Olefins and Polyolefins - Rest of World</v>
          </cell>
          <cell r="S80">
            <v>9.1066782307025144E-3</v>
          </cell>
        </row>
        <row r="81">
          <cell r="R81" t="str">
            <v>Intermediates &amp; Derivatives</v>
          </cell>
          <cell r="S81">
            <v>0.28794449262792715</v>
          </cell>
        </row>
        <row r="82">
          <cell r="R82" t="str">
            <v>Refining</v>
          </cell>
          <cell r="S82">
            <v>-0.11882046834345186</v>
          </cell>
        </row>
        <row r="83">
          <cell r="R83" t="str">
            <v>Technology</v>
          </cell>
          <cell r="S83">
            <v>9.9739809193408503E-3</v>
          </cell>
        </row>
        <row r="84">
          <cell r="R84" t="str">
            <v>Other</v>
          </cell>
          <cell r="S84">
            <v>7.8057241977450131E-3</v>
          </cell>
        </row>
        <row r="86">
          <cell r="R86" t="str">
            <v>%age of revenue growth</v>
          </cell>
        </row>
        <row r="87">
          <cell r="R87" t="str">
            <v>Olefins and Polyolefins - Americas</v>
          </cell>
          <cell r="S87">
            <v>0.1773049645390071</v>
          </cell>
        </row>
        <row r="88">
          <cell r="R88" t="str">
            <v>Olefins and Polyolefins - Rest of World</v>
          </cell>
          <cell r="S88">
            <v>0.62801418439716317</v>
          </cell>
        </row>
        <row r="89">
          <cell r="R89" t="str">
            <v>Intermediates &amp; Derivatives</v>
          </cell>
          <cell r="S89">
            <v>1.3822695035460992</v>
          </cell>
        </row>
        <row r="90">
          <cell r="R90" t="str">
            <v>Refining</v>
          </cell>
          <cell r="S90">
            <v>-1.1953900709219858</v>
          </cell>
        </row>
        <row r="91">
          <cell r="R91" t="str">
            <v>Technology</v>
          </cell>
          <cell r="S91">
            <v>7.801418439716312E-3</v>
          </cell>
        </row>
        <row r="92">
          <cell r="R92" t="str">
            <v>Other</v>
          </cell>
          <cell r="S92">
            <v>3.2269503546099289E-2</v>
          </cell>
        </row>
        <row r="95">
          <cell r="Y95" t="str">
            <v>Olefins &amp; PO, North America</v>
          </cell>
        </row>
        <row r="97">
          <cell r="Z97">
            <v>2008</v>
          </cell>
          <cell r="AA97">
            <v>2009</v>
          </cell>
          <cell r="AB97">
            <v>2010</v>
          </cell>
          <cell r="AC97" t="str">
            <v>2011e</v>
          </cell>
          <cell r="AD97" t="str">
            <v>2012e</v>
          </cell>
          <cell r="AE97" t="str">
            <v>2013e</v>
          </cell>
          <cell r="AF97" t="str">
            <v>2014e</v>
          </cell>
        </row>
        <row r="98">
          <cell r="Y98" t="str">
            <v>Base Case Scenario</v>
          </cell>
        </row>
        <row r="99">
          <cell r="Y99" t="str">
            <v>Natural Gas ($/mmbtu)</v>
          </cell>
          <cell r="Z99">
            <v>8.8970000000000002</v>
          </cell>
          <cell r="AA99">
            <v>3.7850000000000001</v>
          </cell>
          <cell r="AB99">
            <v>4.41</v>
          </cell>
          <cell r="AC99">
            <v>4.140833333333334</v>
          </cell>
          <cell r="AD99">
            <v>2.9391769230769231</v>
          </cell>
          <cell r="AE99">
            <v>3.8289242424242418</v>
          </cell>
          <cell r="AF99">
            <v>3.8250000000000002</v>
          </cell>
        </row>
        <row r="100">
          <cell r="Y100" t="str">
            <v>Crude Oil ($/bbl)</v>
          </cell>
          <cell r="Z100">
            <v>98.2</v>
          </cell>
          <cell r="AA100">
            <v>60.762500000000003</v>
          </cell>
          <cell r="AB100">
            <v>79.917500000000004</v>
          </cell>
          <cell r="AC100">
            <v>111.30416666666667</v>
          </cell>
          <cell r="AD100">
            <v>111.42688461538462</v>
          </cell>
          <cell r="AE100">
            <v>108.8339393939394</v>
          </cell>
          <cell r="AF100">
            <v>104.625</v>
          </cell>
        </row>
        <row r="102">
          <cell r="Y102" t="str">
            <v>Ethane (cents/gal)</v>
          </cell>
          <cell r="Z102">
            <v>87.126647916666656</v>
          </cell>
          <cell r="AA102">
            <v>44.220420833333336</v>
          </cell>
          <cell r="AB102">
            <v>54.660366666666661</v>
          </cell>
          <cell r="AC102">
            <v>68.037249999999986</v>
          </cell>
          <cell r="AD102">
            <v>33.822819391025632</v>
          </cell>
          <cell r="AE102">
            <v>24.891909636782486</v>
          </cell>
          <cell r="AF102">
            <v>25.397999999999996</v>
          </cell>
        </row>
        <row r="103">
          <cell r="Y103" t="str">
            <v>nat. gas implied floor price</v>
          </cell>
          <cell r="Z103">
            <v>0.33453419865370382</v>
          </cell>
          <cell r="AA103">
            <v>0.59213276551885619</v>
          </cell>
          <cell r="AB103">
            <v>32.360579999999999</v>
          </cell>
          <cell r="AC103">
            <v>30.385435000000001</v>
          </cell>
          <cell r="AD103">
            <v>21.567680261538463</v>
          </cell>
          <cell r="AE103">
            <v>28.09664609090909</v>
          </cell>
          <cell r="AF103">
            <v>28.06785</v>
          </cell>
        </row>
        <row r="104">
          <cell r="Y104" t="str">
            <v>ethane frac. margin</v>
          </cell>
          <cell r="Z104">
            <v>-0.29872266354941346</v>
          </cell>
          <cell r="AA104">
            <v>-0.42477530382332107</v>
          </cell>
          <cell r="AB104">
            <v>22.299786666666662</v>
          </cell>
          <cell r="AC104">
            <v>37.651814999999985</v>
          </cell>
          <cell r="AD104">
            <v>12.255139129487169</v>
          </cell>
          <cell r="AE104">
            <v>-3.2047364541266035</v>
          </cell>
          <cell r="AF104">
            <v>-2.6698500000000038</v>
          </cell>
        </row>
        <row r="106">
          <cell r="Y106" t="str">
            <v>Polyethylene price (c/lb)</v>
          </cell>
          <cell r="AA106">
            <v>1245.0312296767333</v>
          </cell>
          <cell r="AB106">
            <v>66.864257294201195</v>
          </cell>
          <cell r="AC106">
            <v>71.443333333333328</v>
          </cell>
          <cell r="AD106">
            <v>68.583333333333329</v>
          </cell>
          <cell r="AE106">
            <v>74.166666666666657</v>
          </cell>
          <cell r="AF106">
            <v>76.048750000000013</v>
          </cell>
        </row>
        <row r="108">
          <cell r="Y108" t="str">
            <v>Integrated PE Margin (c/lb)</v>
          </cell>
          <cell r="Z108">
            <v>13.76762405878617</v>
          </cell>
          <cell r="AA108">
            <v>15.752848286915235</v>
          </cell>
          <cell r="AB108">
            <v>23.267872846632397</v>
          </cell>
          <cell r="AC108">
            <v>23.340503359840696</v>
          </cell>
          <cell r="AD108">
            <v>33.789890814269164</v>
          </cell>
          <cell r="AE108">
            <v>42.279055898789494</v>
          </cell>
          <cell r="AF108">
            <v>42.969103555197051</v>
          </cell>
        </row>
        <row r="110">
          <cell r="Y110" t="str">
            <v>LYB O&amp;P EBITDA (Americas)</v>
          </cell>
          <cell r="Z110">
            <v>-160</v>
          </cell>
          <cell r="AA110">
            <v>681</v>
          </cell>
          <cell r="AB110">
            <v>1719</v>
          </cell>
          <cell r="AC110">
            <v>2142</v>
          </cell>
          <cell r="AD110">
            <v>2934</v>
          </cell>
          <cell r="AE110">
            <v>3573</v>
          </cell>
          <cell r="AF110">
            <v>3633.7862585498383</v>
          </cell>
        </row>
        <row r="112">
          <cell r="Y112" t="str">
            <v xml:space="preserve">DOW Performance Plastics EBITDA </v>
          </cell>
          <cell r="AB112">
            <v>3558</v>
          </cell>
          <cell r="AC112">
            <v>3163.7252223742175</v>
          </cell>
          <cell r="AD112">
            <v>3653.0238098902955</v>
          </cell>
          <cell r="AE112">
            <v>4154.1613274720476</v>
          </cell>
          <cell r="AF112">
            <v>6064.8843673243491</v>
          </cell>
        </row>
        <row r="114">
          <cell r="Y114" t="str">
            <v>Bull Case Scenario</v>
          </cell>
        </row>
        <row r="115">
          <cell r="Y115" t="str">
            <v>Natural Gas ($/mmbtu)</v>
          </cell>
          <cell r="Z115">
            <v>0</v>
          </cell>
          <cell r="AA115">
            <v>3.7850000000000001</v>
          </cell>
          <cell r="AB115">
            <v>4.41</v>
          </cell>
          <cell r="AC115">
            <v>4.140833333333334</v>
          </cell>
          <cell r="AD115">
            <v>2.9391769230769231</v>
          </cell>
          <cell r="AE115">
            <v>0</v>
          </cell>
          <cell r="AF115">
            <v>0</v>
          </cell>
        </row>
        <row r="116">
          <cell r="Y116" t="str">
            <v>Crude Oil ($/bbl)</v>
          </cell>
          <cell r="Z116">
            <v>97.512499999999989</v>
          </cell>
          <cell r="AA116">
            <v>61.922499999999999</v>
          </cell>
          <cell r="AB116">
            <v>79.917500000000004</v>
          </cell>
          <cell r="AC116">
            <v>111.30416666666667</v>
          </cell>
          <cell r="AD116">
            <v>129.61000000000001</v>
          </cell>
          <cell r="AE116">
            <v>138.71060606060607</v>
          </cell>
          <cell r="AF116">
            <v>134.50166666666667</v>
          </cell>
        </row>
        <row r="118">
          <cell r="Y118" t="str">
            <v>Ethane (cents/gal)</v>
          </cell>
          <cell r="Z118">
            <v>0</v>
          </cell>
          <cell r="AA118">
            <v>44.220420833333336</v>
          </cell>
          <cell r="AB118">
            <v>60.310333333333332</v>
          </cell>
          <cell r="AC118">
            <v>76.675000000000011</v>
          </cell>
          <cell r="AD118">
            <v>31.676923076923075</v>
          </cell>
          <cell r="AE118">
            <v>30</v>
          </cell>
          <cell r="AF118">
            <v>25</v>
          </cell>
        </row>
        <row r="119">
          <cell r="Y119" t="str">
            <v>nat. gas implied floor price</v>
          </cell>
          <cell r="AA119">
            <v>0.59213276551885619</v>
          </cell>
          <cell r="AB119">
            <v>32.360579999999999</v>
          </cell>
          <cell r="AC119">
            <v>30.385435000000001</v>
          </cell>
          <cell r="AD119">
            <v>21.567680261538463</v>
          </cell>
          <cell r="AE119">
            <v>0</v>
          </cell>
          <cell r="AF119">
            <v>0</v>
          </cell>
        </row>
        <row r="120">
          <cell r="Y120" t="str">
            <v>ethane frac. margin</v>
          </cell>
          <cell r="Z120">
            <v>-1</v>
          </cell>
          <cell r="AA120">
            <v>-0.43555104200516059</v>
          </cell>
          <cell r="AB120">
            <v>27.949753333333334</v>
          </cell>
          <cell r="AC120">
            <v>46.28956500000001</v>
          </cell>
          <cell r="AD120">
            <v>10.109242815384611</v>
          </cell>
          <cell r="AE120">
            <v>30</v>
          </cell>
          <cell r="AF120">
            <v>25</v>
          </cell>
        </row>
        <row r="122">
          <cell r="Y122" t="str">
            <v>Polyethylene price (c/lb)</v>
          </cell>
          <cell r="AA122">
            <v>1118.5402003875001</v>
          </cell>
          <cell r="AB122">
            <v>59.4083071875</v>
          </cell>
          <cell r="AC122">
            <v>74.509217187499999</v>
          </cell>
          <cell r="AD122">
            <v>83.316611249999994</v>
          </cell>
          <cell r="AE122">
            <v>92.643669755303037</v>
          </cell>
          <cell r="AF122">
            <v>100.51960086666666</v>
          </cell>
        </row>
        <row r="124">
          <cell r="Y124" t="str">
            <v>Integrated PE Margin (c/lb)</v>
          </cell>
          <cell r="Z124">
            <v>0</v>
          </cell>
          <cell r="AA124">
            <v>0</v>
          </cell>
          <cell r="AB124">
            <v>15.811922739931198</v>
          </cell>
          <cell r="AC124">
            <v>26.40638721400736</v>
          </cell>
          <cell r="AD124">
            <v>43.400703324922212</v>
          </cell>
          <cell r="AE124">
            <v>50.387892373682853</v>
          </cell>
          <cell r="AF124">
            <v>60.353089055197017</v>
          </cell>
        </row>
        <row r="126">
          <cell r="Y126" t="str">
            <v>LYB O&amp;P EBITDA (Americas)</v>
          </cell>
          <cell r="Z126">
            <v>0</v>
          </cell>
          <cell r="AA126">
            <v>681</v>
          </cell>
          <cell r="AB126">
            <v>1719</v>
          </cell>
          <cell r="AC126">
            <v>2118.6869031613455</v>
          </cell>
          <cell r="AD126">
            <v>3175.3013725819683</v>
          </cell>
          <cell r="AE126">
            <v>4136.3780193078765</v>
          </cell>
          <cell r="AF126">
            <v>4924.5728637906295</v>
          </cell>
        </row>
        <row r="128">
          <cell r="Y128" t="str">
            <v xml:space="preserve">DOW Performance Plastics EBITDA </v>
          </cell>
          <cell r="AB128">
            <v>17.995297240274752</v>
          </cell>
          <cell r="AC128">
            <v>15.635504614047697</v>
          </cell>
          <cell r="AD128">
            <v>12.684191936233624</v>
          </cell>
          <cell r="AE128">
            <v>13.995132518223592</v>
          </cell>
          <cell r="AF128">
            <v>24.258651936279122</v>
          </cell>
        </row>
        <row r="130">
          <cell r="Y130" t="str">
            <v>Bear Case Scenario</v>
          </cell>
        </row>
        <row r="131">
          <cell r="Y131" t="str">
            <v>Natural Gas ($/mmbtu)</v>
          </cell>
          <cell r="Z131">
            <v>0</v>
          </cell>
          <cell r="AA131">
            <v>3.7850000000000001</v>
          </cell>
          <cell r="AB131">
            <v>0</v>
          </cell>
          <cell r="AC131">
            <v>0</v>
          </cell>
          <cell r="AD131">
            <v>0</v>
          </cell>
          <cell r="AE131">
            <v>0</v>
          </cell>
          <cell r="AF131">
            <v>6</v>
          </cell>
        </row>
        <row r="132">
          <cell r="Y132" t="str">
            <v>Crude Oil ($/bbl)</v>
          </cell>
          <cell r="Z132">
            <v>97.512499999999989</v>
          </cell>
          <cell r="AA132">
            <v>61.922499999999999</v>
          </cell>
          <cell r="AB132">
            <v>79.917500000000004</v>
          </cell>
          <cell r="AC132">
            <v>111.30416666666667</v>
          </cell>
          <cell r="AD132">
            <v>92.733333333333334</v>
          </cell>
          <cell r="AE132">
            <v>78.710606060606096</v>
          </cell>
          <cell r="AF132">
            <v>74.501666666666722</v>
          </cell>
        </row>
        <row r="134">
          <cell r="Y134" t="str">
            <v>Ethane (cents/gal)</v>
          </cell>
          <cell r="Z134">
            <v>6.3102825583213269</v>
          </cell>
          <cell r="AA134">
            <v>44.220420833333336</v>
          </cell>
          <cell r="AB134">
            <v>54.660366666666661</v>
          </cell>
          <cell r="AC134">
            <v>68.037249999999986</v>
          </cell>
          <cell r="AD134">
            <v>64.142071153846146</v>
          </cell>
          <cell r="AE134">
            <v>88.5</v>
          </cell>
          <cell r="AF134">
            <v>80</v>
          </cell>
        </row>
        <row r="135">
          <cell r="Y135" t="str">
            <v>nat. gas implied floor price</v>
          </cell>
          <cell r="AA135">
            <v>0.59213276551885619</v>
          </cell>
          <cell r="AB135">
            <v>0</v>
          </cell>
          <cell r="AC135">
            <v>0</v>
          </cell>
          <cell r="AD135">
            <v>0</v>
          </cell>
          <cell r="AE135">
            <v>0</v>
          </cell>
          <cell r="AF135">
            <v>44.027999999999999</v>
          </cell>
        </row>
        <row r="136">
          <cell r="Y136" t="str">
            <v>ethane frac. margin</v>
          </cell>
          <cell r="Z136">
            <v>-0.94885080518220011</v>
          </cell>
          <cell r="AA136">
            <v>-0.43555104200516059</v>
          </cell>
          <cell r="AB136">
            <v>54.660366666666661</v>
          </cell>
          <cell r="AC136">
            <v>68.037249999999986</v>
          </cell>
          <cell r="AD136">
            <v>64.142071153846146</v>
          </cell>
          <cell r="AE136">
            <v>88.5</v>
          </cell>
          <cell r="AF136">
            <v>35.972000000000001</v>
          </cell>
        </row>
        <row r="138">
          <cell r="Y138" t="str">
            <v>Polyethylene price (c/lb)</v>
          </cell>
          <cell r="AA138">
            <v>1341.1242440477563</v>
          </cell>
          <cell r="AB138">
            <v>66.864257294201195</v>
          </cell>
          <cell r="AC138">
            <v>71.443333333333328</v>
          </cell>
          <cell r="AD138">
            <v>67.494628000000006</v>
          </cell>
          <cell r="AE138">
            <v>62.749483030303047</v>
          </cell>
          <cell r="AF138">
            <v>60.589455333333362</v>
          </cell>
        </row>
        <row r="140">
          <cell r="Y140" t="str">
            <v>Integrated PE Margin (c/lb)</v>
          </cell>
          <cell r="Z140">
            <v>0</v>
          </cell>
          <cell r="AA140">
            <v>0</v>
          </cell>
          <cell r="AB140">
            <v>23.267872846632393</v>
          </cell>
          <cell r="AC140">
            <v>23.340503359840689</v>
          </cell>
          <cell r="AD140">
            <v>19.837204658255551</v>
          </cell>
          <cell r="AE140">
            <v>6.9064733001980088</v>
          </cell>
          <cell r="AF140">
            <v>8.0898251885303907</v>
          </cell>
        </row>
        <row r="142">
          <cell r="Y142" t="str">
            <v>LYB O&amp;P EBITDA (Americas)</v>
          </cell>
          <cell r="Z142">
            <v>0</v>
          </cell>
          <cell r="AA142">
            <v>681</v>
          </cell>
          <cell r="AB142">
            <v>1719</v>
          </cell>
          <cell r="AC142">
            <v>1971.2295056261341</v>
          </cell>
          <cell r="AD142">
            <v>1022.0743462819688</v>
          </cell>
          <cell r="AE142">
            <v>1255.18176493796</v>
          </cell>
          <cell r="AF142">
            <v>1460.1555822944963</v>
          </cell>
        </row>
        <row r="144">
          <cell r="Y144" t="str">
            <v xml:space="preserve">DOW Performance Plastics EBITDA </v>
          </cell>
          <cell r="AB144">
            <v>20.905884080218428</v>
          </cell>
          <cell r="AC144">
            <v>19.911198154548686</v>
          </cell>
          <cell r="AD144">
            <v>31.798664077619321</v>
          </cell>
          <cell r="AE144">
            <v>37.477568119210609</v>
          </cell>
          <cell r="AF144">
            <v>49.614416370911535</v>
          </cell>
        </row>
        <row r="147">
          <cell r="Y147" t="str">
            <v>Olefins &amp; PO, Rest of World</v>
          </cell>
        </row>
        <row r="149">
          <cell r="Z149">
            <v>2008</v>
          </cell>
          <cell r="AA149">
            <v>2009</v>
          </cell>
          <cell r="AB149">
            <v>2010</v>
          </cell>
          <cell r="AC149" t="str">
            <v>2011e</v>
          </cell>
          <cell r="AD149" t="str">
            <v>2012e</v>
          </cell>
          <cell r="AE149" t="str">
            <v>2013e</v>
          </cell>
          <cell r="AF149" t="str">
            <v>2014e</v>
          </cell>
        </row>
        <row r="150">
          <cell r="Y150" t="str">
            <v>Base Case Scenario</v>
          </cell>
        </row>
        <row r="151">
          <cell r="Y151" t="str">
            <v>Ethylene cash cost (naphtha, c/lb)</v>
          </cell>
          <cell r="Z151">
            <v>54.695191123256983</v>
          </cell>
          <cell r="AA151">
            <v>33.281637108486166</v>
          </cell>
          <cell r="AB151">
            <v>39.2453773551578</v>
          </cell>
          <cell r="AC151">
            <v>50.750807622504539</v>
          </cell>
          <cell r="AD151">
            <v>50.150105868118573</v>
          </cell>
          <cell r="AE151">
            <v>46.212719298245617</v>
          </cell>
          <cell r="AF151">
            <v>49.948637500000004</v>
          </cell>
        </row>
        <row r="153">
          <cell r="Y153" t="str">
            <v>Polyethylene price (c/lb)</v>
          </cell>
          <cell r="AA153">
            <v>1190.2708606250001</v>
          </cell>
          <cell r="AB153">
            <v>67.561744379537203</v>
          </cell>
          <cell r="AC153">
            <v>78.557846948414493</v>
          </cell>
          <cell r="AD153">
            <v>74.745873867463203</v>
          </cell>
          <cell r="AE153">
            <v>78.044431866319457</v>
          </cell>
          <cell r="AF153">
            <v>74.928618951477631</v>
          </cell>
        </row>
        <row r="155">
          <cell r="Y155" t="str">
            <v>Integrated PE Margin (c/lb)</v>
          </cell>
          <cell r="AA155">
            <v>396.6163511756555</v>
          </cell>
          <cell r="AB155">
            <v>15.649380899589133</v>
          </cell>
          <cell r="AC155">
            <v>12.680407744883041</v>
          </cell>
          <cell r="AD155">
            <v>20.906315449766225</v>
          </cell>
          <cell r="AE155">
            <v>13.437353119840893</v>
          </cell>
          <cell r="AF155">
            <v>15.792233369943411</v>
          </cell>
        </row>
        <row r="157">
          <cell r="Y157" t="str">
            <v>Polyproylene Margin (c/lb)</v>
          </cell>
          <cell r="AA157">
            <v>-8.0236750148800198</v>
          </cell>
          <cell r="AB157">
            <v>1.1175000000000002</v>
          </cell>
          <cell r="AC157">
            <v>-1.5612545372050817</v>
          </cell>
          <cell r="AD157">
            <v>-2.9662942377495467</v>
          </cell>
          <cell r="AE157">
            <v>-0.8075586055656383</v>
          </cell>
          <cell r="AF157">
            <v>0</v>
          </cell>
        </row>
        <row r="159">
          <cell r="Y159" t="str">
            <v>LYB O&amp;P EBITDA (RoW)</v>
          </cell>
          <cell r="Z159">
            <v>610</v>
          </cell>
          <cell r="AA159">
            <v>43</v>
          </cell>
          <cell r="AB159">
            <v>818</v>
          </cell>
          <cell r="AC159">
            <v>991</v>
          </cell>
          <cell r="AD159">
            <v>563</v>
          </cell>
          <cell r="AE159">
            <v>839</v>
          </cell>
          <cell r="AF159">
            <v>859.85038983557615</v>
          </cell>
        </row>
        <row r="161">
          <cell r="Y161" t="str">
            <v>Bull Case Scenario</v>
          </cell>
        </row>
        <row r="162">
          <cell r="Y162" t="str">
            <v>Ethylene cash cost (naphtha, c/lb)</v>
          </cell>
          <cell r="Z162">
            <v>54.695191123256983</v>
          </cell>
          <cell r="AA162">
            <v>33.281637108486166</v>
          </cell>
          <cell r="AB162">
            <v>39.2453773551578</v>
          </cell>
          <cell r="AC162">
            <v>50.985082459921358</v>
          </cell>
          <cell r="AD162">
            <v>60.799622999999997</v>
          </cell>
          <cell r="AE162">
            <v>64.752016212121219</v>
          </cell>
          <cell r="AF162">
            <v>62.924073833333331</v>
          </cell>
        </row>
        <row r="164">
          <cell r="Y164" t="str">
            <v>Polyethylene price (c/lb)</v>
          </cell>
          <cell r="AA164">
            <v>1190.2708606250001</v>
          </cell>
          <cell r="AB164">
            <v>67.561744379537203</v>
          </cell>
          <cell r="AC164">
            <v>79.215498719033576</v>
          </cell>
          <cell r="AD164">
            <v>94.849370000000008</v>
          </cell>
          <cell r="AE164">
            <v>104.05768181818183</v>
          </cell>
          <cell r="AF164">
            <v>111.546655</v>
          </cell>
        </row>
        <row r="166">
          <cell r="Y166" t="str">
            <v>Integrated PE Margin (c/lb)</v>
          </cell>
          <cell r="AA166">
            <v>192.59481096229845</v>
          </cell>
          <cell r="AB166">
            <v>17.995297240274752</v>
          </cell>
          <cell r="AC166">
            <v>16.069438003440709</v>
          </cell>
          <cell r="AD166">
            <v>19.547801380175954</v>
          </cell>
          <cell r="AE166">
            <v>23.860993886925968</v>
          </cell>
          <cell r="AF166">
            <v>33.613910851247205</v>
          </cell>
        </row>
        <row r="168">
          <cell r="Y168" t="str">
            <v>Polyproylene Margin (c/lb)</v>
          </cell>
          <cell r="AA168">
            <v>-8.0236750148800198</v>
          </cell>
          <cell r="AB168">
            <v>1.1175000000000002</v>
          </cell>
          <cell r="AC168">
            <v>-0.55705535390199634</v>
          </cell>
          <cell r="AD168">
            <v>0</v>
          </cell>
          <cell r="AE168">
            <v>0</v>
          </cell>
          <cell r="AF168">
            <v>0</v>
          </cell>
        </row>
        <row r="170">
          <cell r="Y170" t="str">
            <v>LYB O&amp;P EBITDA (RoW)</v>
          </cell>
          <cell r="Z170">
            <v>610</v>
          </cell>
          <cell r="AA170">
            <v>43</v>
          </cell>
          <cell r="AB170">
            <v>818</v>
          </cell>
          <cell r="AC170">
            <v>1105.8395530014448</v>
          </cell>
          <cell r="AD170">
            <v>1287.6375233443209</v>
          </cell>
          <cell r="AE170">
            <v>2008.7201329238678</v>
          </cell>
          <cell r="AF170">
            <v>2477.3934548594293</v>
          </cell>
        </row>
        <row r="172">
          <cell r="Y172" t="str">
            <v>Bear Case Scenario</v>
          </cell>
        </row>
        <row r="173">
          <cell r="Y173" t="str">
            <v>Ethylene cash cost (naphtha, c/lb)</v>
          </cell>
          <cell r="Z173">
            <v>54.695191123256983</v>
          </cell>
          <cell r="AA173">
            <v>33.281637108486166</v>
          </cell>
          <cell r="AB173">
            <v>39.2453773551578</v>
          </cell>
          <cell r="AC173">
            <v>51.735082459921358</v>
          </cell>
          <cell r="AD173">
            <v>44.784086666666667</v>
          </cell>
          <cell r="AE173">
            <v>38.694016212121227</v>
          </cell>
          <cell r="AF173">
            <v>36.86607383333336</v>
          </cell>
        </row>
        <row r="175">
          <cell r="Y175" t="str">
            <v>Polyethylene price (c/lb)</v>
          </cell>
          <cell r="AA175">
            <v>1190.2708606250001</v>
          </cell>
          <cell r="AB175">
            <v>67.561744379537203</v>
          </cell>
          <cell r="AC175">
            <v>78.335998719033569</v>
          </cell>
          <cell r="AD175">
            <v>55.637633000000001</v>
          </cell>
          <cell r="AE175">
            <v>53.006145454545475</v>
          </cell>
          <cell r="AF175">
            <v>57.245445000000032</v>
          </cell>
        </row>
        <row r="177">
          <cell r="Y177" t="str">
            <v>Integrated PE Margin (c/lb)</v>
          </cell>
          <cell r="AA177">
            <v>192.59481096229845</v>
          </cell>
          <cell r="AB177">
            <v>17.995297240274752</v>
          </cell>
          <cell r="AC177">
            <v>14.439938003440702</v>
          </cell>
          <cell r="AD177">
            <v>0.32648658475070391</v>
          </cell>
          <cell r="AE177">
            <v>5.2166167312623557</v>
          </cell>
          <cell r="AF177">
            <v>11.713539376286093</v>
          </cell>
        </row>
        <row r="179">
          <cell r="Y179" t="str">
            <v>Polyproylene Margin (c/lb)</v>
          </cell>
          <cell r="AA179">
            <v>-8.0236750148800198</v>
          </cell>
          <cell r="AB179">
            <v>1.1175000000000002</v>
          </cell>
          <cell r="AC179">
            <v>-1.5612545372050817</v>
          </cell>
          <cell r="AD179">
            <v>-2.9662942377495467</v>
          </cell>
          <cell r="AE179">
            <v>-0.8075586055656383</v>
          </cell>
          <cell r="AF179">
            <v>0</v>
          </cell>
        </row>
        <row r="181">
          <cell r="Y181" t="str">
            <v>LYB O&amp;P EBITDA (RoW)</v>
          </cell>
          <cell r="Z181">
            <v>610</v>
          </cell>
          <cell r="AA181">
            <v>43</v>
          </cell>
          <cell r="AB181">
            <v>818</v>
          </cell>
          <cell r="AC181">
            <v>989.23200594196214</v>
          </cell>
          <cell r="AD181">
            <v>462.21042121987375</v>
          </cell>
          <cell r="AE181">
            <v>723.52970092645887</v>
          </cell>
          <cell r="AF181">
            <v>1055.9827655444342</v>
          </cell>
        </row>
        <row r="183">
          <cell r="AH183" t="str">
            <v>(Billion pounds / year)</v>
          </cell>
          <cell r="AI183" t="str">
            <v>Ethylene</v>
          </cell>
          <cell r="AJ183" t="str">
            <v>Ethane</v>
          </cell>
          <cell r="AK183" t="str">
            <v>Propane</v>
          </cell>
          <cell r="AL183" t="str">
            <v>Butane</v>
          </cell>
          <cell r="AM183" t="str">
            <v>Naphtha/ Condensate</v>
          </cell>
          <cell r="AN183" t="str">
            <v>Heavy</v>
          </cell>
          <cell r="AO183" t="str">
            <v>Light</v>
          </cell>
        </row>
        <row r="184">
          <cell r="AH184" t="str">
            <v>Channelview, TX, USA</v>
          </cell>
          <cell r="AI184">
            <v>1.925</v>
          </cell>
          <cell r="AJ184">
            <v>0</v>
          </cell>
          <cell r="AK184">
            <v>0.05</v>
          </cell>
          <cell r="AL184">
            <v>0.1</v>
          </cell>
          <cell r="AM184">
            <v>0.85</v>
          </cell>
          <cell r="AN184">
            <v>0.95</v>
          </cell>
          <cell r="AO184">
            <v>0.05</v>
          </cell>
        </row>
        <row r="185">
          <cell r="AH185" t="str">
            <v>Channelview, TX, USA</v>
          </cell>
          <cell r="AI185">
            <v>1.925</v>
          </cell>
          <cell r="AJ185">
            <v>0.5</v>
          </cell>
          <cell r="AL185">
            <v>0.05</v>
          </cell>
          <cell r="AM185">
            <v>0.45</v>
          </cell>
          <cell r="AN185">
            <v>0.5</v>
          </cell>
          <cell r="AO185">
            <v>0.5</v>
          </cell>
          <cell r="AU185">
            <v>78</v>
          </cell>
          <cell r="AV185">
            <v>97.5</v>
          </cell>
        </row>
        <row r="186">
          <cell r="AH186" t="str">
            <v>Clinton, IA, USA</v>
          </cell>
          <cell r="AI186">
            <v>1.05</v>
          </cell>
          <cell r="AJ186">
            <v>0.85</v>
          </cell>
          <cell r="AK186">
            <v>0.15</v>
          </cell>
          <cell r="AN186">
            <v>0</v>
          </cell>
          <cell r="AO186">
            <v>1</v>
          </cell>
          <cell r="AU186">
            <v>0.13518197573656845</v>
          </cell>
          <cell r="AV186">
            <v>0.16897746967071056</v>
          </cell>
        </row>
        <row r="187">
          <cell r="AH187" t="str">
            <v>La Porte, TX, USA</v>
          </cell>
          <cell r="AI187">
            <v>1.74</v>
          </cell>
          <cell r="AJ187">
            <v>0.65</v>
          </cell>
          <cell r="AK187">
            <v>0.35</v>
          </cell>
          <cell r="AN187">
            <v>0</v>
          </cell>
          <cell r="AO187">
            <v>1</v>
          </cell>
        </row>
        <row r="188">
          <cell r="AH188" t="str">
            <v>Morris, IL, USA</v>
          </cell>
          <cell r="AI188">
            <v>1.3</v>
          </cell>
          <cell r="AJ188">
            <v>0.95</v>
          </cell>
          <cell r="AK188">
            <v>0.05</v>
          </cell>
          <cell r="AN188">
            <v>0</v>
          </cell>
          <cell r="AO188">
            <v>1</v>
          </cell>
        </row>
        <row r="189">
          <cell r="AH189" t="str">
            <v>Corpus Christi, TX, USA</v>
          </cell>
          <cell r="AI189">
            <v>1.7</v>
          </cell>
          <cell r="AJ189">
            <v>0.45</v>
          </cell>
          <cell r="AK189">
            <v>0.05</v>
          </cell>
          <cell r="AM189">
            <v>0.5</v>
          </cell>
          <cell r="AN189">
            <v>0.5</v>
          </cell>
          <cell r="AO189">
            <v>0.5</v>
          </cell>
        </row>
        <row r="190">
          <cell r="AH190" t="str">
            <v>Total North America</v>
          </cell>
          <cell r="AI190">
            <v>9.64</v>
          </cell>
          <cell r="AJ190">
            <v>4.9859999999999998</v>
          </cell>
          <cell r="AK190">
            <v>1.01275</v>
          </cell>
          <cell r="AL190">
            <v>0.28875000000000001</v>
          </cell>
          <cell r="AM190">
            <v>3.3525</v>
          </cell>
          <cell r="AN190">
            <v>3.6412499999999999</v>
          </cell>
          <cell r="AO190">
            <v>5.9987499999999994</v>
          </cell>
        </row>
        <row r="191">
          <cell r="AR191" t="str">
            <v>FY2010</v>
          </cell>
          <cell r="AS191" t="str">
            <v>Ideal Cap Structure</v>
          </cell>
          <cell r="AT191" t="str">
            <v>Delta</v>
          </cell>
        </row>
        <row r="192">
          <cell r="AQ192" t="str">
            <v>Gross Debt</v>
          </cell>
          <cell r="AR192">
            <v>6082</v>
          </cell>
          <cell r="AS192">
            <v>4500</v>
          </cell>
          <cell r="AT192">
            <v>-1582</v>
          </cell>
        </row>
        <row r="193">
          <cell r="AQ193" t="str">
            <v>Cash Balance</v>
          </cell>
          <cell r="AR193">
            <v>-4222</v>
          </cell>
          <cell r="AS193">
            <v>-1000</v>
          </cell>
          <cell r="AT193">
            <v>3222</v>
          </cell>
        </row>
        <row r="194">
          <cell r="AQ194" t="str">
            <v>Net Debt</v>
          </cell>
          <cell r="AR194">
            <v>1860</v>
          </cell>
          <cell r="AS194">
            <v>3500</v>
          </cell>
          <cell r="AT194">
            <v>1640</v>
          </cell>
        </row>
        <row r="195">
          <cell r="AQ195" t="str">
            <v>turns of 2010e EBITDA</v>
          </cell>
          <cell r="AR195">
            <v>0.44786901035396098</v>
          </cell>
          <cell r="AS195">
            <v>0.6446859458463805</v>
          </cell>
        </row>
        <row r="196">
          <cell r="AQ196" t="str">
            <v>turns of Trough EBITDA</v>
          </cell>
          <cell r="AR196">
            <v>1.1862244897959184</v>
          </cell>
          <cell r="AS196">
            <v>2.2321428571428572</v>
          </cell>
        </row>
        <row r="198">
          <cell r="AQ198" t="str">
            <v>Pension &amp; Benefits</v>
          </cell>
          <cell r="AR198">
            <v>1505</v>
          </cell>
          <cell r="AS198">
            <v>1000</v>
          </cell>
          <cell r="AT198">
            <v>-505</v>
          </cell>
        </row>
        <row r="199">
          <cell r="AQ199" t="str">
            <v>Net Debt inc. Pension</v>
          </cell>
          <cell r="AR199">
            <v>3365</v>
          </cell>
          <cell r="AS199">
            <v>4500</v>
          </cell>
          <cell r="AT199">
            <v>1135</v>
          </cell>
        </row>
        <row r="200">
          <cell r="AQ200" t="str">
            <v>turns of 2010e EBITDA</v>
          </cell>
          <cell r="AR200">
            <v>0.81025764507584874</v>
          </cell>
          <cell r="AS200">
            <v>0.82888193037391789</v>
          </cell>
        </row>
        <row r="201">
          <cell r="AQ201" t="str">
            <v>turns of Trough EBITDA</v>
          </cell>
          <cell r="AR201">
            <v>2.146045918367347</v>
          </cell>
          <cell r="AS201">
            <v>3</v>
          </cell>
        </row>
        <row r="203">
          <cell r="AQ203" t="str">
            <v>Credit Facility</v>
          </cell>
          <cell r="AR203">
            <v>1150</v>
          </cell>
          <cell r="AS203">
            <v>1000</v>
          </cell>
          <cell r="AT203">
            <v>-150</v>
          </cell>
        </row>
        <row r="205">
          <cell r="AQ205" t="str">
            <v>Total Liquidity</v>
          </cell>
          <cell r="AR205">
            <v>5372</v>
          </cell>
          <cell r="AS205">
            <v>2000</v>
          </cell>
          <cell r="AT205">
            <v>-3372</v>
          </cell>
        </row>
        <row r="207">
          <cell r="AQ207" t="str">
            <v>Interest rate</v>
          </cell>
          <cell r="AR207">
            <v>0.10867579908675799</v>
          </cell>
          <cell r="AS207">
            <v>7.0000000000000007E-2</v>
          </cell>
          <cell r="AV207">
            <v>2010</v>
          </cell>
          <cell r="AW207" t="str">
            <v>2011e</v>
          </cell>
          <cell r="AX207" t="str">
            <v>2012e</v>
          </cell>
          <cell r="AY207" t="str">
            <v>2013e</v>
          </cell>
          <cell r="AZ207" t="str">
            <v>2014e</v>
          </cell>
        </row>
        <row r="208">
          <cell r="AU208" t="str">
            <v>Gross Debt ($mn)</v>
          </cell>
        </row>
        <row r="209">
          <cell r="AU209" t="str">
            <v>Status Quo</v>
          </cell>
          <cell r="AV209">
            <v>6074</v>
          </cell>
          <cell r="AW209">
            <v>6074</v>
          </cell>
          <cell r="AX209">
            <v>6074</v>
          </cell>
          <cell r="AY209">
            <v>6074</v>
          </cell>
          <cell r="AZ209">
            <v>6074</v>
          </cell>
        </row>
        <row r="210">
          <cell r="AU210" t="str">
            <v>Refi Debt w/ IG Rates</v>
          </cell>
          <cell r="AV210">
            <v>0</v>
          </cell>
          <cell r="AW210">
            <v>0</v>
          </cell>
          <cell r="AX210">
            <v>0</v>
          </cell>
          <cell r="AY210">
            <v>0</v>
          </cell>
          <cell r="AZ210">
            <v>0</v>
          </cell>
        </row>
        <row r="211">
          <cell r="AU211" t="str">
            <v>Refi Debt w/ Efficient Structure</v>
          </cell>
          <cell r="AV211">
            <v>0</v>
          </cell>
          <cell r="AW211">
            <v>-2048</v>
          </cell>
          <cell r="AX211">
            <v>-1675</v>
          </cell>
          <cell r="AY211">
            <v>-1774</v>
          </cell>
          <cell r="AZ211">
            <v>2312.1763364073431</v>
          </cell>
        </row>
        <row r="212">
          <cell r="AU212" t="str">
            <v>Refi Bull-case Scenario</v>
          </cell>
          <cell r="AV212">
            <v>6074</v>
          </cell>
          <cell r="AW212">
            <v>4026</v>
          </cell>
          <cell r="AX212">
            <v>4399</v>
          </cell>
          <cell r="AY212">
            <v>4300</v>
          </cell>
          <cell r="AZ212">
            <v>8386.1763364073431</v>
          </cell>
        </row>
        <row r="214">
          <cell r="AU214" t="str">
            <v>Interest Expense</v>
          </cell>
        </row>
        <row r="215">
          <cell r="AU215" t="str">
            <v>Status Quo</v>
          </cell>
          <cell r="AV215">
            <v>-1263</v>
          </cell>
          <cell r="AW215">
            <v>-728.88</v>
          </cell>
          <cell r="AX215">
            <v>-728.88</v>
          </cell>
          <cell r="AY215">
            <v>-728.88</v>
          </cell>
          <cell r="AZ215">
            <v>-728.88</v>
          </cell>
        </row>
        <row r="216">
          <cell r="AU216" t="str">
            <v>Refi Debt w/ IG Rates</v>
          </cell>
          <cell r="AV216">
            <v>0</v>
          </cell>
          <cell r="AW216">
            <v>15.750000000000002</v>
          </cell>
          <cell r="AX216">
            <v>31.500000000000004</v>
          </cell>
          <cell r="AY216">
            <v>248.02166666666673</v>
          </cell>
          <cell r="AZ216">
            <v>425.18000000000006</v>
          </cell>
        </row>
        <row r="217">
          <cell r="AU217" t="str">
            <v>Refi Debt w/ Efficient Structure</v>
          </cell>
          <cell r="AV217">
            <v>0</v>
          </cell>
          <cell r="AW217">
            <v>118.13</v>
          </cell>
          <cell r="AX217">
            <v>386.38</v>
          </cell>
          <cell r="AY217">
            <v>186.85833333333323</v>
          </cell>
          <cell r="AZ217">
            <v>-16.300000000000068</v>
          </cell>
        </row>
        <row r="218">
          <cell r="AU218" t="str">
            <v>Refi Bull-case Scenario</v>
          </cell>
          <cell r="AV218">
            <v>-1263</v>
          </cell>
          <cell r="AW218">
            <v>-595</v>
          </cell>
          <cell r="AX218">
            <v>-311</v>
          </cell>
          <cell r="AY218">
            <v>-294</v>
          </cell>
          <cell r="AZ218">
            <v>-320</v>
          </cell>
        </row>
        <row r="220">
          <cell r="AU220" t="str">
            <v>Base Case EPS</v>
          </cell>
          <cell r="AW220">
            <v>4.7699694456569182</v>
          </cell>
          <cell r="AX220">
            <v>5.209705372616984</v>
          </cell>
          <cell r="AY220">
            <v>6.8604111357597706</v>
          </cell>
          <cell r="AZ220">
            <v>6.5374343219591946</v>
          </cell>
          <cell r="BA220" t="str">
            <v>11% notes due 2018</v>
          </cell>
          <cell r="BB220">
            <v>3240</v>
          </cell>
          <cell r="BC220">
            <v>356.4</v>
          </cell>
        </row>
        <row r="221">
          <cell r="AU221" t="str">
            <v>Refi Bull-case Scenario EPS</v>
          </cell>
          <cell r="AW221">
            <v>3.1109676455377806</v>
          </cell>
          <cell r="AX221">
            <v>3.4120771541005612</v>
          </cell>
          <cell r="AY221">
            <v>4.1707830890383883</v>
          </cell>
          <cell r="AZ221">
            <v>4.9586256325289302</v>
          </cell>
          <cell r="BA221" t="str">
            <v>+20% premium</v>
          </cell>
          <cell r="BB221">
            <v>648</v>
          </cell>
        </row>
        <row r="222">
          <cell r="AU222" t="str">
            <v>Accretion</v>
          </cell>
          <cell r="AW222">
            <v>-0.34780134737124302</v>
          </cell>
          <cell r="AX222">
            <v>-0.34505371992148237</v>
          </cell>
          <cell r="AY222">
            <v>-0.39205056278649886</v>
          </cell>
          <cell r="AZ222">
            <v>-0.24150279936687968</v>
          </cell>
          <cell r="BA222" t="str">
            <v>8% notes due 2017</v>
          </cell>
          <cell r="BB222">
            <v>2486</v>
          </cell>
          <cell r="BC222">
            <v>216.88</v>
          </cell>
        </row>
        <row r="223">
          <cell r="BA223" t="str">
            <v>+12% premium</v>
          </cell>
          <cell r="BB223">
            <v>298.32</v>
          </cell>
        </row>
        <row r="224">
          <cell r="BA224" t="str">
            <v>Total refinancing</v>
          </cell>
          <cell r="BB224">
            <v>6672.32</v>
          </cell>
        </row>
        <row r="226">
          <cell r="BA226" t="str">
            <v>New low-cost debt</v>
          </cell>
          <cell r="BB226">
            <v>3675</v>
          </cell>
          <cell r="BC226">
            <v>198.45</v>
          </cell>
          <cell r="BD226">
            <v>374.83</v>
          </cell>
        </row>
        <row r="227">
          <cell r="BA227" t="str">
            <v>Other old debt</v>
          </cell>
          <cell r="BB227">
            <v>825</v>
          </cell>
          <cell r="BC227">
            <v>81.370000000000019</v>
          </cell>
        </row>
        <row r="228">
          <cell r="BA228" t="str">
            <v>Pension &amp; Benefits</v>
          </cell>
          <cell r="BB228">
            <v>1505</v>
          </cell>
          <cell r="BC228">
            <v>105.35000000000001</v>
          </cell>
        </row>
        <row r="229">
          <cell r="BA229" t="str">
            <v>Total debt, post refi</v>
          </cell>
          <cell r="BB229">
            <v>6005</v>
          </cell>
        </row>
        <row r="231">
          <cell r="BA231" t="str">
            <v>Cash balance, pre refi</v>
          </cell>
          <cell r="BB231">
            <v>4222</v>
          </cell>
        </row>
        <row r="232">
          <cell r="BA232" t="str">
            <v>- premiums paid</v>
          </cell>
          <cell r="BB232">
            <v>-946.31999999999994</v>
          </cell>
        </row>
        <row r="233">
          <cell r="BA233" t="str">
            <v>- deleveraging</v>
          </cell>
          <cell r="BB233">
            <v>-2051</v>
          </cell>
        </row>
        <row r="234">
          <cell r="BA234" t="str">
            <v>Cash balance, post refi</v>
          </cell>
          <cell r="BB234">
            <v>1224.6800000000003</v>
          </cell>
        </row>
        <row r="236">
          <cell r="BA236" t="str">
            <v>Net debt inc. pension, pre-refi</v>
          </cell>
          <cell r="BB236">
            <v>3834</v>
          </cell>
        </row>
        <row r="237">
          <cell r="BA237" t="str">
            <v>turns of 2010 EBITDA</v>
          </cell>
          <cell r="BB237">
            <v>0.9231880568263906</v>
          </cell>
        </row>
        <row r="238">
          <cell r="BA238" t="str">
            <v>turns of Trough EBITDA</v>
          </cell>
          <cell r="BB238">
            <v>2.4451530612244898</v>
          </cell>
        </row>
        <row r="240">
          <cell r="BA240" t="str">
            <v>Net debt inc. pension, post-refi</v>
          </cell>
          <cell r="BB240">
            <v>4780.32</v>
          </cell>
        </row>
        <row r="241">
          <cell r="BA241" t="str">
            <v>turns of 2010 EBITDA</v>
          </cell>
          <cell r="BB241">
            <v>0.88051574875667704</v>
          </cell>
        </row>
        <row r="242">
          <cell r="BA242" t="str">
            <v>turns of Trough EBITDA</v>
          </cell>
          <cell r="BB242">
            <v>3.0486734693877549</v>
          </cell>
        </row>
        <row r="319">
          <cell r="BN319" t="str">
            <v>Crude Oil Brent</v>
          </cell>
          <cell r="BO319" t="str">
            <v>Crude Oil WTI</v>
          </cell>
        </row>
        <row r="320">
          <cell r="BN320" t="str">
            <v>West Europe</v>
          </cell>
          <cell r="BO320" t="str">
            <v>North America</v>
          </cell>
        </row>
        <row r="321">
          <cell r="BN321" t="str">
            <v>Spot, Avg. 1st Month</v>
          </cell>
          <cell r="BO321" t="str">
            <v>Spot, Avg. 1st Month</v>
          </cell>
        </row>
        <row r="322">
          <cell r="BN322" t="str">
            <v>US$/Barrel</v>
          </cell>
          <cell r="BO322" t="str">
            <v>US$/Barrel</v>
          </cell>
        </row>
        <row r="323">
          <cell r="BN323" t="str">
            <v>FOB North Sea</v>
          </cell>
          <cell r="BO323" t="str">
            <v>FOB Cushing, OK</v>
          </cell>
        </row>
        <row r="327">
          <cell r="BL327" t="str">
            <v>Jan-1990</v>
          </cell>
          <cell r="BM327">
            <v>38.5</v>
          </cell>
          <cell r="BN327">
            <v>20.994</v>
          </cell>
          <cell r="BO327">
            <v>22.876000000000001</v>
          </cell>
        </row>
        <row r="328">
          <cell r="BL328" t="str">
            <v>Feb-1990</v>
          </cell>
          <cell r="BM328">
            <v>38.5</v>
          </cell>
          <cell r="BN328">
            <v>19.881</v>
          </cell>
          <cell r="BO328">
            <v>22.097999999999999</v>
          </cell>
        </row>
        <row r="329">
          <cell r="BL329" t="str">
            <v>Mar-1990</v>
          </cell>
          <cell r="BM329">
            <v>38.833333333333336</v>
          </cell>
          <cell r="BN329">
            <v>18.425000000000001</v>
          </cell>
          <cell r="BO329">
            <v>20.388999999999999</v>
          </cell>
        </row>
        <row r="330">
          <cell r="BL330" t="str">
            <v>Apr-1990</v>
          </cell>
          <cell r="BM330">
            <v>40</v>
          </cell>
          <cell r="BN330">
            <v>16.655999999999999</v>
          </cell>
          <cell r="BO330">
            <v>18.472000000000001</v>
          </cell>
        </row>
        <row r="331">
          <cell r="BL331" t="str">
            <v>May-1990</v>
          </cell>
          <cell r="BM331">
            <v>40</v>
          </cell>
          <cell r="BN331">
            <v>16.715</v>
          </cell>
          <cell r="BO331">
            <v>18.233000000000001</v>
          </cell>
        </row>
        <row r="332">
          <cell r="BL332" t="str">
            <v>Jun-1990</v>
          </cell>
          <cell r="BM332">
            <v>40</v>
          </cell>
          <cell r="BN332">
            <v>15.664999999999999</v>
          </cell>
          <cell r="BO332">
            <v>16.702000000000002</v>
          </cell>
        </row>
        <row r="333">
          <cell r="BL333" t="str">
            <v>Jul-1990</v>
          </cell>
          <cell r="BM333">
            <v>38.333333333333336</v>
          </cell>
          <cell r="BN333">
            <v>17.57</v>
          </cell>
          <cell r="BO333">
            <v>18.52</v>
          </cell>
        </row>
        <row r="334">
          <cell r="BL334" t="str">
            <v>Aug-1990</v>
          </cell>
          <cell r="BM334">
            <v>38</v>
          </cell>
          <cell r="BN334">
            <v>27.353999999999999</v>
          </cell>
          <cell r="BO334">
            <v>27.334</v>
          </cell>
        </row>
        <row r="335">
          <cell r="BL335" t="str">
            <v>Sep-1990</v>
          </cell>
          <cell r="BM335">
            <v>39.333333333333336</v>
          </cell>
          <cell r="BN335">
            <v>35.076999999999998</v>
          </cell>
          <cell r="BO335">
            <v>33.847000000000001</v>
          </cell>
        </row>
        <row r="336">
          <cell r="BL336" t="str">
            <v>Oct-1990</v>
          </cell>
          <cell r="BM336">
            <v>39.666666666666664</v>
          </cell>
          <cell r="BN336">
            <v>36.002000000000002</v>
          </cell>
          <cell r="BO336">
            <v>35.826000000000001</v>
          </cell>
        </row>
        <row r="337">
          <cell r="BL337" t="str">
            <v>Nov-1990</v>
          </cell>
          <cell r="BM337">
            <v>44.666666666666664</v>
          </cell>
          <cell r="BN337">
            <v>32.927</v>
          </cell>
          <cell r="BO337">
            <v>32.433999999999997</v>
          </cell>
        </row>
        <row r="338">
          <cell r="BL338" t="str">
            <v>Dec-1990</v>
          </cell>
          <cell r="BM338">
            <v>44.333333333333336</v>
          </cell>
          <cell r="BN338">
            <v>27.91</v>
          </cell>
          <cell r="BO338">
            <v>27.338000000000001</v>
          </cell>
        </row>
        <row r="339">
          <cell r="BL339" t="str">
            <v>Jan-1991</v>
          </cell>
          <cell r="BM339">
            <v>43.333333333333336</v>
          </cell>
          <cell r="BN339">
            <v>23.46</v>
          </cell>
          <cell r="BO339">
            <v>25.091000000000001</v>
          </cell>
        </row>
        <row r="340">
          <cell r="BL340" t="str">
            <v>Feb-1991</v>
          </cell>
          <cell r="BM340">
            <v>40.333333333333336</v>
          </cell>
          <cell r="BN340">
            <v>19.259</v>
          </cell>
          <cell r="BO340">
            <v>20.513999999999999</v>
          </cell>
        </row>
        <row r="341">
          <cell r="BL341" t="str">
            <v>Mar-1991</v>
          </cell>
          <cell r="BM341">
            <v>38</v>
          </cell>
          <cell r="BN341">
            <v>19.352</v>
          </cell>
          <cell r="BO341">
            <v>19.882000000000001</v>
          </cell>
        </row>
        <row r="342">
          <cell r="BL342" t="str">
            <v>Apr-1991</v>
          </cell>
          <cell r="BM342">
            <v>35.833333333333336</v>
          </cell>
          <cell r="BN342">
            <v>19.321000000000002</v>
          </cell>
          <cell r="BO342">
            <v>20.824000000000002</v>
          </cell>
        </row>
        <row r="343">
          <cell r="BL343" t="str">
            <v>May-1991</v>
          </cell>
          <cell r="BM343">
            <v>34</v>
          </cell>
          <cell r="BN343">
            <v>19.257999999999999</v>
          </cell>
          <cell r="BO343">
            <v>21.236000000000001</v>
          </cell>
        </row>
        <row r="344">
          <cell r="BL344" t="str">
            <v>Jun-1991</v>
          </cell>
          <cell r="BM344">
            <v>32</v>
          </cell>
          <cell r="BN344">
            <v>18.207000000000001</v>
          </cell>
          <cell r="BO344">
            <v>20.204999999999998</v>
          </cell>
        </row>
        <row r="345">
          <cell r="BL345" t="str">
            <v>Jul-1991</v>
          </cell>
          <cell r="BM345">
            <v>29.333333333333332</v>
          </cell>
          <cell r="BN345">
            <v>19.452000000000002</v>
          </cell>
          <cell r="BO345">
            <v>21.431999999999999</v>
          </cell>
        </row>
        <row r="346">
          <cell r="BL346" t="str">
            <v>Aug-1991</v>
          </cell>
          <cell r="BM346">
            <v>29.5</v>
          </cell>
          <cell r="BN346">
            <v>19.768000000000001</v>
          </cell>
          <cell r="BO346">
            <v>21.704000000000001</v>
          </cell>
        </row>
        <row r="347">
          <cell r="BL347" t="str">
            <v>Sep-1991</v>
          </cell>
          <cell r="BM347">
            <v>32.166666666666664</v>
          </cell>
          <cell r="BN347">
            <v>20.524999999999999</v>
          </cell>
          <cell r="BO347">
            <v>21.870999999999999</v>
          </cell>
        </row>
        <row r="348">
          <cell r="BL348" t="str">
            <v>Oct-1991</v>
          </cell>
          <cell r="BM348">
            <v>31.833333333333332</v>
          </cell>
          <cell r="BN348">
            <v>22.186</v>
          </cell>
          <cell r="BO348">
            <v>23.231000000000002</v>
          </cell>
        </row>
        <row r="349">
          <cell r="BL349" t="str">
            <v>Nov-1991</v>
          </cell>
          <cell r="BM349">
            <v>31.833333333333332</v>
          </cell>
          <cell r="BN349">
            <v>21.103999999999999</v>
          </cell>
          <cell r="BO349">
            <v>22.568000000000001</v>
          </cell>
        </row>
        <row r="350">
          <cell r="BL350" t="str">
            <v>Dec-1991</v>
          </cell>
          <cell r="BM350">
            <v>31.666666666666668</v>
          </cell>
          <cell r="BN350">
            <v>18.292999999999999</v>
          </cell>
          <cell r="BO350">
            <v>19.484999999999999</v>
          </cell>
        </row>
        <row r="351">
          <cell r="BL351" t="str">
            <v>Jan-1992</v>
          </cell>
          <cell r="BM351">
            <v>31.333333333333332</v>
          </cell>
          <cell r="BN351">
            <v>18.158999999999999</v>
          </cell>
          <cell r="BO351">
            <v>18.800999999999998</v>
          </cell>
        </row>
        <row r="352">
          <cell r="BL352" t="str">
            <v>Feb-1992</v>
          </cell>
          <cell r="BM352">
            <v>30.5</v>
          </cell>
          <cell r="BN352">
            <v>18.088999999999999</v>
          </cell>
          <cell r="BO352">
            <v>18.984000000000002</v>
          </cell>
        </row>
        <row r="353">
          <cell r="BL353" t="str">
            <v>Mar-1992</v>
          </cell>
          <cell r="BM353">
            <v>29.833333333333332</v>
          </cell>
          <cell r="BN353">
            <v>17.667999999999999</v>
          </cell>
          <cell r="BO353">
            <v>18.911999999999999</v>
          </cell>
        </row>
        <row r="354">
          <cell r="BL354" t="str">
            <v>Apr-1992</v>
          </cell>
          <cell r="BM354">
            <v>29.833333333333332</v>
          </cell>
          <cell r="BN354">
            <v>19.013999999999999</v>
          </cell>
          <cell r="BO354">
            <v>20.231000000000002</v>
          </cell>
        </row>
        <row r="355">
          <cell r="BL355" t="str">
            <v>May-1992</v>
          </cell>
          <cell r="BM355">
            <v>30</v>
          </cell>
          <cell r="BN355">
            <v>19.984999999999999</v>
          </cell>
          <cell r="BO355">
            <v>20.974</v>
          </cell>
        </row>
        <row r="356">
          <cell r="BL356" t="str">
            <v>Jun-1992</v>
          </cell>
          <cell r="BM356">
            <v>30.583333333333332</v>
          </cell>
          <cell r="BN356">
            <v>21.187999999999999</v>
          </cell>
          <cell r="BO356">
            <v>22.369</v>
          </cell>
        </row>
        <row r="357">
          <cell r="BL357" t="str">
            <v>Jul-1992</v>
          </cell>
          <cell r="BM357">
            <v>30.916666666666668</v>
          </cell>
          <cell r="BN357">
            <v>20.332000000000001</v>
          </cell>
          <cell r="BO357">
            <v>21.744</v>
          </cell>
        </row>
        <row r="358">
          <cell r="BL358" t="str">
            <v>Aug-1992</v>
          </cell>
          <cell r="BM358">
            <v>31</v>
          </cell>
          <cell r="BN358">
            <v>19.803999999999998</v>
          </cell>
          <cell r="BO358">
            <v>21.33</v>
          </cell>
        </row>
        <row r="359">
          <cell r="BL359" t="str">
            <v>Sep-1992</v>
          </cell>
          <cell r="BM359">
            <v>31.333333333333332</v>
          </cell>
          <cell r="BN359">
            <v>20.286000000000001</v>
          </cell>
          <cell r="BO359">
            <v>21.881</v>
          </cell>
        </row>
        <row r="360">
          <cell r="BL360" t="str">
            <v>Oct-1992</v>
          </cell>
          <cell r="BM360">
            <v>31.833333333333332</v>
          </cell>
          <cell r="BN360">
            <v>20.3</v>
          </cell>
          <cell r="BO360">
            <v>21.693000000000001</v>
          </cell>
        </row>
        <row r="361">
          <cell r="BL361" t="str">
            <v>Nov-1992</v>
          </cell>
          <cell r="BM361">
            <v>32</v>
          </cell>
          <cell r="BN361">
            <v>19.193999999999999</v>
          </cell>
          <cell r="BO361">
            <v>20.341999999999999</v>
          </cell>
        </row>
        <row r="362">
          <cell r="BL362" t="str">
            <v>Dec-1992</v>
          </cell>
          <cell r="BM362">
            <v>32</v>
          </cell>
          <cell r="BN362">
            <v>18.234999999999999</v>
          </cell>
          <cell r="BO362">
            <v>19.382999999999999</v>
          </cell>
        </row>
        <row r="363">
          <cell r="BL363" t="str">
            <v>Jan-1993</v>
          </cell>
          <cell r="BM363">
            <v>31.666666666666668</v>
          </cell>
          <cell r="BN363">
            <v>17.512</v>
          </cell>
          <cell r="BO363">
            <v>19.038</v>
          </cell>
        </row>
        <row r="364">
          <cell r="BL364" t="str">
            <v>Feb-1993</v>
          </cell>
          <cell r="BM364">
            <v>31.166666666666668</v>
          </cell>
          <cell r="BN364">
            <v>18.469000000000001</v>
          </cell>
          <cell r="BO364">
            <v>20.068000000000001</v>
          </cell>
        </row>
        <row r="365">
          <cell r="BL365" t="str">
            <v>Mar-1993</v>
          </cell>
          <cell r="BM365">
            <v>30.666666666666668</v>
          </cell>
          <cell r="BN365">
            <v>18.803999999999998</v>
          </cell>
          <cell r="BO365">
            <v>20.318000000000001</v>
          </cell>
        </row>
        <row r="366">
          <cell r="BL366" t="str">
            <v>Apr-1993</v>
          </cell>
          <cell r="BM366">
            <v>30</v>
          </cell>
          <cell r="BN366">
            <v>18.783000000000001</v>
          </cell>
          <cell r="BO366">
            <v>20.263000000000002</v>
          </cell>
        </row>
        <row r="367">
          <cell r="BL367" t="str">
            <v>May-1993</v>
          </cell>
          <cell r="BM367">
            <v>29.5</v>
          </cell>
          <cell r="BN367">
            <v>18.611000000000001</v>
          </cell>
          <cell r="BO367">
            <v>19.943000000000001</v>
          </cell>
        </row>
        <row r="368">
          <cell r="BL368" t="str">
            <v>Jun-1993</v>
          </cell>
          <cell r="BM368">
            <v>29.666666666666668</v>
          </cell>
          <cell r="BN368">
            <v>17.648</v>
          </cell>
          <cell r="BO368">
            <v>19.062000000000001</v>
          </cell>
        </row>
        <row r="369">
          <cell r="BL369" t="str">
            <v>Jul-1993</v>
          </cell>
          <cell r="BM369">
            <v>30</v>
          </cell>
          <cell r="BN369">
            <v>16.815000000000001</v>
          </cell>
          <cell r="BO369">
            <v>17.861999999999998</v>
          </cell>
        </row>
        <row r="370">
          <cell r="BL370" t="str">
            <v>Aug-1993</v>
          </cell>
          <cell r="BM370">
            <v>29.666666666666668</v>
          </cell>
          <cell r="BN370">
            <v>16.824000000000002</v>
          </cell>
          <cell r="BO370">
            <v>18.015999999999998</v>
          </cell>
        </row>
        <row r="371">
          <cell r="BL371" t="str">
            <v>Sep-1993</v>
          </cell>
          <cell r="BM371">
            <v>29.333333333333332</v>
          </cell>
          <cell r="BN371">
            <v>16.138000000000002</v>
          </cell>
          <cell r="BO371">
            <v>17.510000000000002</v>
          </cell>
        </row>
        <row r="372">
          <cell r="BL372" t="str">
            <v>Oct-1993</v>
          </cell>
          <cell r="BM372">
            <v>28.833333333333332</v>
          </cell>
          <cell r="BN372">
            <v>16.654</v>
          </cell>
          <cell r="BO372">
            <v>18.143000000000001</v>
          </cell>
        </row>
        <row r="373">
          <cell r="BL373" t="str">
            <v>Nov-1993</v>
          </cell>
          <cell r="BM373">
            <v>28.333333333333332</v>
          </cell>
          <cell r="BN373">
            <v>15.286</v>
          </cell>
          <cell r="BO373">
            <v>16.664000000000001</v>
          </cell>
        </row>
        <row r="374">
          <cell r="BL374" t="str">
            <v>Dec-1993</v>
          </cell>
          <cell r="BM374">
            <v>28</v>
          </cell>
          <cell r="BN374">
            <v>13.553000000000001</v>
          </cell>
          <cell r="BO374">
            <v>14.493</v>
          </cell>
        </row>
        <row r="375">
          <cell r="BL375" t="str">
            <v>Jan-1994</v>
          </cell>
          <cell r="BM375">
            <v>28</v>
          </cell>
          <cell r="BN375">
            <v>14.260999999999999</v>
          </cell>
          <cell r="BO375">
            <v>15.039</v>
          </cell>
        </row>
        <row r="376">
          <cell r="BL376" t="str">
            <v>Feb-1994</v>
          </cell>
          <cell r="BM376">
            <v>28</v>
          </cell>
          <cell r="BN376">
            <v>13.750999999999999</v>
          </cell>
          <cell r="BO376">
            <v>14.792999999999999</v>
          </cell>
        </row>
        <row r="377">
          <cell r="BL377" t="str">
            <v>Mar-1994</v>
          </cell>
          <cell r="BM377">
            <v>28</v>
          </cell>
          <cell r="BN377">
            <v>13.746</v>
          </cell>
          <cell r="BO377">
            <v>14.677</v>
          </cell>
        </row>
        <row r="378">
          <cell r="BL378" t="str">
            <v>Apr-1994</v>
          </cell>
          <cell r="BM378">
            <v>30.333333333333332</v>
          </cell>
          <cell r="BN378">
            <v>15.198</v>
          </cell>
          <cell r="BO378">
            <v>16.452000000000002</v>
          </cell>
        </row>
        <row r="379">
          <cell r="BL379" t="str">
            <v>May-1994</v>
          </cell>
          <cell r="BM379">
            <v>32</v>
          </cell>
          <cell r="BN379">
            <v>16.349</v>
          </cell>
          <cell r="BO379">
            <v>17.901</v>
          </cell>
        </row>
        <row r="380">
          <cell r="BL380" t="str">
            <v>Jun-1994</v>
          </cell>
          <cell r="BM380">
            <v>32.333333333333336</v>
          </cell>
          <cell r="BN380">
            <v>17.085000000000001</v>
          </cell>
          <cell r="BO380">
            <v>19.065999999999999</v>
          </cell>
        </row>
        <row r="381">
          <cell r="BL381" t="str">
            <v>Jul-1994</v>
          </cell>
          <cell r="BM381">
            <v>33.333333333333336</v>
          </cell>
          <cell r="BN381">
            <v>18.087</v>
          </cell>
          <cell r="BO381">
            <v>19.661000000000001</v>
          </cell>
        </row>
        <row r="382">
          <cell r="BL382" t="str">
            <v>Aug-1994</v>
          </cell>
          <cell r="BM382">
            <v>35</v>
          </cell>
          <cell r="BN382">
            <v>16.942</v>
          </cell>
          <cell r="BO382">
            <v>18.382000000000001</v>
          </cell>
        </row>
        <row r="383">
          <cell r="BL383" t="str">
            <v>Sep-1994</v>
          </cell>
          <cell r="BM383">
            <v>36.666666666666664</v>
          </cell>
          <cell r="BN383">
            <v>16.077999999999999</v>
          </cell>
          <cell r="BO383">
            <v>17.445</v>
          </cell>
        </row>
        <row r="384">
          <cell r="BL384" t="str">
            <v>Oct-1994</v>
          </cell>
          <cell r="BM384">
            <v>40</v>
          </cell>
          <cell r="BN384">
            <v>16.588999999999999</v>
          </cell>
          <cell r="BO384">
            <v>17.725000000000001</v>
          </cell>
        </row>
        <row r="385">
          <cell r="BL385" t="str">
            <v>Nov-1994</v>
          </cell>
          <cell r="BM385">
            <v>42.333333333333336</v>
          </cell>
          <cell r="BN385">
            <v>17.457999999999998</v>
          </cell>
          <cell r="BO385">
            <v>18.103000000000002</v>
          </cell>
        </row>
        <row r="386">
          <cell r="BL386" t="str">
            <v>Dec-1994</v>
          </cell>
          <cell r="BM386">
            <v>43.666666666666664</v>
          </cell>
          <cell r="BN386">
            <v>16.030999999999999</v>
          </cell>
          <cell r="BO386">
            <v>17.157</v>
          </cell>
        </row>
        <row r="387">
          <cell r="BL387" t="str">
            <v>Jan-1995</v>
          </cell>
          <cell r="BM387">
            <v>47.666666666666664</v>
          </cell>
          <cell r="BN387">
            <v>16.670999999999999</v>
          </cell>
          <cell r="BO387">
            <v>18.016999999999999</v>
          </cell>
        </row>
        <row r="388">
          <cell r="BL388" t="str">
            <v>Feb-1995</v>
          </cell>
          <cell r="BM388">
            <v>49.666666666666664</v>
          </cell>
          <cell r="BN388">
            <v>17.315000000000001</v>
          </cell>
          <cell r="BO388">
            <v>18.526</v>
          </cell>
        </row>
        <row r="389">
          <cell r="BL389" t="str">
            <v>Mar-1995</v>
          </cell>
          <cell r="BM389">
            <v>49.666666666666664</v>
          </cell>
          <cell r="BN389">
            <v>17.213000000000001</v>
          </cell>
          <cell r="BO389">
            <v>18.547000000000001</v>
          </cell>
        </row>
        <row r="390">
          <cell r="BL390" t="str">
            <v>Apr-1995</v>
          </cell>
          <cell r="BM390">
            <v>49.666666666666664</v>
          </cell>
          <cell r="BN390">
            <v>18.835999999999999</v>
          </cell>
          <cell r="BO390">
            <v>19.882999999999999</v>
          </cell>
        </row>
        <row r="391">
          <cell r="BL391" t="str">
            <v>May-1995</v>
          </cell>
          <cell r="BM391">
            <v>49</v>
          </cell>
          <cell r="BN391">
            <v>18.734000000000002</v>
          </cell>
          <cell r="BO391">
            <v>19.736000000000001</v>
          </cell>
        </row>
        <row r="392">
          <cell r="BL392" t="str">
            <v>Jun-1995</v>
          </cell>
          <cell r="BM392">
            <v>48</v>
          </cell>
          <cell r="BN392">
            <v>17.363</v>
          </cell>
          <cell r="BO392">
            <v>18.419</v>
          </cell>
        </row>
        <row r="393">
          <cell r="BL393" t="str">
            <v>Jul-1995</v>
          </cell>
          <cell r="BM393">
            <v>45.666666666666664</v>
          </cell>
          <cell r="BN393">
            <v>16.047999999999998</v>
          </cell>
          <cell r="BO393">
            <v>17.3</v>
          </cell>
        </row>
        <row r="394">
          <cell r="BL394" t="str">
            <v>Aug-1995</v>
          </cell>
          <cell r="BM394">
            <v>43.666666666666664</v>
          </cell>
          <cell r="BN394">
            <v>16.231999999999999</v>
          </cell>
          <cell r="BO394">
            <v>18.032</v>
          </cell>
        </row>
        <row r="395">
          <cell r="BL395" t="str">
            <v>Sep-1995</v>
          </cell>
          <cell r="BM395">
            <v>41.666666666666664</v>
          </cell>
          <cell r="BN395">
            <v>16.687000000000001</v>
          </cell>
          <cell r="BO395">
            <v>18.209</v>
          </cell>
        </row>
        <row r="396">
          <cell r="BL396" t="str">
            <v>Oct-1995</v>
          </cell>
          <cell r="BM396">
            <v>39.666666666666664</v>
          </cell>
          <cell r="BN396">
            <v>16.189</v>
          </cell>
          <cell r="BO396">
            <v>17.437999999999999</v>
          </cell>
        </row>
        <row r="397">
          <cell r="BL397" t="str">
            <v>Nov-1995</v>
          </cell>
          <cell r="BM397">
            <v>36.666666666666664</v>
          </cell>
          <cell r="BN397">
            <v>16.908999999999999</v>
          </cell>
          <cell r="BO397">
            <v>17.995000000000001</v>
          </cell>
        </row>
        <row r="398">
          <cell r="BL398" t="str">
            <v>Dec-1995</v>
          </cell>
          <cell r="BM398">
            <v>34.666666666666664</v>
          </cell>
          <cell r="BN398">
            <v>18.234000000000002</v>
          </cell>
          <cell r="BO398">
            <v>19.018999999999998</v>
          </cell>
        </row>
        <row r="399">
          <cell r="BL399" t="str">
            <v>Jan-1996</v>
          </cell>
          <cell r="BM399">
            <v>34</v>
          </cell>
          <cell r="BN399">
            <v>18.052</v>
          </cell>
          <cell r="BO399">
            <v>18.800999999999998</v>
          </cell>
        </row>
        <row r="400">
          <cell r="BL400" t="str">
            <v>Feb-1996</v>
          </cell>
          <cell r="BM400">
            <v>33</v>
          </cell>
          <cell r="BN400">
            <v>17.869</v>
          </cell>
          <cell r="BO400">
            <v>19.094000000000001</v>
          </cell>
        </row>
        <row r="401">
          <cell r="BL401" t="str">
            <v>Mar-1996</v>
          </cell>
          <cell r="BM401">
            <v>33</v>
          </cell>
          <cell r="BN401">
            <v>19.791</v>
          </cell>
          <cell r="BO401">
            <v>21.327999999999999</v>
          </cell>
        </row>
        <row r="402">
          <cell r="BL402" t="str">
            <v>Apr-1996</v>
          </cell>
          <cell r="BM402">
            <v>36.666666666666664</v>
          </cell>
          <cell r="BN402">
            <v>21.059000000000001</v>
          </cell>
          <cell r="BO402">
            <v>23.509</v>
          </cell>
        </row>
        <row r="403">
          <cell r="BL403" t="str">
            <v>May-1996</v>
          </cell>
          <cell r="BM403">
            <v>37.333333333333336</v>
          </cell>
          <cell r="BN403">
            <v>19.295999999999999</v>
          </cell>
          <cell r="BO403">
            <v>21.245000000000001</v>
          </cell>
        </row>
        <row r="404">
          <cell r="BL404" t="str">
            <v>Jun-1996</v>
          </cell>
          <cell r="BM404">
            <v>40.333333333333336</v>
          </cell>
          <cell r="BN404">
            <v>18.54</v>
          </cell>
          <cell r="BO404">
            <v>20.451000000000001</v>
          </cell>
        </row>
        <row r="405">
          <cell r="BL405" t="str">
            <v>Jul-1996</v>
          </cell>
          <cell r="BM405">
            <v>42</v>
          </cell>
          <cell r="BN405">
            <v>19.754999999999999</v>
          </cell>
          <cell r="BO405">
            <v>21.318999999999999</v>
          </cell>
        </row>
        <row r="406">
          <cell r="BL406" t="str">
            <v>Aug-1996</v>
          </cell>
          <cell r="BM406">
            <v>44</v>
          </cell>
          <cell r="BN406">
            <v>20.626999999999999</v>
          </cell>
          <cell r="BO406">
            <v>21.927</v>
          </cell>
        </row>
        <row r="407">
          <cell r="BL407" t="str">
            <v>Sep-1996</v>
          </cell>
          <cell r="BM407">
            <v>46</v>
          </cell>
          <cell r="BN407">
            <v>23.045000000000002</v>
          </cell>
          <cell r="BO407">
            <v>23.998999999999999</v>
          </cell>
        </row>
        <row r="408">
          <cell r="BL408" t="str">
            <v>Oct-1996</v>
          </cell>
          <cell r="BM408">
            <v>45.333333333333336</v>
          </cell>
          <cell r="BN408">
            <v>24.295999999999999</v>
          </cell>
          <cell r="BO408">
            <v>24.896000000000001</v>
          </cell>
        </row>
        <row r="409">
          <cell r="BL409" t="str">
            <v>Nov-1996</v>
          </cell>
          <cell r="BM409">
            <v>43.333333333333336</v>
          </cell>
          <cell r="BN409">
            <v>23.111999999999998</v>
          </cell>
          <cell r="BO409">
            <v>23.719000000000001</v>
          </cell>
        </row>
        <row r="410">
          <cell r="BL410" t="str">
            <v>Dec-1996</v>
          </cell>
          <cell r="BM410">
            <v>42.333333333333336</v>
          </cell>
          <cell r="BN410">
            <v>24.084</v>
          </cell>
          <cell r="BO410">
            <v>25.408000000000001</v>
          </cell>
        </row>
        <row r="411">
          <cell r="BL411" t="str">
            <v>Jan-1997</v>
          </cell>
          <cell r="BM411">
            <v>42.333333333333336</v>
          </cell>
          <cell r="BN411">
            <v>23.584</v>
          </cell>
          <cell r="BO411">
            <v>25.13</v>
          </cell>
        </row>
        <row r="412">
          <cell r="BL412" t="str">
            <v>Feb-1997</v>
          </cell>
          <cell r="BM412">
            <v>42.333333333333336</v>
          </cell>
          <cell r="BN412">
            <v>20.896000000000001</v>
          </cell>
          <cell r="BO412">
            <v>22.186</v>
          </cell>
        </row>
        <row r="413">
          <cell r="BL413" t="str">
            <v>Mar-1997</v>
          </cell>
          <cell r="BM413">
            <v>43.333333333333336</v>
          </cell>
          <cell r="BN413">
            <v>19.577000000000002</v>
          </cell>
          <cell r="BO413">
            <v>20.956</v>
          </cell>
        </row>
        <row r="414">
          <cell r="BL414" t="str">
            <v>Apr-1997</v>
          </cell>
          <cell r="BM414">
            <v>45</v>
          </cell>
          <cell r="BN414">
            <v>17.786000000000001</v>
          </cell>
          <cell r="BO414">
            <v>19.748000000000001</v>
          </cell>
        </row>
        <row r="415">
          <cell r="BL415" t="str">
            <v>May-1997</v>
          </cell>
          <cell r="BM415">
            <v>45</v>
          </cell>
          <cell r="BN415">
            <v>19.204000000000001</v>
          </cell>
          <cell r="BO415">
            <v>20.91</v>
          </cell>
        </row>
        <row r="416">
          <cell r="BL416" t="str">
            <v>Jun-1997</v>
          </cell>
          <cell r="BM416">
            <v>44.666666666666664</v>
          </cell>
          <cell r="BN416">
            <v>17.838000000000001</v>
          </cell>
          <cell r="BO416">
            <v>19.277000000000001</v>
          </cell>
        </row>
        <row r="417">
          <cell r="BL417" t="str">
            <v>Jul-1997</v>
          </cell>
          <cell r="BM417">
            <v>44.666666666666664</v>
          </cell>
          <cell r="BN417">
            <v>18.553000000000001</v>
          </cell>
          <cell r="BO417">
            <v>19.634</v>
          </cell>
        </row>
        <row r="418">
          <cell r="BL418" t="str">
            <v>Aug-1997</v>
          </cell>
          <cell r="BM418">
            <v>43.333333333333336</v>
          </cell>
          <cell r="BN418">
            <v>18.788</v>
          </cell>
          <cell r="BO418">
            <v>19.933</v>
          </cell>
        </row>
        <row r="419">
          <cell r="BL419" t="str">
            <v>Sep-1997</v>
          </cell>
          <cell r="BM419">
            <v>41.666666666666664</v>
          </cell>
          <cell r="BN419">
            <v>18.571999999999999</v>
          </cell>
          <cell r="BO419">
            <v>19.776</v>
          </cell>
        </row>
        <row r="420">
          <cell r="BL420" t="str">
            <v>Oct-1997</v>
          </cell>
          <cell r="BM420">
            <v>40.666666666666664</v>
          </cell>
          <cell r="BN420">
            <v>20.109000000000002</v>
          </cell>
          <cell r="BO420">
            <v>21.271000000000001</v>
          </cell>
        </row>
        <row r="421">
          <cell r="BL421" t="str">
            <v>Nov-1997</v>
          </cell>
          <cell r="BM421">
            <v>39.666666666666664</v>
          </cell>
          <cell r="BN421">
            <v>19.347000000000001</v>
          </cell>
          <cell r="BO421">
            <v>20.177</v>
          </cell>
        </row>
        <row r="422">
          <cell r="BL422" t="str">
            <v>Dec-1997</v>
          </cell>
          <cell r="BM422">
            <v>39.666666666666664</v>
          </cell>
          <cell r="BN422">
            <v>17.434999999999999</v>
          </cell>
          <cell r="BO422">
            <v>18.3</v>
          </cell>
        </row>
        <row r="423">
          <cell r="BL423" t="str">
            <v>Jan-1998</v>
          </cell>
          <cell r="BM423">
            <v>38.666666666666664</v>
          </cell>
          <cell r="BN423">
            <v>15.477</v>
          </cell>
          <cell r="BO423">
            <v>16.689</v>
          </cell>
        </row>
        <row r="424">
          <cell r="BL424" t="str">
            <v>Feb-1998</v>
          </cell>
          <cell r="BM424">
            <v>37.333333333333336</v>
          </cell>
          <cell r="BN424">
            <v>14.372999999999999</v>
          </cell>
          <cell r="BO424">
            <v>16.073</v>
          </cell>
        </row>
        <row r="425">
          <cell r="BL425" t="str">
            <v>Mar-1998</v>
          </cell>
          <cell r="BM425">
            <v>37</v>
          </cell>
          <cell r="BN425">
            <v>13.458</v>
          </cell>
          <cell r="BO425">
            <v>15.099</v>
          </cell>
        </row>
        <row r="426">
          <cell r="BL426" t="str">
            <v>Apr-1998</v>
          </cell>
          <cell r="BM426">
            <v>36</v>
          </cell>
          <cell r="BN426">
            <v>13.794</v>
          </cell>
          <cell r="BO426">
            <v>15.316000000000001</v>
          </cell>
        </row>
        <row r="427">
          <cell r="BL427" t="str">
            <v>May-1998</v>
          </cell>
          <cell r="BM427">
            <v>34.666666666666664</v>
          </cell>
          <cell r="BN427">
            <v>14.563000000000001</v>
          </cell>
          <cell r="BO427">
            <v>14.928000000000001</v>
          </cell>
        </row>
        <row r="428">
          <cell r="BL428" t="str">
            <v>Jun-1998</v>
          </cell>
          <cell r="BM428">
            <v>33.333333333333336</v>
          </cell>
          <cell r="BN428">
            <v>13.002000000000001</v>
          </cell>
          <cell r="BO428">
            <v>13.686</v>
          </cell>
        </row>
        <row r="429">
          <cell r="BL429" t="str">
            <v>Jul-1998</v>
          </cell>
          <cell r="BM429">
            <v>32</v>
          </cell>
          <cell r="BN429">
            <v>12.555999999999999</v>
          </cell>
          <cell r="BO429">
            <v>14.122</v>
          </cell>
        </row>
        <row r="430">
          <cell r="BL430" t="str">
            <v>Aug-1998</v>
          </cell>
          <cell r="BM430">
            <v>31.333333333333332</v>
          </cell>
          <cell r="BN430">
            <v>12.202999999999999</v>
          </cell>
          <cell r="BO430">
            <v>13.394</v>
          </cell>
        </row>
        <row r="431">
          <cell r="BL431" t="str">
            <v>Sep-1998</v>
          </cell>
          <cell r="BM431">
            <v>30.666666666666668</v>
          </cell>
          <cell r="BN431">
            <v>13.622999999999999</v>
          </cell>
          <cell r="BO431">
            <v>14.975</v>
          </cell>
        </row>
        <row r="432">
          <cell r="BL432" t="str">
            <v>Oct-1998</v>
          </cell>
          <cell r="BM432">
            <v>30.666666666666668</v>
          </cell>
          <cell r="BN432">
            <v>12.920999999999999</v>
          </cell>
          <cell r="BO432">
            <v>14.42</v>
          </cell>
        </row>
        <row r="433">
          <cell r="BL433" t="str">
            <v>Nov-1998</v>
          </cell>
          <cell r="BM433">
            <v>29.333333333333332</v>
          </cell>
          <cell r="BN433">
            <v>11.478999999999999</v>
          </cell>
          <cell r="BO433">
            <v>12.946999999999999</v>
          </cell>
        </row>
        <row r="434">
          <cell r="BL434" t="str">
            <v>Dec-1998</v>
          </cell>
          <cell r="BM434">
            <v>28.333333333333332</v>
          </cell>
          <cell r="BN434">
            <v>10.196999999999999</v>
          </cell>
          <cell r="BO434">
            <v>11.295</v>
          </cell>
        </row>
        <row r="435">
          <cell r="BL435" t="str">
            <v>Jan-1999</v>
          </cell>
          <cell r="BM435">
            <v>27.666666666666668</v>
          </cell>
          <cell r="BN435">
            <v>11.226000000000001</v>
          </cell>
          <cell r="BO435">
            <v>12.481999999999999</v>
          </cell>
        </row>
        <row r="436">
          <cell r="BL436" t="str">
            <v>Feb-1999</v>
          </cell>
          <cell r="BM436">
            <v>27.666666666666668</v>
          </cell>
          <cell r="BN436">
            <v>10.432</v>
          </cell>
          <cell r="BO436">
            <v>11.997999999999999</v>
          </cell>
        </row>
        <row r="437">
          <cell r="BL437" t="str">
            <v>Mar-1999</v>
          </cell>
          <cell r="BM437">
            <v>30.666666666666668</v>
          </cell>
          <cell r="BN437">
            <v>12.872</v>
          </cell>
          <cell r="BO437">
            <v>14.663</v>
          </cell>
        </row>
        <row r="438">
          <cell r="BL438" t="str">
            <v>Apr-1999</v>
          </cell>
          <cell r="BM438">
            <v>34.333333333333336</v>
          </cell>
          <cell r="BN438">
            <v>15.571</v>
          </cell>
          <cell r="BO438">
            <v>17.337</v>
          </cell>
        </row>
        <row r="439">
          <cell r="BL439" t="str">
            <v>May-1999</v>
          </cell>
          <cell r="BM439">
            <v>35</v>
          </cell>
          <cell r="BN439">
            <v>15.811</v>
          </cell>
          <cell r="BO439">
            <v>17.738</v>
          </cell>
        </row>
        <row r="440">
          <cell r="BL440" t="str">
            <v>Jun-1999</v>
          </cell>
          <cell r="BM440">
            <v>40</v>
          </cell>
          <cell r="BN440">
            <v>16.132000000000001</v>
          </cell>
          <cell r="BO440">
            <v>17.899999999999999</v>
          </cell>
        </row>
        <row r="441">
          <cell r="BL441" t="str">
            <v>Jul-1999</v>
          </cell>
          <cell r="BM441">
            <v>40</v>
          </cell>
          <cell r="BN441">
            <v>19.065000000000001</v>
          </cell>
          <cell r="BO441">
            <v>20.084</v>
          </cell>
        </row>
        <row r="442">
          <cell r="BL442" t="str">
            <v>Aug-1999</v>
          </cell>
          <cell r="BM442">
            <v>44.333333333333336</v>
          </cell>
          <cell r="BN442">
            <v>20.617999999999999</v>
          </cell>
          <cell r="BO442">
            <v>21.265999999999998</v>
          </cell>
        </row>
        <row r="443">
          <cell r="BL443" t="str">
            <v>Sep-1999</v>
          </cell>
          <cell r="BM443">
            <v>45</v>
          </cell>
          <cell r="BN443">
            <v>23.187000000000001</v>
          </cell>
          <cell r="BO443">
            <v>23.884</v>
          </cell>
        </row>
        <row r="444">
          <cell r="BL444" t="str">
            <v>Oct-1999</v>
          </cell>
          <cell r="BM444">
            <v>45</v>
          </cell>
          <cell r="BN444">
            <v>22.251999999999999</v>
          </cell>
          <cell r="BO444">
            <v>22.693999999999999</v>
          </cell>
        </row>
        <row r="445">
          <cell r="BL445" t="str">
            <v>Nov-1999</v>
          </cell>
          <cell r="BM445">
            <v>44.333333333333336</v>
          </cell>
          <cell r="BN445">
            <v>24.821999999999999</v>
          </cell>
          <cell r="BO445">
            <v>24.876999999999999</v>
          </cell>
        </row>
        <row r="446">
          <cell r="BL446" t="str">
            <v>Dec-1999</v>
          </cell>
          <cell r="BM446">
            <v>43.333333333333336</v>
          </cell>
          <cell r="BN446">
            <v>25.754999999999999</v>
          </cell>
          <cell r="BO446">
            <v>26.106999999999999</v>
          </cell>
        </row>
        <row r="447">
          <cell r="BL447" t="str">
            <v>Jan-2000</v>
          </cell>
          <cell r="BM447">
            <v>42.333333333333336</v>
          </cell>
          <cell r="BN447">
            <v>25.722999999999999</v>
          </cell>
          <cell r="BO447">
            <v>27.254999999999999</v>
          </cell>
        </row>
        <row r="448">
          <cell r="BL448" t="str">
            <v>Feb-2000</v>
          </cell>
          <cell r="BM448">
            <v>42.333333333333336</v>
          </cell>
          <cell r="BN448">
            <v>28.055</v>
          </cell>
          <cell r="BO448">
            <v>29.387</v>
          </cell>
        </row>
        <row r="449">
          <cell r="BL449" t="str">
            <v>Mar-2000</v>
          </cell>
          <cell r="BM449">
            <v>46.333333333333336</v>
          </cell>
          <cell r="BN449">
            <v>27.51</v>
          </cell>
          <cell r="BO449">
            <v>29.864000000000001</v>
          </cell>
        </row>
        <row r="450">
          <cell r="BL450" t="str">
            <v>Apr-2000</v>
          </cell>
          <cell r="BM450">
            <v>47</v>
          </cell>
          <cell r="BN450">
            <v>23.154</v>
          </cell>
          <cell r="BO450">
            <v>25.783999999999999</v>
          </cell>
        </row>
        <row r="451">
          <cell r="BL451" t="str">
            <v>May-2000</v>
          </cell>
          <cell r="BM451">
            <v>47</v>
          </cell>
          <cell r="BN451">
            <v>27.771000000000001</v>
          </cell>
          <cell r="BO451">
            <v>28.8</v>
          </cell>
        </row>
        <row r="452">
          <cell r="BL452" t="str">
            <v>Jun-2000</v>
          </cell>
          <cell r="BM452">
            <v>47</v>
          </cell>
          <cell r="BN452">
            <v>30.53</v>
          </cell>
          <cell r="BO452">
            <v>31.878</v>
          </cell>
        </row>
        <row r="453">
          <cell r="BL453" t="str">
            <v>Jul-2000</v>
          </cell>
          <cell r="BM453">
            <v>47</v>
          </cell>
          <cell r="BN453">
            <v>28.803999999999998</v>
          </cell>
          <cell r="BO453">
            <v>29.706</v>
          </cell>
        </row>
        <row r="454">
          <cell r="BL454" t="str">
            <v>Aug-2000</v>
          </cell>
          <cell r="BM454">
            <v>45.333333333333336</v>
          </cell>
          <cell r="BN454">
            <v>31.664999999999999</v>
          </cell>
          <cell r="BO454">
            <v>31.327999999999999</v>
          </cell>
        </row>
        <row r="455">
          <cell r="BL455" t="str">
            <v>Sep-2000</v>
          </cell>
          <cell r="BM455">
            <v>44.333333333333336</v>
          </cell>
          <cell r="BN455">
            <v>33.311</v>
          </cell>
          <cell r="BO455">
            <v>33.887</v>
          </cell>
        </row>
        <row r="456">
          <cell r="BL456" t="str">
            <v>Oct-2000</v>
          </cell>
          <cell r="BM456">
            <v>43</v>
          </cell>
          <cell r="BN456">
            <v>31.308</v>
          </cell>
          <cell r="BO456">
            <v>33.020000000000003</v>
          </cell>
        </row>
        <row r="457">
          <cell r="BL457" t="str">
            <v>Nov-2000</v>
          </cell>
          <cell r="BM457">
            <v>42</v>
          </cell>
          <cell r="BN457">
            <v>33.024999999999999</v>
          </cell>
          <cell r="BO457">
            <v>34.396999999999998</v>
          </cell>
        </row>
        <row r="458">
          <cell r="BL458" t="str">
            <v>Dec-2000</v>
          </cell>
          <cell r="BM458">
            <v>41</v>
          </cell>
          <cell r="BN458">
            <v>25.65</v>
          </cell>
          <cell r="BO458">
            <v>28.346</v>
          </cell>
        </row>
        <row r="459">
          <cell r="BL459" t="str">
            <v>Jan-2001</v>
          </cell>
          <cell r="BM459">
            <v>41</v>
          </cell>
          <cell r="BN459">
            <v>25.962</v>
          </cell>
          <cell r="BO459">
            <v>29.558</v>
          </cell>
        </row>
        <row r="460">
          <cell r="BL460" t="str">
            <v>Feb-2001</v>
          </cell>
          <cell r="BM460">
            <v>46</v>
          </cell>
          <cell r="BN460">
            <v>27.94</v>
          </cell>
          <cell r="BO460">
            <v>29.562000000000001</v>
          </cell>
        </row>
        <row r="461">
          <cell r="BL461" t="str">
            <v>Mar-2001</v>
          </cell>
          <cell r="BM461">
            <v>48.666666666666664</v>
          </cell>
          <cell r="BN461">
            <v>25.015999999999998</v>
          </cell>
          <cell r="BO461">
            <v>27.181999999999999</v>
          </cell>
        </row>
        <row r="462">
          <cell r="BL462" t="str">
            <v>Apr-2001</v>
          </cell>
          <cell r="BM462">
            <v>48.666666666666664</v>
          </cell>
          <cell r="BN462">
            <v>26.03</v>
          </cell>
          <cell r="BO462">
            <v>27.396999999999998</v>
          </cell>
        </row>
        <row r="463">
          <cell r="BL463" t="str">
            <v>May-2001</v>
          </cell>
          <cell r="BM463">
            <v>45.666666666666664</v>
          </cell>
          <cell r="BN463">
            <v>28.588999999999999</v>
          </cell>
          <cell r="BO463">
            <v>28.614000000000001</v>
          </cell>
        </row>
        <row r="464">
          <cell r="BL464" t="str">
            <v>Jun-2001</v>
          </cell>
          <cell r="BM464">
            <v>43.666666666666664</v>
          </cell>
          <cell r="BN464">
            <v>28.074999999999999</v>
          </cell>
          <cell r="BO464">
            <v>27.565999999999999</v>
          </cell>
        </row>
        <row r="465">
          <cell r="BL465" t="str">
            <v>Jul-2001</v>
          </cell>
          <cell r="BM465">
            <v>41</v>
          </cell>
          <cell r="BN465">
            <v>24.997</v>
          </cell>
          <cell r="BO465">
            <v>26.434999999999999</v>
          </cell>
        </row>
        <row r="466">
          <cell r="BL466" t="str">
            <v>Aug-2001</v>
          </cell>
          <cell r="BM466">
            <v>38.666666666666664</v>
          </cell>
          <cell r="BN466">
            <v>25.777000000000001</v>
          </cell>
          <cell r="BO466">
            <v>27.396999999999998</v>
          </cell>
        </row>
        <row r="467">
          <cell r="BL467" t="str">
            <v>Sep-2001</v>
          </cell>
          <cell r="BM467">
            <v>37.666666666666664</v>
          </cell>
          <cell r="BN467">
            <v>25.942</v>
          </cell>
          <cell r="BO467">
            <v>26.081</v>
          </cell>
        </row>
        <row r="468">
          <cell r="BL468" t="str">
            <v>Oct-2001</v>
          </cell>
          <cell r="BM468">
            <v>36.666666666666664</v>
          </cell>
          <cell r="BN468">
            <v>21.056999999999999</v>
          </cell>
          <cell r="BO468">
            <v>22.079000000000001</v>
          </cell>
        </row>
        <row r="469">
          <cell r="BL469" t="str">
            <v>Nov-2001</v>
          </cell>
          <cell r="BM469">
            <v>36</v>
          </cell>
          <cell r="BN469">
            <v>19.158999999999999</v>
          </cell>
          <cell r="BO469">
            <v>19.587</v>
          </cell>
        </row>
        <row r="470">
          <cell r="BL470" t="str">
            <v>Dec-2001</v>
          </cell>
          <cell r="BM470">
            <v>35</v>
          </cell>
          <cell r="BN470">
            <v>18.891999999999999</v>
          </cell>
          <cell r="BO470">
            <v>19.271000000000001</v>
          </cell>
        </row>
        <row r="471">
          <cell r="BL471" t="str">
            <v>Jan-2002</v>
          </cell>
          <cell r="BM471">
            <v>34</v>
          </cell>
          <cell r="BN471">
            <v>20.204000000000001</v>
          </cell>
          <cell r="BO471">
            <v>19.68</v>
          </cell>
        </row>
        <row r="472">
          <cell r="BL472" t="str">
            <v>Feb-2002</v>
          </cell>
          <cell r="BM472">
            <v>33</v>
          </cell>
          <cell r="BN472">
            <v>20.529</v>
          </cell>
          <cell r="BO472">
            <v>20.661999999999999</v>
          </cell>
        </row>
        <row r="473">
          <cell r="BL473" t="str">
            <v>Mar-2002</v>
          </cell>
          <cell r="BM473">
            <v>36</v>
          </cell>
          <cell r="BN473">
            <v>23.939</v>
          </cell>
          <cell r="BO473">
            <v>24.35</v>
          </cell>
        </row>
        <row r="474">
          <cell r="BL474" t="str">
            <v>Apr-2002</v>
          </cell>
          <cell r="BM474">
            <v>38</v>
          </cell>
          <cell r="BN474">
            <v>26.145</v>
          </cell>
          <cell r="BO474">
            <v>26.259</v>
          </cell>
        </row>
        <row r="475">
          <cell r="BL475" t="str">
            <v>May-2002</v>
          </cell>
          <cell r="BM475">
            <v>39.333333333333336</v>
          </cell>
          <cell r="BN475">
            <v>25.613</v>
          </cell>
          <cell r="BO475">
            <v>27.056999999999999</v>
          </cell>
        </row>
        <row r="476">
          <cell r="BL476" t="str">
            <v>Jun-2002</v>
          </cell>
          <cell r="BM476">
            <v>42.333333333333336</v>
          </cell>
          <cell r="BN476">
            <v>24.437000000000001</v>
          </cell>
          <cell r="BO476">
            <v>25.498000000000001</v>
          </cell>
        </row>
        <row r="477">
          <cell r="BL477" t="str">
            <v>Jul-2002</v>
          </cell>
          <cell r="BM477">
            <v>44.333333333333336</v>
          </cell>
          <cell r="BN477">
            <v>25.841999999999999</v>
          </cell>
          <cell r="BO477">
            <v>26.914999999999999</v>
          </cell>
        </row>
        <row r="478">
          <cell r="BL478" t="str">
            <v>Aug-2002</v>
          </cell>
          <cell r="BM478">
            <v>44.333333333333336</v>
          </cell>
          <cell r="BN478">
            <v>26.600999999999999</v>
          </cell>
          <cell r="BO478">
            <v>28.34</v>
          </cell>
        </row>
        <row r="479">
          <cell r="BL479" t="str">
            <v>Sep-2002</v>
          </cell>
          <cell r="BM479">
            <v>44.333333333333336</v>
          </cell>
          <cell r="BN479">
            <v>28.396999999999998</v>
          </cell>
          <cell r="BO479">
            <v>29.704999999999998</v>
          </cell>
        </row>
        <row r="480">
          <cell r="BL480" t="str">
            <v>Oct-2002</v>
          </cell>
          <cell r="BM480">
            <v>43.833333333333336</v>
          </cell>
          <cell r="BN480">
            <v>27.550999999999998</v>
          </cell>
          <cell r="BO480">
            <v>28.866</v>
          </cell>
        </row>
        <row r="481">
          <cell r="BL481" t="str">
            <v>Nov-2002</v>
          </cell>
          <cell r="BM481">
            <v>43.333333333333336</v>
          </cell>
          <cell r="BN481">
            <v>24.25</v>
          </cell>
          <cell r="BO481">
            <v>26.292999999999999</v>
          </cell>
        </row>
        <row r="482">
          <cell r="BL482" t="str">
            <v>Dec-2002</v>
          </cell>
          <cell r="BM482">
            <v>42.333333333333336</v>
          </cell>
          <cell r="BN482">
            <v>28.242000000000001</v>
          </cell>
          <cell r="BO482">
            <v>29.454999999999998</v>
          </cell>
        </row>
        <row r="483">
          <cell r="BL483" t="str">
            <v>Jan-2003</v>
          </cell>
          <cell r="BM483">
            <v>44.333333333333336</v>
          </cell>
          <cell r="BN483">
            <v>30.689</v>
          </cell>
          <cell r="BO483">
            <v>32.984999999999999</v>
          </cell>
        </row>
        <row r="484">
          <cell r="BL484" t="str">
            <v>Feb-2003</v>
          </cell>
          <cell r="BM484">
            <v>47.333333333333336</v>
          </cell>
          <cell r="BN484">
            <v>32.603000000000002</v>
          </cell>
          <cell r="BO484">
            <v>35.753</v>
          </cell>
        </row>
        <row r="485">
          <cell r="BL485" t="str">
            <v>Mar-2003</v>
          </cell>
          <cell r="BM485">
            <v>53.333333333333336</v>
          </cell>
          <cell r="BN485">
            <v>30.22</v>
          </cell>
          <cell r="BO485">
            <v>33.43</v>
          </cell>
        </row>
        <row r="486">
          <cell r="BL486" t="str">
            <v>Apr-2003</v>
          </cell>
          <cell r="BM486">
            <v>53.333333333333336</v>
          </cell>
          <cell r="BN486">
            <v>24.768000000000001</v>
          </cell>
          <cell r="BO486">
            <v>28.262</v>
          </cell>
        </row>
        <row r="487">
          <cell r="BL487" t="str">
            <v>May-2003</v>
          </cell>
          <cell r="BM487">
            <v>51.333333333333336</v>
          </cell>
          <cell r="BN487">
            <v>25.606000000000002</v>
          </cell>
          <cell r="BO487">
            <v>28.143000000000001</v>
          </cell>
        </row>
        <row r="488">
          <cell r="BL488" t="str">
            <v>Jun-2003</v>
          </cell>
          <cell r="BM488">
            <v>49.333333333333336</v>
          </cell>
          <cell r="BN488">
            <v>27.343</v>
          </cell>
          <cell r="BO488">
            <v>30.657</v>
          </cell>
        </row>
        <row r="489">
          <cell r="BL489" t="str">
            <v>Jul-2003</v>
          </cell>
          <cell r="BM489">
            <v>48.333333333333336</v>
          </cell>
          <cell r="BN489">
            <v>28.369</v>
          </cell>
          <cell r="BO489">
            <v>30.704000000000001</v>
          </cell>
        </row>
        <row r="490">
          <cell r="BL490" t="str">
            <v>Aug-2003</v>
          </cell>
          <cell r="BM490">
            <v>48.333333333333336</v>
          </cell>
          <cell r="BN490">
            <v>29.707999999999998</v>
          </cell>
          <cell r="BO490">
            <v>31.593</v>
          </cell>
        </row>
        <row r="491">
          <cell r="BL491" t="str">
            <v>Sep-2003</v>
          </cell>
          <cell r="BM491">
            <v>52.666666666666664</v>
          </cell>
          <cell r="BN491">
            <v>27.033000000000001</v>
          </cell>
          <cell r="BO491">
            <v>28.25</v>
          </cell>
        </row>
        <row r="492">
          <cell r="BL492" t="str">
            <v>Oct-2003</v>
          </cell>
          <cell r="BM492">
            <v>52.333333333333336</v>
          </cell>
          <cell r="BN492">
            <v>29.379000000000001</v>
          </cell>
          <cell r="BO492">
            <v>30.303999999999998</v>
          </cell>
        </row>
        <row r="493">
          <cell r="BL493" t="str">
            <v>Nov-2003</v>
          </cell>
          <cell r="BM493">
            <v>52.333333333333336</v>
          </cell>
          <cell r="BN493">
            <v>28.826000000000001</v>
          </cell>
          <cell r="BO493">
            <v>31.06</v>
          </cell>
        </row>
        <row r="494">
          <cell r="BL494" t="str">
            <v>Dec-2003</v>
          </cell>
          <cell r="BM494">
            <v>52.333333333333336</v>
          </cell>
          <cell r="BN494">
            <v>29.75</v>
          </cell>
          <cell r="BO494">
            <v>32.14</v>
          </cell>
        </row>
        <row r="495">
          <cell r="BL495" t="str">
            <v>Jan-2004</v>
          </cell>
          <cell r="BM495">
            <v>52.333333333333336</v>
          </cell>
          <cell r="BN495">
            <v>31.007999999999999</v>
          </cell>
          <cell r="BO495">
            <v>34.24</v>
          </cell>
        </row>
        <row r="496">
          <cell r="BL496" t="str">
            <v>Feb-2004</v>
          </cell>
          <cell r="BM496">
            <v>54.333333333333336</v>
          </cell>
          <cell r="BN496">
            <v>30.68</v>
          </cell>
          <cell r="BO496">
            <v>34.744</v>
          </cell>
          <cell r="BR496">
            <v>2010</v>
          </cell>
          <cell r="BS496" t="str">
            <v>2011e</v>
          </cell>
          <cell r="BT496" t="str">
            <v>2012e</v>
          </cell>
          <cell r="BU496" t="str">
            <v>2013e</v>
          </cell>
        </row>
        <row r="497">
          <cell r="BL497" t="str">
            <v>Mar-2004</v>
          </cell>
          <cell r="BM497">
            <v>55.333333333333336</v>
          </cell>
          <cell r="BN497">
            <v>33.231000000000002</v>
          </cell>
          <cell r="BO497">
            <v>36.715000000000003</v>
          </cell>
        </row>
        <row r="498">
          <cell r="BL498" t="str">
            <v>Apr-2004</v>
          </cell>
          <cell r="BM498">
            <v>52.666666666666664</v>
          </cell>
          <cell r="BN498">
            <v>33.167000000000002</v>
          </cell>
          <cell r="BO498">
            <v>36.69</v>
          </cell>
          <cell r="BQ498" t="str">
            <v>Recurring PTOI</v>
          </cell>
          <cell r="BR498">
            <v>3030</v>
          </cell>
          <cell r="BS498">
            <v>4498</v>
          </cell>
          <cell r="BT498">
            <v>4748</v>
          </cell>
          <cell r="BU498">
            <v>5290</v>
          </cell>
        </row>
        <row r="499">
          <cell r="BL499" t="str">
            <v>May-2004</v>
          </cell>
          <cell r="BM499">
            <v>57</v>
          </cell>
          <cell r="BN499">
            <v>37.564999999999998</v>
          </cell>
          <cell r="BO499">
            <v>40.238999999999997</v>
          </cell>
        </row>
        <row r="500">
          <cell r="BL500" t="str">
            <v>Jun-2004</v>
          </cell>
          <cell r="BM500">
            <v>51.666666666666664</v>
          </cell>
          <cell r="BN500">
            <v>35.302999999999997</v>
          </cell>
          <cell r="BO500">
            <v>37.996000000000002</v>
          </cell>
          <cell r="BQ500" t="str">
            <v>Reported net interest</v>
          </cell>
          <cell r="BR500">
            <v>-1236</v>
          </cell>
          <cell r="BS500">
            <v>-575</v>
          </cell>
          <cell r="BT500">
            <v>-311</v>
          </cell>
          <cell r="BU500">
            <v>-294</v>
          </cell>
        </row>
        <row r="501">
          <cell r="BL501" t="str">
            <v>Jul-2004</v>
          </cell>
          <cell r="BM501">
            <v>51.666666666666664</v>
          </cell>
          <cell r="BN501">
            <v>38.295000000000002</v>
          </cell>
          <cell r="BO501">
            <v>40.789000000000001</v>
          </cell>
          <cell r="BQ501" t="str">
            <v>% of avg. net debt</v>
          </cell>
          <cell r="BR501">
            <v>0.21565035331065166</v>
          </cell>
          <cell r="BS501">
            <v>0.14575411913814956</v>
          </cell>
          <cell r="BT501">
            <v>8.0947423217074446E-2</v>
          </cell>
          <cell r="BU501">
            <v>0.10025764538296106</v>
          </cell>
        </row>
        <row r="502">
          <cell r="BL502" t="str">
            <v>Aug-2004</v>
          </cell>
          <cell r="BM502">
            <v>55.666666666666664</v>
          </cell>
          <cell r="BN502">
            <v>42.055</v>
          </cell>
          <cell r="BO502">
            <v>44.896999999999998</v>
          </cell>
        </row>
        <row r="503">
          <cell r="BL503" t="str">
            <v>Sep-2004</v>
          </cell>
          <cell r="BM503">
            <v>55.666666666666664</v>
          </cell>
          <cell r="BN503">
            <v>43.289000000000001</v>
          </cell>
          <cell r="BO503">
            <v>45.9</v>
          </cell>
          <cell r="BQ503" t="str">
            <v>Normalized net interest</v>
          </cell>
          <cell r="BR503">
            <v>-401.20500000000004</v>
          </cell>
          <cell r="BS503">
            <v>-276.15000000000003</v>
          </cell>
          <cell r="BT503">
            <v>-268.94</v>
          </cell>
          <cell r="BU503">
            <v>-205.27112841508648</v>
          </cell>
        </row>
        <row r="504">
          <cell r="BL504" t="str">
            <v>Oct-2004</v>
          </cell>
          <cell r="BM504">
            <v>60.666666666666664</v>
          </cell>
          <cell r="BN504">
            <v>49.63</v>
          </cell>
          <cell r="BO504">
            <v>53.238999999999997</v>
          </cell>
          <cell r="BQ504" t="str">
            <v>% of avg. net debt</v>
          </cell>
          <cell r="BR504">
            <v>7.0000000000000007E-2</v>
          </cell>
          <cell r="BS504">
            <v>7.0000000000000007E-2</v>
          </cell>
          <cell r="BT504">
            <v>7.0000000000000007E-2</v>
          </cell>
          <cell r="BU504">
            <v>7.0000000000000007E-2</v>
          </cell>
        </row>
        <row r="505">
          <cell r="BL505" t="str">
            <v>Nov-2004</v>
          </cell>
          <cell r="BM505">
            <v>66.666666666666671</v>
          </cell>
          <cell r="BN505">
            <v>43.79</v>
          </cell>
          <cell r="BO505">
            <v>48.436</v>
          </cell>
        </row>
        <row r="506">
          <cell r="BL506" t="str">
            <v>Dec-2004</v>
          </cell>
          <cell r="BM506">
            <v>66.666666666666671</v>
          </cell>
          <cell r="BN506">
            <v>40.020000000000003</v>
          </cell>
          <cell r="BO506">
            <v>43.197000000000003</v>
          </cell>
          <cell r="BQ506" t="str">
            <v>Recurring EPS</v>
          </cell>
          <cell r="BR506">
            <v>2.2199045677333435</v>
          </cell>
          <cell r="BS506">
            <v>4.7699694456569182</v>
          </cell>
          <cell r="BT506">
            <v>5.209705372616984</v>
          </cell>
          <cell r="BU506">
            <v>6.8604111357597706</v>
          </cell>
        </row>
        <row r="507">
          <cell r="BL507" t="str">
            <v>Jan-2005</v>
          </cell>
          <cell r="BM507">
            <v>66.666666666666671</v>
          </cell>
          <cell r="BN507">
            <v>44.093000000000004</v>
          </cell>
          <cell r="BO507">
            <v>46.829000000000001</v>
          </cell>
          <cell r="BQ507" t="str">
            <v>PE at $36/share</v>
          </cell>
          <cell r="BR507">
            <v>16.216913340900131</v>
          </cell>
          <cell r="BS507">
            <v>7.5472181551976574</v>
          </cell>
          <cell r="BT507">
            <v>6.9101796407185638</v>
          </cell>
          <cell r="BU507">
            <v>5.2474989162603745</v>
          </cell>
        </row>
        <row r="508">
          <cell r="BL508" t="str">
            <v>Feb-2005</v>
          </cell>
          <cell r="BM508">
            <v>66.666666666666671</v>
          </cell>
          <cell r="BN508">
            <v>45.677</v>
          </cell>
          <cell r="BO508">
            <v>47.94</v>
          </cell>
          <cell r="BQ508" t="str">
            <v>PE at $45/share</v>
          </cell>
          <cell r="BR508">
            <v>20.271141676125165</v>
          </cell>
          <cell r="BS508">
            <v>9.4340226939970719</v>
          </cell>
          <cell r="BT508">
            <v>8.6377245508982039</v>
          </cell>
          <cell r="BU508">
            <v>6.5593736453254676</v>
          </cell>
        </row>
        <row r="509">
          <cell r="BL509" t="str">
            <v>Mar-2005</v>
          </cell>
          <cell r="BM509">
            <v>66.666666666666671</v>
          </cell>
          <cell r="BN509">
            <v>53.162999999999997</v>
          </cell>
          <cell r="BO509">
            <v>54.331000000000003</v>
          </cell>
        </row>
        <row r="510">
          <cell r="BL510" t="str">
            <v>Apr-2005</v>
          </cell>
          <cell r="BM510">
            <v>64.666666666666671</v>
          </cell>
          <cell r="BN510">
            <v>52.643999999999998</v>
          </cell>
          <cell r="BO510">
            <v>52.89</v>
          </cell>
          <cell r="BQ510" t="str">
            <v>Normalized EPS</v>
          </cell>
          <cell r="BR510">
            <v>3.2491542374823528</v>
          </cell>
          <cell r="BS510">
            <v>5.1352160628546484</v>
          </cell>
          <cell r="BT510">
            <v>5.2607313691507791</v>
          </cell>
          <cell r="BU510">
            <v>6.9709146567865279</v>
          </cell>
        </row>
        <row r="511">
          <cell r="BL511" t="str">
            <v>May-2005</v>
          </cell>
          <cell r="BM511">
            <v>60.666666666666664</v>
          </cell>
          <cell r="BN511">
            <v>49.317</v>
          </cell>
          <cell r="BO511">
            <v>49.84</v>
          </cell>
          <cell r="BQ511" t="str">
            <v>PE at $36/share</v>
          </cell>
          <cell r="BR511">
            <v>11.079806426147083</v>
          </cell>
          <cell r="BS511">
            <v>7.0104158343802441</v>
          </cell>
          <cell r="BT511">
            <v>6.8431549672172958</v>
          </cell>
          <cell r="BU511">
            <v>5.1643151254121626</v>
          </cell>
        </row>
        <row r="512">
          <cell r="BL512" t="str">
            <v>Jun-2005</v>
          </cell>
          <cell r="BM512">
            <v>56.666666666666664</v>
          </cell>
          <cell r="BN512">
            <v>54.951999999999998</v>
          </cell>
          <cell r="BO512">
            <v>56.174999999999997</v>
          </cell>
          <cell r="BQ512" t="str">
            <v>PE at $45/share</v>
          </cell>
          <cell r="BR512">
            <v>13.849758032683855</v>
          </cell>
          <cell r="BS512">
            <v>8.7630197929753049</v>
          </cell>
          <cell r="BT512">
            <v>8.5539437090216204</v>
          </cell>
          <cell r="BU512">
            <v>6.4553939067652033</v>
          </cell>
        </row>
        <row r="513">
          <cell r="BL513" t="str">
            <v>Jul-2005</v>
          </cell>
          <cell r="BM513">
            <v>56.666666666666664</v>
          </cell>
          <cell r="BN513">
            <v>57.756999999999998</v>
          </cell>
          <cell r="BO513">
            <v>58.679000000000002</v>
          </cell>
        </row>
        <row r="514">
          <cell r="BL514" t="str">
            <v>Aug-2005</v>
          </cell>
          <cell r="BM514">
            <v>62.666666666666664</v>
          </cell>
          <cell r="BN514">
            <v>63.93</v>
          </cell>
          <cell r="BO514">
            <v>64.307000000000002</v>
          </cell>
          <cell r="BW514" t="str">
            <v>Ticker</v>
          </cell>
          <cell r="BX514" t="str">
            <v>Name</v>
          </cell>
          <cell r="BY514" t="str">
            <v>Market Cap (USD $mn)</v>
          </cell>
          <cell r="BZ514" t="str">
            <v>Included in S&amp;P 500?</v>
          </cell>
          <cell r="CA514" t="str">
            <v>Covered by Morgan Stanley?</v>
          </cell>
        </row>
        <row r="515">
          <cell r="BL515" t="str">
            <v>Sep-2005</v>
          </cell>
          <cell r="BM515">
            <v>72.166666666666671</v>
          </cell>
          <cell r="BN515">
            <v>63.247</v>
          </cell>
          <cell r="BO515">
            <v>65.516000000000005</v>
          </cell>
          <cell r="BW515" t="str">
            <v>DD^</v>
          </cell>
          <cell r="BX515" t="str">
            <v>Du Pont (E I) De Nemours &amp; Co</v>
          </cell>
          <cell r="BY515" t="e">
            <v>#NAME?</v>
          </cell>
          <cell r="BZ515" t="str">
            <v>Yes</v>
          </cell>
          <cell r="CA515" t="str">
            <v>Yes</v>
          </cell>
        </row>
        <row r="516">
          <cell r="BL516" t="str">
            <v>Oct-2005</v>
          </cell>
          <cell r="BM516">
            <v>80.666666666666671</v>
          </cell>
          <cell r="BN516">
            <v>59.05</v>
          </cell>
          <cell r="BO516">
            <v>62.279000000000003</v>
          </cell>
          <cell r="BW516" t="str">
            <v>MON^</v>
          </cell>
          <cell r="BX516" t="str">
            <v>Monsanto Co</v>
          </cell>
          <cell r="BY516" t="e">
            <v>#NAME?</v>
          </cell>
          <cell r="BZ516" t="str">
            <v>Yes</v>
          </cell>
        </row>
        <row r="517">
          <cell r="BL517" t="str">
            <v>Nov-2005</v>
          </cell>
          <cell r="BM517">
            <v>88.666666666666671</v>
          </cell>
          <cell r="BN517">
            <v>55.612000000000002</v>
          </cell>
          <cell r="BO517">
            <v>58.271000000000001</v>
          </cell>
          <cell r="BW517" t="str">
            <v>DOW^</v>
          </cell>
          <cell r="BX517" t="str">
            <v>Dow Chemical Co</v>
          </cell>
          <cell r="BY517" t="e">
            <v>#NAME?</v>
          </cell>
          <cell r="BZ517" t="str">
            <v>Yes</v>
          </cell>
          <cell r="CA517" t="str">
            <v>Yes</v>
          </cell>
        </row>
        <row r="518">
          <cell r="BL518" t="str">
            <v>Dec-2005</v>
          </cell>
          <cell r="BM518">
            <v>84.666666666666671</v>
          </cell>
          <cell r="BN518">
            <v>57.42</v>
          </cell>
          <cell r="BO518">
            <v>59.405999999999999</v>
          </cell>
          <cell r="BW518" t="str">
            <v>PX^</v>
          </cell>
          <cell r="BX518" t="str">
            <v>Praxair Inc</v>
          </cell>
          <cell r="BY518" t="e">
            <v>#NAME?</v>
          </cell>
          <cell r="BZ518" t="str">
            <v>Yes</v>
          </cell>
          <cell r="CA518" t="str">
            <v>Yes</v>
          </cell>
        </row>
        <row r="519">
          <cell r="BL519" t="str">
            <v>Jan-2006</v>
          </cell>
          <cell r="BM519">
            <v>80.666666666666671</v>
          </cell>
          <cell r="BN519">
            <v>63.468000000000004</v>
          </cell>
          <cell r="BO519">
            <v>65.391999999999996</v>
          </cell>
          <cell r="BW519" t="str">
            <v>MOS^</v>
          </cell>
          <cell r="BX519" t="str">
            <v>Mosaic Co</v>
          </cell>
          <cell r="BY519" t="e">
            <v>#NAME?</v>
          </cell>
          <cell r="BZ519" t="str">
            <v>Yes</v>
          </cell>
          <cell r="CA519" t="str">
            <v>Yes</v>
          </cell>
        </row>
        <row r="520">
          <cell r="BL520" t="str">
            <v>Feb-2006</v>
          </cell>
          <cell r="BM520">
            <v>76.666666666666671</v>
          </cell>
          <cell r="BN520">
            <v>60.866</v>
          </cell>
          <cell r="BO520">
            <v>61.570999999999998</v>
          </cell>
          <cell r="BW520" t="str">
            <v>LYB^</v>
          </cell>
          <cell r="BX520" t="str">
            <v>LyondellBasell Industries</v>
          </cell>
          <cell r="BY520" t="e">
            <v>#NAME?</v>
          </cell>
          <cell r="CA520" t="str">
            <v>Yes</v>
          </cell>
        </row>
        <row r="521">
          <cell r="BL521" t="str">
            <v>Mar-2006</v>
          </cell>
          <cell r="BM521">
            <v>72.666666666666671</v>
          </cell>
          <cell r="BN521">
            <v>62.798000000000002</v>
          </cell>
          <cell r="BO521">
            <v>62.938000000000002</v>
          </cell>
          <cell r="BW521" t="str">
            <v>APD^</v>
          </cell>
          <cell r="BX521" t="str">
            <v>Air Products &amp; Chemicals Inc</v>
          </cell>
          <cell r="BY521" t="e">
            <v>#NAME?</v>
          </cell>
          <cell r="BZ521" t="str">
            <v>Yes</v>
          </cell>
          <cell r="CA521" t="str">
            <v>Yes</v>
          </cell>
        </row>
        <row r="522">
          <cell r="BL522" t="str">
            <v>Apr-2006</v>
          </cell>
          <cell r="BM522">
            <v>68.666666666666671</v>
          </cell>
          <cell r="BN522">
            <v>70.426000000000002</v>
          </cell>
          <cell r="BO522">
            <v>69.569999999999993</v>
          </cell>
          <cell r="BW522" t="str">
            <v>PPG^</v>
          </cell>
          <cell r="BX522" t="str">
            <v>PPG Industries Inc</v>
          </cell>
          <cell r="BY522" t="e">
            <v>#NAME?</v>
          </cell>
          <cell r="BZ522" t="str">
            <v>Yes</v>
          </cell>
          <cell r="CA522" t="str">
            <v>Yes</v>
          </cell>
        </row>
        <row r="523">
          <cell r="BL523" t="str">
            <v>May-2006</v>
          </cell>
          <cell r="BM523">
            <v>71.666666666666671</v>
          </cell>
          <cell r="BN523">
            <v>70.531999999999996</v>
          </cell>
          <cell r="BO523">
            <v>70.867000000000004</v>
          </cell>
          <cell r="BW523" t="str">
            <v>ECL^</v>
          </cell>
          <cell r="BX523" t="str">
            <v>Ecolab Inc</v>
          </cell>
          <cell r="BY523" t="e">
            <v>#NAME?</v>
          </cell>
          <cell r="BZ523" t="str">
            <v>Yes</v>
          </cell>
        </row>
        <row r="524">
          <cell r="BL524" t="str">
            <v>Jun-2006</v>
          </cell>
          <cell r="BM524">
            <v>74.666666666666671</v>
          </cell>
          <cell r="BN524">
            <v>69.331000000000003</v>
          </cell>
          <cell r="BO524">
            <v>70.875</v>
          </cell>
          <cell r="BW524" t="str">
            <v>CF^</v>
          </cell>
          <cell r="BX524" t="str">
            <v>CF Industries Holdings Inc</v>
          </cell>
          <cell r="BY524" t="e">
            <v>#NAME?</v>
          </cell>
          <cell r="BZ524" t="str">
            <v>Yes</v>
          </cell>
        </row>
        <row r="525">
          <cell r="BL525" t="str">
            <v>Jul-2006</v>
          </cell>
          <cell r="BM525">
            <v>74.666666666666671</v>
          </cell>
          <cell r="BN525">
            <v>74.102000000000004</v>
          </cell>
          <cell r="BO525">
            <v>74.381</v>
          </cell>
          <cell r="BW525" t="str">
            <v>EMN^</v>
          </cell>
          <cell r="BX525" t="str">
            <v>Eastman Chemical Co</v>
          </cell>
          <cell r="BY525" t="e">
            <v>#NAME?</v>
          </cell>
          <cell r="BZ525" t="str">
            <v>Yes</v>
          </cell>
          <cell r="CA525" t="str">
            <v>Yes</v>
          </cell>
        </row>
        <row r="526">
          <cell r="BL526" t="str">
            <v>Aug-2006</v>
          </cell>
          <cell r="BM526">
            <v>79.666666666666671</v>
          </cell>
          <cell r="BN526">
            <v>73.722999999999999</v>
          </cell>
          <cell r="BO526">
            <v>73.007000000000005</v>
          </cell>
          <cell r="BW526" t="str">
            <v>SHW^</v>
          </cell>
          <cell r="BX526" t="str">
            <v>Sherwin-Williams Co</v>
          </cell>
          <cell r="BY526" t="e">
            <v>#NAME?</v>
          </cell>
          <cell r="BZ526" t="str">
            <v>Yes</v>
          </cell>
          <cell r="CA526" t="str">
            <v>Yes</v>
          </cell>
        </row>
        <row r="527">
          <cell r="BL527" t="str">
            <v>Sep-2006</v>
          </cell>
          <cell r="BM527">
            <v>77.666666666666671</v>
          </cell>
          <cell r="BN527">
            <v>62.573999999999998</v>
          </cell>
          <cell r="BO527">
            <v>63.738999999999997</v>
          </cell>
          <cell r="BW527" t="str">
            <v>SIAL^</v>
          </cell>
          <cell r="BX527" t="str">
            <v>Sigma-Aldrich Corp</v>
          </cell>
          <cell r="BY527" t="e">
            <v>#NAME?</v>
          </cell>
          <cell r="BZ527" t="str">
            <v>Yes</v>
          </cell>
        </row>
        <row r="528">
          <cell r="BL528" t="str">
            <v>Oct-2006</v>
          </cell>
          <cell r="BM528">
            <v>71.666666666666671</v>
          </cell>
          <cell r="BN528">
            <v>58.911000000000001</v>
          </cell>
          <cell r="BO528">
            <v>58.82</v>
          </cell>
          <cell r="BW528" t="str">
            <v>CE^</v>
          </cell>
          <cell r="BX528" t="str">
            <v>Celanese Corp</v>
          </cell>
          <cell r="BY528" t="e">
            <v>#NAME?</v>
          </cell>
          <cell r="CA528" t="str">
            <v>Yes</v>
          </cell>
        </row>
        <row r="529">
          <cell r="BL529" t="str">
            <v>Nov-2006</v>
          </cell>
          <cell r="BM529">
            <v>65.666666666666671</v>
          </cell>
          <cell r="BN529">
            <v>59.448</v>
          </cell>
          <cell r="BO529">
            <v>59.027000000000001</v>
          </cell>
          <cell r="BW529" t="str">
            <v>FMC^</v>
          </cell>
          <cell r="BX529" t="str">
            <v>Fmc Corp</v>
          </cell>
          <cell r="BY529" t="e">
            <v>#NAME?</v>
          </cell>
          <cell r="BZ529" t="str">
            <v>Yes</v>
          </cell>
        </row>
        <row r="530">
          <cell r="BL530" t="str">
            <v>Dec-2006</v>
          </cell>
          <cell r="BM530">
            <v>62.666666666666664</v>
          </cell>
          <cell r="BN530">
            <v>62.296999999999997</v>
          </cell>
          <cell r="BO530">
            <v>61.957999999999998</v>
          </cell>
          <cell r="BW530" t="str">
            <v>NLC^</v>
          </cell>
          <cell r="BX530" t="str">
            <v>Nalco Holding Co</v>
          </cell>
          <cell r="BY530" t="e">
            <v>#NAME?</v>
          </cell>
        </row>
        <row r="531">
          <cell r="BL531" t="str">
            <v>Jan-2007</v>
          </cell>
          <cell r="BM531">
            <v>62.666666666666664</v>
          </cell>
          <cell r="BN531">
            <v>54.301000000000002</v>
          </cell>
          <cell r="BO531">
            <v>54.17</v>
          </cell>
          <cell r="BW531" t="str">
            <v>ARG^</v>
          </cell>
          <cell r="BX531" t="str">
            <v>Airgas Inc</v>
          </cell>
          <cell r="BY531" t="e">
            <v>#NAME?</v>
          </cell>
          <cell r="BZ531" t="str">
            <v>Yes</v>
          </cell>
        </row>
        <row r="532">
          <cell r="BL532" t="str">
            <v>Feb-2007</v>
          </cell>
          <cell r="BM532">
            <v>65.666666666666671</v>
          </cell>
          <cell r="BN532">
            <v>57.984999999999999</v>
          </cell>
          <cell r="BO532">
            <v>59.201000000000001</v>
          </cell>
          <cell r="BW532" t="str">
            <v>IFF^</v>
          </cell>
          <cell r="BX532" t="str">
            <v>Intl Flavors &amp; Fragrances</v>
          </cell>
          <cell r="BY532" t="e">
            <v>#NAME?</v>
          </cell>
          <cell r="BZ532" t="str">
            <v>Yes</v>
          </cell>
        </row>
        <row r="533">
          <cell r="BL533" t="str">
            <v>Mar-2007</v>
          </cell>
          <cell r="BM533">
            <v>68.666666666666671</v>
          </cell>
          <cell r="BN533">
            <v>62.424999999999997</v>
          </cell>
          <cell r="BO533">
            <v>60.692999999999998</v>
          </cell>
          <cell r="BW533" t="str">
            <v>DCI^</v>
          </cell>
          <cell r="BX533" t="str">
            <v>Donaldson Co Inc</v>
          </cell>
          <cell r="BY533" t="e">
            <v>#NAME?</v>
          </cell>
        </row>
        <row r="534">
          <cell r="BL534" t="str">
            <v>Apr-2007</v>
          </cell>
          <cell r="BM534">
            <v>68.666666666666671</v>
          </cell>
          <cell r="BN534">
            <v>67.682000000000002</v>
          </cell>
          <cell r="BO534">
            <v>63.844999999999999</v>
          </cell>
          <cell r="BW534" t="str">
            <v>ALB^</v>
          </cell>
          <cell r="BX534" t="str">
            <v>Albemarle Corp</v>
          </cell>
          <cell r="BY534" t="e">
            <v>#NAME?</v>
          </cell>
          <cell r="CA534" t="str">
            <v>Yes</v>
          </cell>
        </row>
        <row r="535">
          <cell r="BL535" t="str">
            <v>May-2007</v>
          </cell>
          <cell r="BM535">
            <v>72.666666666666671</v>
          </cell>
          <cell r="BN535">
            <v>67.613</v>
          </cell>
          <cell r="BO535">
            <v>63.405000000000001</v>
          </cell>
          <cell r="BW535" t="str">
            <v>ASH^</v>
          </cell>
          <cell r="BX535" t="str">
            <v>Ashland Inc</v>
          </cell>
          <cell r="BY535" t="e">
            <v>#NAME?</v>
          </cell>
        </row>
        <row r="536">
          <cell r="BL536" t="str">
            <v>Jun-2007</v>
          </cell>
          <cell r="BM536">
            <v>72.666666666666671</v>
          </cell>
          <cell r="BN536">
            <v>70.734999999999999</v>
          </cell>
          <cell r="BO536">
            <v>67.436000000000007</v>
          </cell>
          <cell r="BW536" t="str">
            <v>ROC^</v>
          </cell>
          <cell r="BX536" t="str">
            <v>Rockwood Holdings</v>
          </cell>
          <cell r="BY536" t="e">
            <v>#NAME?</v>
          </cell>
        </row>
        <row r="537">
          <cell r="BL537" t="str">
            <v>Jul-2007</v>
          </cell>
          <cell r="BM537">
            <v>77.666666666666671</v>
          </cell>
          <cell r="BN537">
            <v>76.475999999999999</v>
          </cell>
          <cell r="BO537">
            <v>74.100999999999999</v>
          </cell>
          <cell r="BW537" t="str">
            <v>VAL^</v>
          </cell>
          <cell r="BX537" t="str">
            <v>Valspar Corp</v>
          </cell>
          <cell r="BY537" t="e">
            <v>#NAME?</v>
          </cell>
          <cell r="CA537" t="str">
            <v>Yes</v>
          </cell>
        </row>
        <row r="538">
          <cell r="BL538" t="str">
            <v>Aug-2007</v>
          </cell>
          <cell r="BM538">
            <v>77.666666666666671</v>
          </cell>
          <cell r="BN538">
            <v>71.206000000000003</v>
          </cell>
          <cell r="BO538">
            <v>72.364999999999995</v>
          </cell>
          <cell r="BW538" t="str">
            <v>HUN^</v>
          </cell>
          <cell r="BX538" t="str">
            <v>Huntsman Corp</v>
          </cell>
          <cell r="BY538" t="e">
            <v>#NAME?</v>
          </cell>
        </row>
        <row r="539">
          <cell r="BL539" t="str">
            <v>Sep-2007</v>
          </cell>
          <cell r="BM539">
            <v>77.666666666666671</v>
          </cell>
          <cell r="BN539">
            <v>77.001000000000005</v>
          </cell>
          <cell r="BO539">
            <v>79.983999999999995</v>
          </cell>
          <cell r="BW539" t="str">
            <v>GRA^</v>
          </cell>
          <cell r="BX539" t="str">
            <v>Grace (W R) &amp; Co</v>
          </cell>
          <cell r="BY539" t="e">
            <v>#NAME?</v>
          </cell>
        </row>
        <row r="540">
          <cell r="BL540" t="str">
            <v>Oct-2007</v>
          </cell>
          <cell r="BM540">
            <v>81.666666666666671</v>
          </cell>
          <cell r="BN540">
            <v>82.447000000000003</v>
          </cell>
          <cell r="BO540">
            <v>85.873999999999995</v>
          </cell>
          <cell r="BW540" t="str">
            <v>RPM^</v>
          </cell>
          <cell r="BX540" t="str">
            <v>RPM International Inc</v>
          </cell>
          <cell r="BY540" t="e">
            <v>#NAME?</v>
          </cell>
        </row>
        <row r="541">
          <cell r="BL541" t="str">
            <v>Nov-2007</v>
          </cell>
          <cell r="BM541">
            <v>86.666666666666671</v>
          </cell>
          <cell r="BN541">
            <v>92.397000000000006</v>
          </cell>
          <cell r="BO541">
            <v>94.736999999999995</v>
          </cell>
          <cell r="BW541" t="str">
            <v>WLK^</v>
          </cell>
          <cell r="BX541" t="str">
            <v>Westlake Chemical Corp</v>
          </cell>
          <cell r="BY541" t="e">
            <v>#NAME?</v>
          </cell>
        </row>
        <row r="542">
          <cell r="BL542" t="str">
            <v>Dec-2007</v>
          </cell>
          <cell r="BM542">
            <v>86.666666666666671</v>
          </cell>
          <cell r="BN542">
            <v>91.256</v>
          </cell>
          <cell r="BO542">
            <v>91.364999999999995</v>
          </cell>
          <cell r="BW542" t="str">
            <v>CYT^</v>
          </cell>
          <cell r="BX542" t="str">
            <v>Cytec Industries Inc</v>
          </cell>
          <cell r="BY542" t="e">
            <v>#NAME?</v>
          </cell>
        </row>
        <row r="543">
          <cell r="BL543" t="str">
            <v>Jan-2008</v>
          </cell>
          <cell r="BM543">
            <v>86.666666666666671</v>
          </cell>
          <cell r="BN543">
            <v>92.23</v>
          </cell>
          <cell r="BO543">
            <v>92.98</v>
          </cell>
          <cell r="BW543" t="str">
            <v>GTI^</v>
          </cell>
          <cell r="BX543" t="str">
            <v>Graftech International Ltd</v>
          </cell>
          <cell r="BY543" t="e">
            <v>#NAME?</v>
          </cell>
        </row>
        <row r="544">
          <cell r="BL544" t="str">
            <v>Feb-2008</v>
          </cell>
          <cell r="BM544">
            <v>86.666666666666671</v>
          </cell>
          <cell r="BN544">
            <v>94.712999999999994</v>
          </cell>
          <cell r="BO544">
            <v>95.393000000000001</v>
          </cell>
          <cell r="BW544" t="str">
            <v>SOA^</v>
          </cell>
          <cell r="BX544" t="str">
            <v>Solutia Inc</v>
          </cell>
          <cell r="BY544" t="e">
            <v>#NAME?</v>
          </cell>
        </row>
        <row r="545">
          <cell r="BL545" t="str">
            <v>Mar-2008</v>
          </cell>
          <cell r="BM545">
            <v>86.666666666666671</v>
          </cell>
          <cell r="BN545">
            <v>103.16500000000001</v>
          </cell>
          <cell r="BO545">
            <v>105.24299999999999</v>
          </cell>
          <cell r="BW545" t="str">
            <v>CBT^</v>
          </cell>
          <cell r="BX545" t="str">
            <v>Cabot Corp</v>
          </cell>
          <cell r="BY545" t="e">
            <v>#NAME?</v>
          </cell>
        </row>
        <row r="546">
          <cell r="BL546" t="str">
            <v>Apr-2008</v>
          </cell>
          <cell r="BM546">
            <v>89.666666666666671</v>
          </cell>
          <cell r="BN546">
            <v>109.97799999999999</v>
          </cell>
          <cell r="BO546">
            <v>112.63200000000001</v>
          </cell>
          <cell r="BW546" t="str">
            <v>SXT^</v>
          </cell>
          <cell r="BX546" t="str">
            <v>Sensient Technologies Corp</v>
          </cell>
          <cell r="BY546" t="e">
            <v>#NAME?</v>
          </cell>
        </row>
        <row r="547">
          <cell r="BL547" t="str">
            <v>May-2008</v>
          </cell>
          <cell r="BM547">
            <v>92.666666666666671</v>
          </cell>
          <cell r="BN547">
            <v>123.68</v>
          </cell>
          <cell r="BO547">
            <v>125.38</v>
          </cell>
          <cell r="BW547" t="str">
            <v>CHMT^</v>
          </cell>
          <cell r="BX547" t="str">
            <v>Chemtura</v>
          </cell>
          <cell r="BY547" t="e">
            <v>#NAME?</v>
          </cell>
        </row>
        <row r="548">
          <cell r="BL548" t="str">
            <v>Jun-2008</v>
          </cell>
          <cell r="BM548">
            <v>97.666666666666671</v>
          </cell>
          <cell r="BN548">
            <v>132.886</v>
          </cell>
          <cell r="BO548">
            <v>133.93299999999999</v>
          </cell>
          <cell r="BW548" t="str">
            <v>FUL^</v>
          </cell>
          <cell r="BX548" t="str">
            <v>Fuller (H. B.) Co</v>
          </cell>
          <cell r="BY548" t="e">
            <v>#NAME?</v>
          </cell>
        </row>
        <row r="549">
          <cell r="BL549" t="str">
            <v>Jul-2008</v>
          </cell>
          <cell r="BM549">
            <v>104.66666666666667</v>
          </cell>
          <cell r="BN549">
            <v>133.315</v>
          </cell>
          <cell r="BO549">
            <v>133.29499999999999</v>
          </cell>
          <cell r="BW549" t="str">
            <v>CCMP^</v>
          </cell>
          <cell r="BX549" t="str">
            <v>Cabot Microelectronics Corp</v>
          </cell>
          <cell r="BY549" t="e">
            <v>#NAME?</v>
          </cell>
        </row>
        <row r="550">
          <cell r="BL550" t="str">
            <v>Aug-2008</v>
          </cell>
          <cell r="BM550">
            <v>104.66666666666667</v>
          </cell>
          <cell r="BN550">
            <v>114.215</v>
          </cell>
          <cell r="BO550">
            <v>116.58199999999999</v>
          </cell>
          <cell r="BW550" t="str">
            <v>CCC^</v>
          </cell>
          <cell r="BX550" t="str">
            <v>Calgon Carbon Corp</v>
          </cell>
          <cell r="BY550" t="e">
            <v>#NAME?</v>
          </cell>
        </row>
        <row r="551">
          <cell r="BL551" t="str">
            <v>Sep-2008</v>
          </cell>
          <cell r="BM551">
            <v>97.666666666666671</v>
          </cell>
          <cell r="BN551">
            <v>98.626999999999995</v>
          </cell>
          <cell r="BO551">
            <v>103.61</v>
          </cell>
          <cell r="BW551" t="str">
            <v>KRA^</v>
          </cell>
          <cell r="BX551" t="str">
            <v>Kraton Performance Polymers</v>
          </cell>
          <cell r="BY551" t="e">
            <v>#NAME?</v>
          </cell>
          <cell r="CA551" t="str">
            <v>Yes</v>
          </cell>
        </row>
        <row r="552">
          <cell r="BL552" t="str">
            <v>Oct-2008</v>
          </cell>
          <cell r="BM552">
            <v>86.666666666666671</v>
          </cell>
          <cell r="BN552">
            <v>72.459999999999994</v>
          </cell>
          <cell r="BO552">
            <v>76.614999999999995</v>
          </cell>
        </row>
        <row r="553">
          <cell r="BL553" t="str">
            <v>Nov-2008</v>
          </cell>
          <cell r="BM553">
            <v>66.666666666666671</v>
          </cell>
          <cell r="BN553">
            <v>53.494</v>
          </cell>
          <cell r="BO553">
            <v>57.411999999999999</v>
          </cell>
          <cell r="CB553" t="str">
            <v>NEW ESTIMATES</v>
          </cell>
          <cell r="CC553" t="str">
            <v>1Q12e</v>
          </cell>
          <cell r="CD553" t="str">
            <v>2012e</v>
          </cell>
          <cell r="CE553" t="str">
            <v>2013e</v>
          </cell>
          <cell r="CF553" t="str">
            <v>2014e</v>
          </cell>
          <cell r="CG553" t="str">
            <v>2015e</v>
          </cell>
        </row>
        <row r="554">
          <cell r="BL554" t="str">
            <v>Dec-2008</v>
          </cell>
          <cell r="BM554">
            <v>56.666666666666664</v>
          </cell>
          <cell r="BN554">
            <v>41.381</v>
          </cell>
          <cell r="BO554">
            <v>41.451999999999998</v>
          </cell>
          <cell r="CB554" t="str">
            <v>EBITDA (inc. JV income)</v>
          </cell>
        </row>
        <row r="555">
          <cell r="BL555" t="str">
            <v>Jan-2009</v>
          </cell>
          <cell r="BM555">
            <v>61.333333333333336</v>
          </cell>
          <cell r="BN555">
            <v>44.110999999999997</v>
          </cell>
          <cell r="BO555">
            <v>41.753999999999998</v>
          </cell>
        </row>
        <row r="556">
          <cell r="BL556" t="str">
            <v>Feb-2009</v>
          </cell>
          <cell r="BM556">
            <v>63.666666666666664</v>
          </cell>
          <cell r="BN556">
            <v>43.404000000000003</v>
          </cell>
          <cell r="BO556">
            <v>39.159999999999997</v>
          </cell>
          <cell r="CB556" t="str">
            <v>Olefins and Polyolefins - Americas</v>
          </cell>
          <cell r="CC556">
            <v>598</v>
          </cell>
          <cell r="CD556">
            <v>2934</v>
          </cell>
          <cell r="CE556">
            <v>3573</v>
          </cell>
          <cell r="CF556">
            <v>3633.7862585498383</v>
          </cell>
          <cell r="CG556">
            <v>3545.6021329979662</v>
          </cell>
        </row>
        <row r="557">
          <cell r="BL557" t="str">
            <v>Mar-2009</v>
          </cell>
          <cell r="BM557">
            <v>63.666666666666664</v>
          </cell>
          <cell r="BN557">
            <v>46.709000000000003</v>
          </cell>
          <cell r="BO557">
            <v>47.996000000000002</v>
          </cell>
          <cell r="CB557" t="str">
            <v>Olefins and Polyolefins - Rest of World</v>
          </cell>
          <cell r="CC557">
            <v>103</v>
          </cell>
          <cell r="CD557">
            <v>563</v>
          </cell>
          <cell r="CE557">
            <v>839</v>
          </cell>
          <cell r="CF557">
            <v>859.85038983557615</v>
          </cell>
          <cell r="CG557">
            <v>1174.7056787793617</v>
          </cell>
        </row>
        <row r="558">
          <cell r="BL558" t="str">
            <v>Apr-2009</v>
          </cell>
          <cell r="BM558">
            <v>63.666666666666664</v>
          </cell>
          <cell r="BN558">
            <v>50.691000000000003</v>
          </cell>
          <cell r="BO558">
            <v>49.823999999999998</v>
          </cell>
          <cell r="CB558" t="str">
            <v>Olefins and Polyolefins - Total</v>
          </cell>
          <cell r="CC558">
            <v>701</v>
          </cell>
          <cell r="CD558">
            <v>3497</v>
          </cell>
          <cell r="CE558">
            <v>4412</v>
          </cell>
          <cell r="CF558">
            <v>4493.6366483854144</v>
          </cell>
          <cell r="CG558">
            <v>4720.3078117773275</v>
          </cell>
        </row>
        <row r="559">
          <cell r="BL559" t="str">
            <v>Jan-2009</v>
          </cell>
          <cell r="BM559">
            <v>61.333333333333336</v>
          </cell>
          <cell r="BN559">
            <v>44.110999999999997</v>
          </cell>
          <cell r="BO559">
            <v>41.753999999999998</v>
          </cell>
        </row>
        <row r="560">
          <cell r="BL560" t="str">
            <v>Jun-2009</v>
          </cell>
          <cell r="BM560">
            <v>69.666666666666671</v>
          </cell>
          <cell r="BN560">
            <v>68.855000000000004</v>
          </cell>
          <cell r="BO560">
            <v>69.683000000000007</v>
          </cell>
          <cell r="CB560" t="str">
            <v>Intermediates &amp; Derivatives</v>
          </cell>
          <cell r="CC560">
            <v>418</v>
          </cell>
          <cell r="CD560">
            <v>1635</v>
          </cell>
          <cell r="CE560">
            <v>1492</v>
          </cell>
          <cell r="CF560">
            <v>1415.3021816122973</v>
          </cell>
          <cell r="CG560">
            <v>1280.3225967995695</v>
          </cell>
        </row>
        <row r="561">
          <cell r="BL561" t="str">
            <v>Jan-2009</v>
          </cell>
          <cell r="BM561">
            <v>61.333333333333336</v>
          </cell>
          <cell r="BN561">
            <v>44.110999999999997</v>
          </cell>
          <cell r="BO561">
            <v>41.753999999999998</v>
          </cell>
        </row>
        <row r="562">
          <cell r="BL562" t="str">
            <v>Aug-2009</v>
          </cell>
          <cell r="BM562">
            <v>69.666666666666671</v>
          </cell>
          <cell r="BN562">
            <v>72.950999999999993</v>
          </cell>
          <cell r="BO562">
            <v>71.138000000000005</v>
          </cell>
          <cell r="CB562" t="str">
            <v>Refining and Oxyfuels</v>
          </cell>
          <cell r="CC562">
            <v>48</v>
          </cell>
          <cell r="CD562">
            <v>404</v>
          </cell>
          <cell r="CE562">
            <v>182</v>
          </cell>
          <cell r="CF562">
            <v>212.33422999999999</v>
          </cell>
          <cell r="CG562">
            <v>265.274225</v>
          </cell>
        </row>
        <row r="563">
          <cell r="BL563" t="str">
            <v>Jan-2009</v>
          </cell>
          <cell r="BM563">
            <v>61.333333333333336</v>
          </cell>
          <cell r="BN563">
            <v>44.110999999999997</v>
          </cell>
          <cell r="BO563">
            <v>41.753999999999998</v>
          </cell>
        </row>
        <row r="564">
          <cell r="BL564" t="str">
            <v>Oct-2009</v>
          </cell>
          <cell r="BM564">
            <v>73.666666666666671</v>
          </cell>
          <cell r="BN564">
            <v>73.427000000000007</v>
          </cell>
          <cell r="BO564">
            <v>76.013999999999996</v>
          </cell>
          <cell r="CB564" t="str">
            <v>Technology</v>
          </cell>
          <cell r="CC564">
            <v>57</v>
          </cell>
          <cell r="CD564">
            <v>213</v>
          </cell>
          <cell r="CE564">
            <v>232</v>
          </cell>
          <cell r="CF564">
            <v>252.86516</v>
          </cell>
          <cell r="CG564">
            <v>260.07456999999999</v>
          </cell>
        </row>
        <row r="565">
          <cell r="BL565" t="str">
            <v>Jan-2009</v>
          </cell>
          <cell r="BM565">
            <v>61.333333333333336</v>
          </cell>
          <cell r="BN565">
            <v>44.110999999999997</v>
          </cell>
          <cell r="BO565">
            <v>41.753999999999998</v>
          </cell>
        </row>
        <row r="566">
          <cell r="BL566" t="str">
            <v>Dec-2009</v>
          </cell>
          <cell r="BM566">
            <v>73.666666666666671</v>
          </cell>
          <cell r="BN566">
            <v>74.957999999999998</v>
          </cell>
          <cell r="BO566">
            <v>74.459999999999994</v>
          </cell>
          <cell r="CB566" t="str">
            <v>Other</v>
          </cell>
          <cell r="CC566">
            <v>4</v>
          </cell>
          <cell r="CD566">
            <v>-1</v>
          </cell>
          <cell r="CE566">
            <v>-7</v>
          </cell>
          <cell r="CF566">
            <v>0</v>
          </cell>
          <cell r="CG566">
            <v>0</v>
          </cell>
        </row>
        <row r="567">
          <cell r="BL567" t="str">
            <v>Jan-2010</v>
          </cell>
          <cell r="BM567">
            <v>77.666666666666671</v>
          </cell>
          <cell r="BN567">
            <v>76.605000000000004</v>
          </cell>
          <cell r="BO567">
            <v>78.311000000000007</v>
          </cell>
        </row>
        <row r="568">
          <cell r="BL568" t="str">
            <v>Feb-2010</v>
          </cell>
          <cell r="BM568">
            <v>85.666666666666671</v>
          </cell>
          <cell r="BN568">
            <v>74.292000000000002</v>
          </cell>
          <cell r="BO568">
            <v>76.453999999999994</v>
          </cell>
          <cell r="CB568" t="str">
            <v>Total LyondellBasell EBITDA</v>
          </cell>
          <cell r="CC568">
            <v>1228</v>
          </cell>
          <cell r="CD568">
            <v>5748</v>
          </cell>
          <cell r="CE568">
            <v>6311</v>
          </cell>
          <cell r="CF568">
            <v>6374.1382199977115</v>
          </cell>
          <cell r="CG568">
            <v>6525.9792035768969</v>
          </cell>
        </row>
        <row r="569">
          <cell r="BL569" t="str">
            <v>Jan-2009</v>
          </cell>
          <cell r="BM569">
            <v>61.333333333333336</v>
          </cell>
          <cell r="BN569">
            <v>44.110999999999997</v>
          </cell>
          <cell r="BO569">
            <v>41.753999999999998</v>
          </cell>
        </row>
        <row r="570">
          <cell r="BL570" t="str">
            <v>Apr-2010</v>
          </cell>
          <cell r="BM570">
            <v>91.666666666666671</v>
          </cell>
          <cell r="BN570">
            <v>85.290999999999997</v>
          </cell>
          <cell r="BO570">
            <v>84.44</v>
          </cell>
          <cell r="CB570" t="str">
            <v>Total LyondellBasell EPS</v>
          </cell>
          <cell r="CC570">
            <v>1.08</v>
          </cell>
          <cell r="CD570">
            <v>5.209705372616984</v>
          </cell>
          <cell r="CE570">
            <v>6.8604111357597706</v>
          </cell>
          <cell r="CF570">
            <v>6.5374343219591946</v>
          </cell>
          <cell r="CG570">
            <v>7.0472738055029724</v>
          </cell>
        </row>
        <row r="571">
          <cell r="BL571" t="str">
            <v>May-2010</v>
          </cell>
          <cell r="BM571">
            <v>86.333333333333329</v>
          </cell>
          <cell r="BN571">
            <v>75.992999999999995</v>
          </cell>
          <cell r="BO571">
            <v>73.620999999999995</v>
          </cell>
        </row>
        <row r="572">
          <cell r="BL572" t="str">
            <v>Jun-2010</v>
          </cell>
          <cell r="BM572">
            <v>81</v>
          </cell>
          <cell r="BN572">
            <v>75.417000000000002</v>
          </cell>
          <cell r="BO572">
            <v>75.292000000000002</v>
          </cell>
          <cell r="CB572" t="str">
            <v>% CHANGE</v>
          </cell>
          <cell r="CC572" t="str">
            <v>1Q12e</v>
          </cell>
          <cell r="CD572" t="str">
            <v>2012e</v>
          </cell>
          <cell r="CE572" t="str">
            <v>2013e</v>
          </cell>
          <cell r="CF572" t="str">
            <v>2014e</v>
          </cell>
          <cell r="CG572" t="str">
            <v>2015e</v>
          </cell>
        </row>
        <row r="573">
          <cell r="BL573" t="str">
            <v>Jul-2010</v>
          </cell>
          <cell r="BM573">
            <v>79.666666666666671</v>
          </cell>
          <cell r="BN573">
            <v>75.801000000000002</v>
          </cell>
          <cell r="BO573">
            <v>76.545000000000002</v>
          </cell>
          <cell r="CB573" t="str">
            <v>EBITDA (inc. JV income)</v>
          </cell>
        </row>
        <row r="574">
          <cell r="BL574" t="str">
            <v>Jan-2009</v>
          </cell>
          <cell r="BM574">
            <v>61.333333333333336</v>
          </cell>
          <cell r="BN574">
            <v>44.110999999999997</v>
          </cell>
          <cell r="BO574">
            <v>41.753999999999998</v>
          </cell>
        </row>
        <row r="575">
          <cell r="BL575" t="str">
            <v>Sep-2010</v>
          </cell>
          <cell r="BM575">
            <v>84.666666666666671</v>
          </cell>
          <cell r="BN575">
            <v>78.097999999999999</v>
          </cell>
          <cell r="BO575">
            <v>75.173000000000002</v>
          </cell>
          <cell r="CB575" t="str">
            <v>Olefins and Polyolefins - Americas</v>
          </cell>
          <cell r="CC575">
            <v>-0.33203083495817254</v>
          </cell>
          <cell r="CD575">
            <v>-7.5745320082964529E-2</v>
          </cell>
          <cell r="CE575">
            <v>0.36567900191156388</v>
          </cell>
          <cell r="CF575">
            <v>9.9061015622079474E-2</v>
          </cell>
          <cell r="CG575">
            <v>-5.7471708050856218E-2</v>
          </cell>
        </row>
        <row r="576">
          <cell r="BL576" t="str">
            <v>Oct-2010</v>
          </cell>
          <cell r="BM576">
            <v>84.666666666666671</v>
          </cell>
          <cell r="BN576">
            <v>83.293000000000006</v>
          </cell>
          <cell r="BO576">
            <v>81.891999999999996</v>
          </cell>
          <cell r="CB576" t="str">
            <v>Olefins and Polyolefins - Rest of World</v>
          </cell>
          <cell r="CC576">
            <v>0.37333333333333329</v>
          </cell>
          <cell r="CD576">
            <v>-0.19834649648587144</v>
          </cell>
          <cell r="CE576">
            <v>-0.35839137499413076</v>
          </cell>
          <cell r="CF576">
            <v>-0.48783872505139514</v>
          </cell>
          <cell r="CG576">
            <v>-0.39637241956023395</v>
          </cell>
        </row>
        <row r="577">
          <cell r="BL577" t="str">
            <v>Nov-2010</v>
          </cell>
          <cell r="BM577">
            <v>88.666666666666671</v>
          </cell>
          <cell r="BN577">
            <v>85.893000000000001</v>
          </cell>
          <cell r="BO577">
            <v>84.200999999999993</v>
          </cell>
          <cell r="CB577" t="str">
            <v>Olefins and Polyolefins - Total</v>
          </cell>
          <cell r="CC577">
            <v>-0.277506471919997</v>
          </cell>
          <cell r="CD577">
            <v>-9.7955329863090634E-2</v>
          </cell>
          <cell r="CE577">
            <v>0.12438245641875234</v>
          </cell>
          <cell r="CF577">
            <v>-9.8592030858377866E-2</v>
          </cell>
          <cell r="CG577">
            <v>-0.17301851307528349</v>
          </cell>
        </row>
        <row r="578">
          <cell r="BL578" t="str">
            <v>Jan-2009</v>
          </cell>
          <cell r="BM578">
            <v>61.333333333333336</v>
          </cell>
          <cell r="BN578">
            <v>44.110999999999997</v>
          </cell>
          <cell r="BO578">
            <v>41.753999999999998</v>
          </cell>
        </row>
        <row r="579">
          <cell r="BL579" t="str">
            <v>Jan-2011</v>
          </cell>
          <cell r="BM579">
            <v>88.666666666666671</v>
          </cell>
          <cell r="BN579">
            <v>96.808999999999997</v>
          </cell>
          <cell r="BO579">
            <v>89.384</v>
          </cell>
          <cell r="CB579" t="str">
            <v>Intermediates &amp; Derivatives</v>
          </cell>
          <cell r="CC579">
            <v>0.80323107951867101</v>
          </cell>
          <cell r="CD579">
            <v>0.91981522666427784</v>
          </cell>
          <cell r="CE579">
            <v>0.81053540785976685</v>
          </cell>
          <cell r="CF579">
            <v>0.81212391053302846</v>
          </cell>
          <cell r="CG579">
            <v>0.7381535812384481</v>
          </cell>
        </row>
        <row r="580">
          <cell r="BL580" t="str">
            <v>Jan-2009</v>
          </cell>
          <cell r="BM580">
            <v>61.333333333333336</v>
          </cell>
          <cell r="BN580">
            <v>44.110999999999997</v>
          </cell>
          <cell r="BO580">
            <v>41.753999999999998</v>
          </cell>
        </row>
        <row r="581">
          <cell r="BL581" t="str">
            <v>Mar-2011</v>
          </cell>
          <cell r="BM581">
            <v>93.666666666666671</v>
          </cell>
          <cell r="BN581">
            <v>114.776</v>
          </cell>
          <cell r="BO581">
            <v>102.98699999999999</v>
          </cell>
          <cell r="CB581" t="str">
            <v>Refining and Oxyfuels</v>
          </cell>
          <cell r="CC581">
            <v>-4.6825940061340554E-2</v>
          </cell>
          <cell r="CD581">
            <v>-0.31771060312506483</v>
          </cell>
          <cell r="CE581">
            <v>-0.79952103556669485</v>
          </cell>
          <cell r="CF581">
            <v>-0.71815633494079179</v>
          </cell>
          <cell r="CG581">
            <v>-0.52576752718590936</v>
          </cell>
        </row>
        <row r="582">
          <cell r="BL582" t="str">
            <v>Jan-2009</v>
          </cell>
          <cell r="BM582">
            <v>61.333333333333336</v>
          </cell>
          <cell r="BN582">
            <v>44.110999999999997</v>
          </cell>
          <cell r="BO582">
            <v>41.753999999999998</v>
          </cell>
        </row>
        <row r="583">
          <cell r="BL583" t="str">
            <v>May-2011</v>
          </cell>
          <cell r="BM583">
            <v>99.666666666666671</v>
          </cell>
          <cell r="BN583">
            <v>114.25</v>
          </cell>
          <cell r="BO583">
            <v>101.215</v>
          </cell>
          <cell r="CB583" t="str">
            <v>Technology</v>
          </cell>
          <cell r="CC583">
            <v>2.9573133560020004E-2</v>
          </cell>
          <cell r="CD583">
            <v>-5.2680314296655317E-2</v>
          </cell>
          <cell r="CE583">
            <v>-8.431312821085446E-3</v>
          </cell>
          <cell r="CF583">
            <v>3.5171417249841408E-2</v>
          </cell>
          <cell r="CG583">
            <v>3.7210595404617353E-2</v>
          </cell>
        </row>
        <row r="584">
          <cell r="BL584" t="str">
            <v>Jan-2009</v>
          </cell>
          <cell r="BM584">
            <v>61.333333333333336</v>
          </cell>
          <cell r="BN584">
            <v>44.110999999999997</v>
          </cell>
          <cell r="BO584">
            <v>41.753999999999998</v>
          </cell>
        </row>
        <row r="585">
          <cell r="BL585" t="str">
            <v>Jul-2011</v>
          </cell>
          <cell r="BM585">
            <v>92</v>
          </cell>
          <cell r="BN585">
            <v>117.315</v>
          </cell>
          <cell r="BO585">
            <v>97.262</v>
          </cell>
          <cell r="CB585" t="str">
            <v>Other</v>
          </cell>
          <cell r="CC585" t="str">
            <v>NA</v>
          </cell>
          <cell r="CD585" t="str">
            <v>NA</v>
          </cell>
          <cell r="CE585" t="str">
            <v>NA</v>
          </cell>
          <cell r="CF585" t="str">
            <v>NA</v>
          </cell>
          <cell r="CG585" t="str">
            <v>NA</v>
          </cell>
        </row>
        <row r="586">
          <cell r="BL586" t="str">
            <v>Aug-2011</v>
          </cell>
          <cell r="BM586">
            <v>92</v>
          </cell>
          <cell r="BN586">
            <v>110.32</v>
          </cell>
          <cell r="BO586">
            <v>86.302999999999997</v>
          </cell>
        </row>
        <row r="587">
          <cell r="BL587" t="str">
            <v>Sep-2011</v>
          </cell>
          <cell r="BM587">
            <v>92</v>
          </cell>
          <cell r="BN587">
            <v>111.977</v>
          </cell>
          <cell r="BO587">
            <v>85.55</v>
          </cell>
          <cell r="CB587" t="str">
            <v>Total LyondellBasell EBITDA</v>
          </cell>
          <cell r="CC587">
            <v>-6.1002593092843282E-2</v>
          </cell>
          <cell r="CD587">
            <v>3.654196154008571E-2</v>
          </cell>
          <cell r="CE587">
            <v>7.1514195875423514E-2</v>
          </cell>
          <cell r="CF587">
            <v>-5.7609735043544053E-2</v>
          </cell>
          <cell r="CG587">
            <v>-0.10043512718195513</v>
          </cell>
        </row>
        <row r="588">
          <cell r="BL588" t="str">
            <v>Jan-2009</v>
          </cell>
          <cell r="BM588">
            <v>61.333333333333336</v>
          </cell>
          <cell r="BN588">
            <v>44.110999999999997</v>
          </cell>
          <cell r="BO588">
            <v>41.753999999999998</v>
          </cell>
        </row>
        <row r="589">
          <cell r="CB589" t="str">
            <v>Total LyondellBasell EPS</v>
          </cell>
          <cell r="CC589">
            <v>-9.7344041054639119E-2</v>
          </cell>
          <cell r="CD589">
            <v>6.4979522365544495E-2</v>
          </cell>
          <cell r="CE589">
            <v>0.17303524071628895</v>
          </cell>
          <cell r="CF589">
            <v>-0.22583608114699261</v>
          </cell>
          <cell r="CG589">
            <v>-0.38934157973711447</v>
          </cell>
        </row>
        <row r="591">
          <cell r="BY591">
            <v>1.1859504132231404</v>
          </cell>
          <cell r="CB591" t="str">
            <v>OLD ESTIMATES</v>
          </cell>
          <cell r="CC591" t="str">
            <v>1Q12e</v>
          </cell>
          <cell r="CD591" t="str">
            <v>2012e</v>
          </cell>
          <cell r="CE591" t="str">
            <v>2013e</v>
          </cell>
          <cell r="CF591" t="str">
            <v>2014e</v>
          </cell>
          <cell r="CG591" t="str">
            <v>2015e</v>
          </cell>
        </row>
        <row r="592">
          <cell r="CB592" t="str">
            <v>EBITDA (inc. JV income)</v>
          </cell>
        </row>
        <row r="593">
          <cell r="BL593" t="str">
            <v>Jan-2009</v>
          </cell>
          <cell r="BM593">
            <v>61.333333333333336</v>
          </cell>
          <cell r="BN593">
            <v>44.110999999999997</v>
          </cell>
          <cell r="BO593">
            <v>41.753999999999998</v>
          </cell>
        </row>
        <row r="594">
          <cell r="CB594" t="str">
            <v>Olefins and Polyolefins - Americas</v>
          </cell>
          <cell r="CC594">
            <v>895.25090572489808</v>
          </cell>
          <cell r="CD594">
            <v>3174.4497093196937</v>
          </cell>
          <cell r="CE594">
            <v>2616.2809818403971</v>
          </cell>
          <cell r="CF594">
            <v>3306.2643537520794</v>
          </cell>
          <cell r="CG594">
            <v>3761.7991558276503</v>
          </cell>
        </row>
        <row r="595">
          <cell r="CB595" t="str">
            <v>Olefins and Polyolefins - Rest of World</v>
          </cell>
          <cell r="CC595">
            <v>75</v>
          </cell>
          <cell r="CD595">
            <v>702.29843383959906</v>
          </cell>
          <cell r="CE595">
            <v>1307.6507504747542</v>
          </cell>
          <cell r="CF595">
            <v>1678.86646627444</v>
          </cell>
          <cell r="CG595">
            <v>1946.0768805884302</v>
          </cell>
        </row>
        <row r="596">
          <cell r="CB596" t="str">
            <v>Olefins and Polyolefins - Total</v>
          </cell>
          <cell r="CC596">
            <v>970.25090572489808</v>
          </cell>
          <cell r="CD596">
            <v>3876.7481431592928</v>
          </cell>
          <cell r="CE596">
            <v>3923.9317323151513</v>
          </cell>
          <cell r="CF596">
            <v>4985.1308200265194</v>
          </cell>
          <cell r="CG596">
            <v>5707.8760364160808</v>
          </cell>
        </row>
        <row r="597">
          <cell r="BL597" t="str">
            <v>Jan-2009</v>
          </cell>
          <cell r="BM597">
            <v>61.333333333333336</v>
          </cell>
          <cell r="BN597">
            <v>44.110999999999997</v>
          </cell>
          <cell r="BO597">
            <v>41.753999999999998</v>
          </cell>
        </row>
        <row r="598">
          <cell r="CB598" t="str">
            <v>Intermediates &amp; Derivatives</v>
          </cell>
          <cell r="CC598">
            <v>231.80611999632072</v>
          </cell>
          <cell r="CD598">
            <v>851.64445895183849</v>
          </cell>
          <cell r="CE598">
            <v>824.06562916308417</v>
          </cell>
          <cell r="CF598">
            <v>781.01843554174627</v>
          </cell>
          <cell r="CG598">
            <v>736.59923416395088</v>
          </cell>
        </row>
        <row r="599">
          <cell r="BL599" t="str">
            <v>Jan-2009</v>
          </cell>
          <cell r="BM599">
            <v>61.333333333333336</v>
          </cell>
          <cell r="BN599">
            <v>44.110999999999997</v>
          </cell>
          <cell r="BO599">
            <v>41.753999999999998</v>
          </cell>
        </row>
        <row r="600">
          <cell r="CB600" t="str">
            <v>Refining and Oxyfuels</v>
          </cell>
          <cell r="CC600">
            <v>50.358063671066532</v>
          </cell>
          <cell r="CD600">
            <v>592.12410723430003</v>
          </cell>
          <cell r="CE600">
            <v>907.82591836734719</v>
          </cell>
          <cell r="CF600">
            <v>753.37591836734725</v>
          </cell>
          <cell r="CG600">
            <v>559.37591836734725</v>
          </cell>
        </row>
        <row r="601">
          <cell r="BL601" t="str">
            <v>Jan-2009</v>
          </cell>
          <cell r="BM601">
            <v>61.333333333333336</v>
          </cell>
          <cell r="BN601">
            <v>44.110999999999997</v>
          </cell>
          <cell r="BO601">
            <v>41.753999999999998</v>
          </cell>
        </row>
        <row r="602">
          <cell r="CB602" t="str">
            <v>Technology</v>
          </cell>
          <cell r="CC602">
            <v>55.362750000000005</v>
          </cell>
          <cell r="CD602">
            <v>224.84490000000002</v>
          </cell>
          <cell r="CE602">
            <v>233.97269700000004</v>
          </cell>
          <cell r="CF602">
            <v>244.27370751000007</v>
          </cell>
          <cell r="CG602">
            <v>250.74422798250004</v>
          </cell>
        </row>
        <row r="603">
          <cell r="BL603" t="str">
            <v>Jan-2009</v>
          </cell>
          <cell r="BM603">
            <v>61.333333333333336</v>
          </cell>
          <cell r="BN603">
            <v>44.110999999999997</v>
          </cell>
          <cell r="BO603">
            <v>41.753999999999998</v>
          </cell>
        </row>
        <row r="604">
          <cell r="CB604" t="str">
            <v>Other</v>
          </cell>
          <cell r="CC604">
            <v>0</v>
          </cell>
          <cell r="CD604">
            <v>0</v>
          </cell>
          <cell r="CE604">
            <v>0</v>
          </cell>
          <cell r="CF604">
            <v>0</v>
          </cell>
          <cell r="CG604">
            <v>0</v>
          </cell>
        </row>
        <row r="606">
          <cell r="CB606" t="str">
            <v>Total LyondellBasell EBITDA</v>
          </cell>
          <cell r="CC606">
            <v>1307.7778393922854</v>
          </cell>
          <cell r="CD606">
            <v>5545.3616093454311</v>
          </cell>
          <cell r="CE606">
            <v>5889.795976845583</v>
          </cell>
          <cell r="CF606">
            <v>6763.798881445613</v>
          </cell>
          <cell r="CG606">
            <v>7254.5954169298784</v>
          </cell>
        </row>
        <row r="607">
          <cell r="BL607" t="str">
            <v>Jan-2009</v>
          </cell>
          <cell r="BM607">
            <v>61.333333333333336</v>
          </cell>
          <cell r="BN607">
            <v>44.110999999999997</v>
          </cell>
          <cell r="BO607">
            <v>41.753999999999998</v>
          </cell>
        </row>
        <row r="608">
          <cell r="CB608" t="str">
            <v>Total LyondellBasell EPS</v>
          </cell>
          <cell r="CC608">
            <v>1.1964691412017523</v>
          </cell>
          <cell r="CD608">
            <v>4.8918361932867285</v>
          </cell>
          <cell r="CE608">
            <v>5.8484271381059338</v>
          </cell>
          <cell r="CF608">
            <v>8.4445091830745405</v>
          </cell>
          <cell r="CG608">
            <v>11.540451374549383</v>
          </cell>
        </row>
        <row r="610">
          <cell r="CI610" t="str">
            <v>Shares</v>
          </cell>
          <cell r="CJ610">
            <v>574.30361149999999</v>
          </cell>
          <cell r="CK610">
            <v>562.06543947500006</v>
          </cell>
        </row>
        <row r="611">
          <cell r="CI611" t="str">
            <v>Net Debt</v>
          </cell>
          <cell r="CJ611">
            <v>3220</v>
          </cell>
          <cell r="CK611">
            <v>2644.8893832881849</v>
          </cell>
        </row>
        <row r="613">
          <cell r="CI613" t="str">
            <v>EV/EBITDA</v>
          </cell>
        </row>
        <row r="614">
          <cell r="CI614">
            <v>2012</v>
          </cell>
          <cell r="CK614">
            <v>4</v>
          </cell>
          <cell r="CL614">
            <v>6</v>
          </cell>
          <cell r="CM614">
            <v>8</v>
          </cell>
          <cell r="CN614">
            <v>10</v>
          </cell>
        </row>
        <row r="615">
          <cell r="CI615" t="str">
            <v>MS Bull</v>
          </cell>
          <cell r="CJ615">
            <v>6629.4578106784093</v>
          </cell>
          <cell r="CK615">
            <v>40.567098615073988</v>
          </cell>
          <cell r="CL615">
            <v>63.654043143816196</v>
          </cell>
          <cell r="CM615">
            <v>86.740987672558418</v>
          </cell>
          <cell r="CN615">
            <v>109.82793220130061</v>
          </cell>
        </row>
        <row r="616">
          <cell r="CI616" t="str">
            <v>Consensus</v>
          </cell>
          <cell r="CJ616">
            <v>5009</v>
          </cell>
          <cell r="CK616">
            <v>29.280679527818016</v>
          </cell>
          <cell r="CL616">
            <v>46.724414512932242</v>
          </cell>
          <cell r="CM616">
            <v>64.168149498046475</v>
          </cell>
          <cell r="CN616">
            <v>81.611884483160694</v>
          </cell>
        </row>
        <row r="617">
          <cell r="CI617" t="str">
            <v>MS Base</v>
          </cell>
          <cell r="CJ617">
            <v>4342.7665982384133</v>
          </cell>
          <cell r="CK617">
            <v>24.640392485070858</v>
          </cell>
          <cell r="CL617">
            <v>39.763983948811507</v>
          </cell>
          <cell r="CM617">
            <v>54.88757541255216</v>
          </cell>
          <cell r="CN617">
            <v>70.011166876292805</v>
          </cell>
        </row>
        <row r="618">
          <cell r="CI618" t="str">
            <v>MS Bear</v>
          </cell>
          <cell r="CJ618">
            <v>3022.7603353325085</v>
          </cell>
          <cell r="CK618">
            <v>15.446605530061227</v>
          </cell>
          <cell r="CL618">
            <v>25.973303516297062</v>
          </cell>
          <cell r="CM618">
            <v>36.500001502532896</v>
          </cell>
          <cell r="CN618">
            <v>47.026699488768728</v>
          </cell>
        </row>
        <row r="620">
          <cell r="CI620">
            <v>2013</v>
          </cell>
          <cell r="CK620">
            <v>4</v>
          </cell>
          <cell r="CL620">
            <v>6</v>
          </cell>
          <cell r="CM620">
            <v>8</v>
          </cell>
          <cell r="CN620">
            <v>10</v>
          </cell>
        </row>
        <row r="621">
          <cell r="CI621" t="str">
            <v>MS Bull</v>
          </cell>
          <cell r="CJ621">
            <v>8407.0598460072324</v>
          </cell>
          <cell r="CK621">
            <v>55.124097346531201</v>
          </cell>
          <cell r="CL621">
            <v>85.038976488931013</v>
          </cell>
          <cell r="CM621">
            <v>114.95385563133082</v>
          </cell>
          <cell r="CN621">
            <v>144.86873477373067</v>
          </cell>
        </row>
        <row r="622">
          <cell r="CI622" t="str">
            <v>Consensus</v>
          </cell>
          <cell r="CJ622">
            <v>5696</v>
          </cell>
          <cell r="CK622">
            <v>35.83054427883495</v>
          </cell>
          <cell r="CL622">
            <v>56.098646887386643</v>
          </cell>
          <cell r="CM622">
            <v>76.366749495938322</v>
          </cell>
          <cell r="CN622">
            <v>96.634852104490008</v>
          </cell>
        </row>
        <row r="623">
          <cell r="CI623" t="str">
            <v>MS Base</v>
          </cell>
          <cell r="CJ623">
            <v>5584.901772470479</v>
          </cell>
          <cell r="CK623">
            <v>35.039901626027174</v>
          </cell>
          <cell r="CL623">
            <v>54.912682908174972</v>
          </cell>
          <cell r="CM623">
            <v>74.78546419032277</v>
          </cell>
          <cell r="CN623">
            <v>94.658245472470568</v>
          </cell>
        </row>
        <row r="624">
          <cell r="CI624" t="str">
            <v>MS Bear</v>
          </cell>
          <cell r="CJ624">
            <v>3467.2039676308041</v>
          </cell>
          <cell r="CK624">
            <v>19.969074237545712</v>
          </cell>
          <cell r="CL624">
            <v>32.306441825452779</v>
          </cell>
          <cell r="CM624">
            <v>44.643809413359847</v>
          </cell>
          <cell r="CN624">
            <v>56.981177001266921</v>
          </cell>
        </row>
        <row r="626">
          <cell r="CI626" t="str">
            <v>PE</v>
          </cell>
        </row>
        <row r="627">
          <cell r="CI627">
            <v>2012</v>
          </cell>
          <cell r="CK627">
            <v>6</v>
          </cell>
          <cell r="CL627">
            <v>8</v>
          </cell>
          <cell r="CM627">
            <v>10</v>
          </cell>
          <cell r="CN627">
            <v>12</v>
          </cell>
        </row>
        <row r="628">
          <cell r="CI628" t="str">
            <v>MS Bull</v>
          </cell>
          <cell r="CJ628">
            <v>6.3462345693211866</v>
          </cell>
          <cell r="CK628">
            <v>38.077407415927119</v>
          </cell>
          <cell r="CL628">
            <v>50.769876554569493</v>
          </cell>
          <cell r="CM628">
            <v>63.462345693211866</v>
          </cell>
          <cell r="CN628">
            <v>76.154814831854239</v>
          </cell>
        </row>
        <row r="629">
          <cell r="CI629" t="str">
            <v>MS Base</v>
          </cell>
          <cell r="CJ629">
            <v>3.5909702940271764</v>
          </cell>
          <cell r="CK629">
            <v>21.545821764163058</v>
          </cell>
          <cell r="CL629">
            <v>28.727762352217411</v>
          </cell>
          <cell r="CM629">
            <v>35.909702940271764</v>
          </cell>
          <cell r="CN629">
            <v>43.091643528326117</v>
          </cell>
        </row>
        <row r="630">
          <cell r="CI630" t="str">
            <v>Consensus</v>
          </cell>
          <cell r="CJ630">
            <v>4.4800000000000004</v>
          </cell>
          <cell r="CK630">
            <v>26.880000000000003</v>
          </cell>
          <cell r="CL630">
            <v>35.840000000000003</v>
          </cell>
          <cell r="CM630">
            <v>44.800000000000004</v>
          </cell>
          <cell r="CN630">
            <v>53.760000000000005</v>
          </cell>
        </row>
        <row r="631">
          <cell r="CI631" t="str">
            <v>MS Bear</v>
          </cell>
          <cell r="CJ631">
            <v>2.0201735955472389</v>
          </cell>
          <cell r="CK631">
            <v>12.121041573283433</v>
          </cell>
          <cell r="CL631">
            <v>16.161388764377911</v>
          </cell>
          <cell r="CM631">
            <v>20.201735955472387</v>
          </cell>
          <cell r="CN631">
            <v>24.242083146566866</v>
          </cell>
        </row>
        <row r="633">
          <cell r="CI633">
            <v>2012</v>
          </cell>
          <cell r="CK633">
            <v>6</v>
          </cell>
          <cell r="CL633">
            <v>8</v>
          </cell>
          <cell r="CM633">
            <v>10</v>
          </cell>
          <cell r="CN633">
            <v>12</v>
          </cell>
        </row>
        <row r="634">
          <cell r="CI634" t="str">
            <v>MS Bull</v>
          </cell>
          <cell r="CJ634">
            <v>9.8840537679864919</v>
          </cell>
          <cell r="CK634">
            <v>59.304322607918948</v>
          </cell>
          <cell r="CL634">
            <v>79.072430143891935</v>
          </cell>
          <cell r="CM634">
            <v>98.840537679864923</v>
          </cell>
          <cell r="CN634">
            <v>118.6086452158379</v>
          </cell>
        </row>
        <row r="635">
          <cell r="CI635" t="str">
            <v>MS Base</v>
          </cell>
          <cell r="CJ635">
            <v>5.6220230628507544</v>
          </cell>
          <cell r="CK635">
            <v>33.732138377104526</v>
          </cell>
          <cell r="CL635">
            <v>44.976184502806035</v>
          </cell>
          <cell r="CM635">
            <v>56.220230628507544</v>
          </cell>
          <cell r="CN635">
            <v>67.464276754209052</v>
          </cell>
        </row>
        <row r="636">
          <cell r="CI636" t="str">
            <v>Consensus</v>
          </cell>
          <cell r="CJ636">
            <v>5.43</v>
          </cell>
          <cell r="CK636">
            <v>32.58</v>
          </cell>
          <cell r="CL636">
            <v>43.44</v>
          </cell>
          <cell r="CM636">
            <v>54.3</v>
          </cell>
          <cell r="CN636">
            <v>65.16</v>
          </cell>
        </row>
        <row r="637">
          <cell r="CI637" t="str">
            <v>MS Bear</v>
          </cell>
          <cell r="CJ637">
            <v>2.9566527335992254</v>
          </cell>
          <cell r="CK637">
            <v>17.739916401595352</v>
          </cell>
          <cell r="CL637">
            <v>23.653221868793803</v>
          </cell>
          <cell r="CM637">
            <v>29.566527335992255</v>
          </cell>
          <cell r="CN637">
            <v>35.479832803190703</v>
          </cell>
        </row>
        <row r="672">
          <cell r="CP672" t="str">
            <v>Consensus</v>
          </cell>
        </row>
        <row r="673">
          <cell r="CP673" t="str">
            <v>Total EBITDA</v>
          </cell>
          <cell r="CS673">
            <v>1681.34</v>
          </cell>
          <cell r="CT673">
            <v>6925.29</v>
          </cell>
          <cell r="CU673">
            <v>7355.92</v>
          </cell>
        </row>
        <row r="674">
          <cell r="CP674" t="str">
            <v>EPS</v>
          </cell>
          <cell r="CS674">
            <v>1.82</v>
          </cell>
          <cell r="CT674">
            <v>7.44</v>
          </cell>
          <cell r="CU674">
            <v>8.35</v>
          </cell>
          <cell r="DF674">
            <v>1.0815305995773847</v>
          </cell>
        </row>
        <row r="676">
          <cell r="DJ676" t="str">
            <v xml:space="preserve"> </v>
          </cell>
        </row>
        <row r="677">
          <cell r="CP677" t="str">
            <v>In US$ millions (except per share data)</v>
          </cell>
          <cell r="CS677" t="str">
            <v>NEW ESTIMATES</v>
          </cell>
          <cell r="CX677" t="str">
            <v>% Change</v>
          </cell>
          <cell r="CY677" t="str">
            <v>% Change</v>
          </cell>
          <cell r="DC677" t="str">
            <v>Old Estimates</v>
          </cell>
          <cell r="DE677" t="str">
            <v>OLD ESTIMATES</v>
          </cell>
          <cell r="DJ677" t="str">
            <v xml:space="preserve"> </v>
          </cell>
        </row>
        <row r="678">
          <cell r="CR678" t="str">
            <v>4Q13E</v>
          </cell>
          <cell r="CS678" t="str">
            <v>2013E</v>
          </cell>
          <cell r="CT678" t="str">
            <v>2014E</v>
          </cell>
          <cell r="CU678" t="str">
            <v>2015E</v>
          </cell>
          <cell r="CV678" t="str">
            <v>2016E</v>
          </cell>
          <cell r="CX678" t="str">
            <v>4Q13E</v>
          </cell>
          <cell r="CY678" t="str">
            <v>2013E</v>
          </cell>
          <cell r="CZ678" t="str">
            <v>2014E</v>
          </cell>
          <cell r="DA678" t="str">
            <v>2015E</v>
          </cell>
          <cell r="DB678" t="str">
            <v>2016E</v>
          </cell>
          <cell r="DC678" t="str">
            <v>2Q14E</v>
          </cell>
          <cell r="DD678" t="str">
            <v>2014E</v>
          </cell>
          <cell r="DE678" t="str">
            <v>2015E</v>
          </cell>
          <cell r="DF678" t="str">
            <v>2016E</v>
          </cell>
          <cell r="DG678" t="str">
            <v>2015E</v>
          </cell>
          <cell r="DH678" t="str">
            <v xml:space="preserve"> </v>
          </cell>
          <cell r="DJ678" t="str">
            <v xml:space="preserve"> </v>
          </cell>
        </row>
        <row r="679">
          <cell r="CP679" t="str">
            <v>Revenue</v>
          </cell>
          <cell r="CS679" t="str">
            <v>2012E</v>
          </cell>
          <cell r="DJ679" t="str">
            <v xml:space="preserve"> </v>
          </cell>
        </row>
        <row r="680">
          <cell r="CP680" t="str">
            <v>Olefins and Polyolefins - Americas</v>
          </cell>
          <cell r="DJ680" t="str">
            <v xml:space="preserve"> </v>
          </cell>
        </row>
        <row r="681">
          <cell r="CP681" t="str">
            <v>Olefins and Polyolefins - Rest of World</v>
          </cell>
          <cell r="DJ681" t="str">
            <v xml:space="preserve"> </v>
          </cell>
        </row>
        <row r="682">
          <cell r="CP682" t="str">
            <v>Olefins and Polyolefins - Total</v>
          </cell>
          <cell r="DJ682" t="str">
            <v xml:space="preserve"> </v>
          </cell>
        </row>
        <row r="683">
          <cell r="DJ683" t="str">
            <v xml:space="preserve"> </v>
          </cell>
        </row>
        <row r="684">
          <cell r="CP684" t="str">
            <v>Intermediates &amp; Derivatives</v>
          </cell>
          <cell r="DJ684" t="str">
            <v xml:space="preserve"> </v>
          </cell>
        </row>
        <row r="685">
          <cell r="DJ685" t="str">
            <v xml:space="preserve"> </v>
          </cell>
        </row>
        <row r="686">
          <cell r="CP686" t="str">
            <v>Refining and Oxyfuels</v>
          </cell>
          <cell r="DJ686" t="str">
            <v xml:space="preserve"> </v>
          </cell>
        </row>
        <row r="687">
          <cell r="DD687" t="e">
            <v>#REF!</v>
          </cell>
          <cell r="DE687" t="e">
            <v>#VALUE!</v>
          </cell>
          <cell r="DF687" t="e">
            <v>#REF!</v>
          </cell>
          <cell r="DJ687" t="str">
            <v xml:space="preserve"> </v>
          </cell>
        </row>
        <row r="688">
          <cell r="CP688" t="str">
            <v>Technology</v>
          </cell>
          <cell r="DJ688" t="str">
            <v xml:space="preserve"> </v>
          </cell>
        </row>
        <row r="689">
          <cell r="DJ689" t="str">
            <v xml:space="preserve"> </v>
          </cell>
        </row>
        <row r="690">
          <cell r="CP690" t="str">
            <v>Other</v>
          </cell>
          <cell r="DJ690" t="str">
            <v xml:space="preserve"> </v>
          </cell>
        </row>
        <row r="691">
          <cell r="DJ691" t="str">
            <v xml:space="preserve"> </v>
          </cell>
        </row>
        <row r="692">
          <cell r="CP692" t="str">
            <v>Total Revenues</v>
          </cell>
          <cell r="DD692" t="e">
            <v>#REF!</v>
          </cell>
          <cell r="DE692" t="e">
            <v>#VALUE!</v>
          </cell>
          <cell r="DF692" t="e">
            <v>#REF!</v>
          </cell>
          <cell r="DJ692" t="str">
            <v xml:space="preserve"> </v>
          </cell>
        </row>
        <row r="693">
          <cell r="DJ693" t="str">
            <v xml:space="preserve"> </v>
          </cell>
        </row>
        <row r="694">
          <cell r="CP694" t="str">
            <v>EBITDA</v>
          </cell>
          <cell r="DJ694" t="str">
            <v xml:space="preserve"> </v>
          </cell>
        </row>
        <row r="695">
          <cell r="CP695" t="str">
            <v>Olefins and Polyolefins - Americas</v>
          </cell>
          <cell r="CR695">
            <v>883</v>
          </cell>
          <cell r="CS695">
            <v>3573</v>
          </cell>
          <cell r="CT695">
            <v>3633.7862585498383</v>
          </cell>
          <cell r="CU695">
            <v>3545.6021329979662</v>
          </cell>
          <cell r="CV695">
            <v>3669.3312624104624</v>
          </cell>
          <cell r="CX695">
            <v>-0.13810610013491886</v>
          </cell>
          <cell r="CY695">
            <v>-3.8090861304521773E-2</v>
          </cell>
          <cell r="CZ695">
            <v>-0.1409670784209559</v>
          </cell>
          <cell r="DA695">
            <v>-0.15428022507739991</v>
          </cell>
          <cell r="DB695">
            <v>-0.16306495056093429</v>
          </cell>
          <cell r="DC695">
            <v>877.14988192725605</v>
          </cell>
          <cell r="DD695">
            <v>3903.2107998967444</v>
          </cell>
          <cell r="DE695">
            <v>3971.1795101603079</v>
          </cell>
          <cell r="DF695">
            <v>4384.2485326307433</v>
          </cell>
          <cell r="DG695" t="str">
            <v xml:space="preserve"> </v>
          </cell>
          <cell r="DH695">
            <v>4384.2485326307433</v>
          </cell>
          <cell r="DJ695" t="str">
            <v xml:space="preserve"> </v>
          </cell>
          <cell r="DK695">
            <v>-3.8090861304521773E-2</v>
          </cell>
        </row>
        <row r="696">
          <cell r="CP696" t="str">
            <v>Olefins and Polyolefins - Rest of World</v>
          </cell>
          <cell r="CR696">
            <v>115</v>
          </cell>
          <cell r="CS696">
            <v>839</v>
          </cell>
          <cell r="CT696">
            <v>859.85038983557615</v>
          </cell>
          <cell r="CU696">
            <v>1174.7056787793617</v>
          </cell>
          <cell r="CV696">
            <v>1205.6487474168075</v>
          </cell>
          <cell r="CX696">
            <v>0.33348629534483742</v>
          </cell>
          <cell r="CY696">
            <v>3.5495519621611127E-2</v>
          </cell>
          <cell r="CZ696">
            <v>0.16354901709473513</v>
          </cell>
          <cell r="DA696">
            <v>0.10923709752947186</v>
          </cell>
          <cell r="DB696">
            <v>0.10613595844673096</v>
          </cell>
          <cell r="DC696">
            <v>289.67069506768985</v>
          </cell>
          <cell r="DD696">
            <v>810.56477348772671</v>
          </cell>
          <cell r="DE696">
            <v>1002.8176191931202</v>
          </cell>
          <cell r="DF696">
            <v>1089.9643377562875</v>
          </cell>
          <cell r="DG696">
            <v>1059.0212691188417</v>
          </cell>
          <cell r="DH696">
            <v>1089.9643377562875</v>
          </cell>
          <cell r="DJ696" t="str">
            <v xml:space="preserve"> </v>
          </cell>
          <cell r="DK696">
            <v>3.5495519621611127E-2</v>
          </cell>
        </row>
        <row r="697">
          <cell r="CP697" t="str">
            <v>Olefins and Polyolefins - Total</v>
          </cell>
          <cell r="CR697">
            <v>998</v>
          </cell>
          <cell r="CS697">
            <v>4412</v>
          </cell>
          <cell r="CT697">
            <v>4493.6366483854144</v>
          </cell>
          <cell r="CU697">
            <v>4720.3078117773275</v>
          </cell>
          <cell r="CV697">
            <v>4874.9800098272699</v>
          </cell>
          <cell r="CX697">
            <v>-0.10149031960886179</v>
          </cell>
          <cell r="CY697">
            <v>-2.4913796282601486E-2</v>
          </cell>
          <cell r="CZ697">
            <v>-9.5680182188119356E-2</v>
          </cell>
          <cell r="DA697">
            <v>-0.10113841381705968</v>
          </cell>
          <cell r="DB697">
            <v>-0.1094646618149131</v>
          </cell>
          <cell r="DC697">
            <v>1166.8205769949459</v>
          </cell>
          <cell r="DD697">
            <v>4713.7755733844715</v>
          </cell>
          <cell r="DE697">
            <v>4973.9971293534281</v>
          </cell>
          <cell r="DF697">
            <v>5474.2128703870312</v>
          </cell>
          <cell r="DG697">
            <v>5251.4290123603405</v>
          </cell>
          <cell r="DH697">
            <v>5474.2128703870312</v>
          </cell>
          <cell r="DJ697" t="str">
            <v xml:space="preserve"> </v>
          </cell>
          <cell r="DK697">
            <v>-2.4913796282601486E-2</v>
          </cell>
        </row>
        <row r="698">
          <cell r="DJ698" t="str">
            <v xml:space="preserve"> </v>
          </cell>
        </row>
        <row r="699">
          <cell r="CP699" t="str">
            <v>Intermediates &amp; Derivatives</v>
          </cell>
          <cell r="CR699">
            <v>354</v>
          </cell>
          <cell r="CS699">
            <v>1492</v>
          </cell>
          <cell r="CT699">
            <v>1415.3021816122973</v>
          </cell>
          <cell r="CU699">
            <v>1280.3225967995695</v>
          </cell>
          <cell r="CV699">
            <v>1227.8626100782101</v>
          </cell>
          <cell r="CX699">
            <v>0.13488224405914373</v>
          </cell>
          <cell r="CY699">
            <v>2.9017581676653803E-2</v>
          </cell>
          <cell r="CZ699">
            <v>2.0891251521424792E-2</v>
          </cell>
          <cell r="DA699">
            <v>2.1789727795799685E-2</v>
          </cell>
          <cell r="DB699">
            <v>2.1800249036801E-2</v>
          </cell>
          <cell r="DC699">
            <v>366.09904871261813</v>
          </cell>
          <cell r="DD699">
            <v>1323.0968660614162</v>
          </cell>
          <cell r="DE699">
            <v>1346.7092688383173</v>
          </cell>
          <cell r="DF699">
            <v>1201.6659921894261</v>
          </cell>
          <cell r="DG699">
            <v>1253.0196399228594</v>
          </cell>
          <cell r="DH699">
            <v>1201.6659921894261</v>
          </cell>
          <cell r="DJ699" t="str">
            <v xml:space="preserve"> </v>
          </cell>
          <cell r="DK699">
            <v>2.9017581676653803E-2</v>
          </cell>
        </row>
        <row r="700">
          <cell r="DJ700" t="str">
            <v xml:space="preserve"> </v>
          </cell>
        </row>
        <row r="701">
          <cell r="CP701" t="str">
            <v>Refining</v>
          </cell>
          <cell r="CR701">
            <v>134</v>
          </cell>
          <cell r="CS701">
            <v>182</v>
          </cell>
          <cell r="CT701">
            <v>212.33422999999999</v>
          </cell>
          <cell r="CU701">
            <v>265.274225</v>
          </cell>
          <cell r="CV701">
            <v>263.27624000000003</v>
          </cell>
          <cell r="CX701">
            <v>1.3085606864926516</v>
          </cell>
          <cell r="CY701">
            <v>0.71625537389604932</v>
          </cell>
          <cell r="CZ701">
            <v>0</v>
          </cell>
          <cell r="DA701">
            <v>0</v>
          </cell>
          <cell r="DB701">
            <v>0</v>
          </cell>
          <cell r="DC701">
            <v>31.790489999999991</v>
          </cell>
          <cell r="DD701">
            <v>197.7687018068965</v>
          </cell>
          <cell r="DE701">
            <v>252.69596000000001</v>
          </cell>
          <cell r="DF701">
            <v>263.27624000000003</v>
          </cell>
          <cell r="DG701">
            <v>265.274225</v>
          </cell>
          <cell r="DH701">
            <v>263.27624000000003</v>
          </cell>
          <cell r="DJ701" t="str">
            <v xml:space="preserve"> </v>
          </cell>
          <cell r="DK701">
            <v>0.71625537389604932</v>
          </cell>
        </row>
        <row r="702">
          <cell r="DJ702" t="str">
            <v xml:space="preserve"> </v>
          </cell>
        </row>
        <row r="703">
          <cell r="CP703" t="str">
            <v>Technology</v>
          </cell>
          <cell r="CR703">
            <v>55</v>
          </cell>
          <cell r="CS703">
            <v>232</v>
          </cell>
          <cell r="CT703">
            <v>252.86516</v>
          </cell>
          <cell r="CU703">
            <v>260.07456999999999</v>
          </cell>
          <cell r="CV703">
            <v>267.91614290000001</v>
          </cell>
          <cell r="CX703">
            <v>-4.7619047619047672E-2</v>
          </cell>
          <cell r="CY703">
            <v>-1.1714589989350377E-2</v>
          </cell>
          <cell r="CZ703">
            <v>0</v>
          </cell>
          <cell r="DA703">
            <v>0</v>
          </cell>
          <cell r="DB703">
            <v>0</v>
          </cell>
          <cell r="DC703">
            <v>63.216290000000001</v>
          </cell>
          <cell r="DD703">
            <v>252.86516</v>
          </cell>
          <cell r="DE703">
            <v>260.07456999999999</v>
          </cell>
          <cell r="DF703">
            <v>267.91614290000001</v>
          </cell>
          <cell r="DG703">
            <v>260.07456999999999</v>
          </cell>
          <cell r="DH703">
            <v>267.91614290000001</v>
          </cell>
          <cell r="DJ703" t="str">
            <v xml:space="preserve"> </v>
          </cell>
        </row>
        <row r="704">
          <cell r="DJ704" t="str">
            <v xml:space="preserve"> </v>
          </cell>
        </row>
        <row r="705">
          <cell r="CP705" t="str">
            <v>Other</v>
          </cell>
          <cell r="CR705">
            <v>2</v>
          </cell>
          <cell r="CS705">
            <v>-7</v>
          </cell>
          <cell r="CT705">
            <v>0</v>
          </cell>
          <cell r="CU705">
            <v>0</v>
          </cell>
          <cell r="CV705">
            <v>0</v>
          </cell>
          <cell r="CX705">
            <v>0</v>
          </cell>
          <cell r="DC705">
            <v>-2</v>
          </cell>
          <cell r="DD705">
            <v>0</v>
          </cell>
          <cell r="DE705">
            <v>-9</v>
          </cell>
          <cell r="DF705">
            <v>0</v>
          </cell>
          <cell r="DG705">
            <v>0</v>
          </cell>
          <cell r="DH705">
            <v>0</v>
          </cell>
          <cell r="DJ705" t="str">
            <v xml:space="preserve"> </v>
          </cell>
        </row>
        <row r="706">
          <cell r="DJ706" t="str">
            <v xml:space="preserve"> </v>
          </cell>
        </row>
        <row r="707">
          <cell r="CP707" t="str">
            <v>Total EBITDA</v>
          </cell>
          <cell r="CR707">
            <v>1543</v>
          </cell>
          <cell r="CS707">
            <v>6311</v>
          </cell>
          <cell r="CT707">
            <v>6374.1382199977115</v>
          </cell>
          <cell r="CU707">
            <v>6525.9792035768969</v>
          </cell>
          <cell r="CV707">
            <v>6634.03500280548</v>
          </cell>
          <cell r="CX707">
            <v>2.9577728625389543E-3</v>
          </cell>
          <cell r="CY707">
            <v>7.2154457745510214E-4</v>
          </cell>
          <cell r="CZ707">
            <v>-6.5460343700082468E-2</v>
          </cell>
          <cell r="DA707">
            <v>-7.1668955967004844E-2</v>
          </cell>
          <cell r="DB707">
            <v>-7.9510278607367035E-2</v>
          </cell>
          <cell r="DC707">
            <v>1629.9264057075641</v>
          </cell>
          <cell r="DD707">
            <v>6487.5063012527844</v>
          </cell>
          <cell r="DE707">
            <v>6833.4769281917452</v>
          </cell>
          <cell r="DF707">
            <v>7207.0712454764571</v>
          </cell>
          <cell r="DG707">
            <v>7029.7974472831993</v>
          </cell>
          <cell r="DH707">
            <v>7207.0712454764571</v>
          </cell>
          <cell r="DJ707" t="str">
            <v xml:space="preserve"> </v>
          </cell>
        </row>
        <row r="708">
          <cell r="DJ708" t="str">
            <v xml:space="preserve"> </v>
          </cell>
        </row>
        <row r="709">
          <cell r="CP709" t="str">
            <v>EPS</v>
          </cell>
          <cell r="CR709">
            <v>2.118918918918919</v>
          </cell>
          <cell r="CS709">
            <v>6.8604111357597706</v>
          </cell>
          <cell r="CT709">
            <v>6.5374343219591946</v>
          </cell>
          <cell r="CU709">
            <v>7.0472738055029724</v>
          </cell>
          <cell r="CV709">
            <v>7.511721746533726</v>
          </cell>
          <cell r="CX709">
            <v>0.42656010782708642</v>
          </cell>
          <cell r="CY709">
            <v>0.10104339297337694</v>
          </cell>
          <cell r="CZ709">
            <v>-8.1442378197868148E-2</v>
          </cell>
          <cell r="DA709">
            <v>-9.1717127761633543E-2</v>
          </cell>
          <cell r="DB709">
            <v>-0.10345732725070955</v>
          </cell>
          <cell r="DC709">
            <v>1.7164547998069115</v>
          </cell>
          <cell r="DD709">
            <v>6.8982739356232265</v>
          </cell>
          <cell r="DE709">
            <v>7.6807730828801564</v>
          </cell>
          <cell r="DF709">
            <v>8.3785434590622181</v>
          </cell>
          <cell r="DG709">
            <v>7.7588976087765653</v>
          </cell>
          <cell r="DH709">
            <v>8.3785434590622181</v>
          </cell>
          <cell r="DJ709" t="str">
            <v xml:space="preserve"> </v>
          </cell>
        </row>
        <row r="710">
          <cell r="DH710" t="str">
            <v xml:space="preserve"> </v>
          </cell>
        </row>
        <row r="711">
          <cell r="CP711" t="str">
            <v>Consensus EBITDA</v>
          </cell>
          <cell r="CR711">
            <v>1441</v>
          </cell>
          <cell r="CS711">
            <v>6293</v>
          </cell>
          <cell r="CT711">
            <v>6866</v>
          </cell>
          <cell r="CU711">
            <v>7355.92</v>
          </cell>
          <cell r="DH711" t="str">
            <v xml:space="preserve"> </v>
          </cell>
        </row>
        <row r="712">
          <cell r="CP712" t="str">
            <v xml:space="preserve">  MS vs. Consensus</v>
          </cell>
          <cell r="CR712">
            <v>7.0784177654406699E-2</v>
          </cell>
          <cell r="CS712">
            <v>-7.4907329562058367E-3</v>
          </cell>
          <cell r="CT712">
            <v>-7.1637311389788572E-2</v>
          </cell>
          <cell r="CU712">
            <v>-8.0783107210895766E-2</v>
          </cell>
          <cell r="CW712" t="str">
            <v xml:space="preserve"> </v>
          </cell>
          <cell r="DG712" t="str">
            <v xml:space="preserve"> </v>
          </cell>
          <cell r="DH712" t="str">
            <v xml:space="preserve"> </v>
          </cell>
        </row>
        <row r="714">
          <cell r="CP714" t="str">
            <v>Consensus EPS</v>
          </cell>
          <cell r="CR714">
            <v>1.39</v>
          </cell>
          <cell r="CS714">
            <v>6.16</v>
          </cell>
          <cell r="CT714">
            <v>7.18</v>
          </cell>
          <cell r="CU714">
            <v>8.35</v>
          </cell>
        </row>
        <row r="715">
          <cell r="CP715" t="str">
            <v xml:space="preserve">  MS vs. Consensus</v>
          </cell>
          <cell r="CR715">
            <v>0.52440209994166853</v>
          </cell>
          <cell r="CS715">
            <v>1.8568528303222198E-3</v>
          </cell>
          <cell r="CT715">
            <v>-8.9493827025181827E-2</v>
          </cell>
          <cell r="CU715">
            <v>-9.1151432609455463E-2</v>
          </cell>
        </row>
        <row r="716">
          <cell r="CU716" t="str">
            <v xml:space="preserve"> </v>
          </cell>
          <cell r="DE716" t="str">
            <v xml:space="preserve"> </v>
          </cell>
        </row>
        <row r="717">
          <cell r="CP717" t="str">
            <v>Price Deck Estimates</v>
          </cell>
        </row>
        <row r="718">
          <cell r="CP718" t="str">
            <v>Brent crude price (US$/bbl)</v>
          </cell>
          <cell r="CR718">
            <v>107</v>
          </cell>
          <cell r="CS718">
            <v>108.8339393939394</v>
          </cell>
          <cell r="CT718">
            <v>104.625</v>
          </cell>
          <cell r="CU718">
            <v>98.625</v>
          </cell>
          <cell r="CV718">
            <v>94.625</v>
          </cell>
          <cell r="CX718">
            <v>-4.761904761904745E-3</v>
          </cell>
          <cell r="CY718">
            <v>0</v>
          </cell>
          <cell r="CZ718">
            <v>0</v>
          </cell>
          <cell r="DA718">
            <v>0</v>
          </cell>
          <cell r="DB718">
            <v>0</v>
          </cell>
          <cell r="DC718">
            <v>106.25</v>
          </cell>
          <cell r="DD718">
            <v>106.2825</v>
          </cell>
          <cell r="DE718">
            <v>102.2825</v>
          </cell>
          <cell r="DF718">
            <v>94.625</v>
          </cell>
          <cell r="DG718">
            <v>98.625</v>
          </cell>
          <cell r="DH718">
            <v>94.625</v>
          </cell>
        </row>
        <row r="719">
          <cell r="CP719" t="str">
            <v>Ethane price, Mt Belvieu (c/gal)</v>
          </cell>
          <cell r="CR719">
            <v>24.9</v>
          </cell>
          <cell r="CS719">
            <v>26.009034090909093</v>
          </cell>
          <cell r="CT719">
            <v>25.398</v>
          </cell>
          <cell r="CU719">
            <v>32.223999999999997</v>
          </cell>
          <cell r="CV719">
            <v>33.552</v>
          </cell>
          <cell r="CX719">
            <v>1.8666666666666609E-2</v>
          </cell>
          <cell r="CY719">
            <v>0</v>
          </cell>
          <cell r="CZ719">
            <v>0</v>
          </cell>
          <cell r="DA719">
            <v>0</v>
          </cell>
          <cell r="DB719">
            <v>0</v>
          </cell>
          <cell r="DC719">
            <v>29.548000000000002</v>
          </cell>
          <cell r="DD719">
            <v>30.677599999999998</v>
          </cell>
          <cell r="DE719">
            <v>33.552</v>
          </cell>
          <cell r="DF719">
            <v>33.552</v>
          </cell>
          <cell r="DG719">
            <v>32.223999999999997</v>
          </cell>
          <cell r="DH719">
            <v>33.552</v>
          </cell>
        </row>
        <row r="720">
          <cell r="CP720" t="str">
            <v>Ethane price, Conway (c/gal)</v>
          </cell>
          <cell r="CR720">
            <v>24.9</v>
          </cell>
          <cell r="CS720">
            <v>21.94676334863054</v>
          </cell>
          <cell r="CT720">
            <v>25.398</v>
          </cell>
          <cell r="CU720">
            <v>27.223999999999997</v>
          </cell>
          <cell r="CV720">
            <v>23.552</v>
          </cell>
          <cell r="CX720">
            <v>1.8666666666666609E-2</v>
          </cell>
          <cell r="CY720">
            <v>0</v>
          </cell>
          <cell r="CZ720">
            <v>0</v>
          </cell>
          <cell r="DA720">
            <v>0</v>
          </cell>
          <cell r="DB720">
            <v>0</v>
          </cell>
          <cell r="DC720">
            <v>24.548000000000002</v>
          </cell>
          <cell r="DD720">
            <v>24.377600000000001</v>
          </cell>
          <cell r="DE720">
            <v>28.552</v>
          </cell>
          <cell r="DF720">
            <v>23.552</v>
          </cell>
          <cell r="DG720">
            <v>27.223999999999997</v>
          </cell>
          <cell r="DH720">
            <v>23.552</v>
          </cell>
        </row>
        <row r="721">
          <cell r="CX721" t="str">
            <v xml:space="preserve"> </v>
          </cell>
        </row>
        <row r="722">
          <cell r="DA722" t="str">
            <v xml:space="preserve"> </v>
          </cell>
          <cell r="DC722" t="str">
            <v xml:space="preserve"> </v>
          </cell>
          <cell r="DG722" t="str">
            <v>Old</v>
          </cell>
          <cell r="DH722" t="str">
            <v>New</v>
          </cell>
          <cell r="DI722" t="str">
            <v>Old</v>
          </cell>
          <cell r="DJ722" t="str">
            <v>New</v>
          </cell>
          <cell r="DK722" t="str">
            <v>Change</v>
          </cell>
        </row>
        <row r="723">
          <cell r="DG723" t="str">
            <v>4Q12E</v>
          </cell>
          <cell r="DH723" t="str">
            <v>4Q12E</v>
          </cell>
          <cell r="DI723" t="str">
            <v>4Q12E</v>
          </cell>
          <cell r="DJ723" t="str">
            <v>4Q12E</v>
          </cell>
        </row>
        <row r="724">
          <cell r="CP724" t="str">
            <v>US - Integrated polyethylene margin (c/lb)</v>
          </cell>
          <cell r="DG724">
            <v>32.305713139084233</v>
          </cell>
          <cell r="DH724">
            <v>33.170032360313947</v>
          </cell>
          <cell r="DI724">
            <v>32.305713139084233</v>
          </cell>
          <cell r="DJ724">
            <v>33.170032360313947</v>
          </cell>
          <cell r="DK724">
            <v>0.86431922122971372</v>
          </cell>
        </row>
        <row r="725">
          <cell r="CP725" t="str">
            <v>Ethane price, Mt Belvieu (c/gal)</v>
          </cell>
          <cell r="DG725">
            <v>28.25</v>
          </cell>
          <cell r="DH725">
            <v>28.33666666666667</v>
          </cell>
          <cell r="DI725">
            <v>28.25</v>
          </cell>
          <cell r="DJ725">
            <v>28.33666666666667</v>
          </cell>
          <cell r="DK725">
            <v>8.6666666666669556E-2</v>
          </cell>
        </row>
        <row r="726">
          <cell r="CP726" t="str">
            <v>Ethylene cash costs (purity ethane) (c/lb)</v>
          </cell>
          <cell r="DG726">
            <v>12.884875000000001</v>
          </cell>
          <cell r="DH726">
            <v>12.153333333333334</v>
          </cell>
          <cell r="DI726">
            <v>12.884875000000001</v>
          </cell>
          <cell r="DJ726">
            <v>12.153333333333334</v>
          </cell>
          <cell r="DK726">
            <v>-0.73154166666666676</v>
          </cell>
        </row>
        <row r="727">
          <cell r="CP727" t="str">
            <v xml:space="preserve">   Ethylene price (average acquisition)</v>
          </cell>
          <cell r="DG727">
            <v>47.71</v>
          </cell>
          <cell r="DH727">
            <v>50.126666666666665</v>
          </cell>
          <cell r="DI727">
            <v>47.71</v>
          </cell>
          <cell r="DJ727">
            <v>50.126666666666665</v>
          </cell>
          <cell r="DK727">
            <v>2.4166666666666643</v>
          </cell>
        </row>
        <row r="728">
          <cell r="CP728" t="str">
            <v xml:space="preserve">   Polyethylene cash costs (c/lb)</v>
          </cell>
          <cell r="DG728">
            <v>62.432171808832436</v>
          </cell>
          <cell r="DH728">
            <v>65.026200342811052</v>
          </cell>
          <cell r="DI728">
            <v>62.432171808832436</v>
          </cell>
          <cell r="DJ728">
            <v>65.026200342811052</v>
          </cell>
          <cell r="DK728">
            <v>2.5940285339786158</v>
          </cell>
        </row>
        <row r="729">
          <cell r="CP729" t="str">
            <v xml:space="preserve">   Polyethylene price, discounted (c/lb)</v>
          </cell>
          <cell r="DG729">
            <v>64.666666666666671</v>
          </cell>
          <cell r="DH729">
            <v>66</v>
          </cell>
          <cell r="DI729">
            <v>64.666666666666671</v>
          </cell>
          <cell r="DJ729">
            <v>66</v>
          </cell>
          <cell r="DK729">
            <v>1.3333333333333286</v>
          </cell>
        </row>
        <row r="731">
          <cell r="CP731" t="str">
            <v>RoW - Integrated polyethylene margin (c/lb)</v>
          </cell>
          <cell r="DO731">
            <v>6.9000000000000006E-2</v>
          </cell>
          <cell r="DQ731">
            <v>6.9000000000000006E-2</v>
          </cell>
        </row>
        <row r="732">
          <cell r="CP732" t="str">
            <v xml:space="preserve">    Brent price (US$/bbl)</v>
          </cell>
          <cell r="DO732">
            <v>81.89404303419272</v>
          </cell>
          <cell r="DQ732">
            <v>82.758720206796184</v>
          </cell>
        </row>
        <row r="733">
          <cell r="CP733" t="str">
            <v xml:space="preserve">    Ethylene cash costs (naphtha) (c/lb)</v>
          </cell>
          <cell r="DO733">
            <v>6.4809999999999999</v>
          </cell>
          <cell r="DQ733">
            <v>6.4809999999999999</v>
          </cell>
        </row>
        <row r="734">
          <cell r="CP734" t="str">
            <v xml:space="preserve">    Ethylene price (average acquisition) (c/lb)</v>
          </cell>
          <cell r="DO734">
            <v>5.6506889693592983</v>
          </cell>
          <cell r="DQ734">
            <v>5.7103516942689376</v>
          </cell>
        </row>
        <row r="735">
          <cell r="CP735" t="str">
            <v xml:space="preserve">    Polyethylene cash costs (c/lb)</v>
          </cell>
        </row>
        <row r="736">
          <cell r="CP736" t="str">
            <v xml:space="preserve">    Polyethylene price (c/lb)</v>
          </cell>
          <cell r="DQ736" t="str">
            <v>FCF Yield</v>
          </cell>
          <cell r="DS736" t="str">
            <v>FCF Yield</v>
          </cell>
        </row>
        <row r="737">
          <cell r="DP737">
            <v>81.89404303419272</v>
          </cell>
          <cell r="DQ737">
            <v>0.09</v>
          </cell>
          <cell r="DR737">
            <v>82.758720206796184</v>
          </cell>
          <cell r="DS737">
            <v>0.09</v>
          </cell>
          <cell r="DT737">
            <v>0.08</v>
          </cell>
          <cell r="DU737">
            <v>7.0000000000000007E-2</v>
          </cell>
          <cell r="DV737">
            <v>6.0000000000000005E-2</v>
          </cell>
          <cell r="DW737">
            <v>0.05</v>
          </cell>
        </row>
        <row r="738">
          <cell r="CP738" t="str">
            <v>Refining</v>
          </cell>
          <cell r="DO738" t="str">
            <v>EBITDA ($bn)</v>
          </cell>
          <cell r="DP738">
            <v>5.3120000000000003</v>
          </cell>
          <cell r="DQ738" t="str">
            <v>EBITDA ($bn)</v>
          </cell>
          <cell r="DR738">
            <v>5.3120000000000003</v>
          </cell>
        </row>
        <row r="739">
          <cell r="CP739" t="str">
            <v xml:space="preserve">  Maya 2-1-1 ($/bbl)</v>
          </cell>
          <cell r="DP739">
            <v>5.8120000000000003</v>
          </cell>
          <cell r="DR739">
            <v>5.8120000000000003</v>
          </cell>
        </row>
        <row r="740">
          <cell r="DP740">
            <v>6.3120000000000003</v>
          </cell>
          <cell r="DR740">
            <v>6.3120000000000003</v>
          </cell>
        </row>
        <row r="741">
          <cell r="CP741" t="str">
            <v>Intermediates &amp; Derivatives</v>
          </cell>
          <cell r="DP741">
            <v>7.3120000000000003</v>
          </cell>
          <cell r="DR741">
            <v>7.3120000000000003</v>
          </cell>
        </row>
        <row r="742">
          <cell r="CP742" t="str">
            <v xml:space="preserve">  MTBE margin (c/lb)</v>
          </cell>
          <cell r="DP742">
            <v>8.3120000000000012</v>
          </cell>
          <cell r="DR742">
            <v>8.3120000000000012</v>
          </cell>
        </row>
        <row r="744">
          <cell r="DW744">
            <v>2012</v>
          </cell>
          <cell r="DX744">
            <v>2013</v>
          </cell>
          <cell r="DY744">
            <v>2012</v>
          </cell>
          <cell r="DZ744">
            <v>2013</v>
          </cell>
          <cell r="EA744">
            <v>2014</v>
          </cell>
        </row>
        <row r="745">
          <cell r="DV745" t="str">
            <v>Prior year EBITDA</v>
          </cell>
          <cell r="DW745">
            <v>5429</v>
          </cell>
          <cell r="DX745" t="str">
            <v>Prior year EBITDA</v>
          </cell>
          <cell r="DY745">
            <v>5429</v>
          </cell>
          <cell r="DZ745">
            <v>5731</v>
          </cell>
          <cell r="EA745">
            <v>5366.5033333333331</v>
          </cell>
        </row>
        <row r="746">
          <cell r="DV746" t="str">
            <v>O&amp;P Americas</v>
          </cell>
          <cell r="DW746">
            <v>792</v>
          </cell>
          <cell r="DX746" t="str">
            <v>O&amp;P Americas</v>
          </cell>
          <cell r="DY746">
            <v>792</v>
          </cell>
          <cell r="DZ746">
            <v>-100</v>
          </cell>
          <cell r="EA746">
            <v>-100</v>
          </cell>
        </row>
        <row r="747">
          <cell r="DV747" t="str">
            <v>O&amp;P Europe - restructuring</v>
          </cell>
          <cell r="DW747">
            <v>0</v>
          </cell>
          <cell r="DX747" t="str">
            <v>O&amp;P Europe - restructuring</v>
          </cell>
          <cell r="DY747">
            <v>0</v>
          </cell>
          <cell r="DZ747">
            <v>63</v>
          </cell>
          <cell r="EA747">
            <v>87</v>
          </cell>
        </row>
        <row r="748">
          <cell r="DV748" t="str">
            <v>O&amp;P Europe - fundamental</v>
          </cell>
          <cell r="DW748">
            <v>-428</v>
          </cell>
          <cell r="DX748" t="str">
            <v>O&amp;P Europe - fundamental</v>
          </cell>
          <cell r="DY748">
            <v>-428</v>
          </cell>
          <cell r="DZ748">
            <v>213</v>
          </cell>
          <cell r="EA748">
            <v>0</v>
          </cell>
        </row>
        <row r="749">
          <cell r="DV749" t="str">
            <v>I&amp;D Oxyfuels</v>
          </cell>
          <cell r="DW749">
            <v>118.29333333333335</v>
          </cell>
          <cell r="DX749" t="str">
            <v>I&amp;D Oxyfuels</v>
          </cell>
          <cell r="DY749">
            <v>118.29333333333335</v>
          </cell>
          <cell r="DZ749">
            <v>-218.49666666666667</v>
          </cell>
          <cell r="EA749">
            <v>-42.72780000000003</v>
          </cell>
        </row>
        <row r="750">
          <cell r="DV750" t="str">
            <v>I&amp;D Methanol restart</v>
          </cell>
          <cell r="DW750">
            <v>0</v>
          </cell>
          <cell r="DX750" t="str">
            <v>I&amp;D Methanol restart</v>
          </cell>
          <cell r="DY750">
            <v>0</v>
          </cell>
          <cell r="DZ750">
            <v>0</v>
          </cell>
          <cell r="EA750">
            <v>246.50894994786938</v>
          </cell>
        </row>
        <row r="751">
          <cell r="DV751" t="str">
            <v>I&amp;D Other</v>
          </cell>
          <cell r="DW751">
            <v>130.70666666666665</v>
          </cell>
          <cell r="DX751" t="str">
            <v>I&amp;D Other</v>
          </cell>
          <cell r="DY751">
            <v>130.70666666666665</v>
          </cell>
          <cell r="DZ751">
            <v>-100</v>
          </cell>
          <cell r="EA751" t="str">
            <v>DOW Cons EPS</v>
          </cell>
          <cell r="EB751">
            <v>2.39</v>
          </cell>
          <cell r="EC751">
            <v>2.94</v>
          </cell>
          <cell r="ED751">
            <v>3.5</v>
          </cell>
          <cell r="EE751">
            <v>2.94</v>
          </cell>
          <cell r="EF751">
            <v>3.5</v>
          </cell>
        </row>
        <row r="752">
          <cell r="DV752" t="str">
            <v>Refining</v>
          </cell>
          <cell r="DW752">
            <v>-573</v>
          </cell>
          <cell r="DX752" t="str">
            <v>Refining</v>
          </cell>
          <cell r="DY752">
            <v>-573</v>
          </cell>
          <cell r="DZ752">
            <v>-222</v>
          </cell>
          <cell r="EA752" t="str">
            <v xml:space="preserve">  MS v Cons</v>
          </cell>
          <cell r="EB752">
            <v>5.2922740015688863E-2</v>
          </cell>
          <cell r="EC752">
            <v>-2.7406152368996128E-2</v>
          </cell>
          <cell r="ED752">
            <v>-9.2322458194498691E-2</v>
          </cell>
          <cell r="EE752">
            <v>-2.7406152368996128E-2</v>
          </cell>
          <cell r="EF752">
            <v>-9.2322458194498691E-2</v>
          </cell>
        </row>
        <row r="753">
          <cell r="DV753" t="str">
            <v>Other</v>
          </cell>
          <cell r="DW753">
            <v>262</v>
          </cell>
          <cell r="DX753" t="str">
            <v>Other</v>
          </cell>
          <cell r="DY753">
            <v>262</v>
          </cell>
          <cell r="DZ753">
            <v>0</v>
          </cell>
          <cell r="EA753" t="str">
            <v>LYB Cons EPS</v>
          </cell>
          <cell r="EB753">
            <v>6.13</v>
          </cell>
          <cell r="EC753">
            <v>7.15</v>
          </cell>
          <cell r="ED753">
            <v>7.84</v>
          </cell>
          <cell r="EE753">
            <v>7.15</v>
          </cell>
          <cell r="EF753">
            <v>7.84</v>
          </cell>
        </row>
        <row r="754">
          <cell r="DV754" t="str">
            <v>Ending EBITDA</v>
          </cell>
          <cell r="DW754">
            <v>5731</v>
          </cell>
          <cell r="DX754" t="str">
            <v>Ending EBITDA</v>
          </cell>
          <cell r="DY754">
            <v>5731</v>
          </cell>
          <cell r="DZ754">
            <v>5366.5033333333331</v>
          </cell>
          <cell r="EA754" t="str">
            <v xml:space="preserve">  MS v Cons</v>
          </cell>
          <cell r="EB754">
            <v>0.10832203662431361</v>
          </cell>
          <cell r="EC754">
            <v>-5.022393833841643E-2</v>
          </cell>
          <cell r="ED754">
            <v>-3.2029905904203182E-2</v>
          </cell>
          <cell r="EE754">
            <v>-8.5673521404308506E-2</v>
          </cell>
          <cell r="EF754">
            <v>-0.1011130350123759</v>
          </cell>
        </row>
        <row r="756">
          <cell r="EB756" t="str">
            <v>2013e</v>
          </cell>
          <cell r="EC756" t="str">
            <v>2014e</v>
          </cell>
          <cell r="ED756" t="str">
            <v>2013e</v>
          </cell>
          <cell r="EE756" t="str">
            <v>2014e</v>
          </cell>
          <cell r="EF756" t="str">
            <v>2015e</v>
          </cell>
          <cell r="EG756" t="str">
            <v>2016e</v>
          </cell>
          <cell r="EH756" t="str">
            <v>2017e</v>
          </cell>
          <cell r="EI756" t="str">
            <v>2018e</v>
          </cell>
          <cell r="EJ756" t="str">
            <v>2019e</v>
          </cell>
          <cell r="EK756" t="str">
            <v>2020e</v>
          </cell>
        </row>
        <row r="757">
          <cell r="EK757">
            <v>-0.31178605729165554</v>
          </cell>
          <cell r="EM757">
            <v>0</v>
          </cell>
        </row>
        <row r="758">
          <cell r="EA758" t="str">
            <v>New Polyethylene (c/lb)</v>
          </cell>
          <cell r="EB758">
            <v>74.166666666666657</v>
          </cell>
          <cell r="EC758" t="str">
            <v>New Polyethylene (c/lb)</v>
          </cell>
          <cell r="ED758">
            <v>74.166666666666657</v>
          </cell>
          <cell r="EE758">
            <v>76.048750000000013</v>
          </cell>
          <cell r="EF758">
            <v>73.881669375000001</v>
          </cell>
          <cell r="EG758">
            <v>70.916750000000008</v>
          </cell>
          <cell r="EH758">
            <v>69.633750000000006</v>
          </cell>
          <cell r="EI758">
            <v>68.607349999999997</v>
          </cell>
          <cell r="EJ758">
            <v>68.094149999999999</v>
          </cell>
          <cell r="EK758">
            <v>74.768003202647577</v>
          </cell>
          <cell r="EM758">
            <v>72.62022984375001</v>
          </cell>
        </row>
        <row r="759">
          <cell r="EA759" t="str">
            <v>Old Polyethylene (c/lb)</v>
          </cell>
          <cell r="EB759">
            <v>74.166666666666657</v>
          </cell>
          <cell r="EC759" t="str">
            <v>Old Polyethylene (c/lb)</v>
          </cell>
          <cell r="ED759">
            <v>74.166666666666657</v>
          </cell>
          <cell r="EE759">
            <v>76.048750000000013</v>
          </cell>
          <cell r="EF759">
            <v>73.881669375000001</v>
          </cell>
          <cell r="EG759">
            <v>70.916750000000008</v>
          </cell>
          <cell r="EH759">
            <v>69.633750000000006</v>
          </cell>
          <cell r="EI759">
            <v>68.607349999999997</v>
          </cell>
          <cell r="EJ759">
            <v>68.094149999999999</v>
          </cell>
          <cell r="EK759">
            <v>74.867045837152773</v>
          </cell>
          <cell r="EM759">
            <v>72.62022984375001</v>
          </cell>
        </row>
        <row r="760">
          <cell r="EA760" t="str">
            <v xml:space="preserve"> %Change</v>
          </cell>
          <cell r="EB760">
            <v>0</v>
          </cell>
          <cell r="EC760" t="str">
            <v xml:space="preserve"> %Change</v>
          </cell>
          <cell r="ED760">
            <v>0</v>
          </cell>
          <cell r="EE760">
            <v>0</v>
          </cell>
          <cell r="EF760">
            <v>0</v>
          </cell>
          <cell r="EG760">
            <v>0</v>
          </cell>
          <cell r="EH760">
            <v>0</v>
          </cell>
          <cell r="EI760">
            <v>0</v>
          </cell>
          <cell r="EJ760">
            <v>0</v>
          </cell>
          <cell r="EK760">
            <v>-1.5274426838123023E-3</v>
          </cell>
          <cell r="EL760">
            <v>-1.3229136183712242E-3</v>
          </cell>
          <cell r="EM760">
            <v>0</v>
          </cell>
          <cell r="EN760">
            <v>0</v>
          </cell>
        </row>
        <row r="762">
          <cell r="EA762" t="str">
            <v>New MS LYB EPS</v>
          </cell>
          <cell r="EB762">
            <v>6.788732394366197</v>
          </cell>
          <cell r="EC762" t="str">
            <v>New MS LYB EPS</v>
          </cell>
          <cell r="ED762">
            <v>6.8604111357597706</v>
          </cell>
          <cell r="EE762">
            <v>6.5374343219591946</v>
          </cell>
          <cell r="EF762">
            <v>7.0472738055029724</v>
          </cell>
          <cell r="EG762">
            <v>7.511721746533726</v>
          </cell>
          <cell r="EH762">
            <v>7.3933055756999453</v>
          </cell>
          <cell r="EI762">
            <v>7.092262079255776</v>
          </cell>
          <cell r="EJ762">
            <v>4.5772006021674887</v>
          </cell>
          <cell r="EK762">
            <v>7.7846018319084394</v>
          </cell>
          <cell r="EM762">
            <v>7.1224338624239598</v>
          </cell>
        </row>
        <row r="763">
          <cell r="EA763" t="str">
            <v>Old MS LYB EPS</v>
          </cell>
          <cell r="EB763">
            <v>6.2308272131157088</v>
          </cell>
          <cell r="EC763" t="str">
            <v>Old MS LYB EPS</v>
          </cell>
          <cell r="ED763">
            <v>6.2308272131157088</v>
          </cell>
          <cell r="EE763">
            <v>7.1170650232407899</v>
          </cell>
          <cell r="EF763">
            <v>7.7588976087765653</v>
          </cell>
          <cell r="EG763">
            <v>8.3785434590622181</v>
          </cell>
          <cell r="EH763">
            <v>8.3056369227221563</v>
          </cell>
          <cell r="EI763">
            <v>8.0489554966053767</v>
          </cell>
          <cell r="EJ763">
            <v>5.5210119753786193</v>
          </cell>
          <cell r="EK763">
            <v>7.9838950341920825</v>
          </cell>
          <cell r="EM763">
            <v>7.890035753450432</v>
          </cell>
        </row>
        <row r="764">
          <cell r="EA764" t="str">
            <v xml:space="preserve"> %Change</v>
          </cell>
          <cell r="EB764">
            <v>8.9539504494060562E-2</v>
          </cell>
          <cell r="EC764" t="str">
            <v xml:space="preserve"> %Change</v>
          </cell>
          <cell r="ED764">
            <v>0.10104339297337694</v>
          </cell>
          <cell r="EE764">
            <v>-8.1442378197868148E-2</v>
          </cell>
          <cell r="EF764">
            <v>-9.1717127761633543E-2</v>
          </cell>
          <cell r="EG764">
            <v>-0.10345732725070955</v>
          </cell>
          <cell r="EH764">
            <v>-0.10984483857298166</v>
          </cell>
          <cell r="EI764">
            <v>-0.11885932500845398</v>
          </cell>
          <cell r="EJ764">
            <v>-0.17094898134981962</v>
          </cell>
          <cell r="EK764">
            <v>-2.4099939016873934E-2</v>
          </cell>
          <cell r="EL764">
            <v>-2.4961901606940451E-2</v>
          </cell>
          <cell r="EM764">
            <v>-9.6615417945798227E-2</v>
          </cell>
          <cell r="EN764">
            <v>-9.7287504773446498E-2</v>
          </cell>
        </row>
        <row r="765">
          <cell r="EA765" t="str">
            <v>Consensus LYB EPS</v>
          </cell>
          <cell r="EB765">
            <v>6.1</v>
          </cell>
          <cell r="EC765" t="str">
            <v>Consensus LYB EPS</v>
          </cell>
          <cell r="ED765">
            <v>6.1</v>
          </cell>
          <cell r="EE765">
            <v>7.18</v>
          </cell>
          <cell r="EF765">
            <v>7.95</v>
          </cell>
          <cell r="EK765">
            <v>7.5649999999999995</v>
          </cell>
          <cell r="EM765">
            <v>7.5649999999999995</v>
          </cell>
        </row>
        <row r="766">
          <cell r="EA766" t="str">
            <v xml:space="preserve"> % vs Consensus</v>
          </cell>
          <cell r="EB766">
            <v>0.11290694989609795</v>
          </cell>
          <cell r="EC766" t="str">
            <v xml:space="preserve"> % vs Consensus</v>
          </cell>
          <cell r="ED766">
            <v>0.12465756323930677</v>
          </cell>
          <cell r="EE766">
            <v>-8.9493827025181827E-2</v>
          </cell>
          <cell r="EF766">
            <v>-0.11355046471660724</v>
          </cell>
          <cell r="EK766">
            <v>-5.731225292548392E-2</v>
          </cell>
          <cell r="EL766">
            <v>-1.0056402936219557</v>
          </cell>
          <cell r="EM766">
            <v>-0.10152214587089453</v>
          </cell>
          <cell r="EN766">
            <v>-1.0127713705149766</v>
          </cell>
        </row>
        <row r="768">
          <cell r="EA768" t="str">
            <v>New MS DOW EPS</v>
          </cell>
          <cell r="EB768">
            <v>2.5164853486374965</v>
          </cell>
          <cell r="EC768" t="str">
            <v>New MS DOW EPS</v>
          </cell>
          <cell r="ED768">
            <v>2.5164853486374965</v>
          </cell>
          <cell r="EE768">
            <v>2.8594259120351513</v>
          </cell>
          <cell r="EF768">
            <v>3.1768713963192545</v>
          </cell>
          <cell r="EG768">
            <v>3.1909237083265833</v>
          </cell>
          <cell r="EH768">
            <v>3.3477354612570593</v>
          </cell>
          <cell r="EI768">
            <v>3.4829534359639047</v>
          </cell>
          <cell r="EJ768">
            <v>3.1024850309592593</v>
          </cell>
          <cell r="EK768">
            <v>3.1437391194845121</v>
          </cell>
          <cell r="EM768">
            <v>3.1437391194845121</v>
          </cell>
        </row>
        <row r="769">
          <cell r="EA769" t="str">
            <v>Old MS DOW EPS</v>
          </cell>
          <cell r="EB769">
            <v>2.5164853486374965</v>
          </cell>
          <cell r="EC769" t="str">
            <v>Old MS DOW EPS</v>
          </cell>
          <cell r="ED769">
            <v>2.5164853486374965</v>
          </cell>
          <cell r="EE769">
            <v>2.8594259120351513</v>
          </cell>
          <cell r="EF769">
            <v>3.1768713963192545</v>
          </cell>
          <cell r="EG769">
            <v>3.1909237083265833</v>
          </cell>
          <cell r="EH769">
            <v>3.3477354612570593</v>
          </cell>
          <cell r="EI769">
            <v>3.4829534359639047</v>
          </cell>
          <cell r="EJ769">
            <v>3.1024850309592593</v>
          </cell>
          <cell r="EK769">
            <v>3.1437391194845121</v>
          </cell>
          <cell r="EM769">
            <v>3.1437391194845121</v>
          </cell>
        </row>
        <row r="770">
          <cell r="EA770" t="str">
            <v xml:space="preserve"> %Change</v>
          </cell>
          <cell r="EB770">
            <v>0</v>
          </cell>
          <cell r="EC770" t="str">
            <v xml:space="preserve"> %Change</v>
          </cell>
          <cell r="ED770">
            <v>0</v>
          </cell>
          <cell r="EE770">
            <v>0</v>
          </cell>
          <cell r="EF770">
            <v>0</v>
          </cell>
          <cell r="EG770">
            <v>0</v>
          </cell>
          <cell r="EH770">
            <v>0</v>
          </cell>
          <cell r="EI770">
            <v>0</v>
          </cell>
          <cell r="EJ770">
            <v>0</v>
          </cell>
          <cell r="EK770">
            <v>0</v>
          </cell>
          <cell r="EL770">
            <v>0</v>
          </cell>
          <cell r="EM770">
            <v>0</v>
          </cell>
          <cell r="EN770">
            <v>0</v>
          </cell>
          <cell r="EP770" t="str">
            <v>TAX</v>
          </cell>
          <cell r="EQ770">
            <v>0.3080390683696469</v>
          </cell>
          <cell r="ER770" t="str">
            <v>TAX</v>
          </cell>
          <cell r="ES770">
            <v>0.3080390683696469</v>
          </cell>
          <cell r="ET770">
            <v>0.2718932443703086</v>
          </cell>
        </row>
        <row r="771">
          <cell r="EA771" t="str">
            <v>Consensus DOW EPS</v>
          </cell>
          <cell r="EB771">
            <v>2.36</v>
          </cell>
          <cell r="EC771" t="str">
            <v>Consensus DOW EPS</v>
          </cell>
          <cell r="ED771">
            <v>2.36</v>
          </cell>
          <cell r="EE771">
            <v>2.94</v>
          </cell>
          <cell r="EF771">
            <v>3.58</v>
          </cell>
          <cell r="EK771">
            <v>3.26</v>
          </cell>
          <cell r="EM771">
            <v>3.26</v>
          </cell>
        </row>
        <row r="772">
          <cell r="EA772" t="str">
            <v xml:space="preserve"> % vs Consensus</v>
          </cell>
          <cell r="EB772">
            <v>6.6307351117583346E-2</v>
          </cell>
          <cell r="EC772" t="str">
            <v xml:space="preserve"> % vs Consensus</v>
          </cell>
          <cell r="ED772">
            <v>6.6307351117583346E-2</v>
          </cell>
          <cell r="EE772">
            <v>-2.7406152368996128E-2</v>
          </cell>
          <cell r="EF772">
            <v>-0.11260575521808536</v>
          </cell>
          <cell r="EK772">
            <v>-7.0005953793540743E-2</v>
          </cell>
          <cell r="EL772">
            <v>-1</v>
          </cell>
          <cell r="EM772">
            <v>-7.0005953793540743E-2</v>
          </cell>
          <cell r="EN772">
            <v>-1</v>
          </cell>
        </row>
        <row r="773">
          <cell r="EP773" t="str">
            <v>DSO</v>
          </cell>
          <cell r="EQ773">
            <v>575</v>
          </cell>
          <cell r="ER773" t="str">
            <v>DSO</v>
          </cell>
          <cell r="ES773">
            <v>575</v>
          </cell>
          <cell r="ET773">
            <v>1187.5999999999999</v>
          </cell>
        </row>
        <row r="774">
          <cell r="EB774" t="str">
            <v>2013e</v>
          </cell>
          <cell r="EC774" t="str">
            <v>2014e</v>
          </cell>
          <cell r="ED774" t="str">
            <v>2013e</v>
          </cell>
          <cell r="EE774" t="str">
            <v>2014e</v>
          </cell>
          <cell r="EF774" t="str">
            <v>2015e</v>
          </cell>
          <cell r="EG774" t="str">
            <v>2016e</v>
          </cell>
          <cell r="EH774" t="str">
            <v>2017e</v>
          </cell>
          <cell r="EI774" t="str">
            <v>2018e</v>
          </cell>
          <cell r="EJ774" t="str">
            <v>2019e</v>
          </cell>
          <cell r="EK774" t="str">
            <v>2020e</v>
          </cell>
        </row>
        <row r="775">
          <cell r="EA775" t="str">
            <v>MS Ethane</v>
          </cell>
          <cell r="EB775">
            <v>26.009034090909093</v>
          </cell>
          <cell r="EC775" t="str">
            <v>MS Ethane</v>
          </cell>
          <cell r="ED775">
            <v>26.009034090909093</v>
          </cell>
          <cell r="EE775">
            <v>25.398</v>
          </cell>
          <cell r="EF775">
            <v>32.223999999999997</v>
          </cell>
          <cell r="EG775">
            <v>33.552</v>
          </cell>
          <cell r="EH775">
            <v>34.548000000000002</v>
          </cell>
          <cell r="EI775">
            <v>35.876000000000005</v>
          </cell>
          <cell r="EJ775">
            <v>68</v>
          </cell>
          <cell r="EK775">
            <v>72</v>
          </cell>
        </row>
        <row r="776">
          <cell r="EA776" t="str">
            <v>CMAI Ethane</v>
          </cell>
          <cell r="EB776">
            <v>30.207000000000001</v>
          </cell>
          <cell r="EC776" t="str">
            <v>CMAI Ethane</v>
          </cell>
          <cell r="ED776">
            <v>30.207000000000001</v>
          </cell>
          <cell r="EE776">
            <v>34.374000000000002</v>
          </cell>
          <cell r="EF776">
            <v>41.512</v>
          </cell>
          <cell r="EG776">
            <v>50.936999999999998</v>
          </cell>
          <cell r="EH776">
            <v>63.470999999999997</v>
          </cell>
          <cell r="EQ776" t="str">
            <v>LYB</v>
          </cell>
          <cell r="ER776" t="str">
            <v>DOW</v>
          </cell>
          <cell r="ES776" t="str">
            <v>LYB</v>
          </cell>
          <cell r="ET776" t="str">
            <v>DOW</v>
          </cell>
        </row>
        <row r="777">
          <cell r="EA777" t="str">
            <v xml:space="preserve"> MS v CMAI</v>
          </cell>
          <cell r="EB777">
            <v>-0.13897328132853004</v>
          </cell>
          <cell r="EC777" t="str">
            <v xml:space="preserve"> MS v CMAI</v>
          </cell>
          <cell r="ED777">
            <v>-0.13897328132853004</v>
          </cell>
          <cell r="EE777">
            <v>-0.26112759643916916</v>
          </cell>
          <cell r="EF777">
            <v>-0.22374253227982277</v>
          </cell>
          <cell r="EG777">
            <v>-0.34130396371988925</v>
          </cell>
          <cell r="EH777">
            <v>-0.45568842463487258</v>
          </cell>
          <cell r="EM777" t="str">
            <v>US</v>
          </cell>
          <cell r="EN777" t="str">
            <v>Ethane Consumption (MBPD)</v>
          </cell>
          <cell r="EO777" t="str">
            <v>US</v>
          </cell>
          <cell r="EP777" t="str">
            <v>Ethane Consumption (MBPD)</v>
          </cell>
          <cell r="EQ777">
            <v>185</v>
          </cell>
          <cell r="ER777">
            <v>125</v>
          </cell>
          <cell r="ES777">
            <v>185</v>
          </cell>
          <cell r="ET777">
            <v>125</v>
          </cell>
        </row>
        <row r="778">
          <cell r="EN778" t="str">
            <v>Ethane Consumption (M gal per year)</v>
          </cell>
          <cell r="EP778" t="str">
            <v>Ethane Consumption (M gal per year)</v>
          </cell>
          <cell r="EQ778">
            <v>2836.05</v>
          </cell>
          <cell r="ER778">
            <v>1916.25</v>
          </cell>
          <cell r="ES778">
            <v>2836.05</v>
          </cell>
          <cell r="ET778">
            <v>1916.25</v>
          </cell>
        </row>
        <row r="779">
          <cell r="EB779" t="str">
            <v>2013e</v>
          </cell>
          <cell r="EC779" t="str">
            <v>2014e</v>
          </cell>
          <cell r="ED779" t="str">
            <v>2013e</v>
          </cell>
          <cell r="EE779" t="str">
            <v>2014e</v>
          </cell>
          <cell r="EF779" t="str">
            <v>2015e</v>
          </cell>
          <cell r="EG779" t="str">
            <v>2016e</v>
          </cell>
          <cell r="EH779" t="str">
            <v>2017e</v>
          </cell>
          <cell r="EI779" t="str">
            <v>2018e</v>
          </cell>
          <cell r="EJ779" t="str">
            <v>2019e</v>
          </cell>
          <cell r="EK779" t="str">
            <v>2020e</v>
          </cell>
          <cell r="EN779" t="str">
            <v>Reduction in ethane price (c/gal)</v>
          </cell>
          <cell r="EP779" t="str">
            <v>Reduction in ethane price (c/gal)</v>
          </cell>
          <cell r="EQ779">
            <v>14.75</v>
          </cell>
          <cell r="ER779">
            <v>14.75</v>
          </cell>
          <cell r="ES779">
            <v>14.75</v>
          </cell>
          <cell r="ET779">
            <v>14.75</v>
          </cell>
        </row>
        <row r="780">
          <cell r="EA780" t="str">
            <v>MS Propane</v>
          </cell>
          <cell r="EB780">
            <v>100.13667948717949</v>
          </cell>
          <cell r="EC780" t="str">
            <v>MS Propane</v>
          </cell>
          <cell r="ED780">
            <v>100.13667948717949</v>
          </cell>
          <cell r="EE780">
            <v>117.3125</v>
          </cell>
          <cell r="EF780">
            <v>112</v>
          </cell>
          <cell r="EG780">
            <v>116.75837162251592</v>
          </cell>
          <cell r="EH780">
            <v>110.61319416869931</v>
          </cell>
          <cell r="EN780" t="str">
            <v>EBITDA Sensitvity to $0.15/gal move</v>
          </cell>
          <cell r="EP780" t="str">
            <v>EBITDA Sensitvity to $0.15/gal move</v>
          </cell>
          <cell r="EQ780">
            <v>418.31737500000003</v>
          </cell>
          <cell r="ER780">
            <v>282.64687500000002</v>
          </cell>
          <cell r="ES780">
            <v>418.31737500000003</v>
          </cell>
          <cell r="ET780">
            <v>282.64687500000002</v>
          </cell>
        </row>
        <row r="781">
          <cell r="EA781" t="str">
            <v>CMAI Propane</v>
          </cell>
          <cell r="EB781">
            <v>96.878</v>
          </cell>
          <cell r="EC781" t="str">
            <v>CMAI Propane</v>
          </cell>
          <cell r="ED781">
            <v>96.878</v>
          </cell>
          <cell r="EE781">
            <v>97.441000000000003</v>
          </cell>
          <cell r="EF781">
            <v>102.129</v>
          </cell>
          <cell r="EG781">
            <v>109.864</v>
          </cell>
          <cell r="EH781">
            <v>118.476</v>
          </cell>
          <cell r="EN781" t="str">
            <v>EPS Sensitivity to $0.15/gal move</v>
          </cell>
          <cell r="EP781" t="str">
            <v>EPS Sensitivity to $0.15/gal move</v>
          </cell>
          <cell r="EQ781">
            <v>0.50357568840579714</v>
          </cell>
          <cell r="ER781">
            <v>0.17328822763987956</v>
          </cell>
          <cell r="ES781">
            <v>0.50340744438637186</v>
          </cell>
          <cell r="ET781">
            <v>0.17328822763987956</v>
          </cell>
        </row>
        <row r="782">
          <cell r="EA782" t="str">
            <v xml:space="preserve"> MS v CMAI</v>
          </cell>
          <cell r="EB782">
            <v>3.36369401430614E-2</v>
          </cell>
          <cell r="EC782" t="str">
            <v xml:space="preserve"> MS v CMAI</v>
          </cell>
          <cell r="ED782">
            <v>3.36369401430614E-2</v>
          </cell>
          <cell r="EE782">
            <v>0.20393366242136257</v>
          </cell>
          <cell r="EF782">
            <v>9.6652273105582109E-2</v>
          </cell>
          <cell r="EG782">
            <v>6.275369204212411E-2</v>
          </cell>
          <cell r="EH782">
            <v>-6.6366233087719828E-2</v>
          </cell>
        </row>
        <row r="783">
          <cell r="EN783" t="str">
            <v>Per Share Value at 10x</v>
          </cell>
          <cell r="EP783" t="str">
            <v>Per Share Value at 10x</v>
          </cell>
          <cell r="EQ783">
            <v>5.035756884057971</v>
          </cell>
          <cell r="ER783">
            <v>1.7328822763987954</v>
          </cell>
          <cell r="ES783">
            <v>5.0340744438637186</v>
          </cell>
          <cell r="ET783">
            <v>1.7328822763987954</v>
          </cell>
        </row>
        <row r="786">
          <cell r="EQ786" t="str">
            <v>LYB</v>
          </cell>
          <cell r="ER786" t="str">
            <v>DOW</v>
          </cell>
          <cell r="ES786" t="str">
            <v>LYB</v>
          </cell>
          <cell r="ET786" t="str">
            <v>DOW</v>
          </cell>
          <cell r="EU786" t="str">
            <v>EMN</v>
          </cell>
          <cell r="EV786" t="str">
            <v>PDH</v>
          </cell>
          <cell r="EW786" t="str">
            <v>DD</v>
          </cell>
        </row>
        <row r="787">
          <cell r="EN787" t="str">
            <v>Ethane Consumption (MBPD)</v>
          </cell>
          <cell r="EP787" t="str">
            <v>Ethane Consumption (MBPD)</v>
          </cell>
          <cell r="EQ787">
            <v>185</v>
          </cell>
          <cell r="ER787">
            <v>125</v>
          </cell>
          <cell r="ES787">
            <v>12</v>
          </cell>
          <cell r="ET787">
            <v>125</v>
          </cell>
          <cell r="EU787">
            <v>40</v>
          </cell>
          <cell r="EW787">
            <v>40</v>
          </cell>
        </row>
        <row r="788">
          <cell r="EN788" t="str">
            <v>Ethane Consumption (M gal per year)</v>
          </cell>
          <cell r="EP788" t="str">
            <v>Ethane Consumption (M gal per year)</v>
          </cell>
          <cell r="EQ788">
            <v>2836.05</v>
          </cell>
          <cell r="ER788">
            <v>1916.25</v>
          </cell>
          <cell r="ES788">
            <v>183.96</v>
          </cell>
          <cell r="ET788">
            <v>1916.25</v>
          </cell>
          <cell r="EU788">
            <v>613.19999999999993</v>
          </cell>
          <cell r="EW788">
            <v>613.19999999999993</v>
          </cell>
        </row>
        <row r="789">
          <cell r="EN789" t="str">
            <v>EBITDA Sensitvity to $0.10/gal move</v>
          </cell>
          <cell r="EP789" t="str">
            <v>EBITDA Sensitvity to $0.10/gal move</v>
          </cell>
          <cell r="EQ789">
            <v>283.60500000000002</v>
          </cell>
          <cell r="ER789">
            <v>191.625</v>
          </cell>
          <cell r="ES789">
            <v>18.396000000000001</v>
          </cell>
          <cell r="ET789">
            <v>191.625</v>
          </cell>
          <cell r="EU789">
            <v>61.319999999999993</v>
          </cell>
          <cell r="EW789">
            <v>61.319999999999993</v>
          </cell>
        </row>
        <row r="791">
          <cell r="EN791" t="str">
            <v>Propane Consumption (MBPD)</v>
          </cell>
          <cell r="EP791" t="str">
            <v>Propane Consumption (MBPD)</v>
          </cell>
          <cell r="EQ791">
            <v>35</v>
          </cell>
          <cell r="ER791">
            <v>100</v>
          </cell>
          <cell r="ES791">
            <v>40</v>
          </cell>
          <cell r="ET791">
            <v>25</v>
          </cell>
          <cell r="EU791">
            <v>40</v>
          </cell>
          <cell r="EV791">
            <v>25</v>
          </cell>
        </row>
        <row r="792">
          <cell r="EN792" t="str">
            <v>Propane Consumption (M gal per year)</v>
          </cell>
          <cell r="EP792" t="str">
            <v>Propane Consumption (M gal per year)</v>
          </cell>
          <cell r="EQ792">
            <v>536.55000000000007</v>
          </cell>
          <cell r="ER792">
            <v>1533</v>
          </cell>
          <cell r="ES792">
            <v>613.19999999999993</v>
          </cell>
          <cell r="ET792">
            <v>383.25</v>
          </cell>
          <cell r="EU792">
            <v>613.19999999999993</v>
          </cell>
          <cell r="EV792">
            <v>383.25</v>
          </cell>
        </row>
        <row r="793">
          <cell r="EN793" t="str">
            <v>EBITDA Sensitvity to $0.10/gal move</v>
          </cell>
          <cell r="EP793" t="str">
            <v>EBITDA Sensitvity to $0.10/gal move</v>
          </cell>
          <cell r="EQ793">
            <v>53.655000000000008</v>
          </cell>
          <cell r="ER793">
            <v>153.30000000000001</v>
          </cell>
          <cell r="ES793">
            <v>61.319999999999993</v>
          </cell>
          <cell r="ET793">
            <v>38.325000000000003</v>
          </cell>
          <cell r="EU793">
            <v>61.319999999999993</v>
          </cell>
          <cell r="EV793">
            <v>38.325000000000003</v>
          </cell>
        </row>
        <row r="795">
          <cell r="EP795" t="str">
            <v>Effective Tax Rate</v>
          </cell>
          <cell r="ER795" t="str">
            <v>Effective Tax Rate</v>
          </cell>
          <cell r="ES795">
            <v>0.31047152480097978</v>
          </cell>
          <cell r="ET795">
            <v>0.2728671956004089</v>
          </cell>
          <cell r="EU795">
            <v>0.26751186940056532</v>
          </cell>
          <cell r="EV795" t="str">
            <v>Ethane</v>
          </cell>
          <cell r="EW795">
            <v>0.27820334551752279</v>
          </cell>
          <cell r="EX795" t="str">
            <v>Ethane</v>
          </cell>
        </row>
        <row r="796">
          <cell r="EP796" t="str">
            <v>DSO</v>
          </cell>
          <cell r="ER796" t="str">
            <v>DSO</v>
          </cell>
          <cell r="ES796">
            <v>156.35</v>
          </cell>
          <cell r="ET796">
            <v>1193.5749999999998</v>
          </cell>
          <cell r="EU796">
            <v>933.20600000000002</v>
          </cell>
          <cell r="EW796">
            <v>933.20600000000002</v>
          </cell>
        </row>
        <row r="797">
          <cell r="EP797" t="str">
            <v>EPS Sensitivity to $.10/gal move</v>
          </cell>
          <cell r="ER797" t="str">
            <v>EPS Sensitivity to $.10/gal move</v>
          </cell>
          <cell r="ES797">
            <v>8.1129298559393534E-2</v>
          </cell>
          <cell r="ET797">
            <v>0.11673906008677432</v>
          </cell>
          <cell r="EU797">
            <v>4.8131036628951511E-2</v>
          </cell>
          <cell r="EW797">
            <v>4.742851080347265E-2</v>
          </cell>
        </row>
        <row r="799">
          <cell r="EP799" t="str">
            <v>Effective Tax Rate</v>
          </cell>
          <cell r="ER799" t="str">
            <v>Effective Tax Rate</v>
          </cell>
          <cell r="ES799">
            <v>0.31047152480097978</v>
          </cell>
          <cell r="ET799">
            <v>0.2728671956004089</v>
          </cell>
          <cell r="EU799">
            <v>0.26751186940056532</v>
          </cell>
          <cell r="EW799">
            <v>0.27820334551752279</v>
          </cell>
        </row>
        <row r="800">
          <cell r="EP800" t="str">
            <v>DSO</v>
          </cell>
          <cell r="ER800" t="str">
            <v>DSO</v>
          </cell>
          <cell r="ES800">
            <v>156.35</v>
          </cell>
          <cell r="ET800">
            <v>1193.5749999999998</v>
          </cell>
          <cell r="EU800">
            <v>933.20600000000002</v>
          </cell>
          <cell r="EV800" t="str">
            <v>Propane</v>
          </cell>
          <cell r="EW800">
            <v>933.20600000000002</v>
          </cell>
          <cell r="EX800" t="str">
            <v>Propane</v>
          </cell>
        </row>
        <row r="801">
          <cell r="EP801" t="str">
            <v>EPS Sensitivity to $.10/gal move</v>
          </cell>
          <cell r="ER801" t="str">
            <v>EPS Sensitivity to $.10/gal move</v>
          </cell>
          <cell r="ES801">
            <v>0.27043099519797836</v>
          </cell>
          <cell r="ET801">
            <v>9.3391248069419466E-2</v>
          </cell>
          <cell r="EU801">
            <v>0</v>
          </cell>
          <cell r="EW801">
            <v>0</v>
          </cell>
        </row>
        <row r="804">
          <cell r="EN804" t="str">
            <v>Cap M lbs</v>
          </cell>
          <cell r="EP804" t="str">
            <v>Cap M lbs</v>
          </cell>
          <cell r="EQ804">
            <v>10000</v>
          </cell>
          <cell r="ER804">
            <v>9500</v>
          </cell>
          <cell r="ES804">
            <v>1500</v>
          </cell>
          <cell r="ET804">
            <v>9500</v>
          </cell>
          <cell r="EU804">
            <v>1500</v>
          </cell>
        </row>
        <row r="805">
          <cell r="EN805" t="str">
            <v>% Propane production</v>
          </cell>
          <cell r="EP805" t="str">
            <v>% Propane production</v>
          </cell>
          <cell r="EQ805">
            <v>0.1</v>
          </cell>
          <cell r="ER805">
            <v>0.3</v>
          </cell>
          <cell r="ES805">
            <v>0.75</v>
          </cell>
          <cell r="ET805">
            <v>0.3</v>
          </cell>
          <cell r="EU805">
            <v>0.75</v>
          </cell>
        </row>
        <row r="806">
          <cell r="EN806" t="str">
            <v>MBP Consumption</v>
          </cell>
          <cell r="EP806" t="str">
            <v>MBP Consumption</v>
          </cell>
          <cell r="EQ806">
            <v>34.703196347031962</v>
          </cell>
          <cell r="ER806">
            <v>98.904109589041099</v>
          </cell>
          <cell r="ES806">
            <v>39.041095890410958</v>
          </cell>
          <cell r="ET806">
            <v>98.904109589041099</v>
          </cell>
          <cell r="EU806">
            <v>39.041095890410958</v>
          </cell>
        </row>
        <row r="807">
          <cell r="EX807" t="str">
            <v>EPS</v>
          </cell>
          <cell r="EY807" t="str">
            <v>EBITDA</v>
          </cell>
          <cell r="EZ807" t="str">
            <v>EPS</v>
          </cell>
          <cell r="FA807" t="str">
            <v>EBITDA</v>
          </cell>
        </row>
        <row r="808">
          <cell r="EW808">
            <v>2013</v>
          </cell>
          <cell r="EX808">
            <v>6.788732394366197</v>
          </cell>
          <cell r="EY808">
            <v>2013</v>
          </cell>
          <cell r="EZ808">
            <v>6.8604111357597706</v>
          </cell>
          <cell r="FA808">
            <v>6311</v>
          </cell>
        </row>
        <row r="809">
          <cell r="EW809" t="str">
            <v>Olefins and Polyolefins - Americas</v>
          </cell>
          <cell r="EX809">
            <v>0.56431066264182472</v>
          </cell>
          <cell r="EY809" t="str">
            <v>Olefins and Polyolefins - Americas</v>
          </cell>
          <cell r="EZ809">
            <v>9.4509345037158854E-2</v>
          </cell>
          <cell r="FA809">
            <v>60.786258549838294</v>
          </cell>
        </row>
        <row r="810">
          <cell r="EW810" t="str">
            <v>Olefins and Polyolefins - Rest of World</v>
          </cell>
          <cell r="EX810">
            <v>0</v>
          </cell>
          <cell r="EY810" t="str">
            <v>Olefins and Polyolefins - Rest of World</v>
          </cell>
          <cell r="EZ810">
            <v>0</v>
          </cell>
          <cell r="FA810">
            <v>20.850389835576152</v>
          </cell>
        </row>
        <row r="811">
          <cell r="EW811" t="str">
            <v>Olefins and Polyolefins - Total</v>
          </cell>
          <cell r="EX811">
            <v>0</v>
          </cell>
          <cell r="EY811" t="str">
            <v>Olefins and Polyolefins - Total</v>
          </cell>
          <cell r="EZ811">
            <v>0</v>
          </cell>
          <cell r="FA811">
            <v>81.636648385414446</v>
          </cell>
        </row>
        <row r="812">
          <cell r="EW812" t="str">
            <v>Intermediates &amp; Derivatives</v>
          </cell>
          <cell r="EX812">
            <v>0</v>
          </cell>
          <cell r="EY812" t="str">
            <v>Intermediates &amp; Derivatives</v>
          </cell>
          <cell r="EZ812">
            <v>0</v>
          </cell>
          <cell r="FA812">
            <v>-76.697818387702682</v>
          </cell>
        </row>
        <row r="813">
          <cell r="EW813" t="str">
            <v>Refining</v>
          </cell>
          <cell r="EX813">
            <v>0</v>
          </cell>
          <cell r="EY813" t="str">
            <v>Refining</v>
          </cell>
          <cell r="EZ813">
            <v>0</v>
          </cell>
          <cell r="FA813">
            <v>30.334229999999991</v>
          </cell>
        </row>
        <row r="814">
          <cell r="EW814" t="str">
            <v>Technology</v>
          </cell>
          <cell r="EX814">
            <v>0</v>
          </cell>
          <cell r="EY814" t="str">
            <v>Technology</v>
          </cell>
          <cell r="EZ814">
            <v>0</v>
          </cell>
          <cell r="FA814">
            <v>20.865160000000003</v>
          </cell>
        </row>
        <row r="815">
          <cell r="EW815" t="str">
            <v>Other</v>
          </cell>
          <cell r="EX815">
            <v>0</v>
          </cell>
          <cell r="EY815" t="str">
            <v>Other</v>
          </cell>
          <cell r="EZ815">
            <v>0</v>
          </cell>
          <cell r="FA815">
            <v>7</v>
          </cell>
        </row>
        <row r="816">
          <cell r="EW816" t="str">
            <v>Net interest expense</v>
          </cell>
          <cell r="EX816">
            <v>-3.4799110201369991E-2</v>
          </cell>
          <cell r="EY816" t="str">
            <v>Net interest expense</v>
          </cell>
          <cell r="EZ816">
            <v>-3.3753802558643763E-2</v>
          </cell>
          <cell r="FA816" t="str">
            <v>NA</v>
          </cell>
        </row>
        <row r="817">
          <cell r="EW817" t="str">
            <v>Taxes</v>
          </cell>
          <cell r="EX817">
            <v>-0.61005133192038907</v>
          </cell>
          <cell r="EY817" t="str">
            <v>Taxes</v>
          </cell>
          <cell r="EZ817">
            <v>-0.88866707129196387</v>
          </cell>
          <cell r="FA817" t="str">
            <v>NA</v>
          </cell>
        </row>
        <row r="818">
          <cell r="EW818" t="str">
            <v>Diluted Share Count</v>
          </cell>
          <cell r="EX818">
            <v>0.48024750468486838</v>
          </cell>
          <cell r="EY818" t="str">
            <v>Diluted Share Count</v>
          </cell>
          <cell r="EZ818">
            <v>0.50127792906660662</v>
          </cell>
          <cell r="FA818" t="str">
            <v>NA</v>
          </cell>
        </row>
        <row r="819">
          <cell r="EW819">
            <v>2014</v>
          </cell>
          <cell r="EX819">
            <v>6.9372983083677955</v>
          </cell>
          <cell r="EY819">
            <v>2014</v>
          </cell>
          <cell r="EZ819">
            <v>6.5374343219591946</v>
          </cell>
          <cell r="FA819">
            <v>6374.1382199977115</v>
          </cell>
        </row>
        <row r="821">
          <cell r="EX821">
            <v>0.3131688514384896</v>
          </cell>
          <cell r="EY821">
            <v>210.63137611181901</v>
          </cell>
          <cell r="EZ821">
            <v>9.8166130983424971E-2</v>
          </cell>
          <cell r="FA821">
            <v>63.138219997711531</v>
          </cell>
        </row>
      </sheetData>
      <sheetData sheetId="9" refreshError="1"/>
      <sheetData sheetId="10" refreshError="1"/>
      <sheetData sheetId="11" refreshError="1"/>
      <sheetData sheetId="12" refreshError="1"/>
      <sheetData sheetId="13" refreshError="1">
        <row r="1">
          <cell r="B1" t="str">
            <v>LYB</v>
          </cell>
          <cell r="C1">
            <v>76</v>
          </cell>
        </row>
        <row r="3">
          <cell r="B3" t="str">
            <v>LyondellBasell (USD mm)</v>
          </cell>
          <cell r="F3">
            <v>1</v>
          </cell>
          <cell r="G3">
            <v>2</v>
          </cell>
          <cell r="H3">
            <v>3</v>
          </cell>
          <cell r="I3">
            <v>4</v>
          </cell>
          <cell r="J3">
            <v>5</v>
          </cell>
          <cell r="K3">
            <v>6</v>
          </cell>
          <cell r="L3">
            <v>7</v>
          </cell>
          <cell r="M3">
            <v>8</v>
          </cell>
          <cell r="N3">
            <v>9</v>
          </cell>
        </row>
        <row r="4">
          <cell r="E4">
            <v>0.5</v>
          </cell>
          <cell r="F4">
            <v>1.5</v>
          </cell>
          <cell r="G4">
            <v>2.5</v>
          </cell>
          <cell r="H4">
            <v>3.5</v>
          </cell>
          <cell r="I4">
            <v>4.5</v>
          </cell>
          <cell r="J4">
            <v>5.5</v>
          </cell>
          <cell r="K4">
            <v>6.5</v>
          </cell>
          <cell r="L4">
            <v>7.5</v>
          </cell>
          <cell r="M4">
            <v>8.5</v>
          </cell>
          <cell r="N4">
            <v>9.5</v>
          </cell>
        </row>
        <row r="5">
          <cell r="B5" t="str">
            <v>PV</v>
          </cell>
          <cell r="E5">
            <v>2467.948987830609</v>
          </cell>
          <cell r="F5">
            <v>3435.5941412977745</v>
          </cell>
          <cell r="G5">
            <v>3146.0673130529331</v>
          </cell>
          <cell r="H5">
            <v>2046.6886524591941</v>
          </cell>
          <cell r="I5">
            <v>1845.985443309866</v>
          </cell>
          <cell r="J5">
            <v>2182.2584604285084</v>
          </cell>
          <cell r="K5">
            <v>1951.4059254071096</v>
          </cell>
          <cell r="L5">
            <v>1671.5397674306284</v>
          </cell>
          <cell r="M5">
            <v>990.29848878165649</v>
          </cell>
          <cell r="N5">
            <v>10676.297117301687</v>
          </cell>
        </row>
        <row r="6">
          <cell r="C6" t="str">
            <v>2009</v>
          </cell>
          <cell r="D6" t="str">
            <v>2010</v>
          </cell>
          <cell r="E6" t="str">
            <v>2011</v>
          </cell>
          <cell r="F6" t="str">
            <v>2012</v>
          </cell>
          <cell r="G6" t="str">
            <v>2013e</v>
          </cell>
          <cell r="H6" t="str">
            <v>2014e</v>
          </cell>
          <cell r="I6" t="str">
            <v>2015e</v>
          </cell>
          <cell r="J6" t="str">
            <v>2016e</v>
          </cell>
          <cell r="K6" t="str">
            <v>2017e</v>
          </cell>
          <cell r="L6" t="str">
            <v>2018e</v>
          </cell>
          <cell r="M6" t="str">
            <v>2019e</v>
          </cell>
          <cell r="N6" t="str">
            <v>2020e</v>
          </cell>
        </row>
        <row r="7">
          <cell r="B7" t="str">
            <v xml:space="preserve">+EBIT (pre-exceptionals) </v>
          </cell>
          <cell r="C7">
            <v>280</v>
          </cell>
          <cell r="D7">
            <v>3030</v>
          </cell>
          <cell r="E7">
            <v>4498</v>
          </cell>
          <cell r="F7">
            <v>4748</v>
          </cell>
          <cell r="G7">
            <v>5290</v>
          </cell>
          <cell r="H7">
            <v>5367.677710193906</v>
          </cell>
          <cell r="I7">
            <v>5510.492024915744</v>
          </cell>
          <cell r="J7">
            <v>5622.8408488808273</v>
          </cell>
          <cell r="K7">
            <v>5437.0794214429361</v>
          </cell>
          <cell r="L7">
            <v>5133.8356278706733</v>
          </cell>
          <cell r="M7">
            <v>3413.8617812252937</v>
          </cell>
          <cell r="N7">
            <v>3101.3517904236419</v>
          </cell>
        </row>
        <row r="8">
          <cell r="B8" t="str">
            <v>Sales Growth</v>
          </cell>
          <cell r="C8">
            <v>-0.39202461247189679</v>
          </cell>
          <cell r="D8">
            <v>0.334857921370183</v>
          </cell>
          <cell r="E8">
            <v>0.24018857378921532</v>
          </cell>
          <cell r="F8">
            <v>-0.10851376506319188</v>
          </cell>
          <cell r="G8">
            <v>-3.1540541134580269E-2</v>
          </cell>
          <cell r="H8">
            <v>3.0287914599490318E-2</v>
          </cell>
          <cell r="I8">
            <v>0.11565000933401381</v>
          </cell>
          <cell r="J8">
            <v>2.1740717769811457E-3</v>
          </cell>
          <cell r="K8">
            <v>-1.5359177538758373E-2</v>
          </cell>
          <cell r="L8">
            <v>-1.1836856321547073E-2</v>
          </cell>
          <cell r="M8">
            <v>-8.0565884616177197E-3</v>
          </cell>
          <cell r="N8">
            <v>-6.2819130020805858E-3</v>
          </cell>
        </row>
        <row r="9">
          <cell r="B9" t="str">
            <v>EBIT Growth</v>
          </cell>
          <cell r="C9">
            <v>-0.51134380453752182</v>
          </cell>
          <cell r="D9">
            <v>9.8214285714285712</v>
          </cell>
          <cell r="E9">
            <v>0.4844884488448844</v>
          </cell>
          <cell r="F9">
            <v>5.5580257892396512E-2</v>
          </cell>
          <cell r="G9">
            <v>0.11415332771693354</v>
          </cell>
          <cell r="H9">
            <v>1.4683877163309322E-2</v>
          </cell>
          <cell r="I9">
            <v>2.6606350536027001E-2</v>
          </cell>
          <cell r="J9">
            <v>2.0388165604286579E-2</v>
          </cell>
          <cell r="K9">
            <v>-3.3036934964087661E-2</v>
          </cell>
          <cell r="L9">
            <v>-5.5773287470534227E-2</v>
          </cell>
          <cell r="M9">
            <v>-0.33502705799693899</v>
          </cell>
          <cell r="N9">
            <v>-9.1541489031663925E-2</v>
          </cell>
        </row>
        <row r="10">
          <cell r="B10" t="str">
            <v>EBIT Margins</v>
          </cell>
          <cell r="C10">
            <v>9.0826521344232521E-3</v>
          </cell>
          <cell r="D10">
            <v>7.3631260479696731E-2</v>
          </cell>
          <cell r="E10">
            <v>8.8135593220338981E-2</v>
          </cell>
          <cell r="F10">
            <v>0.10435852913378904</v>
          </cell>
          <cell r="G10">
            <v>0.12005809995007036</v>
          </cell>
          <cell r="H10">
            <v>0.11823978192499102</v>
          </cell>
          <cell r="I10">
            <v>0.10880268004716981</v>
          </cell>
          <cell r="J10">
            <v>0.110780123166934</v>
          </cell>
          <cell r="K10">
            <v>0.10879123127841976</v>
          </cell>
          <cell r="L10">
            <v>0.1039540761251881</v>
          </cell>
          <cell r="M10">
            <v>6.9688096145494399E-2</v>
          </cell>
          <cell r="N10">
            <v>6.3708958189352793E-2</v>
          </cell>
        </row>
        <row r="11">
          <cell r="B11" t="str">
            <v>EBITDA Margins</v>
          </cell>
          <cell r="C11">
            <v>0</v>
          </cell>
          <cell r="D11">
            <v>0.10092099827464703</v>
          </cell>
          <cell r="E11">
            <v>0.10637797589889292</v>
          </cell>
          <cell r="F11">
            <v>0.12596434929775591</v>
          </cell>
          <cell r="G11">
            <v>0.14325268939222005</v>
          </cell>
          <cell r="H11">
            <v>0.14041020228560883</v>
          </cell>
          <cell r="I11">
            <v>0.12885310859189888</v>
          </cell>
          <cell r="J11">
            <v>0.13070247486211903</v>
          </cell>
          <cell r="K11">
            <v>0.12893101315332181</v>
          </cell>
          <cell r="L11">
            <v>0.12423683594401187</v>
          </cell>
          <cell r="M11">
            <v>9.0036009382296181E-2</v>
          </cell>
          <cell r="N11">
            <v>8.4012142706406515E-2</v>
          </cell>
        </row>
        <row r="12">
          <cell r="B12" t="str">
            <v>-Taxes</v>
          </cell>
          <cell r="C12">
            <v>76.396141906098705</v>
          </cell>
          <cell r="D12">
            <v>694.30398804786842</v>
          </cell>
          <cell r="E12">
            <v>1354.3479150677922</v>
          </cell>
          <cell r="F12">
            <v>1506.4628662275722</v>
          </cell>
          <cell r="G12">
            <v>1203.8141025641025</v>
          </cell>
          <cell r="H12">
            <v>1717.6568672620497</v>
          </cell>
          <cell r="I12">
            <v>1763.357447973038</v>
          </cell>
          <cell r="J12">
            <v>1793.6862307929839</v>
          </cell>
          <cell r="K12">
            <v>1728.9912560188536</v>
          </cell>
          <cell r="L12">
            <v>1627.4258940350035</v>
          </cell>
          <cell r="M12">
            <v>1082.1941846484181</v>
          </cell>
          <cell r="N12">
            <v>976.92581398344726</v>
          </cell>
        </row>
        <row r="13">
          <cell r="B13" t="str">
            <v>Tax rate</v>
          </cell>
          <cell r="C13">
            <v>0.27284336395035252</v>
          </cell>
          <cell r="D13">
            <v>0.22914323037883447</v>
          </cell>
          <cell r="E13">
            <v>0.30110002558199028</v>
          </cell>
          <cell r="F13">
            <v>0.31728367022484671</v>
          </cell>
          <cell r="G13">
            <v>0.22756410256410256</v>
          </cell>
          <cell r="H13">
            <v>0.31999999999999995</v>
          </cell>
          <cell r="I13">
            <v>0.32</v>
          </cell>
          <cell r="J13">
            <v>0.31900000000000001</v>
          </cell>
          <cell r="K13">
            <v>0.318</v>
          </cell>
          <cell r="L13">
            <v>0.317</v>
          </cell>
          <cell r="M13">
            <v>0.317</v>
          </cell>
          <cell r="N13">
            <v>0.315</v>
          </cell>
        </row>
        <row r="14">
          <cell r="B14" t="str">
            <v>=NOPAT</v>
          </cell>
          <cell r="C14">
            <v>203.60385809390129</v>
          </cell>
          <cell r="D14">
            <v>2335.6960119521318</v>
          </cell>
          <cell r="E14">
            <v>3143.6520849322078</v>
          </cell>
          <cell r="F14">
            <v>3241.5371337724278</v>
          </cell>
          <cell r="G14">
            <v>4086.1858974358975</v>
          </cell>
          <cell r="H14">
            <v>3650.0208429318564</v>
          </cell>
          <cell r="I14">
            <v>3747.1345769427062</v>
          </cell>
          <cell r="J14">
            <v>3829.1546180878431</v>
          </cell>
          <cell r="K14">
            <v>3708.0881654240825</v>
          </cell>
          <cell r="L14">
            <v>3506.4097338356696</v>
          </cell>
          <cell r="M14">
            <v>2331.6675965768754</v>
          </cell>
          <cell r="N14">
            <v>2124.4259764401945</v>
          </cell>
        </row>
        <row r="15">
          <cell r="B15" t="str">
            <v>+Depreciation &amp; amortization</v>
          </cell>
          <cell r="C15">
            <v>1774</v>
          </cell>
          <cell r="D15">
            <v>1123</v>
          </cell>
          <cell r="E15">
            <v>931</v>
          </cell>
          <cell r="F15">
            <v>983</v>
          </cell>
          <cell r="G15">
            <v>1022</v>
          </cell>
          <cell r="H15">
            <v>1006.4605098038063</v>
          </cell>
          <cell r="I15">
            <v>1015.4871786611533</v>
          </cell>
          <cell r="J15">
            <v>1011.1941539246532</v>
          </cell>
          <cell r="K15">
            <v>1006.5295915636952</v>
          </cell>
          <cell r="L15">
            <v>1001.6764986110137</v>
          </cell>
          <cell r="M15">
            <v>996.79812147224277</v>
          </cell>
          <cell r="N15">
            <v>988.35892852175675</v>
          </cell>
        </row>
        <row r="16">
          <cell r="B16" t="str">
            <v xml:space="preserve">Gross Cash Flow </v>
          </cell>
          <cell r="C16">
            <v>1977.6038580939012</v>
          </cell>
          <cell r="D16">
            <v>3458.6960119521318</v>
          </cell>
          <cell r="E16">
            <v>4074.6520849322078</v>
          </cell>
          <cell r="F16">
            <v>4224.5371337724282</v>
          </cell>
          <cell r="G16">
            <v>5108.1858974358975</v>
          </cell>
          <cell r="H16">
            <v>4656.4813527356628</v>
          </cell>
          <cell r="I16">
            <v>4762.6217556038591</v>
          </cell>
          <cell r="J16">
            <v>4840.3487720124958</v>
          </cell>
          <cell r="K16">
            <v>4714.6177569877782</v>
          </cell>
          <cell r="L16">
            <v>4508.0862324466834</v>
          </cell>
          <cell r="M16">
            <v>3328.4657180491181</v>
          </cell>
          <cell r="N16">
            <v>3112.7849049619513</v>
          </cell>
        </row>
        <row r="18">
          <cell r="B18" t="str">
            <v xml:space="preserve">+Changes in working capital </v>
          </cell>
          <cell r="C18">
            <v>-2397</v>
          </cell>
          <cell r="D18">
            <v>-838</v>
          </cell>
          <cell r="E18">
            <v>-504</v>
          </cell>
          <cell r="F18">
            <v>802</v>
          </cell>
          <cell r="G18">
            <v>553.81022385566393</v>
          </cell>
          <cell r="H18">
            <v>-134.74194216315118</v>
          </cell>
          <cell r="I18">
            <v>-548.12758341356493</v>
          </cell>
          <cell r="J18">
            <v>3.8889274854082032</v>
          </cell>
          <cell r="K18">
            <v>65.538449191155451</v>
          </cell>
          <cell r="L18">
            <v>59.164597558201422</v>
          </cell>
          <cell r="M18">
            <v>26.385234569834211</v>
          </cell>
          <cell r="N18">
            <v>43.289664449368502</v>
          </cell>
        </row>
        <row r="19">
          <cell r="B19" t="str">
            <v>+Capital expenditures, asset purchases</v>
          </cell>
          <cell r="C19">
            <v>-759</v>
          </cell>
          <cell r="D19">
            <v>-538</v>
          </cell>
          <cell r="E19">
            <v>-979</v>
          </cell>
          <cell r="F19">
            <v>-1048</v>
          </cell>
          <cell r="G19">
            <v>-1644.3598648693337</v>
          </cell>
          <cell r="H19">
            <v>-1639.4643270606</v>
          </cell>
          <cell r="I19">
            <v>-1347.7234571425172</v>
          </cell>
          <cell r="J19">
            <v>-1106.9897278536007</v>
          </cell>
          <cell r="K19">
            <v>-1094.8431142483651</v>
          </cell>
          <cell r="L19">
            <v>-1086.0864945079024</v>
          </cell>
          <cell r="M19">
            <v>-1080.513149114827</v>
          </cell>
          <cell r="N19">
            <v>-1004.2513783705235</v>
          </cell>
        </row>
        <row r="20">
          <cell r="B20" t="str">
            <v xml:space="preserve">          Working Capital to Sales</v>
          </cell>
          <cell r="C20">
            <v>0.13004411573893862</v>
          </cell>
          <cell r="D20">
            <v>0.11778571602148186</v>
          </cell>
          <cell r="E20">
            <v>0.10484961301067895</v>
          </cell>
          <cell r="F20">
            <v>9.9984614370178249E-2</v>
          </cell>
          <cell r="G20">
            <v>9.0672002545148567E-2</v>
          </cell>
          <cell r="H20">
            <v>9.0974580088963683E-2</v>
          </cell>
          <cell r="I20">
            <v>9.2366595785904379E-2</v>
          </cell>
          <cell r="J20">
            <v>9.2089600911276506E-2</v>
          </cell>
          <cell r="K20">
            <v>9.221471727215709E-2</v>
          </cell>
          <cell r="L20">
            <v>9.2121311855619711E-2</v>
          </cell>
          <cell r="M20">
            <v>9.2330914361738833E-2</v>
          </cell>
          <cell r="N20">
            <v>9.2025325667167507E-2</v>
          </cell>
        </row>
        <row r="21">
          <cell r="B21" t="str">
            <v xml:space="preserve">          Depreciation to Sales</v>
          </cell>
          <cell r="C21">
            <v>5.7545088880238744E-2</v>
          </cell>
          <cell r="D21">
            <v>2.7289737794950305E-2</v>
          </cell>
          <cell r="E21">
            <v>1.8242382678553933E-2</v>
          </cell>
          <cell r="F21">
            <v>2.1605820163966855E-2</v>
          </cell>
          <cell r="G21">
            <v>2.3194589442149697E-2</v>
          </cell>
          <cell r="H21">
            <v>2.2170420360617806E-2</v>
          </cell>
          <cell r="I21">
            <v>2.0050428544729087E-2</v>
          </cell>
          <cell r="J21">
            <v>1.992235169518505E-2</v>
          </cell>
          <cell r="K21">
            <v>2.0139781874902046E-2</v>
          </cell>
          <cell r="L21">
            <v>2.028275981882377E-2</v>
          </cell>
          <cell r="M21">
            <v>2.0347913236801782E-2</v>
          </cell>
          <cell r="N21">
            <v>2.0303184517053721E-2</v>
          </cell>
        </row>
        <row r="22">
          <cell r="B22" t="str">
            <v xml:space="preserve">         Capex to Sales</v>
          </cell>
          <cell r="C22">
            <v>2.5269235759698975E-2</v>
          </cell>
          <cell r="D22">
            <v>1.6816116254769021E-2</v>
          </cell>
          <cell r="E22">
            <v>2.0574115802880377E-2</v>
          </cell>
          <cell r="F22">
            <v>2.3298239444358968E-2</v>
          </cell>
          <cell r="G22">
            <v>3.5049699624831683E-2</v>
          </cell>
          <cell r="H22">
            <v>3.2810080397009674E-2</v>
          </cell>
          <cell r="I22">
            <v>2.3648618218345019E-2</v>
          </cell>
          <cell r="J22">
            <v>1.8854426573751221E-2</v>
          </cell>
          <cell r="K22">
            <v>1.8905489104799E-2</v>
          </cell>
          <cell r="L22">
            <v>1.895464010993192E-2</v>
          </cell>
          <cell r="M22">
            <v>1.8994819929964064E-2</v>
          </cell>
          <cell r="N22">
            <v>1.7548304425139234E-2</v>
          </cell>
        </row>
        <row r="23">
          <cell r="B23" t="str">
            <v xml:space="preserve">         Capex to Depreciation</v>
          </cell>
          <cell r="C23">
            <v>0.51419141914191424</v>
          </cell>
          <cell r="D23">
            <v>0.75877192982456143</v>
          </cell>
          <cell r="E23">
            <v>1.4423076923076923</v>
          </cell>
          <cell r="F23">
            <v>1.3118811881188119</v>
          </cell>
          <cell r="G23">
            <v>1.7710548909051993</v>
          </cell>
          <cell r="H23">
            <v>1.7373211756280924</v>
          </cell>
          <cell r="I23">
            <v>1.3838719817840741</v>
          </cell>
          <cell r="J23">
            <v>1.1112357457286326</v>
          </cell>
          <cell r="K23">
            <v>1.1031062132055978</v>
          </cell>
          <cell r="L23">
            <v>1.0991103970046747</v>
          </cell>
          <cell r="M23">
            <v>1.0988606676370956</v>
          </cell>
          <cell r="N23">
            <v>1.0189566178734319</v>
          </cell>
        </row>
        <row r="24">
          <cell r="B24" t="str">
            <v>= Gross investment</v>
          </cell>
          <cell r="C24">
            <v>-3156</v>
          </cell>
          <cell r="D24">
            <v>-1376</v>
          </cell>
          <cell r="E24">
            <v>-1483</v>
          </cell>
          <cell r="F24">
            <v>-246</v>
          </cell>
          <cell r="G24">
            <v>-1090.5496410136698</v>
          </cell>
          <cell r="H24">
            <v>-1774.2062692237512</v>
          </cell>
          <cell r="I24">
            <v>-1895.8510405560821</v>
          </cell>
          <cell r="J24">
            <v>-1103.1008003681925</v>
          </cell>
          <cell r="K24">
            <v>-1029.3046650572096</v>
          </cell>
          <cell r="L24">
            <v>-1026.921896949701</v>
          </cell>
          <cell r="M24">
            <v>-1054.1279145449928</v>
          </cell>
          <cell r="N24">
            <v>-960.96171392115502</v>
          </cell>
        </row>
        <row r="26">
          <cell r="B26" t="str">
            <v>Free cash flow from operations</v>
          </cell>
          <cell r="C26">
            <v>-1178.3961419060988</v>
          </cell>
          <cell r="D26">
            <v>2082.6960119521318</v>
          </cell>
          <cell r="E26">
            <v>2591.6520849322078</v>
          </cell>
          <cell r="F26">
            <v>3978.5371337724282</v>
          </cell>
          <cell r="G26">
            <v>4017.6362564222277</v>
          </cell>
          <cell r="H26">
            <v>2882.2750835119114</v>
          </cell>
          <cell r="I26">
            <v>2866.7707150477772</v>
          </cell>
          <cell r="J26">
            <v>3737.2479716443031</v>
          </cell>
          <cell r="K26">
            <v>3685.3130919305686</v>
          </cell>
          <cell r="L26">
            <v>3481.1643354969824</v>
          </cell>
          <cell r="M26">
            <v>2274.3378035041251</v>
          </cell>
          <cell r="N26">
            <v>27038.995095819013</v>
          </cell>
        </row>
        <row r="29">
          <cell r="B29" t="str">
            <v xml:space="preserve">+ Present Enterprise Value of LyondellBasell (USD mm) Year 2013e </v>
          </cell>
          <cell r="C29">
            <v>31300.804802620867</v>
          </cell>
          <cell r="E29" t="str">
            <v>Terminal Value LyondellBasell (USD mm) MS Estimates</v>
          </cell>
          <cell r="I29">
            <v>24887.171904778217</v>
          </cell>
        </row>
        <row r="30">
          <cell r="B30" t="str">
            <v xml:space="preserve"> -Minority Interest</v>
          </cell>
          <cell r="C30">
            <v>-40</v>
          </cell>
          <cell r="E30" t="str">
            <v>Terminal value Weight</v>
          </cell>
          <cell r="I30">
            <v>0.22292896629127149</v>
          </cell>
        </row>
        <row r="31">
          <cell r="B31" t="str">
            <v xml:space="preserve">- LyondellBasell (USD mm) Net Debt 2012 </v>
          </cell>
          <cell r="C31">
            <v>1708</v>
          </cell>
          <cell r="E31" t="str">
            <v>NPV of TV</v>
          </cell>
          <cell r="I31">
            <v>10319.203403063832</v>
          </cell>
        </row>
        <row r="32">
          <cell r="B32" t="str">
            <v>- Preferred stock</v>
          </cell>
          <cell r="C32">
            <v>0</v>
          </cell>
        </row>
        <row r="33">
          <cell r="B33" t="str">
            <v>= Implied equity value of LyondellBasell (USD mm) Year 2013e</v>
          </cell>
          <cell r="C33">
            <v>29632.804802620867</v>
          </cell>
        </row>
        <row r="34">
          <cell r="B34" t="str">
            <v>Fully-diluted shares</v>
          </cell>
          <cell r="C34">
            <v>577</v>
          </cell>
        </row>
        <row r="35">
          <cell r="B35" t="str">
            <v>Implied Value per LyondellBasell (USD mm) Share</v>
          </cell>
          <cell r="C35">
            <v>51.356680767107221</v>
          </cell>
        </row>
        <row r="36">
          <cell r="B36" t="str">
            <v>Current Share price</v>
          </cell>
          <cell r="C36">
            <v>76</v>
          </cell>
        </row>
        <row r="37">
          <cell r="B37" t="str">
            <v>Upside/Downside</v>
          </cell>
          <cell r="C37">
            <v>-0.32425420043279973</v>
          </cell>
        </row>
        <row r="40">
          <cell r="B40" t="str">
            <v>Capital Structure</v>
          </cell>
          <cell r="C40">
            <v>2012</v>
          </cell>
        </row>
        <row r="41">
          <cell r="B41" t="str">
            <v>Debt (Book Value) Weight</v>
          </cell>
          <cell r="C41">
            <v>0.2</v>
          </cell>
        </row>
        <row r="42">
          <cell r="B42" t="str">
            <v>Equity (Market Value) Weight</v>
          </cell>
          <cell r="C42">
            <v>0.8</v>
          </cell>
        </row>
        <row r="43">
          <cell r="B43" t="str">
            <v>Debt to Equity Ratio</v>
          </cell>
          <cell r="C43">
            <v>1</v>
          </cell>
        </row>
        <row r="45">
          <cell r="B45" t="str">
            <v>Cost of Debt</v>
          </cell>
          <cell r="C45">
            <v>2012</v>
          </cell>
        </row>
        <row r="46">
          <cell r="B46" t="str">
            <v>Debt Rating of the Company</v>
          </cell>
          <cell r="C46" t="str">
            <v>B1</v>
          </cell>
        </row>
        <row r="47">
          <cell r="B47" t="str">
            <v>LyondellBasell (USD mm) Cost of Long-term Debt</v>
          </cell>
          <cell r="C47">
            <v>0.05</v>
          </cell>
        </row>
        <row r="48">
          <cell r="B48" t="str">
            <v>LyondellBasell (USD mm) After tax Cost of Long-term Debt</v>
          </cell>
          <cell r="C48">
            <v>3.5800468623570524E-2</v>
          </cell>
        </row>
        <row r="51">
          <cell r="B51" t="str">
            <v>Cost of Equity</v>
          </cell>
          <cell r="C51">
            <v>2012</v>
          </cell>
        </row>
        <row r="52">
          <cell r="B52" t="str">
            <v>Current Market cap</v>
          </cell>
          <cell r="C52">
            <v>43852</v>
          </cell>
        </row>
        <row r="53">
          <cell r="B53" t="str">
            <v xml:space="preserve">Risk Free Rate </v>
          </cell>
          <cell r="C53">
            <v>0.05</v>
          </cell>
        </row>
        <row r="54">
          <cell r="B54" t="str">
            <v>Rm (Market Normalised Return)</v>
          </cell>
          <cell r="C54">
            <v>0.1</v>
          </cell>
        </row>
        <row r="55">
          <cell r="B55" t="str">
            <v>Market Risk Premium</v>
          </cell>
          <cell r="C55">
            <v>0.05</v>
          </cell>
        </row>
        <row r="56">
          <cell r="B56" t="str">
            <v>LyondellBasell (USD mm) Market Beta</v>
          </cell>
          <cell r="C56">
            <v>1.39</v>
          </cell>
        </row>
        <row r="57">
          <cell r="B57" t="str">
            <v>LyondellBasell (USD mm) Cost of Equity</v>
          </cell>
          <cell r="C57">
            <v>0.1195</v>
          </cell>
        </row>
        <row r="59">
          <cell r="B59" t="str">
            <v>LyondellBasell (USD mm) WACC</v>
          </cell>
          <cell r="C59">
            <v>0.1027600937247141</v>
          </cell>
        </row>
        <row r="60">
          <cell r="B60" t="str">
            <v>Assumed Long Term growth</v>
          </cell>
          <cell r="C60">
            <v>1.4999999999999999E-2</v>
          </cell>
        </row>
        <row r="63">
          <cell r="E63" t="str">
            <v>Valuation Window</v>
          </cell>
        </row>
        <row r="64">
          <cell r="F64" t="str">
            <v>FCF Yield</v>
          </cell>
        </row>
        <row r="65">
          <cell r="F65">
            <v>7.0000000000000007E-2</v>
          </cell>
          <cell r="H65" t="str">
            <v>Average</v>
          </cell>
        </row>
        <row r="66">
          <cell r="F66">
            <v>75.383773442329442</v>
          </cell>
          <cell r="H66">
            <v>75.383773442329442</v>
          </cell>
        </row>
      </sheetData>
      <sheetData sheetId="14" refreshError="1"/>
      <sheetData sheetId="15" refreshError="1"/>
      <sheetData sheetId="16" refreshError="1">
        <row r="1">
          <cell r="A1" t="str">
            <v>LyondellBasell (LYB)</v>
          </cell>
        </row>
        <row r="3">
          <cell r="A3" t="str">
            <v>In US$ millions (except per share data)</v>
          </cell>
          <cell r="B3">
            <v>1991</v>
          </cell>
          <cell r="C3">
            <v>1992</v>
          </cell>
          <cell r="D3">
            <v>1993</v>
          </cell>
          <cell r="E3">
            <v>1994</v>
          </cell>
          <cell r="F3">
            <v>1995</v>
          </cell>
          <cell r="G3">
            <v>1996</v>
          </cell>
          <cell r="H3">
            <v>1997</v>
          </cell>
          <cell r="I3">
            <v>1998</v>
          </cell>
          <cell r="J3">
            <v>1999</v>
          </cell>
          <cell r="K3">
            <v>2000</v>
          </cell>
          <cell r="L3">
            <v>2001</v>
          </cell>
          <cell r="M3">
            <v>2002</v>
          </cell>
          <cell r="N3">
            <v>2003</v>
          </cell>
          <cell r="O3">
            <v>2004</v>
          </cell>
          <cell r="P3">
            <v>2005</v>
          </cell>
          <cell r="Q3">
            <v>2006</v>
          </cell>
          <cell r="R3">
            <v>2007</v>
          </cell>
          <cell r="S3">
            <v>2008</v>
          </cell>
          <cell r="T3" t="str">
            <v>2009</v>
          </cell>
          <cell r="U3" t="str">
            <v>2010</v>
          </cell>
          <cell r="V3" t="str">
            <v>2011</v>
          </cell>
          <cell r="W3" t="str">
            <v>2012</v>
          </cell>
          <cell r="X3" t="str">
            <v>2013e</v>
          </cell>
          <cell r="Y3" t="str">
            <v>2014e</v>
          </cell>
          <cell r="Z3" t="str">
            <v>2015e</v>
          </cell>
          <cell r="AA3" t="str">
            <v>2016e</v>
          </cell>
          <cell r="AB3" t="str">
            <v>2017e</v>
          </cell>
          <cell r="AC3" t="str">
            <v>2018e</v>
          </cell>
          <cell r="AD3" t="str">
            <v>2019e</v>
          </cell>
          <cell r="AE3" t="str">
            <v>2020e</v>
          </cell>
        </row>
        <row r="4">
          <cell r="B4">
            <v>33603</v>
          </cell>
          <cell r="C4">
            <v>33969</v>
          </cell>
          <cell r="D4">
            <v>34334</v>
          </cell>
          <cell r="E4">
            <v>34699</v>
          </cell>
          <cell r="F4">
            <v>35064</v>
          </cell>
          <cell r="G4">
            <v>35430</v>
          </cell>
          <cell r="H4">
            <v>35795</v>
          </cell>
          <cell r="I4">
            <v>36160</v>
          </cell>
          <cell r="J4">
            <v>36525</v>
          </cell>
          <cell r="K4">
            <v>36891</v>
          </cell>
          <cell r="L4">
            <v>37256</v>
          </cell>
          <cell r="M4">
            <v>37621</v>
          </cell>
          <cell r="N4">
            <v>37986</v>
          </cell>
          <cell r="O4">
            <v>38352</v>
          </cell>
          <cell r="P4">
            <v>38717</v>
          </cell>
          <cell r="Q4">
            <v>39082</v>
          </cell>
          <cell r="R4">
            <v>39447</v>
          </cell>
          <cell r="S4">
            <v>39813</v>
          </cell>
          <cell r="T4">
            <v>40178</v>
          </cell>
          <cell r="U4">
            <v>40543</v>
          </cell>
          <cell r="V4">
            <v>40908</v>
          </cell>
          <cell r="W4">
            <v>41274</v>
          </cell>
          <cell r="X4">
            <v>41639</v>
          </cell>
          <cell r="Y4">
            <v>42004</v>
          </cell>
          <cell r="Z4">
            <v>42369</v>
          </cell>
        </row>
        <row r="6">
          <cell r="A6" t="str">
            <v>Balance Sheet Measures</v>
          </cell>
        </row>
        <row r="7">
          <cell r="A7" t="str">
            <v>Book Value of Equity</v>
          </cell>
          <cell r="C7">
            <v>-6</v>
          </cell>
          <cell r="D7">
            <v>36</v>
          </cell>
          <cell r="E7">
            <v>331</v>
          </cell>
          <cell r="F7">
            <v>839</v>
          </cell>
          <cell r="G7">
            <v>1040</v>
          </cell>
          <cell r="H7">
            <v>624</v>
          </cell>
          <cell r="I7">
            <v>790</v>
          </cell>
          <cell r="J7">
            <v>1209</v>
          </cell>
          <cell r="K7">
            <v>1326</v>
          </cell>
          <cell r="L7">
            <v>925</v>
          </cell>
          <cell r="M7">
            <v>1344</v>
          </cell>
          <cell r="N7">
            <v>1311</v>
          </cell>
          <cell r="O7">
            <v>2854</v>
          </cell>
          <cell r="P7">
            <v>3188</v>
          </cell>
          <cell r="Q7">
            <v>3362</v>
          </cell>
          <cell r="R7">
            <v>2065</v>
          </cell>
          <cell r="S7">
            <v>-5946</v>
          </cell>
          <cell r="T7">
            <v>-8847</v>
          </cell>
          <cell r="U7">
            <v>11596</v>
          </cell>
          <cell r="V7">
            <v>10647</v>
          </cell>
          <cell r="W7">
            <v>11179</v>
          </cell>
          <cell r="X7">
            <v>11928.099282115732</v>
          </cell>
          <cell r="Y7">
            <v>10012.110280403063</v>
          </cell>
          <cell r="Z7">
            <v>9374.3969537641788</v>
          </cell>
          <cell r="AA7">
            <v>9716.9207680276922</v>
          </cell>
          <cell r="AB7">
            <v>10016.82571921309</v>
          </cell>
          <cell r="AC7">
            <v>10298.296220055512</v>
          </cell>
          <cell r="AD7">
            <v>10461.283044658216</v>
          </cell>
          <cell r="AE7">
            <v>10571.232385325853</v>
          </cell>
        </row>
        <row r="8">
          <cell r="A8" t="str">
            <v>Total Net Debt (Excluding pension liabilities)</v>
          </cell>
          <cell r="C8">
            <v>633</v>
          </cell>
          <cell r="D8">
            <v>730</v>
          </cell>
          <cell r="E8">
            <v>891</v>
          </cell>
          <cell r="F8">
            <v>1406</v>
          </cell>
          <cell r="G8">
            <v>1847</v>
          </cell>
          <cell r="H8">
            <v>264</v>
          </cell>
          <cell r="I8">
            <v>6977</v>
          </cell>
          <cell r="J8">
            <v>6166</v>
          </cell>
          <cell r="K8">
            <v>3775</v>
          </cell>
          <cell r="L8">
            <v>3883</v>
          </cell>
          <cell r="M8">
            <v>3762</v>
          </cell>
          <cell r="N8">
            <v>3868</v>
          </cell>
          <cell r="O8">
            <v>7240</v>
          </cell>
          <cell r="P8">
            <v>5880</v>
          </cell>
          <cell r="Q8">
            <v>7768</v>
          </cell>
          <cell r="R8">
            <v>23999</v>
          </cell>
          <cell r="S8">
            <v>23214</v>
          </cell>
          <cell r="T8">
            <v>6544</v>
          </cell>
          <cell r="U8">
            <v>1921</v>
          </cell>
          <cell r="V8">
            <v>3021</v>
          </cell>
          <cell r="W8">
            <v>1708</v>
          </cell>
          <cell r="X8">
            <v>1212.5864564589167</v>
          </cell>
          <cell r="Y8">
            <v>3838.1897790958665</v>
          </cell>
          <cell r="Z8">
            <v>5243.7043274743137</v>
          </cell>
          <cell r="AA8">
            <v>4973.6539501269681</v>
          </cell>
          <cell r="AB8">
            <v>4706.5910357065886</v>
          </cell>
          <cell r="AC8">
            <v>4476.6147177253879</v>
          </cell>
          <cell r="AD8">
            <v>4377.4971316768551</v>
          </cell>
          <cell r="AE8">
            <v>4285.793454637791</v>
          </cell>
        </row>
        <row r="9">
          <cell r="A9" t="str">
            <v>Total Net Debt (Including pension liabilities)</v>
          </cell>
          <cell r="C9">
            <v>642</v>
          </cell>
          <cell r="D9">
            <v>776</v>
          </cell>
          <cell r="E9">
            <v>919</v>
          </cell>
          <cell r="F9">
            <v>1462</v>
          </cell>
          <cell r="G9">
            <v>1890</v>
          </cell>
          <cell r="H9">
            <v>303</v>
          </cell>
          <cell r="I9">
            <v>7089</v>
          </cell>
          <cell r="J9">
            <v>6181</v>
          </cell>
          <cell r="K9">
            <v>3863</v>
          </cell>
          <cell r="L9">
            <v>4164</v>
          </cell>
          <cell r="M9">
            <v>4152</v>
          </cell>
          <cell r="N9">
            <v>4300</v>
          </cell>
          <cell r="O9">
            <v>8163</v>
          </cell>
          <cell r="P9">
            <v>6796</v>
          </cell>
          <cell r="Q9">
            <v>8512</v>
          </cell>
          <cell r="R9">
            <v>24746</v>
          </cell>
          <cell r="S9">
            <v>24648</v>
          </cell>
          <cell r="T9">
            <v>8037</v>
          </cell>
          <cell r="U9">
            <v>3426</v>
          </cell>
          <cell r="V9">
            <v>4464</v>
          </cell>
          <cell r="W9">
            <v>3220</v>
          </cell>
          <cell r="X9">
            <v>2644.8893832881849</v>
          </cell>
          <cell r="Y9">
            <v>5310.2201656697989</v>
          </cell>
          <cell r="Z9">
            <v>6784.829171454131</v>
          </cell>
          <cell r="AA9">
            <v>6566.0365291588305</v>
          </cell>
          <cell r="AB9">
            <v>6324.9363237149464</v>
          </cell>
          <cell r="AC9">
            <v>6095.7944171952795</v>
          </cell>
          <cell r="AD9">
            <v>5984.6475514028107</v>
          </cell>
          <cell r="AE9">
            <v>5853.2049358963004</v>
          </cell>
        </row>
        <row r="10">
          <cell r="A10" t="str">
            <v>Net Debt to Equity (Including Pension Liabilities)</v>
          </cell>
          <cell r="C10">
            <v>-107</v>
          </cell>
          <cell r="D10">
            <v>21.555555555555557</v>
          </cell>
          <cell r="E10">
            <v>2.7764350453172204</v>
          </cell>
          <cell r="F10">
            <v>1.7425506555423123</v>
          </cell>
          <cell r="G10">
            <v>1.8173076923076923</v>
          </cell>
          <cell r="H10">
            <v>0.48557692307692307</v>
          </cell>
          <cell r="I10">
            <v>8.9734177215189881</v>
          </cell>
          <cell r="J10">
            <v>5.1124896608767578</v>
          </cell>
          <cell r="K10">
            <v>2.9132730015082955</v>
          </cell>
          <cell r="L10">
            <v>4.5016216216216218</v>
          </cell>
          <cell r="M10">
            <v>3.0892857142857144</v>
          </cell>
          <cell r="N10">
            <v>3.2799389778794814</v>
          </cell>
          <cell r="O10">
            <v>2.860196215837421</v>
          </cell>
          <cell r="P10">
            <v>2.1317440401505645</v>
          </cell>
          <cell r="Q10">
            <v>2.5318262938726948</v>
          </cell>
          <cell r="R10">
            <v>11.983535108958838</v>
          </cell>
          <cell r="S10">
            <v>-4.1453077699293646</v>
          </cell>
          <cell r="T10">
            <v>-0.90844354018311291</v>
          </cell>
          <cell r="U10">
            <v>0.29544670576060711</v>
          </cell>
          <cell r="V10">
            <v>0.41927303465765003</v>
          </cell>
          <cell r="W10">
            <v>0.28804007514088914</v>
          </cell>
          <cell r="X10">
            <v>0.22173603025368605</v>
          </cell>
          <cell r="Y10">
            <v>0.53037971186390309</v>
          </cell>
          <cell r="Z10">
            <v>0.72376166754169324</v>
          </cell>
          <cell r="AA10">
            <v>0.67573222895503582</v>
          </cell>
          <cell r="AB10">
            <v>0.63143120395747743</v>
          </cell>
          <cell r="AC10">
            <v>0.5919226138906325</v>
          </cell>
          <cell r="AD10">
            <v>0.57207586544164069</v>
          </cell>
          <cell r="AE10">
            <v>0.55369182348325396</v>
          </cell>
        </row>
        <row r="11">
          <cell r="A11" t="str">
            <v>Net Debt to Equity (Excluding Pension Liabilities)</v>
          </cell>
          <cell r="C11">
            <v>-105.5</v>
          </cell>
          <cell r="D11">
            <v>20.277777777777779</v>
          </cell>
          <cell r="E11">
            <v>2.6918429003021149</v>
          </cell>
          <cell r="F11">
            <v>1.6758045292014303</v>
          </cell>
          <cell r="G11">
            <v>1.7759615384615384</v>
          </cell>
          <cell r="H11">
            <v>0.42307692307692307</v>
          </cell>
          <cell r="I11">
            <v>8.8316455696202532</v>
          </cell>
          <cell r="J11">
            <v>5.1000827129859392</v>
          </cell>
          <cell r="K11">
            <v>2.8469079939668176</v>
          </cell>
          <cell r="L11">
            <v>4.197837837837838</v>
          </cell>
          <cell r="M11">
            <v>2.7991071428571428</v>
          </cell>
          <cell r="N11">
            <v>2.9504195270785658</v>
          </cell>
          <cell r="O11">
            <v>2.5367904695164682</v>
          </cell>
          <cell r="P11">
            <v>1.8444165621079047</v>
          </cell>
          <cell r="Q11">
            <v>2.3105294467578821</v>
          </cell>
          <cell r="R11">
            <v>11.621791767554479</v>
          </cell>
          <cell r="S11">
            <v>-3.9041372351160444</v>
          </cell>
          <cell r="T11">
            <v>-0.73968576918729512</v>
          </cell>
          <cell r="U11">
            <v>0.16566057261124525</v>
          </cell>
          <cell r="V11">
            <v>0.28374189912651449</v>
          </cell>
          <cell r="W11">
            <v>0.1527864746399499</v>
          </cell>
          <cell r="X11">
            <v>0.10165797817234765</v>
          </cell>
          <cell r="Y11">
            <v>0.38335472458872577</v>
          </cell>
          <cell r="Z11">
            <v>0.55936444267689833</v>
          </cell>
          <cell r="AA11">
            <v>0.51185494549797628</v>
          </cell>
          <cell r="AB11">
            <v>0.46986851599893198</v>
          </cell>
          <cell r="AC11">
            <v>0.43469469338115979</v>
          </cell>
          <cell r="AD11">
            <v>0.41844744215310292</v>
          </cell>
          <cell r="AE11">
            <v>0.40542041820847585</v>
          </cell>
        </row>
        <row r="12">
          <cell r="A12" t="str">
            <v>Net Debt to Capital (pension inc.)</v>
          </cell>
          <cell r="C12">
            <v>1.0094339622641511</v>
          </cell>
          <cell r="D12">
            <v>0.95566502463054193</v>
          </cell>
          <cell r="E12">
            <v>0.73519999999999996</v>
          </cell>
          <cell r="F12">
            <v>0.63537592351151673</v>
          </cell>
          <cell r="G12">
            <v>0.6450511945392492</v>
          </cell>
          <cell r="H12">
            <v>0.32686084142394822</v>
          </cell>
          <cell r="I12">
            <v>0.89973346871430382</v>
          </cell>
          <cell r="J12">
            <v>0.83640054127198915</v>
          </cell>
          <cell r="K12">
            <v>0.74445943341684329</v>
          </cell>
          <cell r="L12">
            <v>0.81823540970721165</v>
          </cell>
          <cell r="M12">
            <v>0.75545851528384278</v>
          </cell>
          <cell r="N12">
            <v>0.76635180894671184</v>
          </cell>
          <cell r="O12">
            <v>0.74094581101933377</v>
          </cell>
          <cell r="P12">
            <v>0.68068910256410253</v>
          </cell>
          <cell r="Q12">
            <v>0.71686036718881585</v>
          </cell>
          <cell r="R12">
            <v>0.92297937413748088</v>
          </cell>
          <cell r="S12">
            <v>1.3179339108116779</v>
          </cell>
          <cell r="T12">
            <v>-9.9222222222222225</v>
          </cell>
          <cell r="U12">
            <v>0.22806550392757288</v>
          </cell>
          <cell r="V12">
            <v>0.29541393686718287</v>
          </cell>
          <cell r="W12">
            <v>0.2236266407389402</v>
          </cell>
          <cell r="X12">
            <v>0.18149258494704776</v>
          </cell>
          <cell r="Y12">
            <v>0.34656739615159632</v>
          </cell>
          <cell r="Z12">
            <v>0.41987339733216766</v>
          </cell>
          <cell r="AA12">
            <v>0.4032459466250245</v>
          </cell>
          <cell r="AB12">
            <v>0.38704126930131677</v>
          </cell>
          <cell r="AC12">
            <v>0.37182876147728278</v>
          </cell>
          <cell r="AD12">
            <v>0.36389838303441441</v>
          </cell>
          <cell r="AE12">
            <v>0.35637171742457957</v>
          </cell>
        </row>
        <row r="13">
          <cell r="A13" t="str">
            <v>Net Debt (Including Pension Liabilities) /EBITDA</v>
          </cell>
          <cell r="C13">
            <v>4.4895104895104891</v>
          </cell>
          <cell r="D13">
            <v>5.1390728476821188</v>
          </cell>
          <cell r="E13">
            <v>1.8793456032719837</v>
          </cell>
          <cell r="F13">
            <v>1.845959595959596</v>
          </cell>
          <cell r="G13">
            <v>5.308988764044944</v>
          </cell>
          <cell r="H13">
            <v>0.46048632218844987</v>
          </cell>
          <cell r="I13">
            <v>13.176579925650557</v>
          </cell>
          <cell r="J13">
            <v>7.4921212121212122</v>
          </cell>
          <cell r="K13">
            <v>4.7282741738066099</v>
          </cell>
          <cell r="L13">
            <v>9.5504587155963296</v>
          </cell>
          <cell r="M13">
            <v>9.6111111111111107</v>
          </cell>
          <cell r="N13">
            <v>29.452054794520549</v>
          </cell>
          <cell r="O13">
            <v>9.0498891352549897</v>
          </cell>
          <cell r="P13">
            <v>2.7772782999591334</v>
          </cell>
          <cell r="Q13">
            <v>3.2675623800383877</v>
          </cell>
          <cell r="R13">
            <v>15.781887755102041</v>
          </cell>
          <cell r="S13">
            <v>9.9227053140096615</v>
          </cell>
          <cell r="T13">
            <v>3.912852969814995</v>
          </cell>
          <cell r="U13">
            <v>0.82494582229713465</v>
          </cell>
          <cell r="V13">
            <v>0.82225087493092652</v>
          </cell>
          <cell r="W13">
            <v>0.56185656953411267</v>
          </cell>
          <cell r="X13">
            <v>0.41902556769457938</v>
          </cell>
          <cell r="Y13">
            <v>0.83308833012279815</v>
          </cell>
          <cell r="Z13">
            <v>1.0396645407229246</v>
          </cell>
          <cell r="AA13">
            <v>0.98975005805397565</v>
          </cell>
          <cell r="AB13">
            <v>0.98158288483175493</v>
          </cell>
          <cell r="AC13">
            <v>0.9935265861320719</v>
          </cell>
          <cell r="AD13">
            <v>1.356859899295938</v>
          </cell>
          <cell r="AE13">
            <v>1.4312026786592986</v>
          </cell>
        </row>
        <row r="14">
          <cell r="A14" t="str">
            <v>Net Interest Coverage</v>
          </cell>
          <cell r="C14">
            <v>2.0724637681159419</v>
          </cell>
          <cell r="D14">
            <v>2.0972222222222223</v>
          </cell>
          <cell r="E14">
            <v>7.0869565217391308</v>
          </cell>
          <cell r="F14">
            <v>10.702702702702704</v>
          </cell>
          <cell r="G14">
            <v>4.5641025641025639</v>
          </cell>
          <cell r="H14">
            <v>10.78688524590164</v>
          </cell>
          <cell r="I14">
            <v>2.053435114503817</v>
          </cell>
          <cell r="J14">
            <v>1.400679117147708</v>
          </cell>
          <cell r="K14">
            <v>1.7683982683982684</v>
          </cell>
          <cell r="L14">
            <v>1.1815718157181572</v>
          </cell>
          <cell r="M14">
            <v>1.158176943699732</v>
          </cell>
          <cell r="N14">
            <v>0.37244897959183676</v>
          </cell>
          <cell r="O14">
            <v>2.0089086859688194</v>
          </cell>
          <cell r="P14">
            <v>4.0580431177446101</v>
          </cell>
          <cell r="Q14">
            <v>4.277504105090312</v>
          </cell>
          <cell r="R14">
            <v>5.5406360424028271</v>
          </cell>
          <cell r="S14">
            <v>1.0319900290818447</v>
          </cell>
          <cell r="T14">
            <v>1.1558806978052898</v>
          </cell>
          <cell r="U14">
            <v>3.3600323624595467</v>
          </cell>
          <cell r="V14">
            <v>9.4417391304347831</v>
          </cell>
          <cell r="W14">
            <v>18.427652733118972</v>
          </cell>
          <cell r="X14">
            <v>21.469387755102041</v>
          </cell>
          <cell r="Y14">
            <v>19.919181937492851</v>
          </cell>
          <cell r="Z14">
            <v>13.88811616653161</v>
          </cell>
          <cell r="AA14">
            <v>13.545784817616855</v>
          </cell>
          <cell r="AB14">
            <v>11.8779010508513</v>
          </cell>
          <cell r="AC14">
            <v>10.860550762989929</v>
          </cell>
          <cell r="AD14">
            <v>8.5391647636507297</v>
          </cell>
          <cell r="AE14">
            <v>9.3262705342935579</v>
          </cell>
        </row>
        <row r="16">
          <cell r="A16" t="str">
            <v>Asset Profitability Ratios</v>
          </cell>
        </row>
        <row r="17">
          <cell r="A17" t="str">
            <v>NOA</v>
          </cell>
          <cell r="C17">
            <v>627</v>
          </cell>
          <cell r="D17">
            <v>646</v>
          </cell>
          <cell r="E17">
            <v>974</v>
          </cell>
          <cell r="F17">
            <v>1889</v>
          </cell>
          <cell r="G17">
            <v>2338</v>
          </cell>
          <cell r="H17">
            <v>-380</v>
          </cell>
          <cell r="I17">
            <v>6473</v>
          </cell>
          <cell r="J17">
            <v>6158</v>
          </cell>
          <cell r="K17">
            <v>3314</v>
          </cell>
          <cell r="L17">
            <v>3013</v>
          </cell>
          <cell r="M17">
            <v>2592</v>
          </cell>
          <cell r="N17">
            <v>2876</v>
          </cell>
          <cell r="O17">
            <v>8723</v>
          </cell>
          <cell r="P17">
            <v>7812</v>
          </cell>
          <cell r="Q17">
            <v>10060</v>
          </cell>
          <cell r="R17">
            <v>22067</v>
          </cell>
          <cell r="S17">
            <v>14754</v>
          </cell>
          <cell r="T17">
            <v>13052.5</v>
          </cell>
          <cell r="U17">
            <v>11351</v>
          </cell>
          <cell r="V17">
            <v>11518</v>
          </cell>
          <cell r="W17">
            <v>10479</v>
          </cell>
          <cell r="X17">
            <v>10636.185738574648</v>
          </cell>
          <cell r="Y17">
            <v>11351.078694245634</v>
          </cell>
          <cell r="Z17">
            <v>12081.487673678144</v>
          </cell>
          <cell r="AA17">
            <v>12122.340410672279</v>
          </cell>
          <cell r="AB17">
            <v>12128.413898457477</v>
          </cell>
          <cell r="AC17">
            <v>12157.23668871369</v>
          </cell>
          <cell r="AD17">
            <v>12205.304993641437</v>
          </cell>
          <cell r="AE17">
            <v>12217.607813799852</v>
          </cell>
        </row>
        <row r="18">
          <cell r="A18" t="str">
            <v xml:space="preserve">  Operating Assets</v>
          </cell>
          <cell r="C18">
            <v>1094</v>
          </cell>
          <cell r="D18">
            <v>1112</v>
          </cell>
          <cell r="E18">
            <v>1569</v>
          </cell>
          <cell r="F18">
            <v>2596</v>
          </cell>
          <cell r="G18">
            <v>3208</v>
          </cell>
          <cell r="H18">
            <v>110</v>
          </cell>
          <cell r="I18">
            <v>7914</v>
          </cell>
          <cell r="J18">
            <v>8176</v>
          </cell>
          <cell r="K18">
            <v>5181</v>
          </cell>
          <cell r="L18">
            <v>4938</v>
          </cell>
          <cell r="M18">
            <v>4769</v>
          </cell>
          <cell r="N18">
            <v>5047</v>
          </cell>
          <cell r="O18">
            <v>13934</v>
          </cell>
          <cell r="P18">
            <v>13311</v>
          </cell>
          <cell r="Q18">
            <v>16504</v>
          </cell>
          <cell r="R18">
            <v>35315</v>
          </cell>
          <cell r="S18">
            <v>25382</v>
          </cell>
          <cell r="T18">
            <v>22274.5</v>
          </cell>
          <cell r="U18">
            <v>19167</v>
          </cell>
          <cell r="V18">
            <v>19678</v>
          </cell>
          <cell r="W18">
            <v>19120</v>
          </cell>
          <cell r="X18">
            <v>18959.866714184402</v>
          </cell>
          <cell r="Y18">
            <v>19818.785872066157</v>
          </cell>
          <cell r="Z18">
            <v>21306.639594001244</v>
          </cell>
          <cell r="AA18">
            <v>21383.663309602292</v>
          </cell>
          <cell r="AB18">
            <v>21350.212851908807</v>
          </cell>
          <cell r="AC18">
            <v>21342.31316332276</v>
          </cell>
          <cell r="AD18">
            <v>21559.596674125238</v>
          </cell>
          <cell r="AE18">
            <v>21518.991189046748</v>
          </cell>
        </row>
        <row r="19">
          <cell r="A19" t="str">
            <v xml:space="preserve">  Operating Liabilities</v>
          </cell>
          <cell r="C19">
            <v>467</v>
          </cell>
          <cell r="D19">
            <v>466</v>
          </cell>
          <cell r="E19">
            <v>595</v>
          </cell>
          <cell r="F19">
            <v>707</v>
          </cell>
          <cell r="G19">
            <v>870</v>
          </cell>
          <cell r="H19">
            <v>490</v>
          </cell>
          <cell r="I19">
            <v>1441</v>
          </cell>
          <cell r="J19">
            <v>2018</v>
          </cell>
          <cell r="K19">
            <v>1867</v>
          </cell>
          <cell r="L19">
            <v>1925</v>
          </cell>
          <cell r="M19">
            <v>2177</v>
          </cell>
          <cell r="N19">
            <v>2171</v>
          </cell>
          <cell r="O19">
            <v>5211</v>
          </cell>
          <cell r="P19">
            <v>5499</v>
          </cell>
          <cell r="Q19">
            <v>6444</v>
          </cell>
          <cell r="R19">
            <v>13248</v>
          </cell>
          <cell r="S19">
            <v>10628</v>
          </cell>
          <cell r="T19">
            <v>9222</v>
          </cell>
          <cell r="U19">
            <v>7816</v>
          </cell>
          <cell r="V19">
            <v>8160</v>
          </cell>
          <cell r="W19">
            <v>8641</v>
          </cell>
          <cell r="X19">
            <v>8323.6809756097537</v>
          </cell>
          <cell r="Y19">
            <v>8467.7071778205227</v>
          </cell>
          <cell r="Z19">
            <v>9225.1519203231001</v>
          </cell>
          <cell r="AA19">
            <v>9261.3228989300133</v>
          </cell>
          <cell r="AB19">
            <v>9221.7989534513308</v>
          </cell>
          <cell r="AC19">
            <v>9185.0764746090699</v>
          </cell>
          <cell r="AD19">
            <v>9354.2916804838005</v>
          </cell>
          <cell r="AE19">
            <v>9301.3833752468963</v>
          </cell>
        </row>
        <row r="20">
          <cell r="A20" t="str">
            <v>Sales</v>
          </cell>
          <cell r="B20">
            <v>5735</v>
          </cell>
          <cell r="C20">
            <v>4809</v>
          </cell>
          <cell r="D20">
            <v>3850</v>
          </cell>
          <cell r="E20">
            <v>3857</v>
          </cell>
          <cell r="F20">
            <v>4936</v>
          </cell>
          <cell r="G20">
            <v>2644</v>
          </cell>
          <cell r="H20">
            <v>2878</v>
          </cell>
          <cell r="I20">
            <v>1447</v>
          </cell>
          <cell r="J20">
            <v>3693</v>
          </cell>
          <cell r="K20">
            <v>4036</v>
          </cell>
          <cell r="L20">
            <v>3193</v>
          </cell>
          <cell r="M20">
            <v>3262</v>
          </cell>
          <cell r="N20">
            <v>3801</v>
          </cell>
          <cell r="O20">
            <v>5946</v>
          </cell>
          <cell r="P20">
            <v>18606</v>
          </cell>
          <cell r="Q20">
            <v>20882</v>
          </cell>
          <cell r="R20">
            <v>17120</v>
          </cell>
          <cell r="S20">
            <v>50706</v>
          </cell>
          <cell r="T20">
            <v>30828</v>
          </cell>
          <cell r="U20">
            <v>41151</v>
          </cell>
          <cell r="V20">
            <v>51035</v>
          </cell>
          <cell r="W20">
            <v>45497</v>
          </cell>
          <cell r="X20">
            <v>44062</v>
          </cell>
          <cell r="Y20">
            <v>45396.546093082739</v>
          </cell>
          <cell r="Z20">
            <v>50646.657072479749</v>
          </cell>
          <cell r="AA20">
            <v>50756.766540219469</v>
          </cell>
          <cell r="AB20">
            <v>49977.184351634925</v>
          </cell>
          <cell r="AC20">
            <v>49385.611601109151</v>
          </cell>
          <cell r="AD20">
            <v>48987.732052513718</v>
          </cell>
          <cell r="AE20">
            <v>48679.99538159059</v>
          </cell>
        </row>
        <row r="21">
          <cell r="A21" t="str">
            <v>Net Operating Assets Turnover Ratio (x)</v>
          </cell>
          <cell r="C21">
            <v>7.6698564593301439</v>
          </cell>
          <cell r="D21">
            <v>5.9597523219814246</v>
          </cell>
          <cell r="E21">
            <v>3.9599589322381932</v>
          </cell>
          <cell r="F21">
            <v>2.6130227633668608</v>
          </cell>
          <cell r="G21">
            <v>1.1308810949529513</v>
          </cell>
          <cell r="H21">
            <v>-7.5736842105263156</v>
          </cell>
          <cell r="I21">
            <v>0.22354395179978373</v>
          </cell>
          <cell r="J21">
            <v>0.59970769730431961</v>
          </cell>
          <cell r="K21">
            <v>1.2178636089318045</v>
          </cell>
          <cell r="L21">
            <v>1.0597411218055095</v>
          </cell>
          <cell r="M21">
            <v>1.2584876543209877</v>
          </cell>
          <cell r="N21">
            <v>1.3216272600834493</v>
          </cell>
          <cell r="O21">
            <v>0.68164622262982921</v>
          </cell>
          <cell r="P21">
            <v>2.381720430107527</v>
          </cell>
          <cell r="Q21">
            <v>2.0757455268389662</v>
          </cell>
          <cell r="R21">
            <v>0.77581909638827207</v>
          </cell>
          <cell r="S21">
            <v>3.4367629117527452</v>
          </cell>
          <cell r="T21">
            <v>2.3618463895805402</v>
          </cell>
          <cell r="U21">
            <v>3.6253193551228966</v>
          </cell>
          <cell r="V21">
            <v>4.4308907796492445</v>
          </cell>
          <cell r="W21">
            <v>4.3417310812100389</v>
          </cell>
          <cell r="X21">
            <v>4.1426504842049452</v>
          </cell>
          <cell r="Y21">
            <v>3.9993155995030025</v>
          </cell>
          <cell r="Z21">
            <v>4.1920877991559999</v>
          </cell>
          <cell r="AA21">
            <v>4.187043493312081</v>
          </cell>
          <cell r="AB21">
            <v>4.1206694271862832</v>
          </cell>
          <cell r="AC21">
            <v>4.0622398712494299</v>
          </cell>
          <cell r="AD21">
            <v>4.0136425986925124</v>
          </cell>
          <cell r="AE21">
            <v>3.9844129983126715</v>
          </cell>
        </row>
        <row r="22">
          <cell r="A22" t="str">
            <v>NOPAT Margin (%)</v>
          </cell>
          <cell r="C22">
            <v>1.4597629444791014E-2</v>
          </cell>
          <cell r="D22">
            <v>1.1039220779220781E-2</v>
          </cell>
          <cell r="E22">
            <v>7.0135338345864662E-2</v>
          </cell>
          <cell r="F22">
            <v>9.0109400324149116E-2</v>
          </cell>
          <cell r="G22">
            <v>5.8877458396369139E-2</v>
          </cell>
          <cell r="H22">
            <v>9.7061848505906878E-2</v>
          </cell>
          <cell r="I22">
            <v>6.0663441603317207E-2</v>
          </cell>
          <cell r="J22">
            <v>7.942052531816951E-2</v>
          </cell>
          <cell r="K22">
            <v>5.9510938351374429E-2</v>
          </cell>
          <cell r="L22">
            <v>3.2599592150816335E-2</v>
          </cell>
          <cell r="M22">
            <v>3.813668582430365E-2</v>
          </cell>
          <cell r="N22">
            <v>-1.6791729498911819E-4</v>
          </cell>
          <cell r="O22">
            <v>1.7709384460141274E-2</v>
          </cell>
          <cell r="P22">
            <v>5.4829624852198215E-2</v>
          </cell>
          <cell r="Q22">
            <v>5.4701330676362944E-2</v>
          </cell>
          <cell r="R22">
            <v>4.225193875521973E-2</v>
          </cell>
          <cell r="S22">
            <v>6.7826141413061831E-3</v>
          </cell>
          <cell r="T22">
            <v>9.7163885064632926E-3</v>
          </cell>
          <cell r="U22">
            <v>4.5158024649229064E-2</v>
          </cell>
          <cell r="V22">
            <v>5.4516484226591388E-2</v>
          </cell>
          <cell r="W22">
            <v>6.5765203777576817E-2</v>
          </cell>
          <cell r="X22">
            <v>7.5014777941601551E-2</v>
          </cell>
          <cell r="Y22">
            <v>7.6977935223201677E-2</v>
          </cell>
          <cell r="Z22">
            <v>6.9735608302611177E-2</v>
          </cell>
          <cell r="AA22">
            <v>7.1170309123145536E-2</v>
          </cell>
          <cell r="AB22">
            <v>6.9991555154803486E-2</v>
          </cell>
          <cell r="AC22">
            <v>6.6948064825147729E-2</v>
          </cell>
          <cell r="AD22">
            <v>4.4860999069832423E-2</v>
          </cell>
          <cell r="AE22">
            <v>4.1236538543779358E-2</v>
          </cell>
        </row>
        <row r="23">
          <cell r="A23" t="str">
            <v>NOPAT</v>
          </cell>
          <cell r="B23">
            <v>399</v>
          </cell>
          <cell r="C23">
            <v>70.199999999999989</v>
          </cell>
          <cell r="D23">
            <v>42.501000000000005</v>
          </cell>
          <cell r="E23">
            <v>270.512</v>
          </cell>
          <cell r="F23">
            <v>444.78000000000003</v>
          </cell>
          <cell r="G23">
            <v>155.672</v>
          </cell>
          <cell r="H23">
            <v>279.34399999999999</v>
          </cell>
          <cell r="I23">
            <v>87.78</v>
          </cell>
          <cell r="J23">
            <v>293.3</v>
          </cell>
          <cell r="K23">
            <v>240.1861471861472</v>
          </cell>
          <cell r="L23">
            <v>104.09049773755656</v>
          </cell>
          <cell r="M23">
            <v>124.40186915887851</v>
          </cell>
          <cell r="N23">
            <v>-0.63825363825363823</v>
          </cell>
          <cell r="O23">
            <v>105.30000000000001</v>
          </cell>
          <cell r="P23">
            <v>1020.16</v>
          </cell>
          <cell r="Q23">
            <v>1142.2731871838109</v>
          </cell>
          <cell r="R23">
            <v>723.35319148936173</v>
          </cell>
          <cell r="S23">
            <v>343.91923264907132</v>
          </cell>
          <cell r="T23">
            <v>299.53682487725041</v>
          </cell>
          <cell r="U23">
            <v>1858.2978723404253</v>
          </cell>
          <cell r="V23">
            <v>2782.2487725040914</v>
          </cell>
          <cell r="W23">
            <v>2992.1194762684127</v>
          </cell>
          <cell r="X23">
            <v>3305.3011456628474</v>
          </cell>
          <cell r="Y23">
            <v>3494.5323845104122</v>
          </cell>
          <cell r="Z23">
            <v>3531.8754394431198</v>
          </cell>
          <cell r="AA23">
            <v>3612.3747647587497</v>
          </cell>
          <cell r="AB23">
            <v>3497.9808550292373</v>
          </cell>
          <cell r="AC23">
            <v>3306.2711269006231</v>
          </cell>
          <cell r="AD23">
            <v>2197.6386020410177</v>
          </cell>
          <cell r="AE23">
            <v>2007.3945058639615</v>
          </cell>
        </row>
        <row r="24">
          <cell r="A24" t="str">
            <v xml:space="preserve">   Operating Expenses</v>
          </cell>
          <cell r="B24">
            <v>-5336</v>
          </cell>
          <cell r="C24">
            <v>-4705</v>
          </cell>
          <cell r="D24">
            <v>-3757</v>
          </cell>
          <cell r="E24">
            <v>-3433</v>
          </cell>
          <cell r="F24">
            <v>-4230</v>
          </cell>
          <cell r="G24">
            <v>-2400</v>
          </cell>
          <cell r="H24">
            <v>-2436</v>
          </cell>
          <cell r="I24">
            <v>-1282</v>
          </cell>
          <cell r="J24">
            <v>-3274</v>
          </cell>
          <cell r="K24">
            <v>-3697</v>
          </cell>
          <cell r="L24">
            <v>-3051</v>
          </cell>
          <cell r="M24">
            <v>-3088</v>
          </cell>
          <cell r="N24">
            <v>-3802</v>
          </cell>
          <cell r="O24">
            <v>-5784</v>
          </cell>
          <cell r="P24">
            <v>-17012</v>
          </cell>
          <cell r="Q24">
            <v>-19066</v>
          </cell>
          <cell r="R24">
            <v>-16186</v>
          </cell>
          <cell r="S24">
            <v>-50171</v>
          </cell>
          <cell r="T24">
            <v>-30367</v>
          </cell>
          <cell r="U24">
            <v>-38291</v>
          </cell>
          <cell r="V24">
            <v>-46753</v>
          </cell>
          <cell r="W24">
            <v>-40892</v>
          </cell>
          <cell r="X24">
            <v>-38975</v>
          </cell>
          <cell r="Y24">
            <v>-40018.31111339543</v>
          </cell>
          <cell r="Z24">
            <v>-45210.949532178121</v>
          </cell>
          <cell r="AA24">
            <v>-45197.167091182702</v>
          </cell>
          <cell r="AB24">
            <v>-44593.64202815164</v>
          </cell>
          <cell r="AC24">
            <v>-44297.118758448494</v>
          </cell>
          <cell r="AD24">
            <v>-45605.47213854127</v>
          </cell>
          <cell r="AE24">
            <v>-45590.529278107264</v>
          </cell>
        </row>
        <row r="25">
          <cell r="A25" t="str">
            <v xml:space="preserve">   Income Loss From Investments UEM</v>
          </cell>
        </row>
        <row r="26">
          <cell r="A26" t="str">
            <v xml:space="preserve">   PTOP</v>
          </cell>
          <cell r="B26">
            <v>399</v>
          </cell>
          <cell r="C26">
            <v>104</v>
          </cell>
          <cell r="D26">
            <v>93</v>
          </cell>
          <cell r="E26">
            <v>424</v>
          </cell>
          <cell r="F26">
            <v>706</v>
          </cell>
          <cell r="G26">
            <v>244</v>
          </cell>
          <cell r="H26">
            <v>442</v>
          </cell>
          <cell r="I26">
            <v>165</v>
          </cell>
          <cell r="J26">
            <v>419</v>
          </cell>
          <cell r="K26">
            <v>339</v>
          </cell>
          <cell r="L26">
            <v>142</v>
          </cell>
          <cell r="M26">
            <v>174</v>
          </cell>
          <cell r="N26">
            <v>-1</v>
          </cell>
          <cell r="O26">
            <v>162</v>
          </cell>
          <cell r="P26">
            <v>1594</v>
          </cell>
          <cell r="Q26">
            <v>1816</v>
          </cell>
          <cell r="R26">
            <v>934</v>
          </cell>
          <cell r="S26">
            <v>535</v>
          </cell>
          <cell r="T26">
            <v>461</v>
          </cell>
          <cell r="U26">
            <v>2860</v>
          </cell>
          <cell r="V26">
            <v>4282</v>
          </cell>
          <cell r="W26">
            <v>4605</v>
          </cell>
          <cell r="X26">
            <v>5087</v>
          </cell>
          <cell r="Y26">
            <v>5378.2349796873095</v>
          </cell>
          <cell r="Z26">
            <v>5435.7075403016279</v>
          </cell>
          <cell r="AA26">
            <v>5559.5994490367666</v>
          </cell>
          <cell r="AB26">
            <v>5383.5423234832851</v>
          </cell>
          <cell r="AC26">
            <v>5088.4928426606566</v>
          </cell>
          <cell r="AD26">
            <v>3382.259913972448</v>
          </cell>
          <cell r="AE26">
            <v>3089.4661034833262</v>
          </cell>
        </row>
        <row r="27">
          <cell r="A27" t="str">
            <v xml:space="preserve">   Tax rate (%)</v>
          </cell>
          <cell r="B27">
            <v>0</v>
          </cell>
          <cell r="C27">
            <v>0.32500000000000001</v>
          </cell>
          <cell r="D27">
            <v>0.54299999999999993</v>
          </cell>
          <cell r="E27">
            <v>0.36199999999999999</v>
          </cell>
          <cell r="F27">
            <v>0.37</v>
          </cell>
          <cell r="G27">
            <v>0.36199999999999999</v>
          </cell>
          <cell r="H27">
            <v>0.36799999999999999</v>
          </cell>
          <cell r="I27">
            <v>0.46799999999999997</v>
          </cell>
          <cell r="J27">
            <v>0.3</v>
          </cell>
          <cell r="K27">
            <v>0.29148629148629152</v>
          </cell>
          <cell r="L27">
            <v>0.2669683257918552</v>
          </cell>
          <cell r="M27">
            <v>0.28504672897196259</v>
          </cell>
          <cell r="N27">
            <v>0.36174636174636177</v>
          </cell>
          <cell r="O27">
            <v>0.35</v>
          </cell>
          <cell r="P27">
            <v>0.36000000000000004</v>
          </cell>
          <cell r="Q27">
            <v>0.37099494097807761</v>
          </cell>
          <cell r="R27">
            <v>0.22553191489361701</v>
          </cell>
          <cell r="S27">
            <v>0.35716031280547411</v>
          </cell>
          <cell r="T27">
            <v>0.35024549918166942</v>
          </cell>
          <cell r="U27">
            <v>0.35024549918166942</v>
          </cell>
          <cell r="V27">
            <v>0.35024549918166942</v>
          </cell>
          <cell r="W27">
            <v>0.35024549918166942</v>
          </cell>
          <cell r="X27">
            <v>0.35024549918166942</v>
          </cell>
          <cell r="Y27">
            <v>0.35024549918166942</v>
          </cell>
          <cell r="Z27">
            <v>0.35024549918166942</v>
          </cell>
          <cell r="AA27">
            <v>0.35024549918166942</v>
          </cell>
          <cell r="AB27">
            <v>0.35024549918166942</v>
          </cell>
          <cell r="AC27">
            <v>0.35024549918166942</v>
          </cell>
          <cell r="AD27">
            <v>0.35024549918166942</v>
          </cell>
          <cell r="AE27">
            <v>0.35024549918166942</v>
          </cell>
        </row>
        <row r="28">
          <cell r="A28" t="str">
            <v xml:space="preserve">   Taxes</v>
          </cell>
          <cell r="B28">
            <v>0</v>
          </cell>
          <cell r="C28">
            <v>-33.800000000000004</v>
          </cell>
          <cell r="D28">
            <v>-50.498999999999995</v>
          </cell>
          <cell r="E28">
            <v>-153.488</v>
          </cell>
          <cell r="F28">
            <v>-261.21999999999997</v>
          </cell>
          <cell r="G28">
            <v>-88.328000000000003</v>
          </cell>
          <cell r="H28">
            <v>-162.65600000000001</v>
          </cell>
          <cell r="I28">
            <v>-77.22</v>
          </cell>
          <cell r="J28">
            <v>-125.69999999999999</v>
          </cell>
          <cell r="K28">
            <v>-98.813852813852819</v>
          </cell>
          <cell r="L28">
            <v>-37.909502262443439</v>
          </cell>
          <cell r="M28">
            <v>-49.598130841121488</v>
          </cell>
          <cell r="N28">
            <v>0.36174636174636177</v>
          </cell>
          <cell r="O28">
            <v>-56.699999999999996</v>
          </cell>
          <cell r="P28">
            <v>-573.84</v>
          </cell>
          <cell r="Q28">
            <v>-673.72681281618895</v>
          </cell>
          <cell r="R28">
            <v>-210.64680851063829</v>
          </cell>
          <cell r="S28">
            <v>-191.08076735092865</v>
          </cell>
          <cell r="T28">
            <v>-161.46317512274959</v>
          </cell>
          <cell r="U28">
            <v>-1001.7021276595746</v>
          </cell>
          <cell r="V28">
            <v>-1499.7512274959086</v>
          </cell>
          <cell r="W28">
            <v>-1612.8805237315876</v>
          </cell>
          <cell r="X28">
            <v>-1781.6988543371524</v>
          </cell>
          <cell r="Y28">
            <v>-1883.7025951768974</v>
          </cell>
          <cell r="Z28">
            <v>-1903.8321008585081</v>
          </cell>
          <cell r="AA28">
            <v>-1947.2246842780166</v>
          </cell>
          <cell r="AB28">
            <v>-1885.5614684540476</v>
          </cell>
          <cell r="AC28">
            <v>-1782.2217157600337</v>
          </cell>
          <cell r="AD28">
            <v>-1184.6213119314302</v>
          </cell>
          <cell r="AE28">
            <v>-1082.0715976193646</v>
          </cell>
        </row>
        <row r="29">
          <cell r="A29" t="str">
            <v>Return on Net Operating Assets (RONA)</v>
          </cell>
          <cell r="D29">
            <v>6.7784688995215323E-2</v>
          </cell>
          <cell r="E29">
            <v>0.41874922600619197</v>
          </cell>
          <cell r="F29">
            <v>0.45665297741273103</v>
          </cell>
          <cell r="G29">
            <v>8.2409740603493917E-2</v>
          </cell>
          <cell r="H29">
            <v>0.11947989734816082</v>
          </cell>
          <cell r="I29">
            <v>-0.23100000000000001</v>
          </cell>
          <cell r="J29">
            <v>4.5311293063494518E-2</v>
          </cell>
          <cell r="K29">
            <v>3.900392127089107E-2</v>
          </cell>
          <cell r="L29">
            <v>3.1409323396969391E-2</v>
          </cell>
          <cell r="M29">
            <v>4.1288373434742287E-2</v>
          </cell>
          <cell r="N29">
            <v>-2.4623982957316292E-4</v>
          </cell>
          <cell r="O29">
            <v>3.6613351877607794E-2</v>
          </cell>
          <cell r="P29">
            <v>0.11695059039321334</v>
          </cell>
          <cell r="Q29">
            <v>0.14622032606039567</v>
          </cell>
          <cell r="R29">
            <v>7.1903895774290433E-2</v>
          </cell>
          <cell r="S29">
            <v>1.5585228288805516E-2</v>
          </cell>
          <cell r="T29">
            <v>2.030207569996275E-2</v>
          </cell>
          <cell r="U29">
            <v>0.14237103025017625</v>
          </cell>
          <cell r="V29">
            <v>0.24511045480610444</v>
          </cell>
          <cell r="W29">
            <v>0.2597776937201261</v>
          </cell>
          <cell r="X29">
            <v>0.31542142815753865</v>
          </cell>
          <cell r="Y29">
            <v>0.32855127490268082</v>
          </cell>
          <cell r="Z29">
            <v>0.31114888149208098</v>
          </cell>
          <cell r="AA29">
            <v>0.29900082360130253</v>
          </cell>
          <cell r="AB29">
            <v>0.28855656057552065</v>
          </cell>
          <cell r="AC29">
            <v>0.27260540039131775</v>
          </cell>
          <cell r="AD29">
            <v>0.18076793751011039</v>
          </cell>
          <cell r="AE29">
            <v>0.16446901629330427</v>
          </cell>
        </row>
        <row r="30">
          <cell r="A30" t="str">
            <v>Return on Equity</v>
          </cell>
          <cell r="D30" t="str">
            <v>NM</v>
          </cell>
          <cell r="E30" t="str">
            <v>NM</v>
          </cell>
          <cell r="F30">
            <v>6.1746031746031749</v>
          </cell>
          <cell r="G30">
            <v>0.27894736842105261</v>
          </cell>
          <cell r="H30">
            <v>0.72157772621809746</v>
          </cell>
          <cell r="I30">
            <v>0.1364329563812601</v>
          </cell>
          <cell r="J30">
            <v>-7.544894130259984E-2</v>
          </cell>
          <cell r="K30">
            <v>5.1615602757608729E-2</v>
          </cell>
          <cell r="L30">
            <v>-0.11107510521843941</v>
          </cell>
          <cell r="M30">
            <v>-0.1987509826185693</v>
          </cell>
          <cell r="N30">
            <v>-0.2569445546544783</v>
          </cell>
          <cell r="O30">
            <v>8.2698961937716253E-2</v>
          </cell>
          <cell r="P30">
            <v>0.28172091283202394</v>
          </cell>
          <cell r="Q30">
            <v>0.34707446808510639</v>
          </cell>
          <cell r="R30">
            <v>0.20734002509410288</v>
          </cell>
          <cell r="S30">
            <v>-1.656078657814565</v>
          </cell>
          <cell r="T30" t="str">
            <v>NM</v>
          </cell>
          <cell r="U30" t="str">
            <v>NM</v>
          </cell>
          <cell r="V30">
            <v>0.23684438664932814</v>
          </cell>
          <cell r="W30">
            <v>0.28377230246389124</v>
          </cell>
          <cell r="X30">
            <v>0.34617111051261334</v>
          </cell>
          <cell r="Y30">
            <v>0.28804110637068281</v>
          </cell>
          <cell r="Z30">
            <v>0.34287909901763119</v>
          </cell>
          <cell r="AA30">
            <v>0.37357266037578607</v>
          </cell>
          <cell r="AB30">
            <v>0.34409938952184854</v>
          </cell>
          <cell r="AC30">
            <v>0.31199504244663134</v>
          </cell>
          <cell r="AD30">
            <v>0.19239756202905733</v>
          </cell>
          <cell r="AE30">
            <v>0.17457485607130541</v>
          </cell>
        </row>
        <row r="31">
          <cell r="A31" t="str">
            <v>Return on Financial Leverage</v>
          </cell>
          <cell r="D31" t="str">
            <v>NM</v>
          </cell>
          <cell r="E31" t="str">
            <v>NM</v>
          </cell>
          <cell r="F31">
            <v>5.7179501971904436</v>
          </cell>
          <cell r="G31">
            <v>0.19653762781755868</v>
          </cell>
          <cell r="H31">
            <v>0.60209782886993668</v>
          </cell>
          <cell r="I31">
            <v>0.36743295638126011</v>
          </cell>
          <cell r="J31">
            <v>-0.12076023436609436</v>
          </cell>
          <cell r="K31">
            <v>1.2611681486717659E-2</v>
          </cell>
          <cell r="L31">
            <v>-0.1424844286154088</v>
          </cell>
          <cell r="M31">
            <v>-0.24003935605331159</v>
          </cell>
          <cell r="N31">
            <v>-0.25669831482490513</v>
          </cell>
          <cell r="O31">
            <v>4.6085610060108459E-2</v>
          </cell>
          <cell r="P31">
            <v>0.1647703224388106</v>
          </cell>
          <cell r="Q31">
            <v>0.20085414202471072</v>
          </cell>
          <cell r="R31">
            <v>0.13543612931981244</v>
          </cell>
          <cell r="S31">
            <v>-1.6716638861033706</v>
          </cell>
          <cell r="T31" t="str">
            <v>NM</v>
          </cell>
          <cell r="U31" t="str">
            <v>NM</v>
          </cell>
          <cell r="V31">
            <v>-8.2660681567763017E-3</v>
          </cell>
          <cell r="W31">
            <v>2.3994608743765133E-2</v>
          </cell>
          <cell r="X31">
            <v>3.0749682355074692E-2</v>
          </cell>
          <cell r="Y31">
            <v>-4.0510168531998014E-2</v>
          </cell>
          <cell r="Z31">
            <v>3.1730217525550219E-2</v>
          </cell>
          <cell r="AA31">
            <v>7.4571836774483535E-2</v>
          </cell>
          <cell r="AB31">
            <v>5.5542828946327893E-2</v>
          </cell>
          <cell r="AC31">
            <v>3.938964205531359E-2</v>
          </cell>
          <cell r="AD31">
            <v>1.1629624518946946E-2</v>
          </cell>
          <cell r="AE31">
            <v>1.0105839778001141E-2</v>
          </cell>
        </row>
        <row r="32">
          <cell r="A32" t="str">
            <v>EV/NOA</v>
          </cell>
          <cell r="C32">
            <v>1.1929824561403508</v>
          </cell>
          <cell r="D32">
            <v>1.0030959752321982</v>
          </cell>
          <cell r="E32">
            <v>0.97946611909650927</v>
          </cell>
          <cell r="F32">
            <v>0.94547379565907885</v>
          </cell>
          <cell r="G32">
            <v>0.97433704020530365</v>
          </cell>
          <cell r="H32">
            <v>-2.3236842105263156</v>
          </cell>
          <cell r="I32">
            <v>1.1665379267727483</v>
          </cell>
          <cell r="J32">
            <v>1.1648262422864566</v>
          </cell>
          <cell r="K32">
            <v>1.4846107423053712</v>
          </cell>
          <cell r="L32">
            <v>1.5373382011284433</v>
          </cell>
          <cell r="M32">
            <v>1.9232253086419753</v>
          </cell>
          <cell r="N32">
            <v>1.7468706536856746</v>
          </cell>
          <cell r="O32">
            <v>1.1364209560930871</v>
          </cell>
          <cell r="P32">
            <v>1.13773681515617</v>
          </cell>
          <cell r="Q32">
            <v>1.0890656063618289</v>
          </cell>
          <cell r="R32">
            <v>1.1746046132233652</v>
          </cell>
          <cell r="S32">
            <v>1.1634133116443</v>
          </cell>
          <cell r="T32">
            <v>-0.18548170848496456</v>
          </cell>
          <cell r="U32">
            <v>1.185446216192406</v>
          </cell>
          <cell r="V32">
            <v>1.1819760375065116</v>
          </cell>
          <cell r="W32">
            <v>1.2259757610459012</v>
          </cell>
          <cell r="X32">
            <v>1.2317090036385794</v>
          </cell>
          <cell r="Y32">
            <v>1.2166508956104749</v>
          </cell>
          <cell r="Z32">
            <v>1.2066478628289881</v>
          </cell>
          <cell r="AA32">
            <v>1.2085599168009316</v>
          </cell>
          <cell r="AB32">
            <v>1.2106625712029135</v>
          </cell>
          <cell r="AC32">
            <v>1.2120279727267482</v>
          </cell>
          <cell r="AD32">
            <v>1.2124875358743388</v>
          </cell>
          <cell r="AE32">
            <v>1.2127599826234183</v>
          </cell>
        </row>
        <row r="33">
          <cell r="A33" t="str">
            <v>P/BV</v>
          </cell>
        </row>
        <row r="35">
          <cell r="A35" t="str">
            <v>Asset Liquidity Ratios</v>
          </cell>
        </row>
        <row r="36">
          <cell r="A36" t="str">
            <v xml:space="preserve">Working Capital </v>
          </cell>
          <cell r="C36">
            <v>131</v>
          </cell>
          <cell r="D36">
            <v>117</v>
          </cell>
          <cell r="E36">
            <v>200</v>
          </cell>
          <cell r="F36">
            <v>171</v>
          </cell>
          <cell r="G36">
            <v>164</v>
          </cell>
          <cell r="H36">
            <v>-191</v>
          </cell>
          <cell r="I36">
            <v>359</v>
          </cell>
          <cell r="J36">
            <v>783</v>
          </cell>
          <cell r="K36">
            <v>361</v>
          </cell>
          <cell r="L36">
            <v>509</v>
          </cell>
          <cell r="M36">
            <v>218</v>
          </cell>
          <cell r="N36">
            <v>222</v>
          </cell>
          <cell r="O36">
            <v>1666</v>
          </cell>
          <cell r="P36">
            <v>1458</v>
          </cell>
          <cell r="Q36">
            <v>1515</v>
          </cell>
          <cell r="R36">
            <v>3139</v>
          </cell>
          <cell r="S36">
            <v>1612</v>
          </cell>
          <cell r="T36">
            <v>4009</v>
          </cell>
          <cell r="U36">
            <v>4847</v>
          </cell>
          <cell r="V36">
            <v>5351</v>
          </cell>
          <cell r="W36">
            <v>4549</v>
          </cell>
          <cell r="X36">
            <v>3995.1897761443361</v>
          </cell>
          <cell r="Y36">
            <v>4129.9317183074872</v>
          </cell>
          <cell r="Z36">
            <v>4678.0593017210522</v>
          </cell>
          <cell r="AA36">
            <v>4674.170374235644</v>
          </cell>
          <cell r="AB36">
            <v>4608.6319250444885</v>
          </cell>
          <cell r="AC36">
            <v>4549.4673274862871</v>
          </cell>
          <cell r="AD36">
            <v>4523.0820929164529</v>
          </cell>
          <cell r="AE36">
            <v>4479.7924284670844</v>
          </cell>
        </row>
        <row r="37">
          <cell r="A37" t="str">
            <v>Working capital-to-sales (%)</v>
          </cell>
          <cell r="C37">
            <v>2.7240590559367853E-2</v>
          </cell>
          <cell r="D37">
            <v>3.038961038961039E-2</v>
          </cell>
          <cell r="E37">
            <v>5.1853772361939332E-2</v>
          </cell>
          <cell r="F37">
            <v>3.464343598055105E-2</v>
          </cell>
          <cell r="G37">
            <v>6.2027231467473527E-2</v>
          </cell>
          <cell r="H37">
            <v>-6.636553161917999E-2</v>
          </cell>
          <cell r="I37">
            <v>0.24809951624049759</v>
          </cell>
          <cell r="J37">
            <v>0.21202274573517466</v>
          </cell>
          <cell r="K37">
            <v>8.9444995044598616E-2</v>
          </cell>
          <cell r="L37">
            <v>0.15941121202630754</v>
          </cell>
          <cell r="M37">
            <v>6.6830165542611897E-2</v>
          </cell>
          <cell r="N37">
            <v>5.8405682715074979E-2</v>
          </cell>
          <cell r="O37">
            <v>0.2801883619239825</v>
          </cell>
          <cell r="P37">
            <v>7.8361818768139316E-2</v>
          </cell>
          <cell r="Q37">
            <v>7.255052198065319E-2</v>
          </cell>
          <cell r="R37">
            <v>0.18335280373831775</v>
          </cell>
          <cell r="S37">
            <v>3.1791109533388553E-2</v>
          </cell>
          <cell r="T37">
            <v>0.13004411573893862</v>
          </cell>
          <cell r="U37">
            <v>0.11778571602148186</v>
          </cell>
          <cell r="V37">
            <v>0.10484961301067895</v>
          </cell>
          <cell r="W37">
            <v>9.9984614370178249E-2</v>
          </cell>
          <cell r="X37">
            <v>9.0672002545148567E-2</v>
          </cell>
          <cell r="Y37">
            <v>9.0974580088963683E-2</v>
          </cell>
          <cell r="Z37">
            <v>9.2366595785904379E-2</v>
          </cell>
          <cell r="AA37">
            <v>9.2089600911276506E-2</v>
          </cell>
          <cell r="AB37">
            <v>9.221471727215709E-2</v>
          </cell>
          <cell r="AC37">
            <v>9.2121311855619711E-2</v>
          </cell>
          <cell r="AD37">
            <v>9.2330914361738833E-2</v>
          </cell>
          <cell r="AE37">
            <v>9.2025325667167507E-2</v>
          </cell>
        </row>
        <row r="38">
          <cell r="A38" t="str">
            <v xml:space="preserve">Current ratio (x) </v>
          </cell>
          <cell r="C38">
            <v>1.6463768115942028</v>
          </cell>
          <cell r="D38">
            <v>1.7491638795986622</v>
          </cell>
          <cell r="E38">
            <v>1.6096997690531178</v>
          </cell>
          <cell r="F38">
            <v>0.90400000000000003</v>
          </cell>
          <cell r="G38">
            <v>1.0778210116731517</v>
          </cell>
          <cell r="H38">
            <v>0.33441558441558439</v>
          </cell>
          <cell r="I38">
            <v>0.56739409499358151</v>
          </cell>
          <cell r="J38">
            <v>1.8472086190009793</v>
          </cell>
          <cell r="K38">
            <v>1.832425068119891</v>
          </cell>
          <cell r="L38">
            <v>2.1592128801431127</v>
          </cell>
          <cell r="M38">
            <v>1.8766025641025641</v>
          </cell>
          <cell r="N38">
            <v>1.944206008583691</v>
          </cell>
          <cell r="O38">
            <v>1.9420479302832243</v>
          </cell>
          <cell r="P38">
            <v>1.674192292720903</v>
          </cell>
          <cell r="Q38">
            <v>1.6046149048955409</v>
          </cell>
          <cell r="R38">
            <v>1.2367498453289338</v>
          </cell>
          <cell r="S38">
            <v>0.26006083703367017</v>
          </cell>
          <cell r="T38">
            <v>0.79733770618308097</v>
          </cell>
          <cell r="U38">
            <v>2.8971825063078218</v>
          </cell>
          <cell r="V38">
            <v>2.2787963332004781</v>
          </cell>
          <cell r="W38">
            <v>2.4109105180533752</v>
          </cell>
          <cell r="X38">
            <v>2.4648320622647719</v>
          </cell>
          <cell r="Y38">
            <v>2.7632656342725457</v>
          </cell>
          <cell r="Z38">
            <v>1.9202462814585837</v>
          </cell>
          <cell r="AA38">
            <v>2.025916508398018</v>
          </cell>
          <cell r="AB38">
            <v>2.1578585313177214</v>
          </cell>
          <cell r="AC38">
            <v>2.1571429379890334</v>
          </cell>
          <cell r="AD38">
            <v>2.0248864884551114</v>
          </cell>
          <cell r="AE38">
            <v>1.9035005650388888</v>
          </cell>
        </row>
        <row r="39">
          <cell r="A39" t="str">
            <v>Inventory turnover (x)</v>
          </cell>
          <cell r="C39">
            <v>25.216666666666665</v>
          </cell>
          <cell r="D39">
            <v>18.68586387434555</v>
          </cell>
          <cell r="E39">
            <v>14.109170305676855</v>
          </cell>
          <cell r="F39">
            <v>14.867924528301886</v>
          </cell>
          <cell r="G39">
            <v>7.204081632653061</v>
          </cell>
          <cell r="H39" t="str">
            <v>NM</v>
          </cell>
          <cell r="I39">
            <v>1.729090909090909</v>
          </cell>
          <cell r="J39">
            <v>4.9055876685934487</v>
          </cell>
          <cell r="K39">
            <v>7.8877551020408161</v>
          </cell>
          <cell r="L39">
            <v>8.2531645569620249</v>
          </cell>
          <cell r="M39">
            <v>7.7151162790697674</v>
          </cell>
          <cell r="N39">
            <v>9.6512968299711819</v>
          </cell>
          <cell r="O39">
            <v>3.1914762198888202</v>
          </cell>
          <cell r="P39">
            <v>9.4351237175618596</v>
          </cell>
          <cell r="Q39">
            <v>7.8680832226648958</v>
          </cell>
          <cell r="R39">
            <v>2.8435689455388182</v>
          </cell>
          <cell r="S39">
            <v>14.142727821363911</v>
          </cell>
          <cell r="T39">
            <v>8.4217271895025938</v>
          </cell>
          <cell r="U39">
            <v>7.4921227197346596</v>
          </cell>
          <cell r="V39">
            <v>8.1283869794508092</v>
          </cell>
          <cell r="W39">
            <v>7.6506403940886702</v>
          </cell>
          <cell r="X39">
            <v>8.1111111111111107</v>
          </cell>
          <cell r="Y39">
            <v>8.1111111111111107</v>
          </cell>
          <cell r="Z39">
            <v>8.1111111111111107</v>
          </cell>
          <cell r="AA39">
            <v>8.1333333333333346</v>
          </cell>
          <cell r="AB39">
            <v>8.1111111111111107</v>
          </cell>
          <cell r="AC39">
            <v>8.1111111111111107</v>
          </cell>
          <cell r="AD39">
            <v>8.1111111111111125</v>
          </cell>
          <cell r="AE39">
            <v>8.1333333333333329</v>
          </cell>
        </row>
        <row r="40">
          <cell r="A40" t="str">
            <v>Trade receivables days</v>
          </cell>
          <cell r="C40">
            <v>19.202536909960489</v>
          </cell>
          <cell r="D40">
            <v>19.340259740259739</v>
          </cell>
          <cell r="E40">
            <v>34.067928441794137</v>
          </cell>
          <cell r="F40">
            <v>26.768638573743921</v>
          </cell>
          <cell r="G40">
            <v>62.950075642965203</v>
          </cell>
          <cell r="H40">
            <v>0.63412091730368314</v>
          </cell>
          <cell r="I40">
            <v>120.82584657912923</v>
          </cell>
          <cell r="J40">
            <v>55.940969401570541</v>
          </cell>
          <cell r="K40">
            <v>45.941526263627352</v>
          </cell>
          <cell r="L40">
            <v>40.238020670216095</v>
          </cell>
          <cell r="M40">
            <v>44.310239117106072</v>
          </cell>
          <cell r="N40">
            <v>43.116285188108392</v>
          </cell>
          <cell r="O40">
            <v>96.31432896064581</v>
          </cell>
          <cell r="P40">
            <v>32.8982586262496</v>
          </cell>
          <cell r="Q40">
            <v>37.894837659228045</v>
          </cell>
          <cell r="R40">
            <v>88.798189252336442</v>
          </cell>
          <cell r="S40">
            <v>18.607758450676446</v>
          </cell>
          <cell r="T40">
            <v>38.917704684053462</v>
          </cell>
          <cell r="U40">
            <v>33.235036815630238</v>
          </cell>
          <cell r="V40">
            <v>27.020084255902812</v>
          </cell>
          <cell r="W40">
            <v>31.319867243994111</v>
          </cell>
          <cell r="X40">
            <v>26</v>
          </cell>
          <cell r="Y40">
            <v>26</v>
          </cell>
          <cell r="Z40">
            <v>26</v>
          </cell>
          <cell r="AA40">
            <v>26</v>
          </cell>
          <cell r="AB40">
            <v>26</v>
          </cell>
          <cell r="AC40">
            <v>26</v>
          </cell>
          <cell r="AD40">
            <v>26</v>
          </cell>
          <cell r="AE40">
            <v>26</v>
          </cell>
        </row>
        <row r="41">
          <cell r="A41" t="str">
            <v>Trade creditors days</v>
          </cell>
          <cell r="C41">
            <v>19.54064771976206</v>
          </cell>
          <cell r="D41">
            <v>21.16979546091342</v>
          </cell>
          <cell r="E41">
            <v>32.534818941504177</v>
          </cell>
          <cell r="F41">
            <v>33.257614213197975</v>
          </cell>
          <cell r="G41">
            <v>81.857884796978283</v>
          </cell>
          <cell r="H41">
            <v>31.006463527239148</v>
          </cell>
          <cell r="I41">
            <v>97.10304942166141</v>
          </cell>
          <cell r="J41">
            <v>50.176747839748622</v>
          </cell>
          <cell r="K41">
            <v>47.100582147477361</v>
          </cell>
          <cell r="L41">
            <v>44.645322085889568</v>
          </cell>
          <cell r="M41">
            <v>47.309721175584023</v>
          </cell>
          <cell r="N41">
            <v>46.973723499552108</v>
          </cell>
          <cell r="O41">
            <v>84.556802786916975</v>
          </cell>
          <cell r="P41">
            <v>33.922540616604834</v>
          </cell>
          <cell r="Q41">
            <v>43.042646562394509</v>
          </cell>
          <cell r="R41">
            <v>107.18962238522141</v>
          </cell>
          <cell r="S41">
            <v>20.730760203972775</v>
          </cell>
          <cell r="T41">
            <v>28.1440684107544</v>
          </cell>
          <cell r="U41">
            <v>27.883487355431352</v>
          </cell>
          <cell r="V41">
            <v>27.878428565036469</v>
          </cell>
          <cell r="W41">
            <v>30.881216679115049</v>
          </cell>
          <cell r="X41">
            <v>30.881216679115049</v>
          </cell>
          <cell r="Y41">
            <v>30.881216679115049</v>
          </cell>
          <cell r="Z41">
            <v>30.881216679115049</v>
          </cell>
          <cell r="AA41">
            <v>30.881216679115049</v>
          </cell>
          <cell r="AB41">
            <v>30.881216679115049</v>
          </cell>
          <cell r="AC41">
            <v>30.881216679115049</v>
          </cell>
          <cell r="AD41">
            <v>30.881216679115049</v>
          </cell>
          <cell r="AE41">
            <v>30.881216679115049</v>
          </cell>
        </row>
        <row r="43">
          <cell r="A43" t="str">
            <v>P&amp;L Related Operating Measures</v>
          </cell>
        </row>
        <row r="44">
          <cell r="A44" t="str">
            <v>Margin Analysis</v>
          </cell>
        </row>
        <row r="45">
          <cell r="A45" t="str">
            <v>CoGs (w/o D&amp;A) -to-sales</v>
          </cell>
          <cell r="B45">
            <v>0.90165649520488234</v>
          </cell>
          <cell r="C45">
            <v>0.94385527136618841</v>
          </cell>
          <cell r="D45">
            <v>0.92701298701298707</v>
          </cell>
          <cell r="E45">
            <v>0.83769769250712989</v>
          </cell>
          <cell r="F45">
            <v>0.79821717990275531</v>
          </cell>
          <cell r="G45">
            <v>0.80105900151285936</v>
          </cell>
          <cell r="H45">
            <v>0.75260597637248094</v>
          </cell>
          <cell r="I45">
            <v>0.65722183828610914</v>
          </cell>
          <cell r="J45">
            <v>0.68941240184132146</v>
          </cell>
          <cell r="K45">
            <v>0.76610505450941524</v>
          </cell>
          <cell r="L45">
            <v>0.81678672095208271</v>
          </cell>
          <cell r="M45">
            <v>0.81361128142244021</v>
          </cell>
          <cell r="N45">
            <v>0.88108392528282031</v>
          </cell>
          <cell r="O45">
            <v>0.86898755465859401</v>
          </cell>
          <cell r="P45">
            <v>0.84026658067290116</v>
          </cell>
          <cell r="Q45">
            <v>0.8511636816396897</v>
          </cell>
          <cell r="R45">
            <v>0.86004672897196266</v>
          </cell>
          <cell r="S45">
            <v>0.9243284818364691</v>
          </cell>
          <cell r="T45">
            <v>0.89522512002076038</v>
          </cell>
          <cell r="U45">
            <v>0.87827756312118777</v>
          </cell>
          <cell r="V45">
            <v>0.87583031253061627</v>
          </cell>
          <cell r="W45">
            <v>0.85339692726992988</v>
          </cell>
          <cell r="X45">
            <v>0.83820525622985798</v>
          </cell>
          <cell r="Y45">
            <v>0.83035724104649489</v>
          </cell>
          <cell r="Z45">
            <v>0.8436234841180027</v>
          </cell>
          <cell r="AA45">
            <v>0.8415434949691929</v>
          </cell>
          <cell r="AB45">
            <v>0.84314021762236502</v>
          </cell>
          <cell r="AC45">
            <v>0.84768130162156596</v>
          </cell>
          <cell r="AD45">
            <v>0.88160908819476591</v>
          </cell>
          <cell r="AE45">
            <v>0.88723201686770914</v>
          </cell>
        </row>
        <row r="46">
          <cell r="A46" t="str">
            <v>CoGs (incl. D&amp;A) -to-sales</v>
          </cell>
          <cell r="B46">
            <v>0.90845684394071491</v>
          </cell>
          <cell r="C46">
            <v>0.95196506550218341</v>
          </cell>
          <cell r="D46">
            <v>0.94207792207792207</v>
          </cell>
          <cell r="E46">
            <v>0.85455016852476018</v>
          </cell>
          <cell r="F46">
            <v>0.81564019448946512</v>
          </cell>
          <cell r="G46">
            <v>0.84266263237518912</v>
          </cell>
          <cell r="H46">
            <v>0.78179291174426691</v>
          </cell>
          <cell r="I46">
            <v>0.75259156876295785</v>
          </cell>
          <cell r="J46">
            <v>0.77877064717032218</v>
          </cell>
          <cell r="K46">
            <v>0.83523290386521309</v>
          </cell>
          <cell r="L46">
            <v>0.89633573441904169</v>
          </cell>
          <cell r="M46">
            <v>0.88841201716738194</v>
          </cell>
          <cell r="N46">
            <v>0.9468560905024993</v>
          </cell>
          <cell r="O46">
            <v>0.91759165825765221</v>
          </cell>
          <cell r="P46">
            <v>0.87944749005697087</v>
          </cell>
          <cell r="Q46">
            <v>0.88521214443061014</v>
          </cell>
          <cell r="R46">
            <v>0.88761682242990658</v>
          </cell>
          <cell r="S46">
            <v>0.96201632942847004</v>
          </cell>
          <cell r="T46">
            <v>0.95277020890099906</v>
          </cell>
          <cell r="U46">
            <v>0.90556730091613813</v>
          </cell>
          <cell r="V46">
            <v>0.89407269520917021</v>
          </cell>
          <cell r="W46">
            <v>0.87500274743389672</v>
          </cell>
          <cell r="X46">
            <v>0.86139984567200767</v>
          </cell>
          <cell r="Y46">
            <v>0.85252766140711267</v>
          </cell>
          <cell r="Z46">
            <v>0.86367391266273186</v>
          </cell>
          <cell r="AA46">
            <v>0.86146584666437787</v>
          </cell>
          <cell r="AB46">
            <v>0.86327999949726708</v>
          </cell>
          <cell r="AC46">
            <v>0.86796406144038973</v>
          </cell>
          <cell r="AD46">
            <v>0.90195700143156776</v>
          </cell>
          <cell r="AE46">
            <v>0.90753520138476285</v>
          </cell>
        </row>
        <row r="47">
          <cell r="A47" t="str">
            <v>Gross Margin</v>
          </cell>
          <cell r="B47">
            <v>9.8343504795117692E-2</v>
          </cell>
          <cell r="C47">
            <v>5.6144728633811605E-2</v>
          </cell>
          <cell r="D47">
            <v>7.2987012987012989E-2</v>
          </cell>
          <cell r="E47">
            <v>0.16230230749287011</v>
          </cell>
          <cell r="F47">
            <v>0.20178282009724474</v>
          </cell>
          <cell r="G47">
            <v>0.1989409984871407</v>
          </cell>
          <cell r="H47">
            <v>0.24739402362751911</v>
          </cell>
          <cell r="I47">
            <v>0.34277816171389081</v>
          </cell>
          <cell r="J47">
            <v>0.31058759815867859</v>
          </cell>
          <cell r="K47">
            <v>0.23389494549058473</v>
          </cell>
          <cell r="L47">
            <v>0.18321327904791732</v>
          </cell>
          <cell r="M47">
            <v>0.18638871857755979</v>
          </cell>
          <cell r="N47">
            <v>0.11891607471717969</v>
          </cell>
          <cell r="O47">
            <v>0.13101244534140599</v>
          </cell>
          <cell r="P47">
            <v>0.15973341932709878</v>
          </cell>
          <cell r="Q47">
            <v>0.1488363183603103</v>
          </cell>
          <cell r="R47">
            <v>0.1399532710280374</v>
          </cell>
          <cell r="S47">
            <v>7.5671518163530946E-2</v>
          </cell>
          <cell r="T47">
            <v>0.10477487997923965</v>
          </cell>
          <cell r="U47">
            <v>0.12172243687881218</v>
          </cell>
          <cell r="V47">
            <v>0.12416968746938375</v>
          </cell>
          <cell r="W47">
            <v>0.14660307273007012</v>
          </cell>
          <cell r="X47">
            <v>0.16179474377014208</v>
          </cell>
          <cell r="Y47">
            <v>0.16964275895350517</v>
          </cell>
          <cell r="Z47">
            <v>0.15637651588199725</v>
          </cell>
          <cell r="AA47">
            <v>0.15845650503080716</v>
          </cell>
          <cell r="AB47">
            <v>0.15685978237763493</v>
          </cell>
          <cell r="AC47">
            <v>0.15231869837843401</v>
          </cell>
          <cell r="AD47">
            <v>0.11839091180523413</v>
          </cell>
          <cell r="AE47">
            <v>0.11276798313229082</v>
          </cell>
        </row>
        <row r="48">
          <cell r="A48" t="str">
            <v>EBIT (pre-extraordinaries) margin</v>
          </cell>
          <cell r="B48">
            <v>6.9572798605056663E-2</v>
          </cell>
          <cell r="C48">
            <v>2.1626117695986692E-2</v>
          </cell>
          <cell r="D48">
            <v>2.4155844155844156E-2</v>
          </cell>
          <cell r="E48">
            <v>0.10992999740731138</v>
          </cell>
          <cell r="F48">
            <v>0.14303079416531606</v>
          </cell>
          <cell r="G48">
            <v>9.3040847201210281E-2</v>
          </cell>
          <cell r="H48">
            <v>0.19944405837387075</v>
          </cell>
          <cell r="I48">
            <v>0.27643400138217</v>
          </cell>
          <cell r="J48">
            <v>0.13403736799350122</v>
          </cell>
          <cell r="K48">
            <v>0.13330029732408324</v>
          </cell>
          <cell r="L48">
            <v>5.6999686814907607E-2</v>
          </cell>
          <cell r="M48">
            <v>5.7633353770692827E-2</v>
          </cell>
          <cell r="N48">
            <v>-2.7361220731386478E-2</v>
          </cell>
          <cell r="O48">
            <v>0.1030945173225698</v>
          </cell>
          <cell r="P48">
            <v>9.2335805654090081E-2</v>
          </cell>
          <cell r="Q48">
            <v>9.0700124509146635E-2</v>
          </cell>
          <cell r="R48">
            <v>6.4018691588785051E-2</v>
          </cell>
          <cell r="S48">
            <v>1.1300437818009703E-2</v>
          </cell>
          <cell r="T48">
            <v>9.0826521344232521E-3</v>
          </cell>
          <cell r="U48">
            <v>7.3631260479696731E-2</v>
          </cell>
          <cell r="V48">
            <v>8.8135593220338981E-2</v>
          </cell>
          <cell r="W48">
            <v>0.10435852913378904</v>
          </cell>
          <cell r="X48">
            <v>0.12005809995007036</v>
          </cell>
          <cell r="Y48">
            <v>0.11823978192499102</v>
          </cell>
          <cell r="Z48">
            <v>0.10880268004716981</v>
          </cell>
          <cell r="AA48">
            <v>0.110780123166934</v>
          </cell>
          <cell r="AB48">
            <v>0.10879123127841976</v>
          </cell>
          <cell r="AC48">
            <v>0.1039540761251881</v>
          </cell>
          <cell r="AD48">
            <v>6.9688096145494399E-2</v>
          </cell>
          <cell r="AE48">
            <v>6.3708958189352793E-2</v>
          </cell>
        </row>
        <row r="49">
          <cell r="A49" t="str">
            <v>EBITDA (pre-extraordinaries) margin</v>
          </cell>
          <cell r="B49">
            <v>7.6373147340889277E-2</v>
          </cell>
          <cell r="C49">
            <v>2.9735911831981703E-2</v>
          </cell>
          <cell r="D49">
            <v>3.9220779220779219E-2</v>
          </cell>
          <cell r="E49">
            <v>0.12678247342494167</v>
          </cell>
          <cell r="F49">
            <v>0.16045380875202594</v>
          </cell>
          <cell r="G49">
            <v>0.1346444780635401</v>
          </cell>
          <cell r="H49">
            <v>0.22863099374565671</v>
          </cell>
          <cell r="I49">
            <v>0.37180373185901866</v>
          </cell>
          <cell r="J49">
            <v>0.22339561332250202</v>
          </cell>
          <cell r="K49">
            <v>0.20242814667988107</v>
          </cell>
          <cell r="L49">
            <v>0.13654870028186658</v>
          </cell>
          <cell r="M49">
            <v>0.13243408951563457</v>
          </cell>
          <cell r="N49">
            <v>3.8410944488292555E-2</v>
          </cell>
          <cell r="O49">
            <v>0.15169862092162797</v>
          </cell>
          <cell r="P49">
            <v>0.13151671503815973</v>
          </cell>
          <cell r="Q49">
            <v>0.12474858730006705</v>
          </cell>
          <cell r="R49">
            <v>9.1588785046728974E-2</v>
          </cell>
          <cell r="S49">
            <v>4.898828541001065E-2</v>
          </cell>
          <cell r="T49">
            <v>0</v>
          </cell>
          <cell r="U49">
            <v>0.10092099827464703</v>
          </cell>
          <cell r="V49">
            <v>0.10637797589889292</v>
          </cell>
          <cell r="W49">
            <v>0.12596434929775591</v>
          </cell>
          <cell r="X49">
            <v>0.14325268939222005</v>
          </cell>
          <cell r="Y49">
            <v>0.14041020228560883</v>
          </cell>
          <cell r="Z49">
            <v>0.12885310859189888</v>
          </cell>
          <cell r="AA49">
            <v>0.13070247486211903</v>
          </cell>
          <cell r="AB49">
            <v>0.12893101315332181</v>
          </cell>
          <cell r="AC49">
            <v>0.12423683594401187</v>
          </cell>
          <cell r="AD49">
            <v>9.0036009382296181E-2</v>
          </cell>
          <cell r="AE49">
            <v>8.4012142706406515E-2</v>
          </cell>
        </row>
        <row r="50">
          <cell r="A50" t="str">
            <v>Pre-Tax Profit (Pre Extraordinaries) margin</v>
          </cell>
          <cell r="B50">
            <v>5.9110723626852657E-2</v>
          </cell>
          <cell r="C50">
            <v>7.2780203784570596E-3</v>
          </cell>
          <cell r="D50">
            <v>4.1558441558441558E-3</v>
          </cell>
          <cell r="E50">
            <v>9.0484832771584131E-2</v>
          </cell>
          <cell r="F50">
            <v>0.12520259319286872</v>
          </cell>
          <cell r="G50">
            <v>6.2783661119515888E-2</v>
          </cell>
          <cell r="H50">
            <v>0.1723419041000695</v>
          </cell>
          <cell r="I50">
            <v>0.10366275051831375</v>
          </cell>
          <cell r="J50">
            <v>-9.5190485117373821E-3</v>
          </cell>
          <cell r="K50">
            <v>2.5520317145688802E-2</v>
          </cell>
          <cell r="L50">
            <v>-5.9818352646414032E-2</v>
          </cell>
          <cell r="M50">
            <v>-6.5603923973022685E-2</v>
          </cell>
          <cell r="N50">
            <v>-0.12654564588266246</v>
          </cell>
          <cell r="O50">
            <v>2.3713420787083755E-2</v>
          </cell>
          <cell r="P50">
            <v>5.8744491024400734E-2</v>
          </cell>
          <cell r="Q50">
            <v>6.5223637582607033E-2</v>
          </cell>
          <cell r="R50">
            <v>5.4906542056074766E-2</v>
          </cell>
          <cell r="S50">
            <v>-3.3940756517966318E-2</v>
          </cell>
          <cell r="T50">
            <v>-3.646036071104191E-2</v>
          </cell>
          <cell r="U50">
            <v>3.9731719763796747E-2</v>
          </cell>
          <cell r="V50">
            <v>7.6594493974723232E-2</v>
          </cell>
          <cell r="W50">
            <v>9.677561157878542E-2</v>
          </cell>
          <cell r="X50">
            <v>0.11329490263719305</v>
          </cell>
          <cell r="Y50">
            <v>0.1109264640466617</v>
          </cell>
          <cell r="Z50">
            <v>9.9281513096297527E-2</v>
          </cell>
          <cell r="AA50">
            <v>0.10088353494328339</v>
          </cell>
          <cell r="AB50">
            <v>9.7693333242977881E-2</v>
          </cell>
          <cell r="AC50">
            <v>9.2282412330848163E-2</v>
          </cell>
          <cell r="AD50">
            <v>5.8988419869137318E-2</v>
          </cell>
          <cell r="AE50">
            <v>5.4558419956970014E-2</v>
          </cell>
        </row>
        <row r="51">
          <cell r="A51" t="str">
            <v>Tax Rate (%)</v>
          </cell>
          <cell r="B51">
            <v>0.34513274336283184</v>
          </cell>
          <cell r="C51">
            <v>0.25714285714285712</v>
          </cell>
          <cell r="D51">
            <v>0.75</v>
          </cell>
          <cell r="E51">
            <v>0.36103151862464183</v>
          </cell>
          <cell r="F51">
            <v>0.37055016181229772</v>
          </cell>
          <cell r="G51">
            <v>0.36144578313253012</v>
          </cell>
          <cell r="H51">
            <v>0.37298387096774194</v>
          </cell>
          <cell r="I51">
            <v>0.43698666666666669</v>
          </cell>
          <cell r="J51">
            <v>-0.23194748358862144</v>
          </cell>
          <cell r="K51">
            <v>0.49536978663192238</v>
          </cell>
          <cell r="L51">
            <v>0.33413091374286324</v>
          </cell>
          <cell r="M51">
            <v>0.30437156083500744</v>
          </cell>
          <cell r="N51">
            <v>0.37019203755170493</v>
          </cell>
          <cell r="O51">
            <v>0.32198581560283684</v>
          </cell>
          <cell r="P51">
            <v>0.31103385178408055</v>
          </cell>
          <cell r="Q51">
            <v>0.23348017621145375</v>
          </cell>
          <cell r="R51">
            <v>0.29680851063829788</v>
          </cell>
          <cell r="S51">
            <v>-0.84853405093653644</v>
          </cell>
          <cell r="T51">
            <v>0.27284336395035252</v>
          </cell>
          <cell r="U51">
            <v>0.22914323037883447</v>
          </cell>
          <cell r="V51">
            <v>0.30110002558199028</v>
          </cell>
          <cell r="W51">
            <v>0.31728367022484671</v>
          </cell>
          <cell r="X51">
            <v>0.22756410256410256</v>
          </cell>
          <cell r="Y51">
            <v>0.31999999999999995</v>
          </cell>
          <cell r="Z51">
            <v>0.32</v>
          </cell>
          <cell r="AA51">
            <v>0.31900000000000001</v>
          </cell>
          <cell r="AB51">
            <v>0.318</v>
          </cell>
          <cell r="AC51">
            <v>0.317</v>
          </cell>
          <cell r="AD51">
            <v>0.317</v>
          </cell>
          <cell r="AE51">
            <v>0.315</v>
          </cell>
        </row>
        <row r="52">
          <cell r="A52" t="str">
            <v>NOPAT Margin (%)</v>
          </cell>
          <cell r="B52">
            <v>0</v>
          </cell>
          <cell r="C52">
            <v>1.4597629444791014E-2</v>
          </cell>
          <cell r="D52">
            <v>1.1039220779220781E-2</v>
          </cell>
          <cell r="E52">
            <v>7.0135338345864662E-2</v>
          </cell>
          <cell r="F52">
            <v>9.0109400324149116E-2</v>
          </cell>
          <cell r="G52">
            <v>5.8877458396369139E-2</v>
          </cell>
          <cell r="H52">
            <v>9.7061848505906878E-2</v>
          </cell>
          <cell r="I52">
            <v>6.0663441603317207E-2</v>
          </cell>
          <cell r="J52">
            <v>7.942052531816951E-2</v>
          </cell>
          <cell r="K52">
            <v>5.9510938351374429E-2</v>
          </cell>
          <cell r="L52">
            <v>3.2599592150816335E-2</v>
          </cell>
          <cell r="M52">
            <v>3.813668582430365E-2</v>
          </cell>
          <cell r="N52">
            <v>-1.6791729498911819E-4</v>
          </cell>
          <cell r="O52">
            <v>1.7709384460141274E-2</v>
          </cell>
          <cell r="P52">
            <v>5.4829624852198215E-2</v>
          </cell>
          <cell r="Q52">
            <v>5.4701330676362944E-2</v>
          </cell>
          <cell r="R52">
            <v>4.225193875521973E-2</v>
          </cell>
          <cell r="S52">
            <v>6.7826141413061831E-3</v>
          </cell>
          <cell r="T52">
            <v>9.7163885064632926E-3</v>
          </cell>
          <cell r="U52">
            <v>4.5158024649229064E-2</v>
          </cell>
          <cell r="V52">
            <v>5.4516484226591388E-2</v>
          </cell>
          <cell r="W52">
            <v>6.5765203777576817E-2</v>
          </cell>
          <cell r="X52">
            <v>7.5014777941601551E-2</v>
          </cell>
          <cell r="Y52">
            <v>7.6977935223201677E-2</v>
          </cell>
          <cell r="Z52">
            <v>6.9735608302611177E-2</v>
          </cell>
          <cell r="AA52">
            <v>7.1170309123145536E-2</v>
          </cell>
          <cell r="AB52">
            <v>6.9991555154803486E-2</v>
          </cell>
          <cell r="AC52">
            <v>6.6948064825147729E-2</v>
          </cell>
          <cell r="AD52">
            <v>4.4860999069832423E-2</v>
          </cell>
          <cell r="AE52">
            <v>4.1236538543779358E-2</v>
          </cell>
        </row>
        <row r="53">
          <cell r="A53" t="str">
            <v>Net Profit (pre-extraordinaries) margin</v>
          </cell>
          <cell r="B53">
            <v>3.870967741935484E-2</v>
          </cell>
          <cell r="C53">
            <v>5.406529423996673E-3</v>
          </cell>
          <cell r="D53">
            <v>1.038961038961039E-3</v>
          </cell>
          <cell r="E53">
            <v>5.7816956183562355E-2</v>
          </cell>
          <cell r="F53">
            <v>7.8808752025931933E-2</v>
          </cell>
          <cell r="G53">
            <v>4.0090771558245086E-2</v>
          </cell>
          <cell r="H53">
            <v>0.10806115357887422</v>
          </cell>
          <cell r="I53">
            <v>5.836351071181755E-2</v>
          </cell>
          <cell r="J53">
            <v>-1.172696786019288E-2</v>
          </cell>
          <cell r="K53">
            <v>1.2878323086449948E-2</v>
          </cell>
          <cell r="L53">
            <v>-3.9831191818074888E-2</v>
          </cell>
          <cell r="M53">
            <v>-4.5635955236452606E-2</v>
          </cell>
          <cell r="N53">
            <v>-7.9699455390063123E-2</v>
          </cell>
          <cell r="O53">
            <v>1.6078035654221324E-2</v>
          </cell>
          <cell r="P53">
            <v>4.0472965709986021E-2</v>
          </cell>
          <cell r="Q53">
            <v>4.9995211186667943E-2</v>
          </cell>
          <cell r="R53">
            <v>3.8609813084112148E-2</v>
          </cell>
          <cell r="S53">
            <v>-6.2740644138006924E-2</v>
          </cell>
          <cell r="T53">
            <v>-2.6512393243797967E-2</v>
          </cell>
          <cell r="U53">
            <v>3.0627465148613784E-2</v>
          </cell>
          <cell r="V53">
            <v>5.3531889879494463E-2</v>
          </cell>
          <cell r="W53">
            <v>6.6070290348814203E-2</v>
          </cell>
          <cell r="X53">
            <v>8.7513049793472839E-2</v>
          </cell>
          <cell r="Y53">
            <v>7.5429995551729967E-2</v>
          </cell>
          <cell r="Z53">
            <v>6.7511428905482312E-2</v>
          </cell>
          <cell r="AA53">
            <v>6.8701687296375991E-2</v>
          </cell>
          <cell r="AB53">
            <v>6.6626853271710917E-2</v>
          </cell>
          <cell r="AC53">
            <v>6.3028887621969287E-2</v>
          </cell>
          <cell r="AD53">
            <v>4.0289090770620789E-2</v>
          </cell>
          <cell r="AE53">
            <v>3.7372517670524463E-2</v>
          </cell>
        </row>
        <row r="55">
          <cell r="A55" t="str">
            <v>Growth Analysis</v>
          </cell>
        </row>
        <row r="56">
          <cell r="A56" t="str">
            <v>Revenue Growth (%)</v>
          </cell>
          <cell r="C56">
            <v>-0.16146469049694856</v>
          </cell>
          <cell r="D56">
            <v>-0.19941775836972342</v>
          </cell>
          <cell r="E56">
            <v>1.8181818181817189E-3</v>
          </cell>
          <cell r="F56">
            <v>0.27975110189266261</v>
          </cell>
          <cell r="G56">
            <v>-0.46434359805510539</v>
          </cell>
          <cell r="H56">
            <v>8.8502269288956104E-2</v>
          </cell>
          <cell r="I56">
            <v>-0.49722029186935368</v>
          </cell>
          <cell r="J56">
            <v>1.5521769177608844</v>
          </cell>
          <cell r="K56">
            <v>9.2878418629840143E-2</v>
          </cell>
          <cell r="L56">
            <v>-0.20887016848364715</v>
          </cell>
          <cell r="M56">
            <v>2.1609771374882625E-2</v>
          </cell>
          <cell r="N56">
            <v>0.16523605150214582</v>
          </cell>
          <cell r="O56">
            <v>0.56432517758484613</v>
          </cell>
          <cell r="P56">
            <v>2.1291624621594347</v>
          </cell>
          <cell r="Q56">
            <v>0.12232613135547665</v>
          </cell>
          <cell r="R56">
            <v>-0.18015515755195866</v>
          </cell>
          <cell r="S56">
            <v>1.9617990654205606</v>
          </cell>
          <cell r="T56">
            <v>-0.39202461247189679</v>
          </cell>
          <cell r="U56">
            <v>0.334857921370183</v>
          </cell>
          <cell r="V56">
            <v>0.24018857378921532</v>
          </cell>
          <cell r="W56">
            <v>-0.10851376506319188</v>
          </cell>
          <cell r="X56">
            <v>-3.1540541134580269E-2</v>
          </cell>
          <cell r="Y56">
            <v>3.0287914599490318E-2</v>
          </cell>
          <cell r="Z56">
            <v>0.11565000933401381</v>
          </cell>
          <cell r="AA56">
            <v>2.1740717769811457E-3</v>
          </cell>
          <cell r="AB56">
            <v>-1.5359177538758373E-2</v>
          </cell>
          <cell r="AC56">
            <v>-1.1836856321547073E-2</v>
          </cell>
          <cell r="AD56">
            <v>-8.0565884616177197E-3</v>
          </cell>
          <cell r="AE56">
            <v>-6.2819130020805858E-3</v>
          </cell>
        </row>
        <row r="57">
          <cell r="A57" t="str">
            <v>Revenue Growth (%) ex Currency</v>
          </cell>
        </row>
        <row r="58">
          <cell r="A58" t="str">
            <v>Revenue Growth (%) Organic (price + vols)</v>
          </cell>
        </row>
        <row r="59">
          <cell r="A59" t="str">
            <v>CoGS (w/o D&amp;A) Growth (%)</v>
          </cell>
          <cell r="C59">
            <v>-0.12222007348675301</v>
          </cell>
          <cell r="D59">
            <v>-0.21370345891165454</v>
          </cell>
          <cell r="E59">
            <v>-9.4704398991314109E-2</v>
          </cell>
          <cell r="F59">
            <v>0.21943670690188788</v>
          </cell>
          <cell r="G59">
            <v>-0.46243654822335023</v>
          </cell>
          <cell r="H59">
            <v>2.2662889518413554E-2</v>
          </cell>
          <cell r="I59">
            <v>-0.56094182825484762</v>
          </cell>
          <cell r="J59">
            <v>1.6771819137749735</v>
          </cell>
          <cell r="K59">
            <v>0.21445404556166525</v>
          </cell>
          <cell r="L59">
            <v>-0.15653298835705043</v>
          </cell>
          <cell r="M59">
            <v>1.7638036809815905E-2</v>
          </cell>
          <cell r="N59">
            <v>0.26186887716654117</v>
          </cell>
          <cell r="O59">
            <v>0.54284861152582864</v>
          </cell>
          <cell r="P59">
            <v>2.0257402748209792</v>
          </cell>
          <cell r="Q59">
            <v>0.13688115645388255</v>
          </cell>
          <cell r="R59">
            <v>-0.17159896478001579</v>
          </cell>
          <cell r="S59">
            <v>2.1831703341483291</v>
          </cell>
          <cell r="T59">
            <v>-0.41116729608056501</v>
          </cell>
          <cell r="U59">
            <v>0.30958765127907828</v>
          </cell>
          <cell r="V59">
            <v>0.23673288694593553</v>
          </cell>
          <cell r="W59">
            <v>-0.13134815875430672</v>
          </cell>
          <cell r="X59">
            <v>-4.8780487804878092E-2</v>
          </cell>
          <cell r="Y59">
            <v>2.0641452546292349E-2</v>
          </cell>
          <cell r="Z59">
            <v>0.13347424627075943</v>
          </cell>
          <cell r="AA59">
            <v>-2.9683050793349874E-4</v>
          </cell>
          <cell r="AB59">
            <v>-1.3490945752925976E-2</v>
          </cell>
          <cell r="AC59">
            <v>-6.5146907474596949E-3</v>
          </cell>
          <cell r="AD59">
            <v>3.1645177160659177E-2</v>
          </cell>
          <cell r="AE59">
            <v>5.6050159851439574E-5</v>
          </cell>
        </row>
        <row r="60">
          <cell r="A60" t="str">
            <v>D&amp;A Growth (%)</v>
          </cell>
          <cell r="C60">
            <v>0</v>
          </cell>
          <cell r="D60">
            <v>0.48717948717948723</v>
          </cell>
          <cell r="E60">
            <v>0.1206896551724137</v>
          </cell>
          <cell r="F60">
            <v>0.32307692307692304</v>
          </cell>
          <cell r="G60">
            <v>0.27906976744186052</v>
          </cell>
          <cell r="H60">
            <v>-0.23636363636363633</v>
          </cell>
          <cell r="I60">
            <v>0.64285714285714279</v>
          </cell>
          <cell r="J60">
            <v>1.3913043478260869</v>
          </cell>
          <cell r="K60">
            <v>-0.15454545454545454</v>
          </cell>
          <cell r="L60">
            <v>-8.9605734767025047E-2</v>
          </cell>
          <cell r="M60">
            <v>-3.9370078740157521E-2</v>
          </cell>
          <cell r="N60">
            <v>2.4590163934426146E-2</v>
          </cell>
          <cell r="O60">
            <v>0.15599999999999992</v>
          </cell>
          <cell r="P60">
            <v>1.5224913494809686</v>
          </cell>
          <cell r="Q60">
            <v>-2.4691358024691357E-2</v>
          </cell>
          <cell r="R60">
            <v>-0.33614627285513365</v>
          </cell>
          <cell r="S60">
            <v>3.0487288135593218</v>
          </cell>
          <cell r="T60">
            <v>-7.1690214547357356E-2</v>
          </cell>
          <cell r="U60">
            <v>-0.36696730552423906</v>
          </cell>
          <cell r="V60">
            <v>-0.17097061442564554</v>
          </cell>
          <cell r="W60">
            <v>5.5853920515574584E-2</v>
          </cell>
          <cell r="X60">
            <v>3.9674465920651159E-2</v>
          </cell>
          <cell r="Y60">
            <v>-1.5204980622498754E-2</v>
          </cell>
          <cell r="Z60">
            <v>8.9687263130737715E-3</v>
          </cell>
          <cell r="AA60">
            <v>-4.227551885155445E-3</v>
          </cell>
          <cell r="AB60">
            <v>-4.6129245732422497E-3</v>
          </cell>
          <cell r="AC60">
            <v>-4.8216098099430615E-3</v>
          </cell>
          <cell r="AD60">
            <v>-4.8702122347240584E-3</v>
          </cell>
          <cell r="AE60">
            <v>-8.4663010179248932E-3</v>
          </cell>
        </row>
        <row r="61">
          <cell r="A61" t="str">
            <v>EBITDA (pre-extraordinaries)</v>
          </cell>
          <cell r="C61">
            <v>-0.67351598173515981</v>
          </cell>
          <cell r="D61">
            <v>5.5944055944056048E-2</v>
          </cell>
          <cell r="E61">
            <v>2.23841059602649</v>
          </cell>
          <cell r="F61">
            <v>0.61963190184049077</v>
          </cell>
          <cell r="G61">
            <v>-0.5505050505050505</v>
          </cell>
          <cell r="H61">
            <v>0.848314606741573</v>
          </cell>
          <cell r="I61">
            <v>-0.18237082066869303</v>
          </cell>
          <cell r="J61">
            <v>0.53345724907063197</v>
          </cell>
          <cell r="K61">
            <v>-9.6969696969696484E-3</v>
          </cell>
          <cell r="L61">
            <v>-0.46634026927784578</v>
          </cell>
          <cell r="M61">
            <v>-9.1743119266054496E-3</v>
          </cell>
          <cell r="N61">
            <v>-0.66203703703703698</v>
          </cell>
          <cell r="O61">
            <v>5.1780821917808222</v>
          </cell>
          <cell r="P61">
            <v>1.7128603104212861</v>
          </cell>
          <cell r="Q61">
            <v>6.4568859828361358E-2</v>
          </cell>
          <cell r="R61">
            <v>-0.39808061420345486</v>
          </cell>
          <cell r="S61">
            <v>0.58418367346938771</v>
          </cell>
          <cell r="T61">
            <v>-0.17310789049919484</v>
          </cell>
          <cell r="U61">
            <v>1.0219084712755597</v>
          </cell>
          <cell r="V61">
            <v>0.30724777269443782</v>
          </cell>
          <cell r="W61">
            <v>5.5627187327316197E-2</v>
          </cell>
          <cell r="X61">
            <v>0.10137846798115513</v>
          </cell>
          <cell r="Y61">
            <v>9.8444581745424919E-3</v>
          </cell>
          <cell r="Z61">
            <v>2.3821413709356198E-2</v>
          </cell>
          <cell r="AA61">
            <v>1.6557790924212279E-2</v>
          </cell>
          <cell r="AB61">
            <v>-2.870439931630131E-2</v>
          </cell>
          <cell r="AC61">
            <v>-4.7814336019308512E-2</v>
          </cell>
          <cell r="AD61">
            <v>-0.28112603939603653</v>
          </cell>
          <cell r="AE61">
            <v>-7.2766704038061736E-2</v>
          </cell>
        </row>
        <row r="62">
          <cell r="A62" t="str">
            <v>EBIT (pre-extraordinaries)</v>
          </cell>
          <cell r="C62">
            <v>-0.73934837092731831</v>
          </cell>
          <cell r="D62">
            <v>-0.10576923076923073</v>
          </cell>
          <cell r="E62">
            <v>3.559139784946237</v>
          </cell>
          <cell r="F62">
            <v>0.66509433962264142</v>
          </cell>
          <cell r="G62">
            <v>-0.65155807365439089</v>
          </cell>
          <cell r="H62">
            <v>1.3333333333333335</v>
          </cell>
          <cell r="I62">
            <v>-0.30313588850174211</v>
          </cell>
          <cell r="J62">
            <v>0.23750000000000004</v>
          </cell>
          <cell r="K62">
            <v>8.6868686868686762E-2</v>
          </cell>
          <cell r="L62">
            <v>-0.66171003717472121</v>
          </cell>
          <cell r="M62">
            <v>3.2967032967033072E-2</v>
          </cell>
          <cell r="N62">
            <v>-1.5531914893617023</v>
          </cell>
          <cell r="O62">
            <v>-6.8942307692307692</v>
          </cell>
          <cell r="P62">
            <v>1.8026101141924959</v>
          </cell>
          <cell r="Q62">
            <v>0.10244470314318965</v>
          </cell>
          <cell r="R62">
            <v>-0.42133051742344241</v>
          </cell>
          <cell r="S62">
            <v>-0.4771897810218978</v>
          </cell>
          <cell r="T62">
            <v>-0.51134380453752182</v>
          </cell>
          <cell r="U62">
            <v>9.8214285714285712</v>
          </cell>
          <cell r="V62">
            <v>0.4844884488448844</v>
          </cell>
          <cell r="W62">
            <v>5.5580257892396512E-2</v>
          </cell>
          <cell r="X62">
            <v>0.11415332771693354</v>
          </cell>
          <cell r="Y62">
            <v>1.4683877163309322E-2</v>
          </cell>
          <cell r="Z62">
            <v>2.6606350536027001E-2</v>
          </cell>
          <cell r="AA62">
            <v>2.0388165604286579E-2</v>
          </cell>
          <cell r="AB62">
            <v>-3.3036934964087661E-2</v>
          </cell>
          <cell r="AC62">
            <v>-5.5773287470534227E-2</v>
          </cell>
          <cell r="AD62">
            <v>-0.33502705799693899</v>
          </cell>
          <cell r="AE62">
            <v>-9.1541489031663925E-2</v>
          </cell>
        </row>
        <row r="63">
          <cell r="A63" t="str">
            <v>NOPAT Growth (%)</v>
          </cell>
          <cell r="C63">
            <v>-0.82406015037593994</v>
          </cell>
          <cell r="D63">
            <v>-0.39457264957264937</v>
          </cell>
          <cell r="E63">
            <v>5.3648384743888373</v>
          </cell>
          <cell r="F63">
            <v>0.64421541373395641</v>
          </cell>
          <cell r="G63">
            <v>-0.65000224830253162</v>
          </cell>
          <cell r="H63">
            <v>0.79443959093478589</v>
          </cell>
          <cell r="I63">
            <v>-0.68576378944956762</v>
          </cell>
          <cell r="J63">
            <v>2.3413078149920254</v>
          </cell>
          <cell r="K63">
            <v>-0.1810905312439578</v>
          </cell>
          <cell r="L63">
            <v>-0.56662572360226438</v>
          </cell>
          <cell r="M63">
            <v>0.19513185029178182</v>
          </cell>
          <cell r="N63">
            <v>-1.0051305791670904</v>
          </cell>
          <cell r="O63">
            <v>-165.98143322475573</v>
          </cell>
          <cell r="P63">
            <v>8.6881291547958206</v>
          </cell>
          <cell r="Q63">
            <v>0.1197000344885224</v>
          </cell>
          <cell r="R63">
            <v>-0.36674238736817866</v>
          </cell>
          <cell r="S63">
            <v>-0.5245486759504685</v>
          </cell>
          <cell r="T63">
            <v>-0.12904892648765554</v>
          </cell>
          <cell r="U63">
            <v>5.2039045553145327</v>
          </cell>
          <cell r="V63">
            <v>0.49720279720279725</v>
          </cell>
          <cell r="W63">
            <v>7.5432041102288849E-2</v>
          </cell>
          <cell r="X63">
            <v>0.1046688382193266</v>
          </cell>
          <cell r="Y63">
            <v>5.7250831469886077E-2</v>
          </cell>
          <cell r="Z63">
            <v>1.0686137893078707E-2</v>
          </cell>
          <cell r="AA63">
            <v>2.2792232256164224E-2</v>
          </cell>
          <cell r="AB63">
            <v>-3.1667231995280543E-2</v>
          </cell>
          <cell r="AC63">
            <v>-5.4805825438690614E-2</v>
          </cell>
          <cell r="AD63">
            <v>-0.33531204257252301</v>
          </cell>
          <cell r="AE63">
            <v>-8.6567507505724728E-2</v>
          </cell>
        </row>
        <row r="64">
          <cell r="A64" t="str">
            <v xml:space="preserve">Net Income </v>
          </cell>
          <cell r="C64">
            <v>-0.88288288288288286</v>
          </cell>
          <cell r="D64">
            <v>-0.84615384615384615</v>
          </cell>
          <cell r="E64">
            <v>54.75</v>
          </cell>
          <cell r="F64">
            <v>0.74439461883408065</v>
          </cell>
          <cell r="G64">
            <v>-0.72750642673521848</v>
          </cell>
          <cell r="H64">
            <v>1.9339622641509435</v>
          </cell>
          <cell r="I64">
            <v>-0.72845016077170421</v>
          </cell>
          <cell r="J64">
            <v>-1.5128083681581526</v>
          </cell>
          <cell r="K64">
            <v>-2.2001773635876658</v>
          </cell>
          <cell r="L64">
            <v>-3.4468747880136972</v>
          </cell>
          <cell r="M64">
            <v>0.1704931654701376</v>
          </cell>
          <cell r="N64">
            <v>1.0349892584566285</v>
          </cell>
          <cell r="O64">
            <v>-1.3155765099888135</v>
          </cell>
          <cell r="P64">
            <v>6.8769874476987445</v>
          </cell>
          <cell r="Q64">
            <v>0.38638053755444601</v>
          </cell>
          <cell r="R64">
            <v>-0.36685823754789271</v>
          </cell>
          <cell r="S64">
            <v>-5.8129003050858987</v>
          </cell>
          <cell r="T64">
            <v>-0.74308707253244366</v>
          </cell>
          <cell r="U64">
            <v>-2.5420454158615096</v>
          </cell>
          <cell r="V64">
            <v>1.1676504353118626</v>
          </cell>
          <cell r="W64">
            <v>0.10029282576866771</v>
          </cell>
          <cell r="X64">
            <v>0.28276779773785754</v>
          </cell>
          <cell r="Y64">
            <v>-0.11196543831298356</v>
          </cell>
          <cell r="Z64">
            <v>-1.4698299047356533E-3</v>
          </cell>
          <cell r="AA64">
            <v>1.9842874191734472E-2</v>
          </cell>
          <cell r="AB64">
            <v>-4.5095947637337264E-2</v>
          </cell>
          <cell r="AC64">
            <v>-6.5199380179556621E-2</v>
          </cell>
          <cell r="AD64">
            <v>-0.36593362734742052</v>
          </cell>
          <cell r="AE64">
            <v>-7.8218295436671248E-2</v>
          </cell>
        </row>
        <row r="66">
          <cell r="A66" t="str">
            <v>Cash Flow Related Operating Measures</v>
          </cell>
        </row>
        <row r="67">
          <cell r="A67" t="str">
            <v>Net Cash Flow (CFO-CFI)</v>
          </cell>
          <cell r="B67">
            <v>126</v>
          </cell>
          <cell r="C67">
            <v>99</v>
          </cell>
          <cell r="D67">
            <v>22</v>
          </cell>
          <cell r="E67">
            <v>-91</v>
          </cell>
          <cell r="F67">
            <v>-511</v>
          </cell>
          <cell r="G67">
            <v>-322</v>
          </cell>
          <cell r="H67">
            <v>194</v>
          </cell>
          <cell r="I67">
            <v>-5281</v>
          </cell>
          <cell r="J67">
            <v>255</v>
          </cell>
          <cell r="K67">
            <v>2499</v>
          </cell>
          <cell r="L67">
            <v>8</v>
          </cell>
          <cell r="M67">
            <v>-334</v>
          </cell>
          <cell r="N67">
            <v>-119</v>
          </cell>
          <cell r="O67">
            <v>778</v>
          </cell>
          <cell r="P67">
            <v>1383</v>
          </cell>
          <cell r="Q67">
            <v>-1646</v>
          </cell>
          <cell r="R67">
            <v>-10719</v>
          </cell>
          <cell r="S67">
            <v>-794</v>
          </cell>
          <cell r="T67">
            <v>-1398</v>
          </cell>
          <cell r="U67">
            <v>1496</v>
          </cell>
          <cell r="V67">
            <v>1839</v>
          </cell>
          <cell r="W67">
            <v>3774</v>
          </cell>
          <cell r="X67">
            <v>3564.631334596083</v>
          </cell>
          <cell r="Y67">
            <v>2688.4338891961879</v>
          </cell>
          <cell r="Z67">
            <v>2621.7151383729615</v>
          </cell>
          <cell r="AA67">
            <v>3384.8990573456549</v>
          </cell>
          <cell r="AB67">
            <v>3267.6782048849846</v>
          </cell>
          <cell r="AC67">
            <v>3032.1145891462015</v>
          </cell>
          <cell r="AD67">
            <v>1879.7693178662591</v>
          </cell>
          <cell r="AE67">
            <v>1771.0140137472881</v>
          </cell>
        </row>
        <row r="68">
          <cell r="A68" t="str">
            <v>Net Cash Flow Margin (%)</v>
          </cell>
          <cell r="B68">
            <v>2.1970357454228422E-2</v>
          </cell>
          <cell r="C68">
            <v>2.0586400499064253E-2</v>
          </cell>
          <cell r="D68">
            <v>5.7142857142857143E-3</v>
          </cell>
          <cell r="E68">
            <v>-2.3593466424682397E-2</v>
          </cell>
          <cell r="F68">
            <v>-0.10352512155591573</v>
          </cell>
          <cell r="G68">
            <v>-0.12178517397881997</v>
          </cell>
          <cell r="H68">
            <v>6.7407922168172346E-2</v>
          </cell>
          <cell r="I68">
            <v>-3.6496199032480994</v>
          </cell>
          <cell r="J68">
            <v>6.9049553208773359E-2</v>
          </cell>
          <cell r="K68">
            <v>0.61917740336967297</v>
          </cell>
          <cell r="L68">
            <v>2.5054807391168181E-3</v>
          </cell>
          <cell r="M68">
            <v>-0.10239117106069896</v>
          </cell>
          <cell r="N68">
            <v>-3.1307550644567222E-2</v>
          </cell>
          <cell r="O68">
            <v>0.13084426505213589</v>
          </cell>
          <cell r="P68">
            <v>7.4330861012576591E-2</v>
          </cell>
          <cell r="Q68">
            <v>-7.882386744564697E-2</v>
          </cell>
          <cell r="R68">
            <v>-0.62610981308411218</v>
          </cell>
          <cell r="S68">
            <v>-1.5658896383071035E-2</v>
          </cell>
          <cell r="T68">
            <v>-4.5348384585441805E-2</v>
          </cell>
          <cell r="U68">
            <v>3.6353916065223202E-2</v>
          </cell>
          <cell r="V68">
            <v>3.6034094249044774E-2</v>
          </cell>
          <cell r="W68">
            <v>8.2950524210387497E-2</v>
          </cell>
          <cell r="X68">
            <v>8.0900352562209676E-2</v>
          </cell>
          <cell r="Y68">
            <v>5.9221110867855996E-2</v>
          </cell>
          <cell r="Z68">
            <v>5.1764821015157232E-2</v>
          </cell>
          <cell r="AA68">
            <v>6.6688626720606284E-2</v>
          </cell>
          <cell r="AB68">
            <v>6.5383399390687921E-2</v>
          </cell>
          <cell r="AC68">
            <v>6.1396720438268368E-2</v>
          </cell>
          <cell r="AD68">
            <v>3.8372246256495192E-2</v>
          </cell>
          <cell r="AE68">
            <v>3.6380735040435846E-2</v>
          </cell>
        </row>
        <row r="69">
          <cell r="A69" t="str">
            <v>EBITDA (CF Def= PTOP+D&amp;A), Excluding Associates</v>
          </cell>
          <cell r="B69">
            <v>438</v>
          </cell>
          <cell r="C69">
            <v>143</v>
          </cell>
          <cell r="D69">
            <v>151</v>
          </cell>
          <cell r="E69">
            <v>489</v>
          </cell>
          <cell r="F69">
            <v>792</v>
          </cell>
          <cell r="G69">
            <v>354</v>
          </cell>
          <cell r="H69">
            <v>526</v>
          </cell>
          <cell r="I69">
            <v>303</v>
          </cell>
          <cell r="J69">
            <v>749</v>
          </cell>
          <cell r="K69">
            <v>618</v>
          </cell>
          <cell r="L69">
            <v>396</v>
          </cell>
          <cell r="M69">
            <v>418</v>
          </cell>
          <cell r="N69">
            <v>249</v>
          </cell>
          <cell r="O69">
            <v>451</v>
          </cell>
          <cell r="P69">
            <v>2323</v>
          </cell>
          <cell r="Q69">
            <v>2621</v>
          </cell>
          <cell r="R69">
            <v>1406</v>
          </cell>
          <cell r="S69">
            <v>2446</v>
          </cell>
          <cell r="T69">
            <v>2235</v>
          </cell>
          <cell r="U69">
            <v>3983</v>
          </cell>
          <cell r="V69">
            <v>5213</v>
          </cell>
          <cell r="W69">
            <v>5588</v>
          </cell>
          <cell r="X69">
            <v>6109</v>
          </cell>
          <cell r="Y69">
            <v>6385.5688727840279</v>
          </cell>
          <cell r="Z69">
            <v>6451.1947189627808</v>
          </cell>
          <cell r="AA69">
            <v>6570.7936029614193</v>
          </cell>
          <cell r="AB69">
            <v>6390.0719150469804</v>
          </cell>
          <cell r="AC69">
            <v>6090.1693412716704</v>
          </cell>
          <cell r="AD69">
            <v>4379.0580354446911</v>
          </cell>
          <cell r="AE69">
            <v>4077.8250320050829</v>
          </cell>
        </row>
        <row r="70">
          <cell r="A70" t="str">
            <v>+Change in Working Capital</v>
          </cell>
          <cell r="B70">
            <v>2</v>
          </cell>
          <cell r="C70">
            <v>34</v>
          </cell>
          <cell r="D70">
            <v>5</v>
          </cell>
          <cell r="E70">
            <v>-107</v>
          </cell>
          <cell r="F70">
            <v>16</v>
          </cell>
          <cell r="G70">
            <v>43</v>
          </cell>
          <cell r="H70">
            <v>-147</v>
          </cell>
          <cell r="I70">
            <v>-46</v>
          </cell>
          <cell r="J70">
            <v>-68</v>
          </cell>
          <cell r="K70">
            <v>-153</v>
          </cell>
          <cell r="L70">
            <v>-65</v>
          </cell>
          <cell r="M70">
            <v>73</v>
          </cell>
          <cell r="N70">
            <v>93</v>
          </cell>
          <cell r="O70">
            <v>-99</v>
          </cell>
          <cell r="P70">
            <v>42</v>
          </cell>
          <cell r="Q70">
            <v>-384</v>
          </cell>
          <cell r="R70">
            <v>144</v>
          </cell>
          <cell r="S70">
            <v>848</v>
          </cell>
          <cell r="T70">
            <v>-902</v>
          </cell>
          <cell r="U70">
            <v>-249</v>
          </cell>
          <cell r="V70">
            <v>-134</v>
          </cell>
          <cell r="W70">
            <v>359</v>
          </cell>
          <cell r="X70">
            <v>443.67412629468822</v>
          </cell>
          <cell r="Y70">
            <v>-82.762521707105861</v>
          </cell>
          <cell r="Z70">
            <v>-398.172700951141</v>
          </cell>
          <cell r="AA70">
            <v>54.942836934810884</v>
          </cell>
          <cell r="AB70">
            <v>82.240034899474949</v>
          </cell>
          <cell r="AC70">
            <v>55.587205640673574</v>
          </cell>
          <cell r="AD70">
            <v>35.646722714836869</v>
          </cell>
          <cell r="AE70">
            <v>3.5896296903565599</v>
          </cell>
        </row>
        <row r="71">
          <cell r="A71" t="str">
            <v>-Capital Expenditures</v>
          </cell>
          <cell r="B71">
            <v>-43</v>
          </cell>
          <cell r="C71">
            <v>-97</v>
          </cell>
          <cell r="D71">
            <v>-69</v>
          </cell>
          <cell r="E71">
            <v>-252</v>
          </cell>
          <cell r="F71">
            <v>-982</v>
          </cell>
          <cell r="G71">
            <v>-554</v>
          </cell>
          <cell r="H71">
            <v>-49</v>
          </cell>
          <cell r="I71">
            <v>-64</v>
          </cell>
          <cell r="J71">
            <v>-131</v>
          </cell>
          <cell r="K71">
            <v>2393</v>
          </cell>
          <cell r="L71">
            <v>-68</v>
          </cell>
          <cell r="M71">
            <v>-22</v>
          </cell>
          <cell r="N71">
            <v>-268</v>
          </cell>
          <cell r="O71">
            <v>-70</v>
          </cell>
          <cell r="P71">
            <v>-249</v>
          </cell>
          <cell r="Q71">
            <v>-400</v>
          </cell>
          <cell r="R71">
            <v>-411</v>
          </cell>
          <cell r="S71">
            <v>-827</v>
          </cell>
          <cell r="T71">
            <v>-759</v>
          </cell>
          <cell r="U71">
            <v>-538</v>
          </cell>
          <cell r="V71">
            <v>-979</v>
          </cell>
          <cell r="W71">
            <v>-1048</v>
          </cell>
          <cell r="X71">
            <v>-1544.3598648693337</v>
          </cell>
          <cell r="Y71">
            <v>-1489.4643270606</v>
          </cell>
          <cell r="Z71">
            <v>-1197.7234571425172</v>
          </cell>
          <cell r="AA71">
            <v>-956.9897278536007</v>
          </cell>
          <cell r="AB71">
            <v>-944.84311424836517</v>
          </cell>
          <cell r="AC71">
            <v>-936.08649450790256</v>
          </cell>
          <cell r="AD71">
            <v>-930.513149114827</v>
          </cell>
          <cell r="AE71">
            <v>-854.25137837052353</v>
          </cell>
        </row>
        <row r="72">
          <cell r="A72" t="str">
            <v>-Debt Service Pre-Tax</v>
          </cell>
        </row>
        <row r="73">
          <cell r="A73" t="str">
            <v>-Taxes Paid</v>
          </cell>
        </row>
        <row r="74">
          <cell r="A74" t="str">
            <v xml:space="preserve">   Taxes Paid Operating</v>
          </cell>
          <cell r="B74">
            <v>0</v>
          </cell>
          <cell r="C74">
            <v>-33.800000000000004</v>
          </cell>
          <cell r="D74">
            <v>-50.498999999999995</v>
          </cell>
          <cell r="E74">
            <v>-153.488</v>
          </cell>
          <cell r="F74">
            <v>-261.21999999999997</v>
          </cell>
          <cell r="G74">
            <v>-88.328000000000003</v>
          </cell>
          <cell r="H74">
            <v>-162.65600000000001</v>
          </cell>
          <cell r="I74">
            <v>-77.22</v>
          </cell>
          <cell r="J74">
            <v>-125.69999999999999</v>
          </cell>
          <cell r="K74">
            <v>-98.813852813852819</v>
          </cell>
          <cell r="L74">
            <v>-37.909502262443439</v>
          </cell>
          <cell r="M74">
            <v>-49.598130841121488</v>
          </cell>
          <cell r="N74">
            <v>0.36174636174636177</v>
          </cell>
          <cell r="O74">
            <v>-56.699999999999996</v>
          </cell>
          <cell r="P74">
            <v>-573.84</v>
          </cell>
          <cell r="Q74">
            <v>-673.72681281618895</v>
          </cell>
          <cell r="R74">
            <v>-210.64680851063829</v>
          </cell>
          <cell r="S74">
            <v>-191.08076735092865</v>
          </cell>
          <cell r="T74">
            <v>-161.46317512274959</v>
          </cell>
          <cell r="U74">
            <v>-1001.7021276595746</v>
          </cell>
          <cell r="V74">
            <v>-1499.7512274959086</v>
          </cell>
          <cell r="W74">
            <v>-1612.8805237315876</v>
          </cell>
          <cell r="X74">
            <v>-1781.6988543371524</v>
          </cell>
          <cell r="Y74">
            <v>-1883.7025951768974</v>
          </cell>
          <cell r="Z74">
            <v>-1903.8321008585081</v>
          </cell>
          <cell r="AA74">
            <v>-1947.2246842780166</v>
          </cell>
          <cell r="AB74">
            <v>-1885.5614684540476</v>
          </cell>
          <cell r="AC74">
            <v>-1782.2217157600337</v>
          </cell>
          <cell r="AD74">
            <v>-1184.6213119314302</v>
          </cell>
          <cell r="AE74">
            <v>-1082.0715976193646</v>
          </cell>
        </row>
        <row r="75">
          <cell r="A75" t="str">
            <v xml:space="preserve">      Tax Expense from operations</v>
          </cell>
        </row>
        <row r="76">
          <cell r="A76" t="str">
            <v xml:space="preserve">      Net Increase in deferred tax liabilities</v>
          </cell>
        </row>
        <row r="77">
          <cell r="A77" t="str">
            <v xml:space="preserve">      Adjustment to Tax Expense for unrealized sec.</v>
          </cell>
        </row>
        <row r="78">
          <cell r="A78" t="str">
            <v xml:space="preserve">      Taxes Paid, Financing</v>
          </cell>
        </row>
        <row r="79">
          <cell r="A79" t="str">
            <v xml:space="preserve">      Other Net Tax Expense</v>
          </cell>
        </row>
        <row r="80">
          <cell r="A80" t="str">
            <v>- Minority Interests in Net Income</v>
          </cell>
        </row>
        <row r="81">
          <cell r="A81" t="str">
            <v>+ Other Cash Flows for FCF</v>
          </cell>
          <cell r="B81">
            <v>7</v>
          </cell>
          <cell r="C81">
            <v>19</v>
          </cell>
          <cell r="D81">
            <v>-10</v>
          </cell>
          <cell r="E81">
            <v>-32</v>
          </cell>
          <cell r="F81">
            <v>-34</v>
          </cell>
          <cell r="G81">
            <v>-31</v>
          </cell>
          <cell r="H81">
            <v>4</v>
          </cell>
          <cell r="I81">
            <v>-5782.4520000000002</v>
          </cell>
          <cell r="J81">
            <v>116.30769230769232</v>
          </cell>
          <cell r="K81">
            <v>-83.976911976911992</v>
          </cell>
          <cell r="L81">
            <v>142.18099547511312</v>
          </cell>
          <cell r="M81">
            <v>97.864485981308405</v>
          </cell>
          <cell r="N81">
            <v>-86.062370062370064</v>
          </cell>
          <cell r="O81">
            <v>78.399999999999977</v>
          </cell>
          <cell r="P81">
            <v>-98.039999999999992</v>
          </cell>
          <cell r="Q81">
            <v>-2311</v>
          </cell>
          <cell r="R81">
            <v>-11789</v>
          </cell>
          <cell r="S81">
            <v>-154.67289833822088</v>
          </cell>
          <cell r="T81">
            <v>-1022.675941080196</v>
          </cell>
          <cell r="U81">
            <v>-810.35081833060576</v>
          </cell>
          <cell r="V81">
            <v>-894</v>
          </cell>
          <cell r="W81">
            <v>268</v>
          </cell>
          <cell r="X81">
            <v>-307.18292682927193</v>
          </cell>
          <cell r="Y81">
            <v>-165.65579025125348</v>
          </cell>
          <cell r="Z81">
            <v>-254.49631275065263</v>
          </cell>
          <cell r="AA81">
            <v>-242.94440860355553</v>
          </cell>
          <cell r="AB81">
            <v>-232.8393850392722</v>
          </cell>
          <cell r="AC81">
            <v>-224.45417695112394</v>
          </cell>
          <cell r="AD81">
            <v>-211.63449414298938</v>
          </cell>
          <cell r="AE81">
            <v>-191.91999716400505</v>
          </cell>
        </row>
        <row r="82">
          <cell r="A82" t="str">
            <v>Free Cash Flow for the firm</v>
          </cell>
          <cell r="B82">
            <v>404</v>
          </cell>
          <cell r="C82">
            <v>65.199999999999989</v>
          </cell>
          <cell r="D82">
            <v>26.501000000000005</v>
          </cell>
          <cell r="E82">
            <v>-55.488</v>
          </cell>
          <cell r="F82">
            <v>-469.21999999999997</v>
          </cell>
          <cell r="G82">
            <v>-276.32799999999997</v>
          </cell>
          <cell r="H82">
            <v>171.34399999999999</v>
          </cell>
          <cell r="I82">
            <v>-5666.6720000000005</v>
          </cell>
          <cell r="J82">
            <v>540.60769230769233</v>
          </cell>
          <cell r="K82">
            <v>2675.209235209235</v>
          </cell>
          <cell r="L82">
            <v>367.27149321266972</v>
          </cell>
          <cell r="M82">
            <v>517.26635514018699</v>
          </cell>
          <cell r="N82">
            <v>-11.700623700623709</v>
          </cell>
          <cell r="O82">
            <v>303.7</v>
          </cell>
          <cell r="P82">
            <v>1444.12</v>
          </cell>
          <cell r="Q82">
            <v>-1147.7268128161891</v>
          </cell>
          <cell r="R82">
            <v>-10860.646808510639</v>
          </cell>
          <cell r="S82">
            <v>2121.2463343108507</v>
          </cell>
          <cell r="T82">
            <v>-610.13911620294562</v>
          </cell>
          <cell r="U82">
            <v>1383.9470540098196</v>
          </cell>
          <cell r="V82">
            <v>1706.2487725040914</v>
          </cell>
          <cell r="W82">
            <v>3554.1194762684127</v>
          </cell>
          <cell r="X82">
            <v>2919.4324802589294</v>
          </cell>
          <cell r="Y82">
            <v>2763.9836385881713</v>
          </cell>
          <cell r="Z82">
            <v>2696.9701472599618</v>
          </cell>
          <cell r="AA82">
            <v>3478.5776191610566</v>
          </cell>
          <cell r="AB82">
            <v>3409.0679822047705</v>
          </cell>
          <cell r="AC82">
            <v>3202.9941596932836</v>
          </cell>
          <cell r="AD82">
            <v>2087.9358029702817</v>
          </cell>
          <cell r="AE82">
            <v>1953.1716885415462</v>
          </cell>
        </row>
        <row r="83">
          <cell r="A83" t="str">
            <v>Free Cash flow Margin (%)</v>
          </cell>
          <cell r="B83">
            <v>7.0444638186573677E-2</v>
          </cell>
          <cell r="C83">
            <v>1.3557912247868578E-2</v>
          </cell>
          <cell r="D83">
            <v>6.8833766233766247E-3</v>
          </cell>
          <cell r="E83">
            <v>-1.4386310604096448E-2</v>
          </cell>
          <cell r="F83">
            <v>-9.5060777957860609E-2</v>
          </cell>
          <cell r="G83">
            <v>-0.10451134644478062</v>
          </cell>
          <cell r="H83">
            <v>5.9535788742182072E-2</v>
          </cell>
          <cell r="I83">
            <v>-3.9161520387007607</v>
          </cell>
          <cell r="J83">
            <v>0.14638713574538109</v>
          </cell>
          <cell r="K83">
            <v>0.66283677780208994</v>
          </cell>
          <cell r="L83">
            <v>0.11502395653387715</v>
          </cell>
          <cell r="M83">
            <v>0.15857337680569802</v>
          </cell>
          <cell r="N83">
            <v>-3.0783014208428596E-3</v>
          </cell>
          <cell r="O83">
            <v>5.1076353851328624E-2</v>
          </cell>
          <cell r="P83">
            <v>7.7615822852843158E-2</v>
          </cell>
          <cell r="Q83">
            <v>-5.4962494627726705E-2</v>
          </cell>
          <cell r="R83">
            <v>-0.63438357526347189</v>
          </cell>
          <cell r="S83">
            <v>4.1834227395394052E-2</v>
          </cell>
          <cell r="T83">
            <v>-1.9791719093127859E-2</v>
          </cell>
          <cell r="U83">
            <v>3.3630945882477205E-2</v>
          </cell>
          <cell r="V83">
            <v>3.3432914127639685E-2</v>
          </cell>
          <cell r="W83">
            <v>7.8117666577321859E-2</v>
          </cell>
          <cell r="X83">
            <v>6.6257375522194392E-2</v>
          </cell>
          <cell r="Y83">
            <v>6.0885328873275912E-2</v>
          </cell>
          <cell r="Z83">
            <v>5.3250704057335195E-2</v>
          </cell>
          <cell r="AA83">
            <v>6.8534263631719827E-2</v>
          </cell>
          <cell r="AB83">
            <v>6.8212485885937035E-2</v>
          </cell>
          <cell r="AC83">
            <v>6.4856828858657845E-2</v>
          </cell>
          <cell r="AD83">
            <v>4.2621605767175802E-2</v>
          </cell>
          <cell r="AE83">
            <v>4.0122676126632936E-2</v>
          </cell>
        </row>
        <row r="84">
          <cell r="A84" t="str">
            <v>Capex-to-sales (%)</v>
          </cell>
          <cell r="C84">
            <v>2.0170513620295278E-2</v>
          </cell>
          <cell r="D84">
            <v>1.7922077922077922E-2</v>
          </cell>
          <cell r="E84">
            <v>6.5335753176043551E-2</v>
          </cell>
          <cell r="F84">
            <v>0.19894651539708266</v>
          </cell>
          <cell r="G84">
            <v>0.23033282904689864</v>
          </cell>
          <cell r="H84">
            <v>1.7025712300208478E-2</v>
          </cell>
          <cell r="I84">
            <v>4.42294402211472E-2</v>
          </cell>
          <cell r="J84">
            <v>3.5472515569997295E-2</v>
          </cell>
          <cell r="K84">
            <v>2.576808721506442E-2</v>
          </cell>
          <cell r="L84">
            <v>2.1296586282492952E-2</v>
          </cell>
          <cell r="M84">
            <v>6.7443286327406498E-3</v>
          </cell>
          <cell r="N84">
            <v>7.0507761115495921E-2</v>
          </cell>
          <cell r="O84">
            <v>1.1772620248906828E-2</v>
          </cell>
          <cell r="P84">
            <v>1.3382779748468236E-2</v>
          </cell>
          <cell r="Q84">
            <v>1.9155253328225267E-2</v>
          </cell>
          <cell r="R84">
            <v>2.4007009345794392E-2</v>
          </cell>
          <cell r="S84">
            <v>1.972153196860332E-2</v>
          </cell>
          <cell r="T84">
            <v>2.5269235759698975E-2</v>
          </cell>
          <cell r="U84">
            <v>1.6816116254769021E-2</v>
          </cell>
          <cell r="V84">
            <v>2.0574115802880377E-2</v>
          </cell>
          <cell r="W84">
            <v>2.3298239444358968E-2</v>
          </cell>
          <cell r="X84">
            <v>3.5049699624831683E-2</v>
          </cell>
          <cell r="Y84">
            <v>3.2810080397009674E-2</v>
          </cell>
          <cell r="Z84">
            <v>2.3648618218345019E-2</v>
          </cell>
          <cell r="AA84">
            <v>1.8854426573751221E-2</v>
          </cell>
          <cell r="AB84">
            <v>1.8905489104799E-2</v>
          </cell>
          <cell r="AC84">
            <v>1.895464010993192E-2</v>
          </cell>
          <cell r="AD84">
            <v>1.8994819929964064E-2</v>
          </cell>
          <cell r="AE84">
            <v>1.7548304425139234E-2</v>
          </cell>
        </row>
        <row r="85">
          <cell r="A85" t="str">
            <v>Capex-to-depreciation (x)</v>
          </cell>
          <cell r="C85">
            <v>2.4871794871794872</v>
          </cell>
          <cell r="D85">
            <v>1.1896551724137931</v>
          </cell>
          <cell r="E85">
            <v>3.8769230769230769</v>
          </cell>
          <cell r="F85">
            <v>11.418604651162791</v>
          </cell>
          <cell r="G85">
            <v>5.5363636363636362</v>
          </cell>
          <cell r="H85">
            <v>0.6901408450704225</v>
          </cell>
          <cell r="I85">
            <v>0.85333333333333339</v>
          </cell>
          <cell r="J85">
            <v>0.65829145728643212</v>
          </cell>
          <cell r="K85">
            <v>0.65</v>
          </cell>
          <cell r="L85">
            <v>0.54838709677419351</v>
          </cell>
          <cell r="M85">
            <v>0.16058394160583941</v>
          </cell>
          <cell r="N85">
            <v>1.4725274725274726</v>
          </cell>
          <cell r="O85">
            <v>0.34653465346534651</v>
          </cell>
          <cell r="P85">
            <v>0.46025878003696857</v>
          </cell>
          <cell r="Q85">
            <v>0.65789473684210531</v>
          </cell>
          <cell r="R85">
            <v>1.0378787878787878</v>
          </cell>
          <cell r="S85">
            <v>0.61425061425061422</v>
          </cell>
          <cell r="T85">
            <v>0.51419141914191424</v>
          </cell>
          <cell r="U85">
            <v>0.75877192982456143</v>
          </cell>
          <cell r="V85">
            <v>1.4423076923076923</v>
          </cell>
          <cell r="W85">
            <v>1.3118811881188119</v>
          </cell>
          <cell r="X85">
            <v>1.7710548909051993</v>
          </cell>
          <cell r="Y85">
            <v>1.7373211756280924</v>
          </cell>
          <cell r="Z85">
            <v>1.3838719817840741</v>
          </cell>
          <cell r="AA85">
            <v>1.1112357457286326</v>
          </cell>
          <cell r="AB85">
            <v>1.1031062132055978</v>
          </cell>
          <cell r="AC85">
            <v>1.0991103970046747</v>
          </cell>
          <cell r="AD85">
            <v>1.0988606676370956</v>
          </cell>
          <cell r="AE85">
            <v>1.0189566178734319</v>
          </cell>
        </row>
        <row r="87">
          <cell r="A87" t="str">
            <v>Valuation Ratios</v>
          </cell>
        </row>
        <row r="88">
          <cell r="A88" t="str">
            <v>P&amp;L Operating Metrics</v>
          </cell>
        </row>
        <row r="89">
          <cell r="A89" t="str">
            <v>+ Operating Revenue</v>
          </cell>
          <cell r="B89">
            <v>5735</v>
          </cell>
          <cell r="C89">
            <v>4809</v>
          </cell>
          <cell r="D89">
            <v>3850</v>
          </cell>
          <cell r="E89">
            <v>3857</v>
          </cell>
          <cell r="F89">
            <v>4936</v>
          </cell>
          <cell r="G89">
            <v>2644</v>
          </cell>
          <cell r="H89">
            <v>2878</v>
          </cell>
          <cell r="I89">
            <v>1447</v>
          </cell>
          <cell r="J89">
            <v>3693</v>
          </cell>
          <cell r="K89">
            <v>4036</v>
          </cell>
          <cell r="L89">
            <v>3193</v>
          </cell>
          <cell r="M89">
            <v>3262</v>
          </cell>
          <cell r="N89">
            <v>3801</v>
          </cell>
          <cell r="O89">
            <v>5946</v>
          </cell>
          <cell r="P89">
            <v>18606</v>
          </cell>
          <cell r="Q89">
            <v>20882</v>
          </cell>
          <cell r="R89">
            <v>17120</v>
          </cell>
          <cell r="S89">
            <v>50706</v>
          </cell>
          <cell r="T89">
            <v>30828</v>
          </cell>
          <cell r="U89">
            <v>41151</v>
          </cell>
          <cell r="V89">
            <v>51035</v>
          </cell>
          <cell r="W89">
            <v>45497</v>
          </cell>
          <cell r="X89">
            <v>44062</v>
          </cell>
          <cell r="Y89">
            <v>45396.546093082739</v>
          </cell>
          <cell r="Z89">
            <v>50646.657072479749</v>
          </cell>
          <cell r="AA89">
            <v>50756.766540219469</v>
          </cell>
          <cell r="AB89">
            <v>49977.184351634925</v>
          </cell>
          <cell r="AC89">
            <v>49385.611601109151</v>
          </cell>
          <cell r="AD89">
            <v>48987.732052513718</v>
          </cell>
          <cell r="AE89">
            <v>48679.99538159059</v>
          </cell>
        </row>
        <row r="90">
          <cell r="A90" t="str">
            <v>+ Pre Tax Operating Profit</v>
          </cell>
          <cell r="B90">
            <v>399</v>
          </cell>
          <cell r="C90">
            <v>104</v>
          </cell>
          <cell r="D90">
            <v>93</v>
          </cell>
          <cell r="E90">
            <v>424</v>
          </cell>
          <cell r="F90">
            <v>706</v>
          </cell>
          <cell r="G90">
            <v>244</v>
          </cell>
          <cell r="H90">
            <v>442</v>
          </cell>
          <cell r="I90">
            <v>165</v>
          </cell>
          <cell r="J90">
            <v>419</v>
          </cell>
          <cell r="K90">
            <v>339</v>
          </cell>
          <cell r="L90">
            <v>142</v>
          </cell>
          <cell r="M90">
            <v>174</v>
          </cell>
          <cell r="N90">
            <v>-1</v>
          </cell>
          <cell r="O90">
            <v>162</v>
          </cell>
          <cell r="P90">
            <v>1594</v>
          </cell>
          <cell r="Q90">
            <v>1816</v>
          </cell>
          <cell r="R90">
            <v>934</v>
          </cell>
          <cell r="S90">
            <v>535</v>
          </cell>
          <cell r="T90">
            <v>461</v>
          </cell>
          <cell r="U90">
            <v>2860</v>
          </cell>
          <cell r="V90">
            <v>4282</v>
          </cell>
          <cell r="W90">
            <v>4605</v>
          </cell>
          <cell r="X90">
            <v>5087</v>
          </cell>
          <cell r="Y90">
            <v>5378.2349796873095</v>
          </cell>
          <cell r="Z90">
            <v>5435.7075403016279</v>
          </cell>
          <cell r="AA90">
            <v>5559.5994490367666</v>
          </cell>
          <cell r="AB90">
            <v>5383.5423234832851</v>
          </cell>
          <cell r="AC90">
            <v>5088.4928426606566</v>
          </cell>
          <cell r="AD90">
            <v>3382.259913972448</v>
          </cell>
          <cell r="AE90">
            <v>3089.4661034833262</v>
          </cell>
        </row>
        <row r="91">
          <cell r="A91" t="str">
            <v>+ Depreciation and Amortisation</v>
          </cell>
          <cell r="B91">
            <v>39</v>
          </cell>
          <cell r="C91">
            <v>39</v>
          </cell>
          <cell r="D91">
            <v>58</v>
          </cell>
          <cell r="E91">
            <v>65</v>
          </cell>
          <cell r="F91">
            <v>86</v>
          </cell>
          <cell r="G91">
            <v>110</v>
          </cell>
          <cell r="H91">
            <v>84</v>
          </cell>
          <cell r="I91">
            <v>138</v>
          </cell>
          <cell r="J91">
            <v>330</v>
          </cell>
          <cell r="K91">
            <v>279</v>
          </cell>
          <cell r="L91">
            <v>254</v>
          </cell>
          <cell r="M91">
            <v>244</v>
          </cell>
          <cell r="N91">
            <v>250</v>
          </cell>
          <cell r="O91">
            <v>289</v>
          </cell>
          <cell r="P91">
            <v>729</v>
          </cell>
          <cell r="Q91">
            <v>711</v>
          </cell>
          <cell r="R91">
            <v>472</v>
          </cell>
          <cell r="S91">
            <v>1911</v>
          </cell>
          <cell r="T91">
            <v>1774</v>
          </cell>
          <cell r="U91">
            <v>1123</v>
          </cell>
          <cell r="V91">
            <v>931</v>
          </cell>
          <cell r="W91">
            <v>983</v>
          </cell>
          <cell r="X91">
            <v>1022</v>
          </cell>
          <cell r="Y91">
            <v>1006.4605098038063</v>
          </cell>
          <cell r="Z91">
            <v>1015.4871786611533</v>
          </cell>
          <cell r="AA91">
            <v>1011.1941539246532</v>
          </cell>
          <cell r="AB91">
            <v>1006.5295915636952</v>
          </cell>
          <cell r="AC91">
            <v>1001.6764986110137</v>
          </cell>
          <cell r="AD91">
            <v>996.79812147224277</v>
          </cell>
          <cell r="AE91">
            <v>988.35892852175675</v>
          </cell>
        </row>
        <row r="92">
          <cell r="A92" t="str">
            <v>= EBITDA</v>
          </cell>
          <cell r="B92">
            <v>438</v>
          </cell>
          <cell r="C92">
            <v>143</v>
          </cell>
          <cell r="D92">
            <v>151</v>
          </cell>
          <cell r="E92">
            <v>489</v>
          </cell>
          <cell r="F92">
            <v>792</v>
          </cell>
          <cell r="G92">
            <v>354</v>
          </cell>
          <cell r="H92">
            <v>526</v>
          </cell>
          <cell r="I92">
            <v>303</v>
          </cell>
          <cell r="J92">
            <v>749</v>
          </cell>
          <cell r="K92">
            <v>618</v>
          </cell>
          <cell r="L92">
            <v>396</v>
          </cell>
          <cell r="M92">
            <v>418</v>
          </cell>
          <cell r="N92">
            <v>249</v>
          </cell>
          <cell r="O92">
            <v>451</v>
          </cell>
          <cell r="P92">
            <v>2323</v>
          </cell>
          <cell r="Q92">
            <v>2527</v>
          </cell>
          <cell r="R92">
            <v>1406</v>
          </cell>
          <cell r="S92">
            <v>2446</v>
          </cell>
          <cell r="T92">
            <v>2235</v>
          </cell>
          <cell r="U92">
            <v>3983</v>
          </cell>
          <cell r="V92">
            <v>5213</v>
          </cell>
          <cell r="W92">
            <v>5588</v>
          </cell>
          <cell r="X92">
            <v>6109</v>
          </cell>
          <cell r="Y92">
            <v>6384.6954894911159</v>
          </cell>
          <cell r="Z92">
            <v>6451.1947189627808</v>
          </cell>
          <cell r="AA92">
            <v>6570.7936029614193</v>
          </cell>
          <cell r="AB92">
            <v>6390.0719150469804</v>
          </cell>
          <cell r="AC92">
            <v>6090.1693412716704</v>
          </cell>
          <cell r="AD92">
            <v>4379.0580354446911</v>
          </cell>
          <cell r="AE92">
            <v>4077.8250320050829</v>
          </cell>
        </row>
        <row r="93">
          <cell r="A93" t="str">
            <v>= Net Profit (pre Restructuring)</v>
          </cell>
          <cell r="B93">
            <v>222</v>
          </cell>
          <cell r="C93">
            <v>26</v>
          </cell>
          <cell r="D93">
            <v>4</v>
          </cell>
          <cell r="E93">
            <v>223</v>
          </cell>
          <cell r="F93">
            <v>389</v>
          </cell>
          <cell r="G93">
            <v>106</v>
          </cell>
          <cell r="H93">
            <v>311</v>
          </cell>
          <cell r="I93">
            <v>84.451999999999998</v>
          </cell>
          <cell r="J93">
            <v>-43.307692307692307</v>
          </cell>
          <cell r="K93">
            <v>51.976911976911992</v>
          </cell>
          <cell r="L93">
            <v>-127.18099547511312</v>
          </cell>
          <cell r="M93">
            <v>-148.86448598130841</v>
          </cell>
          <cell r="N93">
            <v>-302.93762993762994</v>
          </cell>
          <cell r="O93">
            <v>95.6</v>
          </cell>
          <cell r="P93">
            <v>753.04</v>
          </cell>
          <cell r="Q93">
            <v>1044</v>
          </cell>
          <cell r="R93">
            <v>661</v>
          </cell>
          <cell r="S93">
            <v>-3181.3271016617791</v>
          </cell>
          <cell r="T93">
            <v>-817.32405891980375</v>
          </cell>
          <cell r="U93">
            <v>1260.3508183306058</v>
          </cell>
          <cell r="V93">
            <v>2732</v>
          </cell>
          <cell r="W93">
            <v>3006</v>
          </cell>
          <cell r="X93">
            <v>3856</v>
          </cell>
          <cell r="Y93">
            <v>3424.2612698651355</v>
          </cell>
          <cell r="Z93">
            <v>3419.2281882490597</v>
          </cell>
          <cell r="AA93">
            <v>3487.0755030213177</v>
          </cell>
          <cell r="AB93">
            <v>3329.8225287296268</v>
          </cell>
          <cell r="AC93">
            <v>3112.7201637485314</v>
          </cell>
          <cell r="AD93">
            <v>1973.6711833105746</v>
          </cell>
          <cell r="AE93">
            <v>1819.2939875995435</v>
          </cell>
        </row>
        <row r="94">
          <cell r="A94" t="str">
            <v>Diluted Number of Shares Outstanding</v>
          </cell>
          <cell r="B94">
            <v>0</v>
          </cell>
          <cell r="C94">
            <v>80</v>
          </cell>
          <cell r="D94">
            <v>80</v>
          </cell>
          <cell r="E94">
            <v>80</v>
          </cell>
          <cell r="F94">
            <v>80</v>
          </cell>
          <cell r="G94">
            <v>80</v>
          </cell>
          <cell r="H94">
            <v>79.813000000000002</v>
          </cell>
          <cell r="I94">
            <v>77.698999999999998</v>
          </cell>
          <cell r="J94">
            <v>103.11499999999999</v>
          </cell>
          <cell r="K94">
            <v>117.77800000000001</v>
          </cell>
          <cell r="L94">
            <v>117.563</v>
          </cell>
          <cell r="M94">
            <v>133.94300000000001</v>
          </cell>
          <cell r="N94">
            <v>164.3</v>
          </cell>
          <cell r="O94">
            <v>186</v>
          </cell>
          <cell r="P94">
            <v>259.89999999999998</v>
          </cell>
          <cell r="Q94">
            <v>260.3</v>
          </cell>
          <cell r="R94" t="str">
            <v>NA</v>
          </cell>
          <cell r="S94" t="str">
            <v>NA</v>
          </cell>
          <cell r="T94" t="str">
            <v>NA</v>
          </cell>
          <cell r="U94">
            <v>565.75</v>
          </cell>
          <cell r="V94">
            <v>572.75</v>
          </cell>
          <cell r="W94">
            <v>574.30361149999999</v>
          </cell>
          <cell r="X94">
            <v>562.06543947500006</v>
          </cell>
          <cell r="Y94">
            <v>523.79283694875016</v>
          </cell>
          <cell r="Z94">
            <v>485.18452420269278</v>
          </cell>
          <cell r="AA94">
            <v>464.21787450133172</v>
          </cell>
          <cell r="AB94">
            <v>450.38345766120767</v>
          </cell>
          <cell r="AC94">
            <v>438.88961363299813</v>
          </cell>
          <cell r="AD94">
            <v>431.19612943683563</v>
          </cell>
          <cell r="AE94">
            <v>426.60555096620453</v>
          </cell>
        </row>
        <row r="95">
          <cell r="A95" t="str">
            <v>= EPS (Pre Extr)</v>
          </cell>
          <cell r="C95">
            <v>0.32500000000000001</v>
          </cell>
          <cell r="D95">
            <v>0.05</v>
          </cell>
          <cell r="E95">
            <v>2.7875000000000001</v>
          </cell>
          <cell r="F95">
            <v>4.8624999999999998</v>
          </cell>
          <cell r="G95">
            <v>1.325</v>
          </cell>
          <cell r="H95">
            <v>3.8966083219525638</v>
          </cell>
          <cell r="I95">
            <v>1.0869123154738156</v>
          </cell>
          <cell r="J95">
            <v>-0.41999410665463133</v>
          </cell>
          <cell r="K95">
            <v>0.44131257091232651</v>
          </cell>
          <cell r="L95">
            <v>-1.0818114157950471</v>
          </cell>
          <cell r="M95">
            <v>-1.1114017603107917</v>
          </cell>
          <cell r="N95">
            <v>-1.8438078511115636</v>
          </cell>
          <cell r="O95">
            <v>0.51397849462365586</v>
          </cell>
          <cell r="P95">
            <v>2.8974220854174684</v>
          </cell>
          <cell r="Q95">
            <v>4.0107568190549365</v>
          </cell>
          <cell r="R95" t="str">
            <v>NA</v>
          </cell>
          <cell r="S95" t="str">
            <v>NA</v>
          </cell>
          <cell r="T95" t="str">
            <v>NA</v>
          </cell>
          <cell r="U95">
            <v>2.2277522197624493</v>
          </cell>
          <cell r="V95">
            <v>4.7699694456569182</v>
          </cell>
          <cell r="W95">
            <v>5.234165239094966</v>
          </cell>
          <cell r="X95">
            <v>6.8604111357597706</v>
          </cell>
          <cell r="Y95">
            <v>6.5374343219591946</v>
          </cell>
          <cell r="Z95">
            <v>7.0472738055029724</v>
          </cell>
          <cell r="AA95">
            <v>7.511721746533726</v>
          </cell>
          <cell r="AB95">
            <v>7.3933055756999453</v>
          </cell>
          <cell r="AC95">
            <v>7.092262079255776</v>
          </cell>
          <cell r="AD95">
            <v>4.5772006021674887</v>
          </cell>
          <cell r="AE95">
            <v>4.2645811417106172</v>
          </cell>
        </row>
        <row r="97">
          <cell r="A97" t="str">
            <v>Cash Flow Operating Metrics</v>
          </cell>
        </row>
        <row r="98">
          <cell r="A98" t="str">
            <v>+ Pre Tax Operating Profit</v>
          </cell>
          <cell r="B98">
            <v>399</v>
          </cell>
          <cell r="C98">
            <v>104</v>
          </cell>
          <cell r="D98">
            <v>93</v>
          </cell>
          <cell r="E98">
            <v>424</v>
          </cell>
          <cell r="F98">
            <v>706</v>
          </cell>
          <cell r="G98">
            <v>244</v>
          </cell>
          <cell r="H98">
            <v>442</v>
          </cell>
          <cell r="I98">
            <v>165</v>
          </cell>
          <cell r="J98">
            <v>419</v>
          </cell>
          <cell r="K98">
            <v>339</v>
          </cell>
          <cell r="L98">
            <v>142</v>
          </cell>
          <cell r="M98">
            <v>174</v>
          </cell>
          <cell r="N98">
            <v>-1</v>
          </cell>
          <cell r="O98">
            <v>162</v>
          </cell>
          <cell r="P98">
            <v>1594</v>
          </cell>
          <cell r="Q98">
            <v>1816</v>
          </cell>
          <cell r="R98">
            <v>934</v>
          </cell>
          <cell r="S98">
            <v>535</v>
          </cell>
          <cell r="T98">
            <v>461</v>
          </cell>
          <cell r="U98">
            <v>2860</v>
          </cell>
          <cell r="V98">
            <v>4282</v>
          </cell>
          <cell r="W98">
            <v>4605</v>
          </cell>
          <cell r="X98">
            <v>5087</v>
          </cell>
          <cell r="Y98">
            <v>5378.2349796873095</v>
          </cell>
          <cell r="Z98">
            <v>5435.7075403016279</v>
          </cell>
          <cell r="AA98">
            <v>5559.5994490367666</v>
          </cell>
          <cell r="AB98">
            <v>5383.5423234832851</v>
          </cell>
          <cell r="AC98">
            <v>5088.4928426606566</v>
          </cell>
          <cell r="AD98">
            <v>3382.259913972448</v>
          </cell>
          <cell r="AE98">
            <v>3089.4661034833262</v>
          </cell>
        </row>
        <row r="99">
          <cell r="A99" t="str">
            <v>+ Depreciation and Amortisation</v>
          </cell>
          <cell r="B99">
            <v>39</v>
          </cell>
          <cell r="C99">
            <v>39</v>
          </cell>
          <cell r="D99">
            <v>58</v>
          </cell>
          <cell r="E99">
            <v>65</v>
          </cell>
          <cell r="F99">
            <v>86</v>
          </cell>
          <cell r="G99">
            <v>110</v>
          </cell>
          <cell r="H99">
            <v>84</v>
          </cell>
          <cell r="I99">
            <v>138</v>
          </cell>
          <cell r="J99">
            <v>330</v>
          </cell>
          <cell r="K99">
            <v>279</v>
          </cell>
          <cell r="L99">
            <v>254</v>
          </cell>
          <cell r="M99">
            <v>244</v>
          </cell>
          <cell r="N99">
            <v>250</v>
          </cell>
          <cell r="O99">
            <v>289</v>
          </cell>
          <cell r="P99">
            <v>729</v>
          </cell>
          <cell r="Q99">
            <v>805</v>
          </cell>
          <cell r="R99">
            <v>472</v>
          </cell>
          <cell r="S99">
            <v>1911</v>
          </cell>
          <cell r="T99">
            <v>1774</v>
          </cell>
          <cell r="U99">
            <v>1123</v>
          </cell>
          <cell r="V99">
            <v>931</v>
          </cell>
          <cell r="W99">
            <v>983</v>
          </cell>
          <cell r="X99">
            <v>1022</v>
          </cell>
          <cell r="Y99">
            <v>1007.3338930967184</v>
          </cell>
          <cell r="Z99">
            <v>1015.4871786611533</v>
          </cell>
          <cell r="AA99">
            <v>1011.1941539246532</v>
          </cell>
          <cell r="AB99">
            <v>1006.5295915636952</v>
          </cell>
          <cell r="AC99">
            <v>1001.6764986110137</v>
          </cell>
          <cell r="AD99">
            <v>996.79812147224277</v>
          </cell>
          <cell r="AE99">
            <v>988.35892852175675</v>
          </cell>
        </row>
        <row r="100">
          <cell r="A100" t="str">
            <v>- Capex</v>
          </cell>
          <cell r="B100">
            <v>-43</v>
          </cell>
          <cell r="C100">
            <v>-97</v>
          </cell>
          <cell r="D100">
            <v>-69</v>
          </cell>
          <cell r="E100">
            <v>-252</v>
          </cell>
          <cell r="F100">
            <v>-982</v>
          </cell>
          <cell r="G100">
            <v>-554</v>
          </cell>
          <cell r="H100">
            <v>-49</v>
          </cell>
          <cell r="I100">
            <v>-64</v>
          </cell>
          <cell r="J100">
            <v>-131</v>
          </cell>
          <cell r="K100">
            <v>2393</v>
          </cell>
          <cell r="L100">
            <v>-68</v>
          </cell>
          <cell r="M100">
            <v>-22</v>
          </cell>
          <cell r="N100">
            <v>-268</v>
          </cell>
          <cell r="O100">
            <v>-70</v>
          </cell>
          <cell r="P100">
            <v>-249</v>
          </cell>
          <cell r="Q100">
            <v>-400</v>
          </cell>
          <cell r="R100">
            <v>-411</v>
          </cell>
          <cell r="S100">
            <v>-827</v>
          </cell>
          <cell r="T100">
            <v>-759</v>
          </cell>
          <cell r="U100">
            <v>-538</v>
          </cell>
          <cell r="V100">
            <v>-979</v>
          </cell>
          <cell r="W100">
            <v>-1048</v>
          </cell>
          <cell r="X100">
            <v>-1544.3598648693337</v>
          </cell>
          <cell r="Y100">
            <v>-1489.4643270606</v>
          </cell>
          <cell r="Z100">
            <v>-1197.7234571425172</v>
          </cell>
          <cell r="AA100">
            <v>-956.9897278536007</v>
          </cell>
          <cell r="AB100">
            <v>-944.84311424836517</v>
          </cell>
          <cell r="AC100">
            <v>-936.08649450790256</v>
          </cell>
          <cell r="AD100">
            <v>-930.513149114827</v>
          </cell>
          <cell r="AE100">
            <v>-854.25137837052353</v>
          </cell>
        </row>
        <row r="101">
          <cell r="A101" t="str">
            <v>+/- Working Capital Changes</v>
          </cell>
          <cell r="B101">
            <v>2</v>
          </cell>
          <cell r="C101">
            <v>34</v>
          </cell>
          <cell r="D101">
            <v>5</v>
          </cell>
          <cell r="E101">
            <v>-107</v>
          </cell>
          <cell r="F101">
            <v>16</v>
          </cell>
          <cell r="G101">
            <v>43</v>
          </cell>
          <cell r="H101">
            <v>-147</v>
          </cell>
          <cell r="I101">
            <v>-46</v>
          </cell>
          <cell r="J101">
            <v>-68</v>
          </cell>
          <cell r="K101">
            <v>-153</v>
          </cell>
          <cell r="L101">
            <v>-65</v>
          </cell>
          <cell r="M101">
            <v>73</v>
          </cell>
          <cell r="N101">
            <v>93</v>
          </cell>
          <cell r="O101">
            <v>-99</v>
          </cell>
          <cell r="P101">
            <v>42</v>
          </cell>
          <cell r="Q101">
            <v>-384</v>
          </cell>
          <cell r="R101">
            <v>144</v>
          </cell>
          <cell r="S101">
            <v>848</v>
          </cell>
          <cell r="T101">
            <v>-902</v>
          </cell>
          <cell r="U101">
            <v>-249</v>
          </cell>
          <cell r="V101">
            <v>-134</v>
          </cell>
          <cell r="W101">
            <v>359</v>
          </cell>
          <cell r="X101">
            <v>443.67412629468822</v>
          </cell>
          <cell r="Y101">
            <v>-82.762521707105861</v>
          </cell>
          <cell r="Z101">
            <v>-398.172700951141</v>
          </cell>
          <cell r="AA101">
            <v>54.942836934810884</v>
          </cell>
          <cell r="AB101">
            <v>82.240034899474949</v>
          </cell>
          <cell r="AC101">
            <v>55.587205640673574</v>
          </cell>
          <cell r="AD101">
            <v>35.646722714836869</v>
          </cell>
          <cell r="AE101">
            <v>3.5896296903565599</v>
          </cell>
        </row>
        <row r="102">
          <cell r="A102" t="str">
            <v>- Net Interest Expenses</v>
          </cell>
          <cell r="B102">
            <v>-60</v>
          </cell>
          <cell r="C102">
            <v>-69</v>
          </cell>
          <cell r="D102">
            <v>-72</v>
          </cell>
          <cell r="E102">
            <v>-69</v>
          </cell>
          <cell r="F102">
            <v>-74</v>
          </cell>
          <cell r="G102">
            <v>-78</v>
          </cell>
          <cell r="H102">
            <v>-61</v>
          </cell>
          <cell r="I102">
            <v>-262</v>
          </cell>
          <cell r="J102">
            <v>-589</v>
          </cell>
          <cell r="K102">
            <v>-462</v>
          </cell>
          <cell r="L102">
            <v>-369</v>
          </cell>
          <cell r="M102">
            <v>-373</v>
          </cell>
          <cell r="N102">
            <v>-392</v>
          </cell>
          <cell r="O102">
            <v>-449</v>
          </cell>
          <cell r="P102">
            <v>-603</v>
          </cell>
          <cell r="Q102">
            <v>-609</v>
          </cell>
          <cell r="R102">
            <v>-286</v>
          </cell>
          <cell r="S102">
            <v>-2427</v>
          </cell>
          <cell r="T102">
            <v>-1970</v>
          </cell>
          <cell r="U102">
            <v>-950</v>
          </cell>
          <cell r="V102">
            <v>-575</v>
          </cell>
          <cell r="W102">
            <v>-311</v>
          </cell>
          <cell r="X102">
            <v>-294</v>
          </cell>
          <cell r="Y102">
            <v>-320</v>
          </cell>
          <cell r="Z102">
            <v>-469.89664583189341</v>
          </cell>
          <cell r="AA102">
            <v>-489.74903205147939</v>
          </cell>
          <cell r="AB102">
            <v>-542.48717727319445</v>
          </cell>
          <cell r="AC102">
            <v>-564.93563359512075</v>
          </cell>
          <cell r="AD102">
            <v>-516.52123185076675</v>
          </cell>
          <cell r="AE102">
            <v>-438.51512819697376</v>
          </cell>
        </row>
        <row r="103">
          <cell r="A103" t="str">
            <v>- Tax Expense</v>
          </cell>
          <cell r="B103">
            <v>-117</v>
          </cell>
          <cell r="C103">
            <v>-9</v>
          </cell>
          <cell r="D103">
            <v>-12</v>
          </cell>
          <cell r="E103">
            <v>-126</v>
          </cell>
          <cell r="F103">
            <v>-229</v>
          </cell>
          <cell r="G103">
            <v>-60</v>
          </cell>
          <cell r="H103">
            <v>-185</v>
          </cell>
          <cell r="I103">
            <v>-65.548000000000002</v>
          </cell>
          <cell r="J103">
            <v>-8.1538461538461533</v>
          </cell>
          <cell r="K103">
            <v>-51.023088023088008</v>
          </cell>
          <cell r="L103">
            <v>63.819004524886878</v>
          </cell>
          <cell r="M103">
            <v>65.135514018691595</v>
          </cell>
          <cell r="N103">
            <v>178.06237006237006</v>
          </cell>
          <cell r="O103">
            <v>-45.4</v>
          </cell>
          <cell r="P103">
            <v>-339.96000000000004</v>
          </cell>
          <cell r="Q103">
            <v>-318</v>
          </cell>
          <cell r="R103">
            <v>-279</v>
          </cell>
          <cell r="S103">
            <v>-1460.3271016617791</v>
          </cell>
          <cell r="T103">
            <v>306.67594108019625</v>
          </cell>
          <cell r="U103">
            <v>-374.64918166939435</v>
          </cell>
          <cell r="V103">
            <v>-1177</v>
          </cell>
          <cell r="W103">
            <v>-1397</v>
          </cell>
          <cell r="X103">
            <v>-1136</v>
          </cell>
          <cell r="Y103">
            <v>-1611.4170681718281</v>
          </cell>
          <cell r="Z103">
            <v>-1609.048559176028</v>
          </cell>
          <cell r="AA103">
            <v>-1633.4465278469904</v>
          </cell>
          <cell r="AB103">
            <v>-1552.6151966803832</v>
          </cell>
          <cell r="AC103">
            <v>-1444.7032092361412</v>
          </cell>
          <cell r="AD103">
            <v>-916.03772343990067</v>
          </cell>
          <cell r="AE103">
            <v>-836.60964393263669</v>
          </cell>
        </row>
        <row r="104">
          <cell r="A104" t="str">
            <v>- Minority Interest</v>
          </cell>
          <cell r="B104">
            <v>0</v>
          </cell>
          <cell r="C104">
            <v>0</v>
          </cell>
          <cell r="D104">
            <v>-5</v>
          </cell>
          <cell r="E104">
            <v>-6</v>
          </cell>
          <cell r="F104">
            <v>-14</v>
          </cell>
          <cell r="G104">
            <v>-2</v>
          </cell>
          <cell r="H104">
            <v>0</v>
          </cell>
          <cell r="I104">
            <v>0</v>
          </cell>
          <cell r="J104">
            <v>0</v>
          </cell>
          <cell r="K104">
            <v>0</v>
          </cell>
          <cell r="L104">
            <v>0</v>
          </cell>
          <cell r="M104">
            <v>0</v>
          </cell>
          <cell r="N104">
            <v>0</v>
          </cell>
          <cell r="O104">
            <v>0</v>
          </cell>
          <cell r="P104">
            <v>0</v>
          </cell>
          <cell r="Q104">
            <v>0</v>
          </cell>
          <cell r="R104">
            <v>0</v>
          </cell>
          <cell r="S104">
            <v>0</v>
          </cell>
          <cell r="T104">
            <v>0</v>
          </cell>
          <cell r="U104">
            <v>-67</v>
          </cell>
          <cell r="V104">
            <v>-7</v>
          </cell>
          <cell r="W104">
            <v>-14</v>
          </cell>
          <cell r="X104">
            <v>-6</v>
          </cell>
          <cell r="Y104">
            <v>-11.999372156942691</v>
          </cell>
          <cell r="Z104">
            <v>-12.31863165876255</v>
          </cell>
          <cell r="AA104">
            <v>-12.569785961039608</v>
          </cell>
          <cell r="AB104">
            <v>-12.154518759732241</v>
          </cell>
          <cell r="AC104">
            <v>-11.476621290879693</v>
          </cell>
          <cell r="AD104">
            <v>-7.6316426240512376</v>
          </cell>
          <cell r="AE104">
            <v>-6.933030694488072</v>
          </cell>
        </row>
        <row r="105">
          <cell r="A105" t="str">
            <v>- Cash outs from Restructuring</v>
          </cell>
        </row>
        <row r="106">
          <cell r="A106" t="str">
            <v>+/- Other</v>
          </cell>
          <cell r="B106">
            <v>7</v>
          </cell>
          <cell r="C106">
            <v>19</v>
          </cell>
          <cell r="D106">
            <v>-10</v>
          </cell>
          <cell r="E106">
            <v>-32</v>
          </cell>
          <cell r="F106">
            <v>-34</v>
          </cell>
          <cell r="G106">
            <v>-31</v>
          </cell>
          <cell r="H106">
            <v>4</v>
          </cell>
          <cell r="I106">
            <v>86.548000000000002</v>
          </cell>
          <cell r="J106">
            <v>116.30769230769232</v>
          </cell>
          <cell r="K106">
            <v>-83.976911976911992</v>
          </cell>
          <cell r="L106">
            <v>142.18099547511312</v>
          </cell>
          <cell r="M106">
            <v>97.864485981308405</v>
          </cell>
          <cell r="N106">
            <v>-86.062370062370064</v>
          </cell>
          <cell r="O106">
            <v>-373.6</v>
          </cell>
          <cell r="P106">
            <v>-98.039999999999992</v>
          </cell>
          <cell r="Q106">
            <v>194</v>
          </cell>
          <cell r="R106">
            <v>-319</v>
          </cell>
          <cell r="S106">
            <v>906.32710166177912</v>
          </cell>
          <cell r="T106">
            <v>-1022.675941080196</v>
          </cell>
          <cell r="U106">
            <v>-810.35081833060576</v>
          </cell>
          <cell r="V106">
            <v>-894</v>
          </cell>
          <cell r="W106">
            <v>268</v>
          </cell>
          <cell r="X106">
            <v>-207.18292682927193</v>
          </cell>
          <cell r="Y106">
            <v>-15.655790251253487</v>
          </cell>
          <cell r="Z106">
            <v>-104.49631275065265</v>
          </cell>
          <cell r="AA106">
            <v>-92.94440860355553</v>
          </cell>
          <cell r="AB106">
            <v>-82.839385039272202</v>
          </cell>
          <cell r="AC106">
            <v>-74.454176951123955</v>
          </cell>
          <cell r="AD106">
            <v>-61.634494142989382</v>
          </cell>
          <cell r="AE106">
            <v>-41.919997164005039</v>
          </cell>
        </row>
        <row r="107">
          <cell r="A107" t="str">
            <v>= Free Cash Flow for Equity</v>
          </cell>
          <cell r="B107">
            <v>227</v>
          </cell>
          <cell r="C107">
            <v>21</v>
          </cell>
          <cell r="D107">
            <v>-12</v>
          </cell>
          <cell r="E107">
            <v>-103</v>
          </cell>
          <cell r="F107">
            <v>-525</v>
          </cell>
          <cell r="G107">
            <v>-328</v>
          </cell>
          <cell r="H107">
            <v>88</v>
          </cell>
          <cell r="I107">
            <v>-48</v>
          </cell>
          <cell r="J107">
            <v>69.15384615384616</v>
          </cell>
          <cell r="K107">
            <v>2261</v>
          </cell>
          <cell r="L107">
            <v>100</v>
          </cell>
          <cell r="M107">
            <v>259</v>
          </cell>
          <cell r="N107">
            <v>-226</v>
          </cell>
          <cell r="O107">
            <v>-586</v>
          </cell>
          <cell r="P107">
            <v>1075</v>
          </cell>
          <cell r="Q107">
            <v>1104</v>
          </cell>
          <cell r="R107">
            <v>255</v>
          </cell>
          <cell r="S107">
            <v>-514</v>
          </cell>
          <cell r="T107">
            <v>-2112</v>
          </cell>
          <cell r="U107">
            <v>994</v>
          </cell>
          <cell r="V107">
            <v>1447</v>
          </cell>
          <cell r="W107">
            <v>3445</v>
          </cell>
          <cell r="X107">
            <v>3365.131334596083</v>
          </cell>
          <cell r="Y107">
            <v>2854.2697934362973</v>
          </cell>
          <cell r="Z107">
            <v>2659.5384114517865</v>
          </cell>
          <cell r="AA107">
            <v>3440.0369575795635</v>
          </cell>
          <cell r="AB107">
            <v>3337.372557945509</v>
          </cell>
          <cell r="AC107">
            <v>3114.1004113311751</v>
          </cell>
          <cell r="AD107">
            <v>1982.3665169869935</v>
          </cell>
          <cell r="AE107">
            <v>1903.1854833368125</v>
          </cell>
        </row>
        <row r="108">
          <cell r="AA108">
            <v>15.76397649706373</v>
          </cell>
          <cell r="AB108">
            <v>0.36214883174581841</v>
          </cell>
        </row>
        <row r="110">
          <cell r="A110" t="str">
            <v>Beginning Book Value per Share</v>
          </cell>
        </row>
        <row r="111">
          <cell r="A111" t="str">
            <v>+ Recurring Earnings</v>
          </cell>
        </row>
        <row r="112">
          <cell r="A112" t="str">
            <v>- Dividends</v>
          </cell>
        </row>
        <row r="113">
          <cell r="A113" t="str">
            <v>= Change in retained earnings</v>
          </cell>
        </row>
        <row r="114">
          <cell r="A114" t="str">
            <v>+ Change in AOCI and other</v>
          </cell>
        </row>
        <row r="115">
          <cell r="A115" t="str">
            <v>+ Extraordinary items</v>
          </cell>
        </row>
        <row r="116">
          <cell r="A116" t="str">
            <v>= Ending Book Value per Share</v>
          </cell>
        </row>
        <row r="118">
          <cell r="A118" t="str">
            <v>Residual income</v>
          </cell>
        </row>
        <row r="119">
          <cell r="A119" t="str">
            <v>Recurring EPS</v>
          </cell>
        </row>
        <row r="120">
          <cell r="A120" t="str">
            <v>- Equity charge</v>
          </cell>
        </row>
        <row r="121">
          <cell r="A121" t="str">
            <v>= Residual income</v>
          </cell>
        </row>
        <row r="123">
          <cell r="A123" t="str">
            <v>Residual income flows</v>
          </cell>
        </row>
        <row r="124">
          <cell r="A124" t="str">
            <v>PV of residual income</v>
          </cell>
        </row>
        <row r="126">
          <cell r="A126" t="str">
            <v>Dividend discount valuation</v>
          </cell>
        </row>
        <row r="127">
          <cell r="A127" t="str">
            <v>Dividends per share</v>
          </cell>
        </row>
        <row r="129">
          <cell r="A129" t="str">
            <v>Dividend Flows</v>
          </cell>
        </row>
        <row r="131">
          <cell r="A131" t="str">
            <v>PV of dividends per share</v>
          </cell>
        </row>
        <row r="133">
          <cell r="A133" t="str">
            <v>Pricing Metrics</v>
          </cell>
        </row>
        <row r="134">
          <cell r="A134" t="str">
            <v>+ Short Term Borrowings</v>
          </cell>
          <cell r="C134">
            <v>29</v>
          </cell>
          <cell r="D134">
            <v>8</v>
          </cell>
          <cell r="E134">
            <v>10</v>
          </cell>
          <cell r="F134">
            <v>150</v>
          </cell>
          <cell r="G134">
            <v>112</v>
          </cell>
          <cell r="H134">
            <v>0</v>
          </cell>
          <cell r="I134">
            <v>1603</v>
          </cell>
          <cell r="J134">
            <v>225</v>
          </cell>
          <cell r="K134">
            <v>10</v>
          </cell>
          <cell r="L134">
            <v>7</v>
          </cell>
          <cell r="M134">
            <v>1</v>
          </cell>
          <cell r="N134">
            <v>0</v>
          </cell>
          <cell r="O134">
            <v>308</v>
          </cell>
          <cell r="P134">
            <v>319</v>
          </cell>
          <cell r="Q134">
            <v>22</v>
          </cell>
          <cell r="R134">
            <v>2874</v>
          </cell>
          <cell r="S134">
            <v>23665</v>
          </cell>
          <cell r="T134">
            <v>6679</v>
          </cell>
          <cell r="U134">
            <v>46</v>
          </cell>
          <cell r="V134">
            <v>52</v>
          </cell>
          <cell r="W134">
            <v>96</v>
          </cell>
          <cell r="X134">
            <v>47</v>
          </cell>
          <cell r="Y134">
            <v>47</v>
          </cell>
          <cell r="Z134">
            <v>1798.0140908289532</v>
          </cell>
          <cell r="AA134">
            <v>1960.8018468297091</v>
          </cell>
          <cell r="AB134">
            <v>2211.6466023718167</v>
          </cell>
          <cell r="AC134">
            <v>2136.8681709232478</v>
          </cell>
          <cell r="AD134">
            <v>1831.9258043768834</v>
          </cell>
          <cell r="AE134">
            <v>1525.0555932464404</v>
          </cell>
        </row>
        <row r="135">
          <cell r="A135" t="str">
            <v>+ Long Term Debt</v>
          </cell>
          <cell r="C135">
            <v>725</v>
          </cell>
          <cell r="D135">
            <v>717</v>
          </cell>
          <cell r="E135">
            <v>707</v>
          </cell>
          <cell r="F135">
            <v>807</v>
          </cell>
          <cell r="G135">
            <v>1194</v>
          </cell>
          <cell r="H135">
            <v>345</v>
          </cell>
          <cell r="I135">
            <v>5391</v>
          </cell>
          <cell r="J135">
            <v>6046</v>
          </cell>
          <cell r="K135">
            <v>3844</v>
          </cell>
          <cell r="L135">
            <v>3846</v>
          </cell>
          <cell r="M135">
            <v>3926</v>
          </cell>
          <cell r="N135">
            <v>4151</v>
          </cell>
          <cell r="O135">
            <v>7555</v>
          </cell>
          <cell r="P135">
            <v>5974</v>
          </cell>
          <cell r="Q135">
            <v>8018</v>
          </cell>
          <cell r="R135">
            <v>21541</v>
          </cell>
          <cell r="S135">
            <v>304</v>
          </cell>
          <cell r="T135">
            <v>305</v>
          </cell>
          <cell r="U135">
            <v>6036</v>
          </cell>
          <cell r="V135">
            <v>3980</v>
          </cell>
          <cell r="W135">
            <v>4304</v>
          </cell>
          <cell r="X135">
            <v>4253</v>
          </cell>
          <cell r="Y135">
            <v>8339.1763364073431</v>
          </cell>
          <cell r="Z135">
            <v>7192.0563633158117</v>
          </cell>
          <cell r="AA135">
            <v>7843.2073873188365</v>
          </cell>
          <cell r="AB135">
            <v>8846.5864094872668</v>
          </cell>
          <cell r="AC135">
            <v>8547.4726836929913</v>
          </cell>
          <cell r="AD135">
            <v>7327.7032175075337</v>
          </cell>
          <cell r="AE135">
            <v>6100.2223729857606</v>
          </cell>
        </row>
        <row r="136">
          <cell r="A136" t="str">
            <v>- Investment (non operating)</v>
          </cell>
          <cell r="C136">
            <v>0</v>
          </cell>
          <cell r="D136">
            <v>0</v>
          </cell>
          <cell r="E136">
            <v>0</v>
          </cell>
          <cell r="F136">
            <v>0</v>
          </cell>
          <cell r="G136">
            <v>0</v>
          </cell>
          <cell r="H136">
            <v>-1363</v>
          </cell>
          <cell r="I136">
            <v>-1078</v>
          </cell>
          <cell r="J136">
            <v>-1015</v>
          </cell>
          <cell r="K136">
            <v>-1606</v>
          </cell>
          <cell r="L136">
            <v>-1619</v>
          </cell>
          <cell r="M136">
            <v>-2349</v>
          </cell>
          <cell r="N136">
            <v>-2148</v>
          </cell>
          <cell r="O136">
            <v>-1190</v>
          </cell>
          <cell r="P136">
            <v>-1076</v>
          </cell>
          <cell r="Q136">
            <v>-896</v>
          </cell>
          <cell r="R136">
            <v>-2382</v>
          </cell>
          <cell r="S136">
            <v>-2379</v>
          </cell>
          <cell r="T136">
            <v>-2119</v>
          </cell>
          <cell r="U136">
            <v>-2105</v>
          </cell>
          <cell r="V136">
            <v>-2043</v>
          </cell>
          <cell r="W136">
            <v>-2363</v>
          </cell>
          <cell r="X136">
            <v>-2464.5</v>
          </cell>
          <cell r="Y136">
            <v>-2459.2213652532942</v>
          </cell>
          <cell r="Z136">
            <v>-2496.6136075603536</v>
          </cell>
          <cell r="AA136">
            <v>-2528.234307482383</v>
          </cell>
          <cell r="AB136">
            <v>-2555.0028564622071</v>
          </cell>
          <cell r="AC136">
            <v>-2577.6742490672159</v>
          </cell>
          <cell r="AD136">
            <v>-2593.4751826936367</v>
          </cell>
          <cell r="AE136">
            <v>-2599.4180261637966</v>
          </cell>
        </row>
        <row r="137">
          <cell r="A137" t="str">
            <v>+ Minority Interest</v>
          </cell>
          <cell r="C137">
            <v>0</v>
          </cell>
          <cell r="D137">
            <v>124</v>
          </cell>
          <cell r="E137">
            <v>268</v>
          </cell>
          <cell r="F137">
            <v>459</v>
          </cell>
          <cell r="G137">
            <v>609</v>
          </cell>
          <cell r="H137">
            <v>5</v>
          </cell>
          <cell r="I137">
            <v>216</v>
          </cell>
          <cell r="J137">
            <v>202</v>
          </cell>
          <cell r="K137">
            <v>181</v>
          </cell>
          <cell r="L137">
            <v>176</v>
          </cell>
          <cell r="M137">
            <v>165</v>
          </cell>
          <cell r="N137">
            <v>155</v>
          </cell>
          <cell r="O137">
            <v>181</v>
          </cell>
          <cell r="P137">
            <v>180</v>
          </cell>
          <cell r="Q137">
            <v>174</v>
          </cell>
          <cell r="R137">
            <v>144</v>
          </cell>
          <cell r="S137">
            <v>135</v>
          </cell>
          <cell r="T137">
            <v>129</v>
          </cell>
          <cell r="U137">
            <v>61</v>
          </cell>
          <cell r="V137">
            <v>54</v>
          </cell>
          <cell r="W137">
            <v>40</v>
          </cell>
          <cell r="X137">
            <v>40</v>
          </cell>
          <cell r="Y137">
            <v>40</v>
          </cell>
          <cell r="Z137">
            <v>40</v>
          </cell>
          <cell r="AA137">
            <v>40</v>
          </cell>
          <cell r="AB137">
            <v>40</v>
          </cell>
          <cell r="AC137">
            <v>40</v>
          </cell>
          <cell r="AD137">
            <v>40</v>
          </cell>
          <cell r="AE137">
            <v>40</v>
          </cell>
        </row>
        <row r="138">
          <cell r="A138" t="str">
            <v>+ Other Liabilities (non operating)</v>
          </cell>
        </row>
        <row r="139">
          <cell r="A139" t="str">
            <v>- Cash and Equivalents</v>
          </cell>
          <cell r="C139">
            <v>-108</v>
          </cell>
          <cell r="D139">
            <v>-113</v>
          </cell>
          <cell r="E139">
            <v>-94</v>
          </cell>
          <cell r="F139">
            <v>-10</v>
          </cell>
          <cell r="G139">
            <v>-68</v>
          </cell>
          <cell r="H139">
            <v>-86</v>
          </cell>
          <cell r="I139">
            <v>-233</v>
          </cell>
          <cell r="J139">
            <v>-307</v>
          </cell>
          <cell r="K139">
            <v>-260</v>
          </cell>
          <cell r="L139">
            <v>-146</v>
          </cell>
          <cell r="M139">
            <v>-286</v>
          </cell>
          <cell r="N139">
            <v>-438</v>
          </cell>
          <cell r="O139">
            <v>-804</v>
          </cell>
          <cell r="P139">
            <v>-593</v>
          </cell>
          <cell r="Q139">
            <v>-446</v>
          </cell>
          <cell r="R139">
            <v>-560</v>
          </cell>
          <cell r="S139">
            <v>-858</v>
          </cell>
          <cell r="T139">
            <v>-558</v>
          </cell>
          <cell r="U139">
            <v>-4222</v>
          </cell>
          <cell r="V139">
            <v>-1065</v>
          </cell>
          <cell r="W139">
            <v>-2732</v>
          </cell>
          <cell r="X139">
            <v>-3127.4135435410835</v>
          </cell>
          <cell r="Y139">
            <v>-4587.9865573114776</v>
          </cell>
          <cell r="Z139">
            <v>-3786.3661266704503</v>
          </cell>
          <cell r="AA139">
            <v>-4870.3552840215771</v>
          </cell>
          <cell r="AB139">
            <v>-6391.641976152494</v>
          </cell>
          <cell r="AC139">
            <v>-6247.7261368908503</v>
          </cell>
          <cell r="AD139">
            <v>-4822.1318902075609</v>
          </cell>
          <cell r="AE139">
            <v>-3379.484511594409</v>
          </cell>
        </row>
        <row r="140">
          <cell r="A140" t="str">
            <v>- Net Repurchase of Common Stock</v>
          </cell>
          <cell r="C140">
            <v>0</v>
          </cell>
          <cell r="D140">
            <v>0</v>
          </cell>
          <cell r="E140">
            <v>0</v>
          </cell>
          <cell r="F140">
            <v>0</v>
          </cell>
          <cell r="G140">
            <v>0</v>
          </cell>
          <cell r="H140">
            <v>-26</v>
          </cell>
          <cell r="I140">
            <v>6441</v>
          </cell>
          <cell r="J140">
            <v>736</v>
          </cell>
          <cell r="K140">
            <v>0</v>
          </cell>
          <cell r="L140">
            <v>0</v>
          </cell>
          <cell r="M140">
            <v>550</v>
          </cell>
          <cell r="N140">
            <v>171</v>
          </cell>
          <cell r="O140">
            <v>25</v>
          </cell>
          <cell r="P140">
            <v>48</v>
          </cell>
          <cell r="Q140">
            <v>27</v>
          </cell>
          <cell r="R140">
            <v>0</v>
          </cell>
          <cell r="S140">
            <v>0</v>
          </cell>
          <cell r="T140">
            <v>0</v>
          </cell>
          <cell r="U140">
            <v>2800</v>
          </cell>
          <cell r="V140">
            <v>37</v>
          </cell>
          <cell r="W140">
            <v>1</v>
          </cell>
          <cell r="X140">
            <v>-2062.5</v>
          </cell>
          <cell r="Y140">
            <v>-4324.0687499999995</v>
          </cell>
          <cell r="Z140">
            <v>-2659.5384114517865</v>
          </cell>
          <cell r="AA140">
            <v>-1720.0184787897817</v>
          </cell>
          <cell r="AB140">
            <v>-1668.6862789727545</v>
          </cell>
          <cell r="AC140">
            <v>-1557.0502056655876</v>
          </cell>
          <cell r="AD140">
            <v>-991.18325849349674</v>
          </cell>
          <cell r="AE140">
            <v>-951.59274166840623</v>
          </cell>
        </row>
        <row r="141">
          <cell r="A141" t="str">
            <v>+ Projected Benefit Obligations on Pensions</v>
          </cell>
          <cell r="C141">
            <v>9</v>
          </cell>
          <cell r="D141">
            <v>46</v>
          </cell>
          <cell r="E141">
            <v>28</v>
          </cell>
          <cell r="F141">
            <v>56</v>
          </cell>
          <cell r="G141">
            <v>43</v>
          </cell>
          <cell r="H141">
            <v>34</v>
          </cell>
          <cell r="I141">
            <v>39</v>
          </cell>
          <cell r="J141">
            <v>-57</v>
          </cell>
          <cell r="K141">
            <v>19</v>
          </cell>
          <cell r="L141">
            <v>190</v>
          </cell>
          <cell r="M141">
            <v>302</v>
          </cell>
          <cell r="N141">
            <v>338</v>
          </cell>
          <cell r="O141">
            <v>684</v>
          </cell>
          <cell r="P141">
            <v>687</v>
          </cell>
          <cell r="Q141">
            <v>474</v>
          </cell>
          <cell r="R141">
            <v>386</v>
          </cell>
          <cell r="S141">
            <v>1062</v>
          </cell>
          <cell r="T141">
            <v>1140</v>
          </cell>
          <cell r="U141">
            <v>1173</v>
          </cell>
          <cell r="V141">
            <v>1079</v>
          </cell>
          <cell r="W141">
            <v>1121</v>
          </cell>
          <cell r="X141">
            <v>1015.6199999999999</v>
          </cell>
          <cell r="Y141">
            <v>1029.1343999999999</v>
          </cell>
          <cell r="Z141">
            <v>1068.5170292693501</v>
          </cell>
          <cell r="AA141">
            <v>1090.071755561899</v>
          </cell>
          <cell r="AB141">
            <v>1086.7321774587708</v>
          </cell>
          <cell r="AC141">
            <v>1058.4551971791975</v>
          </cell>
          <cell r="AD141">
            <v>1016.3932905451147</v>
          </cell>
          <cell r="AE141">
            <v>946.62004185398337</v>
          </cell>
        </row>
        <row r="143">
          <cell r="A143" t="str">
            <v>x Share Price Average (Spot for Fye)</v>
          </cell>
        </row>
        <row r="144">
          <cell r="A144" t="str">
            <v>x @ Price Target</v>
          </cell>
        </row>
        <row r="145">
          <cell r="A145" t="str">
            <v>x @ Bull Case</v>
          </cell>
        </row>
        <row r="146">
          <cell r="A146" t="str">
            <v>x @ Bear Case</v>
          </cell>
        </row>
        <row r="147">
          <cell r="A147" t="str">
            <v>Diluted Shares Outstanding</v>
          </cell>
        </row>
        <row r="148">
          <cell r="A148" t="str">
            <v>= Total Market Cap</v>
          </cell>
        </row>
        <row r="149">
          <cell r="A149" t="str">
            <v>= Total Market Cap @ Price Target</v>
          </cell>
        </row>
        <row r="150">
          <cell r="A150" t="str">
            <v>= Total Market Cap @ Bull Case</v>
          </cell>
        </row>
        <row r="151">
          <cell r="A151" t="str">
            <v>= Total Market Cap @ Base Case</v>
          </cell>
        </row>
        <row r="152">
          <cell r="A152" t="str">
            <v xml:space="preserve"> = Total Enterprise Value</v>
          </cell>
        </row>
        <row r="153">
          <cell r="A153" t="str">
            <v xml:space="preserve"> = Total Enterprise Value @ PT</v>
          </cell>
        </row>
        <row r="154">
          <cell r="A154" t="str">
            <v xml:space="preserve"> = Total Enterprise Value @ Bull Case</v>
          </cell>
        </row>
        <row r="155">
          <cell r="A155" t="str">
            <v xml:space="preserve"> = Total Enterprise Value @ Bear Case</v>
          </cell>
        </row>
        <row r="156">
          <cell r="A156" t="str">
            <v>Valuation Multiples</v>
          </cell>
        </row>
        <row r="157">
          <cell r="A157" t="str">
            <v>&gt;&gt; EV/Sales</v>
          </cell>
        </row>
        <row r="158">
          <cell r="A158" t="str">
            <v>&gt;&gt; EV/Sales @ PT</v>
          </cell>
        </row>
        <row r="159">
          <cell r="A159" t="str">
            <v>&gt;&gt; EV/Sales @ Bull</v>
          </cell>
        </row>
        <row r="160">
          <cell r="A160" t="str">
            <v>&gt;&gt; EV/Sales @ Bear</v>
          </cell>
        </row>
        <row r="161">
          <cell r="A161" t="str">
            <v>&gt;&gt; EV/EBITDA</v>
          </cell>
        </row>
        <row r="162">
          <cell r="A162" t="str">
            <v>&gt;&gt; EV/EBITDA @ PT</v>
          </cell>
        </row>
        <row r="163">
          <cell r="A163" t="str">
            <v>&gt;&gt; EV/EBITDA @ Bull</v>
          </cell>
        </row>
        <row r="164">
          <cell r="A164" t="str">
            <v>&gt;&gt; EV/EBITDA @ Bear</v>
          </cell>
        </row>
        <row r="165">
          <cell r="A165" t="str">
            <v xml:space="preserve">&gt;&gt; Price to Earnings </v>
          </cell>
        </row>
        <row r="166">
          <cell r="A166" t="str">
            <v>&gt;&gt; EV/Price to Earnings @ PT</v>
          </cell>
        </row>
        <row r="167">
          <cell r="A167" t="str">
            <v>&gt;&gt; EV/Price to Earnings @ Bull</v>
          </cell>
        </row>
        <row r="168">
          <cell r="A168" t="str">
            <v>&gt;&gt; EV/Price to Earnings @ Bear</v>
          </cell>
        </row>
        <row r="169">
          <cell r="A169" t="str">
            <v xml:space="preserve">&gt;&gt;Free Cash Flow Yield </v>
          </cell>
        </row>
        <row r="170">
          <cell r="A170" t="str">
            <v>&gt;&gt;Earnings Yield Including</v>
          </cell>
        </row>
      </sheetData>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bt2equity"/>
      <sheetName val="PeerGroupBenchmark_ALT"/>
      <sheetName val="PeerGroupBenchmark"/>
      <sheetName val="PeerGroupBenchmarking_OLD"/>
      <sheetName val="Recommendations"/>
      <sheetName val="ImpliedValueGap"/>
      <sheetName val="Implied_CoE"/>
      <sheetName val="HANDOUT"/>
      <sheetName val="Sum-of-Parts"/>
      <sheetName val="Annual (Euro)"/>
      <sheetName val="Pensions"/>
      <sheetName val="Quarterly (Euro)"/>
      <sheetName val="Valsum"/>
    </sheetNames>
    <sheetDataSet>
      <sheetData sheetId="0" refreshError="1"/>
      <sheetData sheetId="1" refreshError="1">
        <row r="2">
          <cell r="I2" t="str">
            <v>LEGEND</v>
          </cell>
          <cell r="O2" t="str">
            <v>1st</v>
          </cell>
          <cell r="P2" t="str">
            <v>2nd</v>
          </cell>
          <cell r="Q2" t="str">
            <v>3rd</v>
          </cell>
          <cell r="R2" t="str">
            <v>4th</v>
          </cell>
          <cell r="S2" t="str">
            <v>5th</v>
          </cell>
        </row>
        <row r="5">
          <cell r="C5" t="str">
            <v>PRICE VOLATILITY</v>
          </cell>
          <cell r="I5" t="str">
            <v>PROFITABILITY</v>
          </cell>
          <cell r="O5" t="str">
            <v>LEVERAGE</v>
          </cell>
        </row>
        <row r="6">
          <cell r="C6" t="str">
            <v>1-month price performance</v>
          </cell>
          <cell r="I6" t="str">
            <v>ROE</v>
          </cell>
          <cell r="O6" t="str">
            <v>Gross Debt / Equity</v>
          </cell>
        </row>
        <row r="7">
          <cell r="D7">
            <v>-2.1000000000000001E-2</v>
          </cell>
          <cell r="K7">
            <v>0.17399999999999999</v>
          </cell>
          <cell r="R7">
            <v>0.59</v>
          </cell>
        </row>
        <row r="8">
          <cell r="D8">
            <v>-8.7999999999999995E-2</v>
          </cell>
          <cell r="J8">
            <v>0.214</v>
          </cell>
          <cell r="P8">
            <v>0.185</v>
          </cell>
        </row>
        <row r="9">
          <cell r="C9" t="str">
            <v>12-month price performance</v>
          </cell>
          <cell r="I9" t="str">
            <v>EBIT margin</v>
          </cell>
          <cell r="O9" t="str">
            <v>Net Debt / Equity</v>
          </cell>
        </row>
        <row r="10">
          <cell r="G10">
            <v>0.34799999999999998</v>
          </cell>
          <cell r="M10">
            <v>0.27400000000000002</v>
          </cell>
          <cell r="R10">
            <v>-0.02</v>
          </cell>
        </row>
        <row r="11">
          <cell r="D11">
            <v>-0.19700000000000001</v>
          </cell>
          <cell r="J11">
            <v>0.154</v>
          </cell>
          <cell r="P11">
            <v>-0.161</v>
          </cell>
        </row>
        <row r="12">
          <cell r="C12" t="str">
            <v>12-month historical volatility</v>
          </cell>
          <cell r="I12" t="str">
            <v>Net income margin</v>
          </cell>
          <cell r="O12" t="str">
            <v>Total Debt/EBIDA</v>
          </cell>
        </row>
        <row r="13">
          <cell r="D13">
            <v>0.45700000000000002</v>
          </cell>
          <cell r="M13">
            <v>0.24299999999999999</v>
          </cell>
          <cell r="O13">
            <v>0.40600000000000003</v>
          </cell>
        </row>
        <row r="14">
          <cell r="D14">
            <v>0.50700000000000001</v>
          </cell>
          <cell r="J14">
            <v>0.11700000000000001</v>
          </cell>
          <cell r="P14">
            <v>0.25700000000000001</v>
          </cell>
        </row>
        <row r="16">
          <cell r="C16" t="str">
            <v>VALUATION</v>
          </cell>
          <cell r="I16" t="str">
            <v>GROWTH</v>
          </cell>
          <cell r="O16" t="str">
            <v>CASH</v>
          </cell>
        </row>
        <row r="17">
          <cell r="C17" t="str">
            <v>P/E (1 year forward)</v>
          </cell>
          <cell r="I17" t="str">
            <v>EPS (1 year fwd)</v>
          </cell>
          <cell r="O17" t="str">
            <v>FCF/Market Cap</v>
          </cell>
        </row>
        <row r="18">
          <cell r="G18" t="str">
            <v>20.7x</v>
          </cell>
          <cell r="L18">
            <v>0.33</v>
          </cell>
          <cell r="P18">
            <v>5.5E-2</v>
          </cell>
        </row>
        <row r="19">
          <cell r="D19" t="str">
            <v>14.1x</v>
          </cell>
          <cell r="J19">
            <v>0.2</v>
          </cell>
          <cell r="P19">
            <v>7.0000000000000007E-2</v>
          </cell>
        </row>
        <row r="20">
          <cell r="C20" t="str">
            <v>P/E (2 years forward)</v>
          </cell>
          <cell r="I20" t="str">
            <v>EPS (2 years fwd)</v>
          </cell>
          <cell r="O20" t="str">
            <v>FCF / Sales</v>
          </cell>
        </row>
        <row r="21">
          <cell r="G21" t="str">
            <v>15.6x</v>
          </cell>
          <cell r="L21">
            <v>0.32</v>
          </cell>
          <cell r="P21">
            <v>0.40600000000000003</v>
          </cell>
        </row>
        <row r="22">
          <cell r="D22" t="str">
            <v>11.2x</v>
          </cell>
          <cell r="J22">
            <v>0.17</v>
          </cell>
          <cell r="P22">
            <v>0.25700000000000001</v>
          </cell>
        </row>
        <row r="23">
          <cell r="C23" t="str">
            <v>EV/Ebitda</v>
          </cell>
          <cell r="I23" t="str">
            <v>Sales (1 year fwd)</v>
          </cell>
          <cell r="O23" t="str">
            <v>Cash Ratio</v>
          </cell>
        </row>
        <row r="24">
          <cell r="F24" t="str">
            <v>16.2x</v>
          </cell>
          <cell r="L24">
            <v>0.51</v>
          </cell>
          <cell r="R24">
            <v>0.40600000000000003</v>
          </cell>
        </row>
        <row r="25">
          <cell r="D25" t="str">
            <v>10.7x</v>
          </cell>
          <cell r="J25">
            <v>0.27</v>
          </cell>
          <cell r="P25">
            <v>0.25700000000000001</v>
          </cell>
        </row>
        <row r="27">
          <cell r="AB27" t="str">
            <v>median consensus estimates</v>
          </cell>
        </row>
        <row r="30">
          <cell r="C30" t="str">
            <v>Price Performance and Volatility</v>
          </cell>
        </row>
        <row r="31">
          <cell r="U31" t="str">
            <v>1st</v>
          </cell>
          <cell r="V31" t="str">
            <v>2nd</v>
          </cell>
          <cell r="W31" t="str">
            <v>3rd</v>
          </cell>
          <cell r="X31" t="str">
            <v>4th</v>
          </cell>
          <cell r="Y31" t="str">
            <v>5th</v>
          </cell>
        </row>
        <row r="34">
          <cell r="C34" t="str">
            <v>12-month price performance</v>
          </cell>
          <cell r="I34" t="str">
            <v>3-month price performance</v>
          </cell>
          <cell r="O34" t="str">
            <v>1-month price performance</v>
          </cell>
          <cell r="U34" t="str">
            <v>12-month historical volatility</v>
          </cell>
        </row>
        <row r="35">
          <cell r="G35">
            <v>0.34799999999999998</v>
          </cell>
          <cell r="L35">
            <v>-8.0000000000000002E-3</v>
          </cell>
          <cell r="P35">
            <v>-2.1000000000000001E-2</v>
          </cell>
          <cell r="V35">
            <v>0.45700000000000002</v>
          </cell>
        </row>
        <row r="36">
          <cell r="D36">
            <v>-0.19700000000000001</v>
          </cell>
          <cell r="J36">
            <v>-9.1999999999999998E-2</v>
          </cell>
          <cell r="P36">
            <v>-8.7999999999999995E-2</v>
          </cell>
          <cell r="V36">
            <v>0.50700000000000001</v>
          </cell>
        </row>
        <row r="39">
          <cell r="C39" t="str">
            <v>Profitability</v>
          </cell>
        </row>
        <row r="40">
          <cell r="U40" t="str">
            <v>1st</v>
          </cell>
          <cell r="V40" t="str">
            <v>2nd</v>
          </cell>
          <cell r="W40" t="str">
            <v>3rd</v>
          </cell>
          <cell r="X40" t="str">
            <v>4th</v>
          </cell>
          <cell r="Y40" t="str">
            <v>5th</v>
          </cell>
        </row>
        <row r="43">
          <cell r="C43" t="str">
            <v>ROE</v>
          </cell>
          <cell r="I43" t="str">
            <v>EBITDA margin</v>
          </cell>
          <cell r="O43" t="str">
            <v>EBIT margin</v>
          </cell>
          <cell r="U43" t="str">
            <v>Net income margin</v>
          </cell>
        </row>
        <row r="44">
          <cell r="E44">
            <v>0.17399999999999999</v>
          </cell>
          <cell r="L44">
            <v>0.24</v>
          </cell>
          <cell r="S44">
            <v>0.27400000000000002</v>
          </cell>
          <cell r="Y44">
            <v>0.24299999999999999</v>
          </cell>
        </row>
        <row r="45">
          <cell r="D45">
            <v>0.214</v>
          </cell>
          <cell r="J45">
            <v>0.14599999999999999</v>
          </cell>
          <cell r="P45">
            <v>0.154</v>
          </cell>
          <cell r="V45">
            <v>0.11700000000000001</v>
          </cell>
        </row>
        <row r="49">
          <cell r="C49" t="str">
            <v>Valuation</v>
          </cell>
        </row>
        <row r="50">
          <cell r="U50" t="str">
            <v>1st</v>
          </cell>
          <cell r="V50" t="str">
            <v>2nd</v>
          </cell>
          <cell r="W50" t="str">
            <v>3rd</v>
          </cell>
          <cell r="X50" t="str">
            <v>4th</v>
          </cell>
          <cell r="Y50" t="str">
            <v>5th</v>
          </cell>
        </row>
        <row r="53">
          <cell r="C53" t="str">
            <v>P/E (1 year forward)</v>
          </cell>
          <cell r="I53" t="str">
            <v>P/E (2 years forward)</v>
          </cell>
          <cell r="O53" t="str">
            <v>P/Book</v>
          </cell>
          <cell r="U53" t="str">
            <v>EV/Ebitda</v>
          </cell>
        </row>
        <row r="54">
          <cell r="G54" t="str">
            <v>20.7x</v>
          </cell>
          <cell r="M54" t="str">
            <v>15.6x</v>
          </cell>
          <cell r="R54" t="str">
            <v>3.6x</v>
          </cell>
          <cell r="X54" t="str">
            <v>16.2x</v>
          </cell>
        </row>
        <row r="55">
          <cell r="D55" t="str">
            <v>14.1x</v>
          </cell>
          <cell r="J55" t="str">
            <v>11.2x</v>
          </cell>
          <cell r="P55" t="str">
            <v>2.9x%</v>
          </cell>
          <cell r="V55" t="str">
            <v>10.7x</v>
          </cell>
        </row>
        <row r="59">
          <cell r="C59" t="str">
            <v>Cash</v>
          </cell>
        </row>
        <row r="60">
          <cell r="U60" t="str">
            <v>1st</v>
          </cell>
          <cell r="V60" t="str">
            <v>2nd</v>
          </cell>
          <cell r="W60" t="str">
            <v>3rd</v>
          </cell>
          <cell r="X60" t="str">
            <v>4th</v>
          </cell>
          <cell r="Y60" t="str">
            <v>5th</v>
          </cell>
        </row>
        <row r="63">
          <cell r="C63" t="str">
            <v>FCF/Market Cap</v>
          </cell>
          <cell r="I63" t="str">
            <v>FCF/Sales</v>
          </cell>
          <cell r="O63" t="str">
            <v>Div payout ratio</v>
          </cell>
          <cell r="U63" t="str">
            <v>Dividend yield</v>
          </cell>
        </row>
        <row r="64">
          <cell r="D64">
            <v>5.5E-2</v>
          </cell>
          <cell r="M64">
            <v>0.39</v>
          </cell>
          <cell r="S64">
            <v>0.21099999999999999</v>
          </cell>
          <cell r="X64" t="str">
            <v>xx</v>
          </cell>
        </row>
        <row r="65">
          <cell r="D65">
            <v>7.0000000000000007E-2</v>
          </cell>
          <cell r="J65">
            <v>0.16</v>
          </cell>
          <cell r="P65">
            <v>6.6000000000000003E-2</v>
          </cell>
          <cell r="V65" t="str">
            <v>xx</v>
          </cell>
        </row>
        <row r="70">
          <cell r="C70" t="str">
            <v>Leverage and Cash Flows</v>
          </cell>
        </row>
        <row r="71">
          <cell r="U71" t="str">
            <v>1st</v>
          </cell>
          <cell r="V71" t="str">
            <v>2nd</v>
          </cell>
          <cell r="W71" t="str">
            <v>3rd</v>
          </cell>
          <cell r="X71" t="str">
            <v>4th</v>
          </cell>
          <cell r="Y71" t="str">
            <v>5th</v>
          </cell>
        </row>
        <row r="74">
          <cell r="C74" t="str">
            <v>Gross Debt / Equity</v>
          </cell>
          <cell r="I74" t="str">
            <v>Net Debt / Equity</v>
          </cell>
          <cell r="O74" t="str">
            <v>FCF/Market Cap</v>
          </cell>
          <cell r="U74" t="str">
            <v>Div payout ratio</v>
          </cell>
        </row>
        <row r="75">
          <cell r="F75">
            <v>0.59</v>
          </cell>
          <cell r="L75">
            <v>-0.02</v>
          </cell>
          <cell r="P75">
            <v>5.5E-2</v>
          </cell>
          <cell r="Y75">
            <v>0.21099999999999999</v>
          </cell>
        </row>
        <row r="76">
          <cell r="D76">
            <v>0.185</v>
          </cell>
          <cell r="J76">
            <v>-0.161</v>
          </cell>
          <cell r="P76">
            <v>7.0000000000000007E-2</v>
          </cell>
          <cell r="V76">
            <v>6.6000000000000003E-2</v>
          </cell>
        </row>
        <row r="79">
          <cell r="C79" t="str">
            <v>Growth</v>
          </cell>
        </row>
        <row r="80">
          <cell r="U80" t="str">
            <v>1st</v>
          </cell>
          <cell r="V80" t="str">
            <v>2nd</v>
          </cell>
          <cell r="W80" t="str">
            <v>3rd</v>
          </cell>
          <cell r="X80" t="str">
            <v>4th</v>
          </cell>
          <cell r="Y80" t="str">
            <v>5th</v>
          </cell>
        </row>
        <row r="83">
          <cell r="C83" t="str">
            <v>Sales (1 year fwd)</v>
          </cell>
          <cell r="I83" t="str">
            <v>EBIT (1 year fwd)</v>
          </cell>
          <cell r="O83" t="str">
            <v>EPS (1 year fwd)</v>
          </cell>
          <cell r="U83" t="str">
            <v>EPS (2 years fwd)</v>
          </cell>
        </row>
        <row r="84">
          <cell r="F84">
            <v>0.51</v>
          </cell>
          <cell r="L84">
            <v>0.37</v>
          </cell>
          <cell r="R84">
            <v>0.33</v>
          </cell>
          <cell r="X84">
            <v>0.32</v>
          </cell>
        </row>
        <row r="85">
          <cell r="D85">
            <v>0.27</v>
          </cell>
          <cell r="J85">
            <v>0.2</v>
          </cell>
          <cell r="P85">
            <v>0.2</v>
          </cell>
          <cell r="V85">
            <v>0.17</v>
          </cell>
        </row>
      </sheetData>
      <sheetData sheetId="2" refreshError="1"/>
      <sheetData sheetId="3" refreshError="1"/>
      <sheetData sheetId="4" refreshError="1">
        <row r="3">
          <cell r="B3" t="str">
            <v>Color</v>
          </cell>
          <cell r="C3" t="str">
            <v>Values</v>
          </cell>
        </row>
        <row r="4">
          <cell r="B4">
            <v>14</v>
          </cell>
          <cell r="C4">
            <v>4</v>
          </cell>
          <cell r="E4" t="str">
            <v>4 </v>
          </cell>
          <cell r="F4" t="str">
            <v>Buy</v>
          </cell>
          <cell r="H4" t="str">
            <v></v>
          </cell>
        </row>
        <row r="5">
          <cell r="B5">
            <v>48</v>
          </cell>
          <cell r="C5">
            <v>0.01</v>
          </cell>
          <cell r="E5" t="str">
            <v>0 </v>
          </cell>
          <cell r="F5" t="str">
            <v>Hold</v>
          </cell>
          <cell r="H5" t="str">
            <v></v>
          </cell>
        </row>
        <row r="6">
          <cell r="B6">
            <v>9</v>
          </cell>
          <cell r="C6">
            <v>0.01</v>
          </cell>
          <cell r="E6" t="str">
            <v>0 </v>
          </cell>
          <cell r="F6" t="str">
            <v>Sell</v>
          </cell>
          <cell r="H6" t="str">
            <v></v>
          </cell>
        </row>
        <row r="8">
          <cell r="B8" t="str">
            <v>Max</v>
          </cell>
          <cell r="C8">
            <v>4</v>
          </cell>
        </row>
        <row r="9">
          <cell r="B9" t="str">
            <v>Bar length</v>
          </cell>
          <cell r="C9">
            <v>21</v>
          </cell>
        </row>
      </sheetData>
      <sheetData sheetId="5" refreshError="1">
        <row r="1">
          <cell r="P1" t="str">
            <v>SmartCharts</v>
          </cell>
          <cell r="BN1" t="str">
            <v>.</v>
          </cell>
        </row>
        <row r="2">
          <cell r="BN2" t="str">
            <v>.</v>
          </cell>
        </row>
        <row r="3">
          <cell r="BN3" t="str">
            <v>.</v>
          </cell>
        </row>
        <row r="9">
          <cell r="C9" t="str">
            <v>Input your data in the white cells:</v>
          </cell>
        </row>
        <row r="10">
          <cell r="C10" t="str">
            <v xml:space="preserve">Value of Current Earnings          </v>
          </cell>
          <cell r="D10">
            <v>201</v>
          </cell>
          <cell r="F10">
            <v>0</v>
          </cell>
          <cell r="H10" t="str">
            <v>A</v>
          </cell>
          <cell r="I10" t="str">
            <v>Incr.</v>
          </cell>
          <cell r="J10" t="str">
            <v>Decr.</v>
          </cell>
          <cell r="K10" t="str">
            <v>VG1</v>
          </cell>
          <cell r="L10" t="str">
            <v>VG2</v>
          </cell>
          <cell r="M10" t="str">
            <v>VGlabel_series1</v>
          </cell>
          <cell r="N10" t="str">
            <v>ValueGap label 2</v>
          </cell>
        </row>
        <row r="11">
          <cell r="C11" t="str">
            <v>+/- Value of Growth in Explicit Forecast Period</v>
          </cell>
          <cell r="D11">
            <v>65</v>
          </cell>
          <cell r="G11" t="str">
            <v xml:space="preserve">Value of Current Earnings          </v>
          </cell>
          <cell r="H11">
            <v>201</v>
          </cell>
        </row>
        <row r="12">
          <cell r="C12" t="str">
            <v>+/- Implied Value of Growth in Terminal Forecast Period</v>
          </cell>
          <cell r="D12">
            <v>89</v>
          </cell>
          <cell r="F12">
            <v>0</v>
          </cell>
          <cell r="G12" t="str">
            <v>+/- Value of Growth in Explicit Forecast Period</v>
          </cell>
          <cell r="H12">
            <v>201</v>
          </cell>
          <cell r="I12">
            <v>65</v>
          </cell>
          <cell r="J12">
            <v>0</v>
          </cell>
        </row>
        <row r="13">
          <cell r="C13" t="str">
            <v>= Price Target</v>
          </cell>
          <cell r="D13">
            <v>355</v>
          </cell>
          <cell r="F13">
            <v>0</v>
          </cell>
          <cell r="G13" t="str">
            <v>+/- Implied Value of Growth in Terminal Forecast Period</v>
          </cell>
          <cell r="H13">
            <v>266</v>
          </cell>
          <cell r="I13">
            <v>89</v>
          </cell>
          <cell r="J13" t="str">
            <v/>
          </cell>
        </row>
        <row r="14">
          <cell r="C14" t="str">
            <v>Current Price</v>
          </cell>
          <cell r="D14">
            <v>309.5</v>
          </cell>
          <cell r="G14" t="str">
            <v>= Price Target</v>
          </cell>
          <cell r="H14">
            <v>355</v>
          </cell>
          <cell r="L14" t="str">
            <v/>
          </cell>
          <cell r="N14">
            <v>0</v>
          </cell>
        </row>
        <row r="15">
          <cell r="C15" t="str">
            <v>Implied Value Gap</v>
          </cell>
          <cell r="D15">
            <v>45.5</v>
          </cell>
          <cell r="G15" t="str">
            <v>Current Price</v>
          </cell>
          <cell r="H15">
            <v>309.5</v>
          </cell>
          <cell r="K15">
            <v>45.5</v>
          </cell>
          <cell r="M15">
            <v>106.5</v>
          </cell>
        </row>
        <row r="16">
          <cell r="K16">
            <v>0.1470113085621971</v>
          </cell>
          <cell r="L16" t="str">
            <v/>
          </cell>
          <cell r="M16" t="str">
            <v/>
          </cell>
        </row>
        <row r="17">
          <cell r="M17" t="str">
            <v>◄+15%</v>
          </cell>
          <cell r="N17" t="str">
            <v/>
          </cell>
        </row>
        <row r="18">
          <cell r="M18" t="str">
            <v>◄+15%</v>
          </cell>
          <cell r="N18" t="str">
            <v xml:space="preserve">◄- </v>
          </cell>
        </row>
        <row r="37">
          <cell r="F37" t="str">
            <v>Do not change the width of the exhibit or font sizes (they are optimized for export to Word).</v>
          </cell>
        </row>
        <row r="39">
          <cell r="F39" t="str">
            <v>Do not delete any rows or columns (some gray cells are used for calculations).</v>
          </cell>
        </row>
      </sheetData>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ctor yardstick_2"/>
      <sheetName val="Sector yardstick_OLD"/>
      <sheetName val="PeerGroupBenchmark_ALT (2)"/>
      <sheetName val="PeerGroupBenchmark"/>
      <sheetName val="PeerGroupBenchmarking_OLD"/>
      <sheetName val="Front page benchmarks_9x3"/>
      <sheetName val="Front page benchmarks_6x3"/>
      <sheetName val="Front page benchmarks_6x5"/>
      <sheetName val="Benchmarks_All_gray1"/>
      <sheetName val="Benchmarks_All_gray2"/>
      <sheetName val="Benchmarks_All_1"/>
      <sheetName val="Benchmarks_All_2"/>
      <sheetName val="Benchmarks_All_ALT_1 (3)"/>
      <sheetName val="Benchmarks_All_ALT_1"/>
      <sheetName val="Benchmarks_All_ALT_1 (2)"/>
      <sheetName val="Benchmarks_All_B1"/>
      <sheetName val="Benchmarks_All_B2"/>
      <sheetName val="Benchmarks_All (ALT)"/>
      <sheetName val="#REF"/>
    </sheetNames>
    <sheetDataSet>
      <sheetData sheetId="0" refreshError="1"/>
      <sheetData sheetId="1"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EV/Ebitda</v>
          </cell>
          <cell r="F12" t="str">
            <v>13.5x</v>
          </cell>
          <cell r="J12" t="str">
            <v>10.2x</v>
          </cell>
        </row>
        <row r="13">
          <cell r="B13" t="str">
            <v>Profitability</v>
          </cell>
        </row>
        <row r="14">
          <cell r="B14" t="str">
            <v>ROA</v>
          </cell>
          <cell r="F14">
            <v>0.40600000000000003</v>
          </cell>
          <cell r="J14">
            <v>0.25700000000000001</v>
          </cell>
        </row>
        <row r="15">
          <cell r="B15" t="str">
            <v>ROE</v>
          </cell>
          <cell r="E15">
            <v>0.40600000000000003</v>
          </cell>
          <cell r="J15">
            <v>0.25700000000000001</v>
          </cell>
        </row>
        <row r="16">
          <cell r="B16" t="str">
            <v>Net inc. margin</v>
          </cell>
          <cell r="H16">
            <v>0.40600000000000003</v>
          </cell>
          <cell r="J16">
            <v>0.25700000000000001</v>
          </cell>
        </row>
        <row r="17">
          <cell r="B17" t="str">
            <v>Net inc. margin</v>
          </cell>
          <cell r="H17">
            <v>0.40600000000000003</v>
          </cell>
          <cell r="J17">
            <v>0.25700000000000001</v>
          </cell>
        </row>
        <row r="18">
          <cell r="B18" t="str">
            <v>Leverage</v>
          </cell>
        </row>
        <row r="19">
          <cell r="B19" t="str">
            <v>Debt/Assets</v>
          </cell>
          <cell r="E19">
            <v>0.40600000000000003</v>
          </cell>
          <cell r="J19">
            <v>0.25700000000000001</v>
          </cell>
        </row>
        <row r="20">
          <cell r="B20" t="str">
            <v>Debt/Equity</v>
          </cell>
          <cell r="G20">
            <v>0.40600000000000003</v>
          </cell>
          <cell r="J20">
            <v>0.25700000000000001</v>
          </cell>
        </row>
        <row r="21">
          <cell r="B21" t="str">
            <v>Total Debt/EBIDA</v>
          </cell>
          <cell r="D21">
            <v>0.40600000000000003</v>
          </cell>
          <cell r="J21">
            <v>0.25700000000000001</v>
          </cell>
        </row>
        <row r="22">
          <cell r="B22" t="str">
            <v>Total Debt/EBIDA</v>
          </cell>
          <cell r="D22">
            <v>0.40600000000000003</v>
          </cell>
          <cell r="J22">
            <v>0.25700000000000001</v>
          </cell>
        </row>
        <row r="23">
          <cell r="B23" t="str">
            <v>Growth</v>
          </cell>
        </row>
        <row r="24">
          <cell r="B24" t="str">
            <v>EPS 1yr fwd</v>
          </cell>
          <cell r="D24" t="str">
            <v>13.5x</v>
          </cell>
          <cell r="J24" t="str">
            <v>10.2x</v>
          </cell>
        </row>
        <row r="25">
          <cell r="B25" t="str">
            <v>EPS 2yrs fwd</v>
          </cell>
          <cell r="G25" t="str">
            <v>13.5x</v>
          </cell>
          <cell r="J25" t="str">
            <v>10.2x</v>
          </cell>
        </row>
        <row r="26">
          <cell r="B26" t="str">
            <v>EV/Ebitda</v>
          </cell>
          <cell r="G26" t="str">
            <v>13.5x</v>
          </cell>
          <cell r="J26" t="str">
            <v>10.2x</v>
          </cell>
        </row>
        <row r="27">
          <cell r="B27" t="str">
            <v>EV/Ebitda</v>
          </cell>
          <cell r="G27" t="str">
            <v>13.5x</v>
          </cell>
          <cell r="J27" t="str">
            <v>10.2x</v>
          </cell>
        </row>
        <row r="28">
          <cell r="B28" t="str">
            <v>Cash</v>
          </cell>
        </row>
        <row r="29">
          <cell r="B29" t="str">
            <v>FCF/Market Cap</v>
          </cell>
          <cell r="E29">
            <v>0.40600000000000003</v>
          </cell>
          <cell r="J29">
            <v>0.25700000000000001</v>
          </cell>
        </row>
        <row r="30">
          <cell r="B30" t="str">
            <v>FCF/Sales</v>
          </cell>
          <cell r="G30">
            <v>0.40600000000000003</v>
          </cell>
          <cell r="J30">
            <v>0.25700000000000001</v>
          </cell>
        </row>
        <row r="31">
          <cell r="B31" t="str">
            <v>Net inc. margin</v>
          </cell>
          <cell r="D31">
            <v>0.40600000000000003</v>
          </cell>
          <cell r="J31">
            <v>0.25700000000000001</v>
          </cell>
        </row>
        <row r="32">
          <cell r="B32" t="str">
            <v>Net inc. margin</v>
          </cell>
          <cell r="D32">
            <v>0.40600000000000003</v>
          </cell>
          <cell r="J32">
            <v>0.25700000000000001</v>
          </cell>
        </row>
        <row r="33">
          <cell r="B33" t="str">
            <v>Liquidity</v>
          </cell>
        </row>
        <row r="34">
          <cell r="B34" t="str">
            <v>Cash ratio</v>
          </cell>
          <cell r="G34">
            <v>0.40600000000000003</v>
          </cell>
          <cell r="J34">
            <v>0.25700000000000001</v>
          </cell>
        </row>
        <row r="35">
          <cell r="B35" t="str">
            <v>Quick Ratio</v>
          </cell>
          <cell r="E35">
            <v>0.40600000000000003</v>
          </cell>
          <cell r="J35">
            <v>0.25700000000000001</v>
          </cell>
        </row>
        <row r="36">
          <cell r="B36" t="str">
            <v>Total Debt/EBIDA</v>
          </cell>
          <cell r="G36">
            <v>0.40600000000000003</v>
          </cell>
          <cell r="J36">
            <v>0.25700000000000001</v>
          </cell>
        </row>
        <row r="37">
          <cell r="B37" t="str">
            <v>Total Debt/EBIDA</v>
          </cell>
          <cell r="G37">
            <v>0.40600000000000003</v>
          </cell>
          <cell r="J37">
            <v>0.25700000000000001</v>
          </cell>
        </row>
        <row r="38">
          <cell r="B38" t="str">
            <v>Liquidity</v>
          </cell>
        </row>
        <row r="39">
          <cell r="B39" t="str">
            <v>Cash ratio</v>
          </cell>
          <cell r="G39">
            <v>0.40600000000000003</v>
          </cell>
          <cell r="J39">
            <v>0.25700000000000001</v>
          </cell>
        </row>
        <row r="40">
          <cell r="B40" t="str">
            <v>Quick Ratio</v>
          </cell>
          <cell r="E40">
            <v>0.40600000000000003</v>
          </cell>
          <cell r="J40">
            <v>0.25700000000000001</v>
          </cell>
        </row>
        <row r="41">
          <cell r="B41" t="str">
            <v>Total Debt/EBIDA</v>
          </cell>
          <cell r="G41">
            <v>0.40600000000000003</v>
          </cell>
          <cell r="J41">
            <v>0.25700000000000001</v>
          </cell>
        </row>
        <row r="42">
          <cell r="B42" t="str">
            <v>Total Debt/EBIDA</v>
          </cell>
          <cell r="G42">
            <v>0.40600000000000003</v>
          </cell>
          <cell r="J42">
            <v>0.25700000000000001</v>
          </cell>
        </row>
        <row r="45">
          <cell r="E45" t="str">
            <v></v>
          </cell>
        </row>
        <row r="46">
          <cell r="E46" t="str">
            <v></v>
          </cell>
        </row>
        <row r="47">
          <cell r="E47" t="str">
            <v></v>
          </cell>
        </row>
        <row r="48">
          <cell r="E48" t="str">
            <v></v>
          </cell>
        </row>
        <row r="55">
          <cell r="E55" t="str">
            <v></v>
          </cell>
          <cell r="F55" t="str">
            <v></v>
          </cell>
        </row>
        <row r="56">
          <cell r="E56" t="str">
            <v></v>
          </cell>
          <cell r="F56" t="str">
            <v></v>
          </cell>
        </row>
      </sheetData>
      <sheetData sheetId="2" refreshError="1"/>
      <sheetData sheetId="3" refreshError="1"/>
      <sheetData sheetId="4" refreshError="1"/>
      <sheetData sheetId="5"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Profitability</v>
          </cell>
        </row>
        <row r="13">
          <cell r="B13" t="str">
            <v>ROA</v>
          </cell>
          <cell r="F13">
            <v>0.40600000000000003</v>
          </cell>
          <cell r="J13">
            <v>0.25700000000000001</v>
          </cell>
        </row>
        <row r="14">
          <cell r="B14" t="str">
            <v>ROE</v>
          </cell>
          <cell r="E14">
            <v>0.40600000000000003</v>
          </cell>
          <cell r="J14">
            <v>0.25700000000000001</v>
          </cell>
        </row>
        <row r="15">
          <cell r="B15" t="str">
            <v>Net inc. margin</v>
          </cell>
          <cell r="H15">
            <v>0.40600000000000003</v>
          </cell>
          <cell r="J15">
            <v>0.25700000000000001</v>
          </cell>
        </row>
        <row r="16">
          <cell r="B16" t="str">
            <v>Leverage</v>
          </cell>
        </row>
        <row r="17">
          <cell r="B17" t="str">
            <v>Debt/Assets</v>
          </cell>
          <cell r="E17">
            <v>0.40600000000000003</v>
          </cell>
          <cell r="J17">
            <v>0.25700000000000001</v>
          </cell>
        </row>
        <row r="18">
          <cell r="B18" t="str">
            <v>Debt/Equity</v>
          </cell>
          <cell r="G18">
            <v>0.40600000000000003</v>
          </cell>
          <cell r="J18">
            <v>0.25700000000000001</v>
          </cell>
        </row>
        <row r="19">
          <cell r="B19" t="str">
            <v>Total Debt/EBIDA</v>
          </cell>
          <cell r="D19">
            <v>0.40600000000000003</v>
          </cell>
          <cell r="J19">
            <v>0.25700000000000001</v>
          </cell>
        </row>
        <row r="20">
          <cell r="B20" t="str">
            <v>Growth</v>
          </cell>
        </row>
        <row r="21">
          <cell r="B21" t="str">
            <v>EPS 1yr fwd</v>
          </cell>
          <cell r="D21" t="str">
            <v>13.5x</v>
          </cell>
          <cell r="J21" t="str">
            <v>10.2x</v>
          </cell>
        </row>
        <row r="22">
          <cell r="B22" t="str">
            <v>EPS 2yrs fwd</v>
          </cell>
          <cell r="G22" t="str">
            <v>13.5x</v>
          </cell>
          <cell r="J22" t="str">
            <v>10.2x</v>
          </cell>
        </row>
        <row r="23">
          <cell r="B23" t="str">
            <v>EV/Ebitda</v>
          </cell>
          <cell r="G23" t="str">
            <v>13.5x</v>
          </cell>
          <cell r="J23" t="str">
            <v>10.2x</v>
          </cell>
        </row>
        <row r="24">
          <cell r="B24" t="str">
            <v>Cash</v>
          </cell>
        </row>
        <row r="25">
          <cell r="B25" t="str">
            <v>FCF/Market Cap</v>
          </cell>
          <cell r="E25">
            <v>0.40600000000000003</v>
          </cell>
          <cell r="J25">
            <v>0.25700000000000001</v>
          </cell>
        </row>
        <row r="26">
          <cell r="B26" t="str">
            <v>FCF/Sales</v>
          </cell>
          <cell r="G26">
            <v>0.40600000000000003</v>
          </cell>
          <cell r="J26">
            <v>0.25700000000000001</v>
          </cell>
        </row>
        <row r="27">
          <cell r="B27" t="str">
            <v>Net inc. margin</v>
          </cell>
          <cell r="D27">
            <v>0.40600000000000003</v>
          </cell>
          <cell r="J27">
            <v>0.25700000000000001</v>
          </cell>
        </row>
        <row r="28">
          <cell r="B28" t="str">
            <v>Liquidity</v>
          </cell>
        </row>
        <row r="29">
          <cell r="B29" t="str">
            <v>Cash ratio</v>
          </cell>
          <cell r="G29">
            <v>0.40600000000000003</v>
          </cell>
          <cell r="J29">
            <v>0.25700000000000001</v>
          </cell>
        </row>
        <row r="30">
          <cell r="B30" t="str">
            <v>Quick Ratio</v>
          </cell>
          <cell r="E30">
            <v>0.40600000000000003</v>
          </cell>
          <cell r="J30">
            <v>0.25700000000000001</v>
          </cell>
        </row>
        <row r="31">
          <cell r="B31" t="str">
            <v>Total Debt/EBIDA</v>
          </cell>
          <cell r="G31">
            <v>0.40600000000000003</v>
          </cell>
          <cell r="J31">
            <v>0.25700000000000001</v>
          </cell>
        </row>
        <row r="32">
          <cell r="B32" t="str">
            <v>Liquidity</v>
          </cell>
        </row>
        <row r="33">
          <cell r="B33" t="str">
            <v>Cash ratio</v>
          </cell>
          <cell r="G33">
            <v>0.40600000000000003</v>
          </cell>
          <cell r="J33">
            <v>0.25700000000000001</v>
          </cell>
        </row>
        <row r="34">
          <cell r="B34" t="str">
            <v>Quick Ratio</v>
          </cell>
          <cell r="E34">
            <v>0.40600000000000003</v>
          </cell>
          <cell r="J34">
            <v>0.25700000000000001</v>
          </cell>
        </row>
        <row r="35">
          <cell r="B35" t="str">
            <v>Total Debt/EBIDA</v>
          </cell>
          <cell r="G35">
            <v>0.40600000000000003</v>
          </cell>
          <cell r="J35">
            <v>0.25700000000000001</v>
          </cell>
        </row>
        <row r="36">
          <cell r="B36" t="str">
            <v>Cash</v>
          </cell>
        </row>
        <row r="37">
          <cell r="B37" t="str">
            <v>FCF/Market Cap</v>
          </cell>
          <cell r="E37">
            <v>0.40600000000000003</v>
          </cell>
          <cell r="J37">
            <v>0.25700000000000001</v>
          </cell>
        </row>
        <row r="38">
          <cell r="B38" t="str">
            <v>FCF/Sales</v>
          </cell>
          <cell r="G38">
            <v>0.40600000000000003</v>
          </cell>
          <cell r="J38">
            <v>0.25700000000000001</v>
          </cell>
        </row>
        <row r="39">
          <cell r="B39" t="str">
            <v>Net inc. margin</v>
          </cell>
          <cell r="D39">
            <v>0.40600000000000003</v>
          </cell>
          <cell r="J39">
            <v>0.25700000000000001</v>
          </cell>
        </row>
        <row r="40">
          <cell r="B40" t="str">
            <v>Growth</v>
          </cell>
        </row>
        <row r="41">
          <cell r="B41" t="str">
            <v>EPS 1yr fwd</v>
          </cell>
          <cell r="D41" t="str">
            <v>13.5x</v>
          </cell>
          <cell r="J41" t="str">
            <v>10.2x</v>
          </cell>
        </row>
        <row r="42">
          <cell r="B42" t="str">
            <v>EPS 2yrs fwd</v>
          </cell>
          <cell r="G42" t="str">
            <v>13.5x</v>
          </cell>
          <cell r="J42" t="str">
            <v>10.2x</v>
          </cell>
        </row>
        <row r="43">
          <cell r="B43" t="str">
            <v>EV/Ebitda</v>
          </cell>
          <cell r="G43" t="str">
            <v>13.5x</v>
          </cell>
          <cell r="J43" t="str">
            <v>10.2x</v>
          </cell>
        </row>
        <row r="46">
          <cell r="E46" t="str">
            <v></v>
          </cell>
        </row>
        <row r="47">
          <cell r="E47" t="str">
            <v></v>
          </cell>
        </row>
        <row r="48">
          <cell r="E48" t="str">
            <v></v>
          </cell>
        </row>
        <row r="49">
          <cell r="E49" t="str">
            <v></v>
          </cell>
        </row>
        <row r="56">
          <cell r="E56" t="str">
            <v></v>
          </cell>
          <cell r="F56" t="str">
            <v></v>
          </cell>
        </row>
        <row r="57">
          <cell r="E57" t="str">
            <v></v>
          </cell>
          <cell r="F57" t="str">
            <v></v>
          </cell>
        </row>
      </sheetData>
      <sheetData sheetId="6"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Profitability</v>
          </cell>
        </row>
        <row r="13">
          <cell r="B13" t="str">
            <v>ROA</v>
          </cell>
          <cell r="F13">
            <v>0.40600000000000003</v>
          </cell>
          <cell r="J13">
            <v>0.25700000000000001</v>
          </cell>
        </row>
        <row r="14">
          <cell r="B14" t="str">
            <v>ROE</v>
          </cell>
          <cell r="E14">
            <v>0.40600000000000003</v>
          </cell>
          <cell r="J14">
            <v>0.25700000000000001</v>
          </cell>
        </row>
        <row r="15">
          <cell r="B15" t="str">
            <v>Net inc. margin</v>
          </cell>
          <cell r="H15">
            <v>0.40600000000000003</v>
          </cell>
          <cell r="J15">
            <v>0.25700000000000001</v>
          </cell>
        </row>
        <row r="16">
          <cell r="B16" t="str">
            <v>Leverage</v>
          </cell>
        </row>
        <row r="17">
          <cell r="B17" t="str">
            <v>Debt/Assets</v>
          </cell>
          <cell r="E17">
            <v>0.40600000000000003</v>
          </cell>
          <cell r="J17">
            <v>0.25700000000000001</v>
          </cell>
        </row>
        <row r="18">
          <cell r="B18" t="str">
            <v>Debt/Equity</v>
          </cell>
          <cell r="G18">
            <v>0.40600000000000003</v>
          </cell>
          <cell r="J18">
            <v>0.25700000000000001</v>
          </cell>
        </row>
        <row r="19">
          <cell r="B19" t="str">
            <v>Total Debt/EBIDA</v>
          </cell>
          <cell r="D19">
            <v>0.40600000000000003</v>
          </cell>
          <cell r="J19">
            <v>0.25700000000000001</v>
          </cell>
        </row>
        <row r="20">
          <cell r="B20" t="str">
            <v>Growth</v>
          </cell>
        </row>
        <row r="21">
          <cell r="B21" t="str">
            <v>EPS 1yr fwd</v>
          </cell>
          <cell r="D21" t="str">
            <v>13.5x</v>
          </cell>
          <cell r="J21" t="str">
            <v>10.2x</v>
          </cell>
        </row>
        <row r="22">
          <cell r="B22" t="str">
            <v>EPS 2yrs fwd</v>
          </cell>
          <cell r="G22" t="str">
            <v>13.5x</v>
          </cell>
          <cell r="J22" t="str">
            <v>10.2x</v>
          </cell>
        </row>
        <row r="23">
          <cell r="B23" t="str">
            <v>EV/Ebitda</v>
          </cell>
          <cell r="G23" t="str">
            <v>13.5x</v>
          </cell>
          <cell r="J23" t="str">
            <v>10.2x</v>
          </cell>
        </row>
        <row r="24">
          <cell r="B24" t="str">
            <v>Cash</v>
          </cell>
        </row>
        <row r="25">
          <cell r="B25" t="str">
            <v>FCF/Market Cap</v>
          </cell>
          <cell r="E25">
            <v>0.40600000000000003</v>
          </cell>
          <cell r="J25">
            <v>0.25700000000000001</v>
          </cell>
        </row>
        <row r="26">
          <cell r="B26" t="str">
            <v>FCF/Sales</v>
          </cell>
          <cell r="G26">
            <v>0.40600000000000003</v>
          </cell>
          <cell r="J26">
            <v>0.25700000000000001</v>
          </cell>
        </row>
        <row r="27">
          <cell r="B27" t="str">
            <v>Net inc. margin</v>
          </cell>
          <cell r="D27">
            <v>0.40600000000000003</v>
          </cell>
          <cell r="J27">
            <v>0.25700000000000001</v>
          </cell>
        </row>
        <row r="28">
          <cell r="B28" t="str">
            <v>Liquidity</v>
          </cell>
        </row>
        <row r="29">
          <cell r="B29" t="str">
            <v>Cash ratio</v>
          </cell>
          <cell r="G29">
            <v>0.40600000000000003</v>
          </cell>
          <cell r="J29">
            <v>0.25700000000000001</v>
          </cell>
        </row>
        <row r="30">
          <cell r="B30" t="str">
            <v>Quick Ratio</v>
          </cell>
          <cell r="E30">
            <v>0.40600000000000003</v>
          </cell>
          <cell r="J30">
            <v>0.25700000000000001</v>
          </cell>
        </row>
        <row r="31">
          <cell r="B31" t="str">
            <v>Total Debt/EBIDA</v>
          </cell>
          <cell r="G31">
            <v>0.40600000000000003</v>
          </cell>
          <cell r="J31">
            <v>0.25700000000000001</v>
          </cell>
        </row>
        <row r="34">
          <cell r="E34" t="str">
            <v></v>
          </cell>
        </row>
        <row r="35">
          <cell r="E35" t="str">
            <v></v>
          </cell>
        </row>
        <row r="36">
          <cell r="E36" t="str">
            <v></v>
          </cell>
        </row>
        <row r="37">
          <cell r="E37" t="str">
            <v></v>
          </cell>
        </row>
        <row r="44">
          <cell r="E44" t="str">
            <v></v>
          </cell>
          <cell r="F44" t="str">
            <v></v>
          </cell>
        </row>
        <row r="45">
          <cell r="E45" t="str">
            <v></v>
          </cell>
          <cell r="F45" t="str">
            <v></v>
          </cell>
        </row>
      </sheetData>
      <sheetData sheetId="7" refreshError="1">
        <row r="1">
          <cell r="B1" t="str">
            <v>Rolta India Ltd.</v>
          </cell>
        </row>
        <row r="2">
          <cell r="B2" t="str">
            <v xml:space="preserve">relative to </v>
          </cell>
        </row>
        <row r="3">
          <cell r="B3" t="str">
            <v>Information Technology</v>
          </cell>
        </row>
        <row r="5">
          <cell r="D5" t="str">
            <v>Rolta India Ltd.</v>
          </cell>
          <cell r="J5" t="str">
            <v>Peer
median</v>
          </cell>
        </row>
        <row r="6">
          <cell r="D6" t="str">
            <v>Percentile range (vs. peers)</v>
          </cell>
        </row>
        <row r="7">
          <cell r="C7" t="str">
            <v xml:space="preserve">  0      20      40      60      80   100%</v>
          </cell>
        </row>
        <row r="8">
          <cell r="B8" t="str">
            <v>Valuation</v>
          </cell>
        </row>
        <row r="9">
          <cell r="B9" t="str">
            <v>P/E (FY1)</v>
          </cell>
          <cell r="G9" t="str">
            <v>13.5x</v>
          </cell>
          <cell r="J9" t="str">
            <v>10.2x</v>
          </cell>
        </row>
        <row r="10">
          <cell r="B10" t="str">
            <v>P/E (FY2)</v>
          </cell>
          <cell r="E10" t="str">
            <v>13.5x</v>
          </cell>
          <cell r="J10" t="str">
            <v>10.2x</v>
          </cell>
        </row>
        <row r="11">
          <cell r="B11" t="str">
            <v>EV/Ebitda</v>
          </cell>
          <cell r="F11" t="str">
            <v>13.5x</v>
          </cell>
          <cell r="J11" t="str">
            <v>10.2x</v>
          </cell>
        </row>
        <row r="12">
          <cell r="B12" t="str">
            <v>P/E (FY2)</v>
          </cell>
          <cell r="E12" t="str">
            <v>13.5x</v>
          </cell>
          <cell r="J12" t="str">
            <v>10.2x</v>
          </cell>
        </row>
        <row r="13">
          <cell r="B13" t="str">
            <v>EV/Ebitda</v>
          </cell>
          <cell r="F13" t="str">
            <v>13.5x</v>
          </cell>
          <cell r="J13" t="str">
            <v>10.2x</v>
          </cell>
        </row>
        <row r="14">
          <cell r="B14" t="str">
            <v>Profitability</v>
          </cell>
        </row>
        <row r="15">
          <cell r="B15" t="str">
            <v>ROA</v>
          </cell>
          <cell r="F15">
            <v>0.40600000000000003</v>
          </cell>
          <cell r="J15">
            <v>0.25700000000000001</v>
          </cell>
        </row>
        <row r="16">
          <cell r="B16" t="str">
            <v>ROE</v>
          </cell>
          <cell r="E16">
            <v>0.40600000000000003</v>
          </cell>
          <cell r="J16">
            <v>0.25700000000000001</v>
          </cell>
        </row>
        <row r="17">
          <cell r="B17" t="str">
            <v>Net inc. margin</v>
          </cell>
          <cell r="H17">
            <v>0.40600000000000003</v>
          </cell>
          <cell r="J17">
            <v>0.25700000000000001</v>
          </cell>
        </row>
        <row r="18">
          <cell r="B18" t="str">
            <v>ROE</v>
          </cell>
          <cell r="E18">
            <v>0.40600000000000003</v>
          </cell>
          <cell r="J18">
            <v>0.25700000000000001</v>
          </cell>
        </row>
        <row r="19">
          <cell r="B19" t="str">
            <v>Net inc. margin</v>
          </cell>
          <cell r="H19">
            <v>0.40600000000000003</v>
          </cell>
          <cell r="J19">
            <v>0.25700000000000001</v>
          </cell>
        </row>
        <row r="20">
          <cell r="B20" t="str">
            <v>Leverage</v>
          </cell>
        </row>
        <row r="21">
          <cell r="B21" t="str">
            <v>Debt/Assets</v>
          </cell>
          <cell r="E21">
            <v>0.40600000000000003</v>
          </cell>
          <cell r="J21">
            <v>0.25700000000000001</v>
          </cell>
        </row>
        <row r="22">
          <cell r="B22" t="str">
            <v>Debt/Equity</v>
          </cell>
          <cell r="G22">
            <v>0.40600000000000003</v>
          </cell>
          <cell r="J22">
            <v>0.25700000000000001</v>
          </cell>
        </row>
        <row r="23">
          <cell r="B23" t="str">
            <v>Total Debt/EBIDA</v>
          </cell>
          <cell r="D23">
            <v>0.40600000000000003</v>
          </cell>
          <cell r="J23">
            <v>0.25700000000000001</v>
          </cell>
        </row>
        <row r="24">
          <cell r="B24" t="str">
            <v>Debt/Equity</v>
          </cell>
          <cell r="G24">
            <v>0.40600000000000003</v>
          </cell>
          <cell r="J24">
            <v>0.25700000000000001</v>
          </cell>
        </row>
        <row r="25">
          <cell r="B25" t="str">
            <v>Total Debt/EBIDA</v>
          </cell>
          <cell r="D25">
            <v>0.40600000000000003</v>
          </cell>
          <cell r="J25">
            <v>0.25700000000000001</v>
          </cell>
        </row>
        <row r="26">
          <cell r="B26" t="str">
            <v>Growth</v>
          </cell>
        </row>
        <row r="27">
          <cell r="B27" t="str">
            <v>EPS 1yr fwd</v>
          </cell>
          <cell r="D27" t="str">
            <v>13.5x</v>
          </cell>
          <cell r="J27" t="str">
            <v>10.2x</v>
          </cell>
        </row>
        <row r="28">
          <cell r="B28" t="str">
            <v>EPS 2yrs fwd</v>
          </cell>
          <cell r="G28" t="str">
            <v>13.5x</v>
          </cell>
          <cell r="J28" t="str">
            <v>10.2x</v>
          </cell>
        </row>
        <row r="29">
          <cell r="B29" t="str">
            <v>EV/Ebitda</v>
          </cell>
          <cell r="G29" t="str">
            <v>13.5x</v>
          </cell>
          <cell r="J29" t="str">
            <v>10.2x</v>
          </cell>
        </row>
        <row r="30">
          <cell r="B30" t="str">
            <v>EPS 2yrs fwd</v>
          </cell>
          <cell r="G30" t="str">
            <v>13.5x</v>
          </cell>
          <cell r="J30" t="str">
            <v>10.2x</v>
          </cell>
        </row>
        <row r="31">
          <cell r="B31" t="str">
            <v>EV/Ebitda</v>
          </cell>
          <cell r="G31" t="str">
            <v>13.5x</v>
          </cell>
          <cell r="J31" t="str">
            <v>10.2x</v>
          </cell>
        </row>
        <row r="32">
          <cell r="B32" t="str">
            <v>Cash</v>
          </cell>
        </row>
        <row r="33">
          <cell r="B33" t="str">
            <v>FCF/Market Cap</v>
          </cell>
          <cell r="E33">
            <v>0.40600000000000003</v>
          </cell>
          <cell r="J33">
            <v>0.25700000000000001</v>
          </cell>
        </row>
        <row r="34">
          <cell r="B34" t="str">
            <v>FCF/Sales</v>
          </cell>
          <cell r="G34">
            <v>0.40600000000000003</v>
          </cell>
          <cell r="J34">
            <v>0.25700000000000001</v>
          </cell>
        </row>
        <row r="35">
          <cell r="B35" t="str">
            <v>Net inc. margin</v>
          </cell>
          <cell r="D35">
            <v>0.40600000000000003</v>
          </cell>
          <cell r="J35">
            <v>0.25700000000000001</v>
          </cell>
        </row>
        <row r="36">
          <cell r="B36" t="str">
            <v>FCF/Sales</v>
          </cell>
          <cell r="G36">
            <v>0.40600000000000003</v>
          </cell>
          <cell r="J36">
            <v>0.25700000000000001</v>
          </cell>
        </row>
        <row r="37">
          <cell r="B37" t="str">
            <v>Net inc. margin</v>
          </cell>
          <cell r="D37">
            <v>0.40600000000000003</v>
          </cell>
          <cell r="J37">
            <v>0.25700000000000001</v>
          </cell>
        </row>
        <row r="38">
          <cell r="B38" t="str">
            <v>Liquidity</v>
          </cell>
        </row>
        <row r="39">
          <cell r="B39" t="str">
            <v>Cash ratio</v>
          </cell>
          <cell r="G39">
            <v>0.40600000000000003</v>
          </cell>
          <cell r="J39">
            <v>0.25700000000000001</v>
          </cell>
        </row>
        <row r="40">
          <cell r="B40" t="str">
            <v>Quick Ratio</v>
          </cell>
          <cell r="E40">
            <v>0.40600000000000003</v>
          </cell>
          <cell r="J40">
            <v>0.25700000000000001</v>
          </cell>
        </row>
        <row r="41">
          <cell r="B41" t="str">
            <v>Total Debt/EBIDA</v>
          </cell>
          <cell r="G41">
            <v>0.40600000000000003</v>
          </cell>
          <cell r="J41">
            <v>0.25700000000000001</v>
          </cell>
        </row>
        <row r="42">
          <cell r="B42" t="str">
            <v>Quick Ratio</v>
          </cell>
          <cell r="E42">
            <v>0.40600000000000003</v>
          </cell>
          <cell r="J42">
            <v>0.25700000000000001</v>
          </cell>
        </row>
        <row r="43">
          <cell r="B43" t="str">
            <v>Total Debt/EBIDA</v>
          </cell>
          <cell r="G43">
            <v>0.40600000000000003</v>
          </cell>
          <cell r="J43">
            <v>0.25700000000000001</v>
          </cell>
        </row>
        <row r="46">
          <cell r="E46" t="str">
            <v></v>
          </cell>
        </row>
        <row r="47">
          <cell r="E47" t="str">
            <v></v>
          </cell>
        </row>
        <row r="48">
          <cell r="E48" t="str">
            <v></v>
          </cell>
        </row>
        <row r="49">
          <cell r="E49" t="str">
            <v></v>
          </cell>
        </row>
        <row r="56">
          <cell r="E56" t="str">
            <v></v>
          </cell>
          <cell r="F56" t="str">
            <v></v>
          </cell>
        </row>
        <row r="57">
          <cell r="E57" t="str">
            <v></v>
          </cell>
          <cell r="F57" t="str">
            <v></v>
          </cell>
        </row>
      </sheetData>
      <sheetData sheetId="8" refreshError="1">
        <row r="1">
          <cell r="B1" t="str">
            <v>Rolta India Ltd.</v>
          </cell>
        </row>
        <row r="2">
          <cell r="B2" t="str">
            <v xml:space="preserve">relative to </v>
          </cell>
        </row>
        <row r="3">
          <cell r="B3" t="str">
            <v>Information Technology</v>
          </cell>
        </row>
        <row r="5">
          <cell r="D5" t="str">
            <v>Rolta India Ltd.</v>
          </cell>
        </row>
        <row r="6">
          <cell r="D6" t="str">
            <v>Percentile range (vs. peers)</v>
          </cell>
          <cell r="J6" t="str">
            <v>Peer
median</v>
          </cell>
        </row>
        <row r="7">
          <cell r="B7" t="str">
            <v>Valuation</v>
          </cell>
          <cell r="C7" t="str">
            <v xml:space="preserve">  0          20         40         60         80     100%</v>
          </cell>
        </row>
        <row r="8">
          <cell r="B8" t="str">
            <v>P/E LTM</v>
          </cell>
          <cell r="G8">
            <v>21.621870000000001</v>
          </cell>
          <cell r="J8">
            <v>13.394874999999999</v>
          </cell>
        </row>
        <row r="9">
          <cell r="B9" t="str">
            <v>P/E (FY1)</v>
          </cell>
          <cell r="H9">
            <v>20.694458166823328</v>
          </cell>
          <cell r="J9">
            <v>14.085775039027197</v>
          </cell>
        </row>
        <row r="10">
          <cell r="B10" t="str">
            <v>P/E (FY2)</v>
          </cell>
          <cell r="H10">
            <v>15.599014634957593</v>
          </cell>
          <cell r="J10">
            <v>11.178371391641534</v>
          </cell>
        </row>
        <row r="11">
          <cell r="B11" t="str">
            <v>P/Book</v>
          </cell>
          <cell r="G11">
            <v>3.5718800000000002</v>
          </cell>
          <cell r="J11">
            <v>2.86226</v>
          </cell>
        </row>
        <row r="12">
          <cell r="B12" t="str">
            <v>P/CF</v>
          </cell>
          <cell r="G12">
            <v>13.40723</v>
          </cell>
          <cell r="J12">
            <v>11.400309999999999</v>
          </cell>
        </row>
        <row r="13">
          <cell r="B13" t="str">
            <v>P/Sales</v>
          </cell>
          <cell r="H13">
            <v>5.2475399999999999</v>
          </cell>
          <cell r="J13">
            <v>1.9415499999999999</v>
          </cell>
        </row>
        <row r="14">
          <cell r="B14" t="str">
            <v>EV/Ebitda</v>
          </cell>
          <cell r="G14">
            <v>16.154547701816412</v>
          </cell>
          <cell r="J14">
            <v>10.658766575267769</v>
          </cell>
        </row>
        <row r="15">
          <cell r="B15" t="str">
            <v>EV/Sales</v>
          </cell>
          <cell r="H15">
            <v>5.0269488234878006</v>
          </cell>
          <cell r="J15">
            <v>1.5981384026862981</v>
          </cell>
        </row>
        <row r="16">
          <cell r="B16" t="str">
            <v>Performance</v>
          </cell>
          <cell r="C16" t="str">
            <v xml:space="preserve">  0          20         40         60         80     100%</v>
          </cell>
        </row>
        <row r="17">
          <cell r="B17" t="str">
            <v>Pchange 1mo</v>
          </cell>
          <cell r="E17">
            <v>-8.7999999999999995E-2</v>
          </cell>
          <cell r="J17">
            <v>-2.0876820000000001E-2</v>
          </cell>
        </row>
        <row r="18">
          <cell r="B18" t="str">
            <v>Pchange 3 mo</v>
          </cell>
          <cell r="G18">
            <v>-8.0000000000000002E-3</v>
          </cell>
          <cell r="J18">
            <v>-9.2043639999999996E-2</v>
          </cell>
        </row>
        <row r="19">
          <cell r="B19" t="str">
            <v>Pchange 6 mo</v>
          </cell>
          <cell r="G19">
            <v>-0.122</v>
          </cell>
          <cell r="J19">
            <v>-0.18910795</v>
          </cell>
        </row>
        <row r="20">
          <cell r="B20" t="str">
            <v>Pchange 12mo</v>
          </cell>
          <cell r="H20">
            <v>0.34799999999999998</v>
          </cell>
          <cell r="J20">
            <v>-0.1974312</v>
          </cell>
        </row>
        <row r="21">
          <cell r="B21" t="str">
            <v>Efficiency</v>
          </cell>
          <cell r="C21" t="str">
            <v xml:space="preserve">  0          20         40         60         80     100%</v>
          </cell>
        </row>
        <row r="22">
          <cell r="B22" t="str">
            <v>Cash Turn</v>
          </cell>
          <cell r="D22">
            <v>0.7</v>
          </cell>
          <cell r="J22">
            <v>6.6652543078164674</v>
          </cell>
        </row>
        <row r="23">
          <cell r="B23" t="str">
            <v>Fix Asset Turn</v>
          </cell>
          <cell r="D23">
            <v>0.7</v>
          </cell>
          <cell r="J23">
            <v>3.7082649999999999</v>
          </cell>
        </row>
        <row r="24">
          <cell r="B24" t="str">
            <v>Inventory Turn</v>
          </cell>
          <cell r="H24">
            <v>34.5</v>
          </cell>
          <cell r="J24">
            <v>8.0652722137025954</v>
          </cell>
        </row>
        <row r="25">
          <cell r="B25" t="str">
            <v>Total Asset Turn</v>
          </cell>
          <cell r="D25">
            <v>0.4</v>
          </cell>
          <cell r="J25">
            <v>0.86623757679812219</v>
          </cell>
        </row>
        <row r="26">
          <cell r="B26" t="str">
            <v>Work Cap Turn</v>
          </cell>
          <cell r="D26">
            <v>0.7</v>
          </cell>
          <cell r="J26">
            <v>3.0825914282517566</v>
          </cell>
        </row>
        <row r="27">
          <cell r="B27" t="str">
            <v>LTD/Work Cap</v>
          </cell>
          <cell r="H27">
            <v>0.6</v>
          </cell>
          <cell r="J27">
            <v>4.0988471674371432E-3</v>
          </cell>
        </row>
        <row r="28">
          <cell r="B28" t="str">
            <v>Cash Flow</v>
          </cell>
          <cell r="C28" t="str">
            <v xml:space="preserve">  0          20         40         60         80     100%</v>
          </cell>
        </row>
        <row r="29">
          <cell r="B29" t="str">
            <v>FCF/Market Cap</v>
          </cell>
          <cell r="E29">
            <v>5.5E-2</v>
          </cell>
          <cell r="J29">
            <v>7.0318451574141738E-2</v>
          </cell>
        </row>
        <row r="30">
          <cell r="B30" t="str">
            <v>FCF/Sales</v>
          </cell>
          <cell r="H30">
            <v>0.39</v>
          </cell>
          <cell r="J30">
            <v>0.16181539999999997</v>
          </cell>
        </row>
        <row r="31">
          <cell r="B31" t="str">
            <v>Liquidity</v>
          </cell>
          <cell r="C31" t="str">
            <v xml:space="preserve">  0          20         40         60         80     100%</v>
          </cell>
        </row>
        <row r="32">
          <cell r="B32" t="str">
            <v>Cash ratio</v>
          </cell>
          <cell r="H32">
            <v>4.5560377741247695</v>
          </cell>
          <cell r="J32">
            <v>0.43202785721958231</v>
          </cell>
        </row>
        <row r="33">
          <cell r="B33" t="str">
            <v>Quick ratio</v>
          </cell>
          <cell r="H33">
            <v>7.8753619683448957</v>
          </cell>
          <cell r="J33">
            <v>1.9167270835799803</v>
          </cell>
        </row>
        <row r="34">
          <cell r="B34" t="str">
            <v>Current ratio</v>
          </cell>
          <cell r="H34">
            <v>8.0225490376185196</v>
          </cell>
          <cell r="J34">
            <v>2.2298031944381362</v>
          </cell>
        </row>
        <row r="37">
          <cell r="E37" t="str">
            <v></v>
          </cell>
        </row>
        <row r="38">
          <cell r="E38" t="str">
            <v></v>
          </cell>
        </row>
        <row r="39">
          <cell r="E39" t="str">
            <v></v>
          </cell>
        </row>
        <row r="40">
          <cell r="E40" t="str">
            <v></v>
          </cell>
        </row>
        <row r="47">
          <cell r="E47" t="str">
            <v></v>
          </cell>
          <cell r="F47" t="str">
            <v></v>
          </cell>
        </row>
        <row r="48">
          <cell r="E48" t="str">
            <v></v>
          </cell>
          <cell r="F48" t="str">
            <v></v>
          </cell>
        </row>
      </sheetData>
      <sheetData sheetId="9" refreshError="1">
        <row r="5">
          <cell r="D5" t="str">
            <v>Rolta India Ltd.</v>
          </cell>
        </row>
        <row r="6">
          <cell r="D6" t="str">
            <v>Percentile range (vs. peers)</v>
          </cell>
          <cell r="J6" t="str">
            <v>Peer
median</v>
          </cell>
        </row>
        <row r="7">
          <cell r="B7" t="str">
            <v>Growth</v>
          </cell>
          <cell r="C7" t="str">
            <v xml:space="preserve">  0          20         40         60         80     100%</v>
          </cell>
        </row>
        <row r="8">
          <cell r="B8" t="str">
            <v>EPS  1yr fwd</v>
          </cell>
          <cell r="C8" t="str">
            <v xml:space="preserve"> </v>
          </cell>
          <cell r="G8">
            <v>0.34994434133837671</v>
          </cell>
          <cell r="J8">
            <v>0.24507583426829038</v>
          </cell>
        </row>
        <row r="9">
          <cell r="B9" t="str">
            <v>EPS  2yr fwd</v>
          </cell>
          <cell r="G9">
            <v>0.79090585867912133</v>
          </cell>
          <cell r="J9">
            <v>0.54165173182937332</v>
          </cell>
        </row>
        <row r="10">
          <cell r="B10" t="str">
            <v>EPS  1yr hist</v>
          </cell>
          <cell r="E10">
            <v>0.1436142</v>
          </cell>
          <cell r="J10">
            <v>0.39057600000000003</v>
          </cell>
        </row>
        <row r="11">
          <cell r="B11" t="str">
            <v>EPS  3yr hist</v>
          </cell>
          <cell r="F11">
            <v>0.29139809999999999</v>
          </cell>
          <cell r="J11">
            <v>0.30270160000000002</v>
          </cell>
        </row>
        <row r="12">
          <cell r="B12" t="str">
            <v>EPS  5yr hist</v>
          </cell>
          <cell r="E12">
            <v>4.9647199999999996E-2</v>
          </cell>
          <cell r="J12">
            <v>0.18435220000000002</v>
          </cell>
        </row>
        <row r="13">
          <cell r="B13" t="str">
            <v>BVPS  1yr hist</v>
          </cell>
          <cell r="E13">
            <v>0.10893827289611213</v>
          </cell>
          <cell r="J13">
            <v>0.22911630269172178</v>
          </cell>
        </row>
        <row r="14">
          <cell r="B14" t="str">
            <v>DPS  1yr hist</v>
          </cell>
          <cell r="G14">
            <v>0.25</v>
          </cell>
          <cell r="J14">
            <v>0</v>
          </cell>
        </row>
        <row r="15">
          <cell r="B15" t="str">
            <v>EBIT  1yr hist</v>
          </cell>
          <cell r="E15">
            <v>0.24485651208492287</v>
          </cell>
          <cell r="J15">
            <v>0.56850427638032031</v>
          </cell>
        </row>
        <row r="16">
          <cell r="B16" t="str">
            <v>Sales  1yr hist</v>
          </cell>
          <cell r="F16">
            <v>0.32998586132285745</v>
          </cell>
          <cell r="J16">
            <v>0.37984755351738131</v>
          </cell>
        </row>
        <row r="17">
          <cell r="B17" t="str">
            <v>Quality</v>
          </cell>
          <cell r="C17" t="str">
            <v xml:space="preserve">  0          20         40         60         80     100%</v>
          </cell>
        </row>
        <row r="18">
          <cell r="B18" t="str">
            <v>ROA</v>
          </cell>
          <cell r="F18">
            <v>0.1184658</v>
          </cell>
          <cell r="J18">
            <v>0.1272691</v>
          </cell>
        </row>
        <row r="19">
          <cell r="B19" t="str">
            <v>ROE</v>
          </cell>
          <cell r="F19">
            <v>0.17368439999999999</v>
          </cell>
          <cell r="J19">
            <v>0.21419870000000002</v>
          </cell>
        </row>
        <row r="20">
          <cell r="B20" t="str">
            <v>EBIT margin</v>
          </cell>
          <cell r="H20">
            <v>0.27416333162437756</v>
          </cell>
          <cell r="J20">
            <v>0.15357519284540136</v>
          </cell>
        </row>
        <row r="21">
          <cell r="B21" t="str">
            <v>Net inc. margin</v>
          </cell>
          <cell r="H21">
            <v>0.2426798</v>
          </cell>
          <cell r="J21">
            <v>0.11734069999999999</v>
          </cell>
        </row>
        <row r="22">
          <cell r="B22" t="str">
            <v>Payout ratio</v>
          </cell>
          <cell r="H22">
            <v>0.21082499999999998</v>
          </cell>
          <cell r="J22">
            <v>6.6231399999999996E-2</v>
          </cell>
        </row>
        <row r="23">
          <cell r="B23" t="str">
            <v>Gross mrgn</v>
          </cell>
          <cell r="G23">
            <v>0.23997453357402426</v>
          </cell>
          <cell r="J23">
            <v>0.14569958835584462</v>
          </cell>
        </row>
        <row r="24">
          <cell r="B24" t="str">
            <v>ROI</v>
          </cell>
          <cell r="E24">
            <v>0.1325161</v>
          </cell>
          <cell r="J24">
            <v>0.16856649999999998</v>
          </cell>
        </row>
        <row r="25">
          <cell r="B25" t="str">
            <v>Financial Leverage</v>
          </cell>
          <cell r="C25" t="str">
            <v xml:space="preserve">  0          20         40         60         80     100%</v>
          </cell>
        </row>
        <row r="26">
          <cell r="B26" t="str">
            <v>Debt/Assets</v>
          </cell>
          <cell r="G26">
            <v>0.33543653674062973</v>
          </cell>
          <cell r="J26">
            <v>0.1160265764825805</v>
          </cell>
        </row>
        <row r="27">
          <cell r="B27" t="str">
            <v>Debt/Equity</v>
          </cell>
          <cell r="G27">
            <v>0.5901767</v>
          </cell>
          <cell r="J27">
            <v>0.18525710000000001</v>
          </cell>
        </row>
        <row r="28">
          <cell r="B28" t="str">
            <v>Net Debt/Equity</v>
          </cell>
          <cell r="G28">
            <v>-2.0327706515882699E-2</v>
          </cell>
          <cell r="J28">
            <v>-0.16130908468463256</v>
          </cell>
        </row>
        <row r="29">
          <cell r="B29" t="str">
            <v>Capex Discipline</v>
          </cell>
          <cell r="C29" t="str">
            <v xml:space="preserve">  0          20         40         60         80     100%</v>
          </cell>
        </row>
        <row r="30">
          <cell r="B30" t="str">
            <v>Capex/Deprec</v>
          </cell>
          <cell r="E30">
            <v>2.4672570593759451</v>
          </cell>
          <cell r="J30">
            <v>3.6387113093166663</v>
          </cell>
        </row>
        <row r="31">
          <cell r="B31" t="str">
            <v>Capex/Sales</v>
          </cell>
          <cell r="H31">
            <v>0.35316068940857437</v>
          </cell>
          <cell r="J31">
            <v>9.413321561872777E-2</v>
          </cell>
        </row>
        <row r="32">
          <cell r="B32" t="str">
            <v>FCF/EPS</v>
          </cell>
          <cell r="G32">
            <v>1.6195981779699669</v>
          </cell>
          <cell r="J32">
            <v>1.3280138922417146</v>
          </cell>
        </row>
        <row r="33">
          <cell r="B33" t="str">
            <v>Depr 1yr chg</v>
          </cell>
          <cell r="H33">
            <v>0.36377146770894186</v>
          </cell>
          <cell r="J33">
            <v>0.16342412451361876</v>
          </cell>
        </row>
        <row r="34">
          <cell r="B34" t="str">
            <v>Shrs out 1yr chg</v>
          </cell>
          <cell r="G34">
            <v>2.5058357762257621E-3</v>
          </cell>
          <cell r="J34">
            <v>1.5121596156952855E-3</v>
          </cell>
        </row>
        <row r="35">
          <cell r="B35" t="str">
            <v>Capex 1yr chg</v>
          </cell>
          <cell r="G35">
            <v>0.53235599999999983</v>
          </cell>
          <cell r="J35">
            <v>-8.311700000000033E-3</v>
          </cell>
        </row>
        <row r="38">
          <cell r="E38" t="str">
            <v></v>
          </cell>
        </row>
        <row r="39">
          <cell r="E39" t="str">
            <v></v>
          </cell>
        </row>
        <row r="40">
          <cell r="E40" t="str">
            <v></v>
          </cell>
        </row>
        <row r="41">
          <cell r="E41" t="str">
            <v></v>
          </cell>
        </row>
        <row r="48">
          <cell r="E48" t="str">
            <v></v>
          </cell>
          <cell r="F48" t="str">
            <v></v>
          </cell>
        </row>
        <row r="49">
          <cell r="E49" t="str">
            <v></v>
          </cell>
          <cell r="F49" t="str">
            <v></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h 1 and 5"/>
      <sheetName val="exh 3"/>
      <sheetName val="exh 4"/>
      <sheetName val="exh 11"/>
      <sheetName val="exh 10"/>
      <sheetName val="exh 12"/>
      <sheetName val="exh 14"/>
      <sheetName val="supply chain services"/>
      <sheetName val="exh 15"/>
      <sheetName val="exh 9"/>
      <sheetName val="ImpliedValueGap"/>
      <sheetName val="Recommendations"/>
      <sheetName val="PeerGroupBenchmark_ALT"/>
    </sheetNames>
    <sheetDataSet>
      <sheetData sheetId="0" refreshError="1">
        <row r="3">
          <cell r="C3" t="str">
            <v>SVU pro forma</v>
          </cell>
          <cell r="D3" t="str">
            <v>KR</v>
          </cell>
          <cell r="E3" t="str">
            <v>SWY</v>
          </cell>
          <cell r="H3" t="str">
            <v>F1Q07</v>
          </cell>
          <cell r="I3" t="str">
            <v>F2Q07</v>
          </cell>
          <cell r="J3" t="str">
            <v>F3Q07</v>
          </cell>
        </row>
        <row r="4">
          <cell r="B4" t="str">
            <v>F1Q07</v>
          </cell>
          <cell r="C4">
            <v>0</v>
          </cell>
          <cell r="D4">
            <v>5.6000000000000001E-2</v>
          </cell>
          <cell r="E4">
            <v>4.2000000000000003E-2</v>
          </cell>
          <cell r="G4" t="str">
            <v>SVU pro forma</v>
          </cell>
          <cell r="H4">
            <v>0</v>
          </cell>
          <cell r="I4">
            <v>0</v>
          </cell>
          <cell r="J4">
            <v>6.0000000000000001E-3</v>
          </cell>
        </row>
        <row r="5">
          <cell r="B5" t="str">
            <v>F2Q07</v>
          </cell>
          <cell r="C5">
            <v>0</v>
          </cell>
          <cell r="D5">
            <v>0.06</v>
          </cell>
          <cell r="E5">
            <v>3.6999999999999998E-2</v>
          </cell>
          <cell r="G5" t="str">
            <v>KR</v>
          </cell>
          <cell r="H5">
            <v>5.6000000000000001E-2</v>
          </cell>
          <cell r="I5">
            <v>0.06</v>
          </cell>
          <cell r="J5">
            <v>5.2999999999999999E-2</v>
          </cell>
        </row>
        <row r="6">
          <cell r="B6" t="str">
            <v>F3Q07</v>
          </cell>
          <cell r="C6">
            <v>6.0000000000000001E-3</v>
          </cell>
          <cell r="D6">
            <v>5.2999999999999999E-2</v>
          </cell>
          <cell r="E6">
            <v>0.03</v>
          </cell>
          <cell r="G6" t="str">
            <v>SWY</v>
          </cell>
          <cell r="H6">
            <v>4.2000000000000003E-2</v>
          </cell>
          <cell r="I6">
            <v>3.6999999999999998E-2</v>
          </cell>
          <cell r="J6">
            <v>0.03</v>
          </cell>
        </row>
      </sheetData>
      <sheetData sheetId="1" refreshError="1">
        <row r="3">
          <cell r="C3" t="str">
            <v>F2008 EPS Guidance</v>
          </cell>
          <cell r="E3" t="str">
            <v>Consensus: $2.76</v>
          </cell>
        </row>
        <row r="4">
          <cell r="E4" t="str">
            <v>Our estimate: $2.65</v>
          </cell>
        </row>
        <row r="6">
          <cell r="C6" t="str">
            <v>Synergy progress</v>
          </cell>
          <cell r="E6" t="str">
            <v>Minimal so far</v>
          </cell>
        </row>
        <row r="7">
          <cell r="E7" t="str">
            <v>Near-term synergy progress</v>
          </cell>
        </row>
        <row r="8">
          <cell r="F8" t="str">
            <v>may be slower than expected</v>
          </cell>
        </row>
        <row r="10">
          <cell r="C10" t="str">
            <v>Same-store Sales Trends</v>
          </cell>
          <cell r="E10" t="str">
            <v>Showing sequential improvements</v>
          </cell>
        </row>
        <row r="11">
          <cell r="E11" t="str">
            <v>Turning positive, but still well below</v>
          </cell>
        </row>
        <row r="12">
          <cell r="F12" t="str">
            <v>Kroger and Safeway at 3-5%</v>
          </cell>
        </row>
      </sheetData>
      <sheetData sheetId="2" refreshError="1"/>
      <sheetData sheetId="3" refreshError="1">
        <row r="3">
          <cell r="D3" t="str">
            <v>Within 5 miles</v>
          </cell>
          <cell r="E3" t="str">
            <v>Within 10 miles</v>
          </cell>
          <cell r="F3" t="str">
            <v>total within 10 miles</v>
          </cell>
        </row>
        <row r="4">
          <cell r="C4" t="str">
            <v>Ahold</v>
          </cell>
          <cell r="D4">
            <v>0.121</v>
          </cell>
          <cell r="E4">
            <v>6.9000000000000006E-2</v>
          </cell>
          <cell r="F4">
            <v>0.19</v>
          </cell>
          <cell r="I4">
            <v>1.2099999999999999E-3</v>
          </cell>
          <cell r="J4">
            <v>6.9000000000000008E-4</v>
          </cell>
          <cell r="K4">
            <v>1.9E-3</v>
          </cell>
        </row>
        <row r="5">
          <cell r="C5" t="str">
            <v>Safeway</v>
          </cell>
          <cell r="D5">
            <v>0.191</v>
          </cell>
          <cell r="E5">
            <v>0.06</v>
          </cell>
          <cell r="F5">
            <v>0.251</v>
          </cell>
          <cell r="I5">
            <v>1.91E-3</v>
          </cell>
          <cell r="J5">
            <v>5.9999999999999995E-4</v>
          </cell>
          <cell r="K5">
            <v>2.5100000000000001E-3</v>
          </cell>
        </row>
        <row r="6">
          <cell r="C6" t="str">
            <v>Supervalu</v>
          </cell>
          <cell r="D6">
            <v>0.27</v>
          </cell>
          <cell r="E6">
            <v>0.09</v>
          </cell>
          <cell r="F6">
            <v>0.36</v>
          </cell>
          <cell r="I6">
            <v>2.7000000000000001E-3</v>
          </cell>
          <cell r="J6">
            <v>8.9999999999999998E-4</v>
          </cell>
          <cell r="K6">
            <v>3.5999999999999999E-3</v>
          </cell>
        </row>
        <row r="7">
          <cell r="C7" t="str">
            <v>Kroger</v>
          </cell>
          <cell r="D7">
            <v>0.40899999999999997</v>
          </cell>
          <cell r="E7">
            <v>8.3999999999999991E-2</v>
          </cell>
          <cell r="F7">
            <v>0.49299999999999999</v>
          </cell>
          <cell r="I7">
            <v>4.0899999999999999E-3</v>
          </cell>
          <cell r="J7">
            <v>8.3999999999999993E-4</v>
          </cell>
          <cell r="K7">
            <v>4.9300000000000004E-3</v>
          </cell>
        </row>
        <row r="8">
          <cell r="C8" t="str">
            <v>Delhaize</v>
          </cell>
          <cell r="D8">
            <v>0.49200000000000005</v>
          </cell>
          <cell r="E8">
            <v>0.19799999999999998</v>
          </cell>
          <cell r="F8">
            <v>0.69</v>
          </cell>
          <cell r="I8">
            <v>4.9200000000000008E-3</v>
          </cell>
          <cell r="J8">
            <v>1.98E-3</v>
          </cell>
          <cell r="K8">
            <v>6.8999999999999999E-3</v>
          </cell>
        </row>
      </sheetData>
      <sheetData sheetId="4" refreshError="1">
        <row r="4">
          <cell r="B4" t="str">
            <v>Market</v>
          </cell>
          <cell r="C4" t="str">
            <v>Mkt Rank</v>
          </cell>
          <cell r="D4" t="str">
            <v>Mkt Share</v>
          </cell>
          <cell r="E4" t="str">
            <v>SVU Rank in Mkt</v>
          </cell>
          <cell r="F4" t="str">
            <v>Banner</v>
          </cell>
        </row>
        <row r="5">
          <cell r="B5" t="str">
            <v>Los Angeles</v>
          </cell>
          <cell r="C5">
            <v>1</v>
          </cell>
          <cell r="D5">
            <v>0.13100000000000001</v>
          </cell>
          <cell r="E5">
            <v>3</v>
          </cell>
          <cell r="F5" t="str">
            <v>Albertson's, Bristol Farms</v>
          </cell>
        </row>
        <row r="7">
          <cell r="B7" t="str">
            <v>Chicago</v>
          </cell>
          <cell r="C7">
            <v>3</v>
          </cell>
          <cell r="D7">
            <v>0.4</v>
          </cell>
          <cell r="E7">
            <v>1</v>
          </cell>
          <cell r="F7" t="str">
            <v>Jewel</v>
          </cell>
        </row>
        <row r="9">
          <cell r="B9" t="str">
            <v>Philadelphia</v>
          </cell>
          <cell r="C9">
            <v>5</v>
          </cell>
          <cell r="D9">
            <v>0.20499999999999999</v>
          </cell>
          <cell r="E9">
            <v>1</v>
          </cell>
          <cell r="F9" t="str">
            <v>Acme</v>
          </cell>
        </row>
        <row r="11">
          <cell r="B11" t="str">
            <v>Boston</v>
          </cell>
          <cell r="C11">
            <v>9</v>
          </cell>
          <cell r="D11">
            <v>0.21</v>
          </cell>
          <cell r="E11">
            <v>2</v>
          </cell>
          <cell r="F11" t="str">
            <v>Shaw's, Star Market</v>
          </cell>
        </row>
        <row r="13">
          <cell r="B13" t="str">
            <v>Seattle</v>
          </cell>
          <cell r="C13">
            <v>20</v>
          </cell>
          <cell r="D13">
            <v>0.106</v>
          </cell>
          <cell r="E13">
            <v>3</v>
          </cell>
          <cell r="F13" t="str">
            <v>Albertson's</v>
          </cell>
        </row>
        <row r="15">
          <cell r="B15" t="str">
            <v>Las Vegas</v>
          </cell>
          <cell r="C15">
            <v>32</v>
          </cell>
          <cell r="D15">
            <v>0.24199999999999999</v>
          </cell>
          <cell r="E15">
            <v>1</v>
          </cell>
          <cell r="F15" t="str">
            <v>Albertson's</v>
          </cell>
        </row>
        <row r="17">
          <cell r="B17" t="str">
            <v>Other Southern California</v>
          </cell>
        </row>
        <row r="18">
          <cell r="B18" t="str">
            <v xml:space="preserve">    Riverside-San Bern.</v>
          </cell>
          <cell r="C18">
            <v>12</v>
          </cell>
          <cell r="D18">
            <v>0.151</v>
          </cell>
          <cell r="E18">
            <v>2</v>
          </cell>
          <cell r="F18" t="str">
            <v>Albertson's</v>
          </cell>
        </row>
        <row r="19">
          <cell r="B19" t="str">
            <v xml:space="preserve">    Orange</v>
          </cell>
          <cell r="C19">
            <v>14</v>
          </cell>
          <cell r="D19">
            <v>0.20899999999999999</v>
          </cell>
          <cell r="E19">
            <v>1</v>
          </cell>
          <cell r="F19" t="str">
            <v>Albertson's</v>
          </cell>
        </row>
        <row r="20">
          <cell r="B20" t="str">
            <v xml:space="preserve">    San Diego</v>
          </cell>
          <cell r="C20">
            <v>15</v>
          </cell>
          <cell r="D20">
            <v>0.217</v>
          </cell>
          <cell r="E20">
            <v>2</v>
          </cell>
          <cell r="F20" t="str">
            <v>Albertson's</v>
          </cell>
        </row>
        <row r="21">
          <cell r="B21" t="str">
            <v xml:space="preserve">    Oxnard-Ventura</v>
          </cell>
          <cell r="C21">
            <v>73</v>
          </cell>
          <cell r="D21">
            <v>0.182</v>
          </cell>
          <cell r="E21">
            <v>3</v>
          </cell>
          <cell r="F21" t="str">
            <v>Albertson's</v>
          </cell>
        </row>
        <row r="22">
          <cell r="B22" t="str">
            <v xml:space="preserve">    Bakersfield</v>
          </cell>
          <cell r="C22">
            <v>82</v>
          </cell>
          <cell r="D22">
            <v>0.28299999999999997</v>
          </cell>
          <cell r="E22">
            <v>1</v>
          </cell>
          <cell r="F22" t="str">
            <v>Albertson's</v>
          </cell>
        </row>
        <row r="23">
          <cell r="B23" t="str">
            <v xml:space="preserve">    Santa Barbera</v>
          </cell>
          <cell r="C23">
            <v>127</v>
          </cell>
          <cell r="D23">
            <v>0.23100000000000001</v>
          </cell>
          <cell r="E23">
            <v>2</v>
          </cell>
          <cell r="F23" t="str">
            <v>Albertson's</v>
          </cell>
        </row>
      </sheetData>
      <sheetData sheetId="5" refreshError="1">
        <row r="3">
          <cell r="C3" t="str">
            <v>Supervalu</v>
          </cell>
          <cell r="D3" t="str">
            <v>Kroger</v>
          </cell>
          <cell r="E3" t="str">
            <v>Safeway</v>
          </cell>
          <cell r="F3" t="str">
            <v>Wal-Mart</v>
          </cell>
          <cell r="G3" t="str">
            <v>Concentration in Top 5 Banners' Hands (regardless of ownership)</v>
          </cell>
        </row>
        <row r="4">
          <cell r="B4" t="str">
            <v>Los Angeles</v>
          </cell>
          <cell r="C4">
            <v>0.13100000000000001</v>
          </cell>
          <cell r="D4">
            <v>0.248</v>
          </cell>
          <cell r="E4">
            <v>0.14000000000000001</v>
          </cell>
          <cell r="F4">
            <v>4.0000000000000001E-3</v>
          </cell>
          <cell r="G4">
            <v>0.58699999999999997</v>
          </cell>
        </row>
        <row r="6">
          <cell r="B6" t="str">
            <v>Other Southern Cal</v>
          </cell>
        </row>
        <row r="7">
          <cell r="B7" t="str">
            <v xml:space="preserve">    Riverside-San Bern</v>
          </cell>
          <cell r="C7">
            <v>0.151</v>
          </cell>
          <cell r="D7">
            <v>0.17199999999999999</v>
          </cell>
          <cell r="E7">
            <v>0.09</v>
          </cell>
          <cell r="F7">
            <v>1.4E-2</v>
          </cell>
          <cell r="G7">
            <v>0.73499999999999999</v>
          </cell>
        </row>
        <row r="8">
          <cell r="B8" t="str">
            <v xml:space="preserve">    Orange</v>
          </cell>
          <cell r="C8">
            <v>0.20899999999999999</v>
          </cell>
          <cell r="D8">
            <v>0.17199999999999999</v>
          </cell>
          <cell r="E8">
            <v>0.127</v>
          </cell>
          <cell r="F8">
            <v>0</v>
          </cell>
          <cell r="G8">
            <v>0.74299999999999999</v>
          </cell>
        </row>
        <row r="9">
          <cell r="B9" t="str">
            <v xml:space="preserve">    San Diego</v>
          </cell>
          <cell r="C9">
            <v>0.217</v>
          </cell>
          <cell r="D9">
            <v>0.155</v>
          </cell>
          <cell r="E9">
            <v>0.23</v>
          </cell>
          <cell r="F9">
            <v>0</v>
          </cell>
          <cell r="G9">
            <v>0.753</v>
          </cell>
        </row>
        <row r="10">
          <cell r="B10" t="str">
            <v xml:space="preserve">    Oxnard-Ventura</v>
          </cell>
          <cell r="C10">
            <v>0.182</v>
          </cell>
          <cell r="D10">
            <v>0.159</v>
          </cell>
          <cell r="E10">
            <v>0.34200000000000003</v>
          </cell>
          <cell r="F10">
            <v>0</v>
          </cell>
          <cell r="G10">
            <v>0.80800000000000005</v>
          </cell>
        </row>
        <row r="11">
          <cell r="B11" t="str">
            <v xml:space="preserve">    Bakersfield</v>
          </cell>
          <cell r="C11">
            <v>0.28299999999999997</v>
          </cell>
          <cell r="D11">
            <v>5.2999999999999999E-2</v>
          </cell>
          <cell r="E11">
            <v>0.14599999999999999</v>
          </cell>
          <cell r="F11">
            <v>2.9000000000000001E-2</v>
          </cell>
          <cell r="G11">
            <v>0.67500000000000004</v>
          </cell>
        </row>
        <row r="12">
          <cell r="B12" t="str">
            <v xml:space="preserve">    Santa Barbera</v>
          </cell>
          <cell r="C12">
            <v>0.23100000000000001</v>
          </cell>
          <cell r="D12">
            <v>0.155</v>
          </cell>
          <cell r="E12">
            <v>0.26500000000000001</v>
          </cell>
          <cell r="F12">
            <v>0</v>
          </cell>
          <cell r="G12">
            <v>0.80100000000000005</v>
          </cell>
        </row>
        <row r="14">
          <cell r="B14" t="str">
            <v>Phoenix</v>
          </cell>
          <cell r="C14">
            <v>0.109</v>
          </cell>
          <cell r="D14">
            <v>0.27500000000000002</v>
          </cell>
          <cell r="E14">
            <v>0.14000000000000001</v>
          </cell>
          <cell r="F14">
            <v>0.105</v>
          </cell>
          <cell r="G14">
            <v>0.77300000000000002</v>
          </cell>
        </row>
        <row r="16">
          <cell r="B16" t="str">
            <v>Las Vegas</v>
          </cell>
          <cell r="C16">
            <v>0.24199999999999999</v>
          </cell>
          <cell r="D16">
            <v>7.1999999999999995E-2</v>
          </cell>
          <cell r="E16">
            <v>0.11600000000000001</v>
          </cell>
          <cell r="F16">
            <v>0.10199999999999999</v>
          </cell>
          <cell r="G16">
            <v>0.72899999999999998</v>
          </cell>
        </row>
      </sheetData>
      <sheetData sheetId="6" refreshError="1">
        <row r="7">
          <cell r="E7" t="str">
            <v>Net Debt/EBITDA</v>
          </cell>
          <cell r="F7" t="str">
            <v>Debt with oper leases / EBITDAR</v>
          </cell>
        </row>
        <row r="8">
          <cell r="D8" t="str">
            <v>KR</v>
          </cell>
          <cell r="E8">
            <v>1.74</v>
          </cell>
          <cell r="F8">
            <v>2.59</v>
          </cell>
        </row>
        <row r="9">
          <cell r="D9" t="str">
            <v>SWY</v>
          </cell>
          <cell r="E9">
            <v>1.84</v>
          </cell>
          <cell r="F9">
            <v>2.56</v>
          </cell>
        </row>
        <row r="10">
          <cell r="D10" t="str">
            <v>SVU</v>
          </cell>
          <cell r="E10">
            <v>3.42</v>
          </cell>
          <cell r="F10">
            <v>3.69</v>
          </cell>
        </row>
      </sheetData>
      <sheetData sheetId="7" refreshError="1"/>
      <sheetData sheetId="8" refreshError="1">
        <row r="8">
          <cell r="B8" t="str">
            <v>FCF after dividends</v>
          </cell>
          <cell r="C8" t="str">
            <v>Dividends</v>
          </cell>
          <cell r="D8" t="str">
            <v>Net Total Debt/EBITDA</v>
          </cell>
        </row>
        <row r="9">
          <cell r="A9" t="str">
            <v>F2006</v>
          </cell>
          <cell r="B9">
            <v>141.25399999999937</v>
          </cell>
          <cell r="C9">
            <v>85.8</v>
          </cell>
          <cell r="D9">
            <v>2</v>
          </cell>
        </row>
        <row r="10">
          <cell r="A10" t="str">
            <v>F2007E</v>
          </cell>
          <cell r="B10">
            <v>-152.13260132839105</v>
          </cell>
          <cell r="C10">
            <v>-79</v>
          </cell>
          <cell r="D10">
            <v>4.4000000000000004</v>
          </cell>
        </row>
        <row r="11">
          <cell r="A11" t="str">
            <v>F2008E</v>
          </cell>
          <cell r="B11">
            <v>32.743579440695072</v>
          </cell>
          <cell r="C11">
            <v>139.6</v>
          </cell>
          <cell r="D11">
            <v>3.5</v>
          </cell>
        </row>
        <row r="12">
          <cell r="A12" t="str">
            <v>F2009E</v>
          </cell>
          <cell r="B12">
            <v>340.91371843440862</v>
          </cell>
          <cell r="C12">
            <v>139.9</v>
          </cell>
          <cell r="D12">
            <v>3.1</v>
          </cell>
        </row>
        <row r="13">
          <cell r="A13" t="str">
            <v>F2010E</v>
          </cell>
          <cell r="B13">
            <v>413.34620691072956</v>
          </cell>
          <cell r="C13">
            <v>139.9</v>
          </cell>
          <cell r="D13">
            <v>2.8</v>
          </cell>
        </row>
        <row r="14">
          <cell r="A14" t="str">
            <v>F2011E</v>
          </cell>
          <cell r="B14">
            <v>457.25611118328885</v>
          </cell>
          <cell r="C14">
            <v>139.9</v>
          </cell>
          <cell r="D14">
            <v>2.5</v>
          </cell>
        </row>
        <row r="30">
          <cell r="K30">
            <v>2005</v>
          </cell>
          <cell r="L30" t="str">
            <v>2006E</v>
          </cell>
          <cell r="M30" t="str">
            <v>2007E</v>
          </cell>
          <cell r="N30" t="str">
            <v>2008E</v>
          </cell>
          <cell r="O30" t="str">
            <v>2009E</v>
          </cell>
          <cell r="P30" t="str">
            <v>2010E</v>
          </cell>
        </row>
        <row r="31">
          <cell r="G31" t="str">
            <v>FCF Summary</v>
          </cell>
          <cell r="K31" t="str">
            <v>F2006</v>
          </cell>
          <cell r="L31" t="str">
            <v>F2007E</v>
          </cell>
          <cell r="M31" t="str">
            <v>F2008E</v>
          </cell>
          <cell r="N31" t="str">
            <v>F2009E</v>
          </cell>
          <cell r="O31" t="str">
            <v>F2010E</v>
          </cell>
          <cell r="P31" t="str">
            <v>F2011E</v>
          </cell>
        </row>
        <row r="32">
          <cell r="G32" t="str">
            <v>Net Income</v>
          </cell>
          <cell r="K32">
            <v>206.16899999999941</v>
          </cell>
          <cell r="L32">
            <v>461.8673986716089</v>
          </cell>
          <cell r="M32">
            <v>563.64829525163464</v>
          </cell>
          <cell r="N32">
            <v>652.38143326811371</v>
          </cell>
          <cell r="O32">
            <v>736.62089669568172</v>
          </cell>
          <cell r="P32">
            <v>780.28293166068966</v>
          </cell>
        </row>
        <row r="33">
          <cell r="G33" t="str">
            <v xml:space="preserve">  + Deprec. and Amort.</v>
          </cell>
          <cell r="K33">
            <v>310.678</v>
          </cell>
          <cell r="L33">
            <v>874</v>
          </cell>
          <cell r="M33">
            <v>1057.4080763632012</v>
          </cell>
          <cell r="N33">
            <v>1096.7224416136239</v>
          </cell>
          <cell r="O33">
            <v>1136.4175292904586</v>
          </cell>
          <cell r="P33">
            <v>1176.9168459281923</v>
          </cell>
        </row>
        <row r="34">
          <cell r="G34" t="str">
            <v xml:space="preserve">  + Wrkg Cap Chg </v>
          </cell>
          <cell r="K34">
            <v>18.088000000000001</v>
          </cell>
          <cell r="L34">
            <v>-459</v>
          </cell>
          <cell r="M34">
            <v>-242.86587581572599</v>
          </cell>
          <cell r="N34">
            <v>-35.163958460749654</v>
          </cell>
          <cell r="O34">
            <v>-53.791008991583794</v>
          </cell>
          <cell r="P34">
            <v>-55.811245663657019</v>
          </cell>
        </row>
        <row r="35">
          <cell r="G35" t="str">
            <v xml:space="preserve">  -  Capital Expenditures</v>
          </cell>
          <cell r="K35">
            <v>-307.90600000000001</v>
          </cell>
          <cell r="L35">
            <v>-950</v>
          </cell>
          <cell r="M35">
            <v>-1205.8569163584148</v>
          </cell>
          <cell r="N35">
            <v>-1233.1061979865794</v>
          </cell>
          <cell r="O35">
            <v>-1265.9812100838269</v>
          </cell>
          <cell r="P35">
            <v>-1304.2124207419361</v>
          </cell>
        </row>
        <row r="36">
          <cell r="G36" t="str">
            <v>= Total FCF before Div.</v>
          </cell>
          <cell r="K36">
            <v>227.02899999999937</v>
          </cell>
          <cell r="L36">
            <v>-73.132601328391047</v>
          </cell>
          <cell r="M36">
            <v>172.33357944069508</v>
          </cell>
          <cell r="N36">
            <v>480.83371843440864</v>
          </cell>
          <cell r="O36">
            <v>553.26620691072958</v>
          </cell>
          <cell r="P36">
            <v>597.17611118328887</v>
          </cell>
        </row>
        <row r="37">
          <cell r="G37" t="str">
            <v xml:space="preserve">  -  Dividends</v>
          </cell>
          <cell r="K37">
            <v>-85.775000000000006</v>
          </cell>
          <cell r="L37">
            <v>-79</v>
          </cell>
          <cell r="M37">
            <v>-139.59</v>
          </cell>
          <cell r="N37">
            <v>-139.91999999999999</v>
          </cell>
          <cell r="O37">
            <v>-139.91999999999999</v>
          </cell>
          <cell r="P37">
            <v>-139.91999999999999</v>
          </cell>
        </row>
        <row r="38">
          <cell r="G38" t="str">
            <v xml:space="preserve"> = Total FCF after Div.</v>
          </cell>
          <cell r="K38">
            <v>141.25399999999937</v>
          </cell>
          <cell r="L38">
            <v>-152.13260132839105</v>
          </cell>
          <cell r="M38">
            <v>32.743579440695072</v>
          </cell>
          <cell r="N38">
            <v>340.91371843440862</v>
          </cell>
          <cell r="O38">
            <v>413.34620691072956</v>
          </cell>
          <cell r="P38">
            <v>457.25611118328885</v>
          </cell>
        </row>
        <row r="40">
          <cell r="G40" t="str">
            <v>Debt Reduction</v>
          </cell>
          <cell r="M40">
            <v>-257.86295312979018</v>
          </cell>
          <cell r="N40">
            <v>-422.73033881336232</v>
          </cell>
          <cell r="O40">
            <v>-391.80935057921852</v>
          </cell>
          <cell r="P40">
            <v>-438.48388002231968</v>
          </cell>
        </row>
        <row r="42">
          <cell r="G42" t="str">
            <v>Net Total Debt/EBITDA</v>
          </cell>
          <cell r="K42">
            <v>2.0348870261022549</v>
          </cell>
          <cell r="L42">
            <v>4.4332260293321797</v>
          </cell>
          <cell r="M42">
            <v>3.45</v>
          </cell>
          <cell r="N42">
            <v>3.12</v>
          </cell>
          <cell r="O42">
            <v>2.84</v>
          </cell>
          <cell r="P42">
            <v>2.6</v>
          </cell>
        </row>
        <row r="43">
          <cell r="G43" t="str">
            <v>Debt/Total Cap</v>
          </cell>
          <cell r="K43">
            <v>0.36684525197932388</v>
          </cell>
          <cell r="L43">
            <v>0.64918976831391451</v>
          </cell>
          <cell r="M43">
            <v>0.62496787843170543</v>
          </cell>
          <cell r="N43">
            <v>0.59344637024380842</v>
          </cell>
          <cell r="O43">
            <v>0.56009738908061157</v>
          </cell>
          <cell r="P43">
            <v>0.52473375993907234</v>
          </cell>
        </row>
      </sheetData>
      <sheetData sheetId="9" refreshError="1">
        <row r="4">
          <cell r="A4" t="str">
            <v>2006e</v>
          </cell>
          <cell r="C4" t="str">
            <v>2006e Supermarket-Related Revenues (US$ Mn)</v>
          </cell>
        </row>
        <row r="5">
          <cell r="A5" t="str">
            <v>Rank</v>
          </cell>
        </row>
        <row r="6">
          <cell r="A6">
            <v>5</v>
          </cell>
          <cell r="B6" t="str">
            <v>Costco</v>
          </cell>
          <cell r="C6">
            <v>33687.498240000008</v>
          </cell>
        </row>
        <row r="7">
          <cell r="A7">
            <v>4</v>
          </cell>
          <cell r="B7" t="str">
            <v>Safeway</v>
          </cell>
          <cell r="C7">
            <v>40185</v>
          </cell>
        </row>
        <row r="8">
          <cell r="A8">
            <v>3</v>
          </cell>
          <cell r="B8" t="str">
            <v>Supervalu (pro forma)</v>
          </cell>
          <cell r="C8">
            <v>44000</v>
          </cell>
        </row>
        <row r="9">
          <cell r="A9">
            <v>2</v>
          </cell>
          <cell r="B9" t="str">
            <v>Kroger</v>
          </cell>
          <cell r="C9">
            <v>66111.199999999997</v>
          </cell>
        </row>
        <row r="10">
          <cell r="A10">
            <v>1</v>
          </cell>
          <cell r="B10" t="str">
            <v>Wal-Mart (excl. Sam's)</v>
          </cell>
          <cell r="C10">
            <v>116146.25099999997</v>
          </cell>
        </row>
      </sheetData>
      <sheetData sheetId="10" refreshError="1"/>
      <sheetData sheetId="11" refreshError="1"/>
      <sheetData sheetId="1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0"/>
      <sheetName val="2010 by segment"/>
      <sheetName val="Sheet1"/>
      <sheetName val="EPS Over Time"/>
    </sheetNames>
    <sheetDataSet>
      <sheetData sheetId="0" refreshError="1"/>
      <sheetData sheetId="1" refreshError="1">
        <row r="1">
          <cell r="R1" t="str">
            <v>SmartCharts</v>
          </cell>
          <cell r="BN1" t="str">
            <v>.</v>
          </cell>
        </row>
        <row r="2">
          <cell r="BN2" t="str">
            <v>.</v>
          </cell>
        </row>
        <row r="3">
          <cell r="BN3" t="str">
            <v>.</v>
          </cell>
        </row>
        <row r="9">
          <cell r="D9" t="str">
            <v>Input values in white cells:</v>
          </cell>
        </row>
        <row r="10">
          <cell r="AF10">
            <v>0.89399991544048696</v>
          </cell>
        </row>
        <row r="11">
          <cell r="C11" t="str">
            <v>Base case:</v>
          </cell>
          <cell r="D11">
            <v>2.3370410909788695</v>
          </cell>
          <cell r="AF11">
            <v>0.1</v>
          </cell>
        </row>
        <row r="13">
          <cell r="C13" t="str">
            <v>Consensus:</v>
          </cell>
          <cell r="D13">
            <v>2.27</v>
          </cell>
          <cell r="AE13">
            <v>-0.15649186546434946</v>
          </cell>
        </row>
        <row r="14">
          <cell r="AE14">
            <v>0.15761839614614681</v>
          </cell>
        </row>
        <row r="15">
          <cell r="C15" t="str">
            <v>Price target:</v>
          </cell>
        </row>
        <row r="17">
          <cell r="AE17" t="str">
            <v>Bear</v>
          </cell>
          <cell r="AG17" t="str">
            <v>Base</v>
          </cell>
          <cell r="AJ17" t="str">
            <v>Bull</v>
          </cell>
        </row>
        <row r="18">
          <cell r="E18" t="str">
            <v>Input your Bull/Bear data below:</v>
          </cell>
          <cell r="AD18">
            <v>-0.47494752140822238</v>
          </cell>
          <cell r="AE18">
            <v>-0.47494752140822238</v>
          </cell>
          <cell r="AG18">
            <v>40</v>
          </cell>
          <cell r="AJ18">
            <v>0.45432027971736666</v>
          </cell>
          <cell r="AL18">
            <v>0.45432027971736666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Agriculture &amp; Nutrition segment</v>
          </cell>
          <cell r="D21">
            <v>-0.15649186546434946</v>
          </cell>
          <cell r="E21">
            <v>3.4857675771980734E-2</v>
          </cell>
          <cell r="AE21">
            <v>-8.9399991544048707E-2</v>
          </cell>
          <cell r="AF21">
            <v>-0.15649186546434946</v>
          </cell>
          <cell r="AG21">
            <v>0</v>
          </cell>
          <cell r="AH21">
            <v>0</v>
          </cell>
          <cell r="AI21">
            <v>3.4857675771980734E-2</v>
          </cell>
          <cell r="AJ21">
            <v>8.9399991544048707E-2</v>
          </cell>
          <cell r="AK21">
            <v>0.12425766731602944</v>
          </cell>
        </row>
        <row r="22">
          <cell r="C22" t="str">
            <v>Coatings</v>
          </cell>
          <cell r="D22">
            <v>-6.9421029900880171E-2</v>
          </cell>
          <cell r="E22">
            <v>6.9603152964688331E-2</v>
          </cell>
          <cell r="AE22">
            <v>-8.9399991544048707E-2</v>
          </cell>
          <cell r="AF22">
            <v>-6.9421029900880171E-2</v>
          </cell>
          <cell r="AG22">
            <v>-0.15649186546434946</v>
          </cell>
          <cell r="AH22">
            <v>3.4857675771980734E-2</v>
          </cell>
          <cell r="AI22">
            <v>6.9603152964688331E-2</v>
          </cell>
          <cell r="AJ22">
            <v>8.9399991544048707E-2</v>
          </cell>
          <cell r="AK22">
            <v>0.19386082028071777</v>
          </cell>
        </row>
        <row r="23">
          <cell r="C23" t="str">
            <v>Electronics</v>
          </cell>
          <cell r="D23">
            <v>-2.5005951236889867E-2</v>
          </cell>
          <cell r="E23">
            <v>2.5532593259141922E-2</v>
          </cell>
          <cell r="AE23">
            <v>-8.9399991544048707E-2</v>
          </cell>
          <cell r="AF23">
            <v>-2.5005951236889867E-2</v>
          </cell>
          <cell r="AG23">
            <v>-0.22591289536522963</v>
          </cell>
          <cell r="AH23">
            <v>0.10446082873666906</v>
          </cell>
          <cell r="AI23">
            <v>2.5532593259141922E-2</v>
          </cell>
          <cell r="AJ23">
            <v>8.9399991544048707E-2</v>
          </cell>
          <cell r="AK23">
            <v>0.21939341353985969</v>
          </cell>
          <cell r="AN23" t="str">
            <v/>
          </cell>
        </row>
        <row r="24">
          <cell r="C24" t="str">
            <v>Chemicals</v>
          </cell>
          <cell r="D24">
            <v>-6.6488348062065494E-2</v>
          </cell>
          <cell r="E24">
            <v>8.925714460703027E-2</v>
          </cell>
          <cell r="AE24">
            <v>-8.9399991544048707E-2</v>
          </cell>
          <cell r="AF24">
            <v>-6.6488348062065494E-2</v>
          </cell>
          <cell r="AG24">
            <v>-0.25091884660211949</v>
          </cell>
          <cell r="AH24">
            <v>0.12999342199581099</v>
          </cell>
          <cell r="AI24">
            <v>8.925714460703027E-2</v>
          </cell>
          <cell r="AJ24">
            <v>8.9399991544048707E-2</v>
          </cell>
          <cell r="AK24">
            <v>0.30865055814688996</v>
          </cell>
          <cell r="AN24" t="str">
            <v/>
          </cell>
        </row>
        <row r="25">
          <cell r="C25" t="str">
            <v>Materials</v>
          </cell>
          <cell r="D25">
            <v>-6.0627655083035137E-2</v>
          </cell>
          <cell r="E25">
            <v>0.15761839614614681</v>
          </cell>
          <cell r="AE25">
            <v>-8.9399991544048707E-2</v>
          </cell>
          <cell r="AF25">
            <v>-6.0627655083035137E-2</v>
          </cell>
          <cell r="AG25">
            <v>-0.31740719466418499</v>
          </cell>
          <cell r="AH25">
            <v>0.21925056660284126</v>
          </cell>
          <cell r="AI25">
            <v>0.15761839614614681</v>
          </cell>
          <cell r="AJ25">
            <v>8.9399991544048707E-2</v>
          </cell>
          <cell r="AK25">
            <v>0.46626895429303677</v>
          </cell>
          <cell r="AN25" t="str">
            <v/>
          </cell>
        </row>
        <row r="26">
          <cell r="C26" t="str">
            <v>Safety &amp; Protection</v>
          </cell>
          <cell r="D26">
            <v>-6.1644785975900174E-2</v>
          </cell>
          <cell r="E26">
            <v>7.7451316968378592E-2</v>
          </cell>
          <cell r="AE26">
            <v>-8.9399991544048707E-2</v>
          </cell>
          <cell r="AF26">
            <v>-6.1644785975900174E-2</v>
          </cell>
          <cell r="AG26">
            <v>-0.37803484974722013</v>
          </cell>
          <cell r="AH26">
            <v>0.37686896274898807</v>
          </cell>
          <cell r="AI26">
            <v>7.7451316968378592E-2</v>
          </cell>
          <cell r="AJ26">
            <v>8.9399991544048707E-2</v>
          </cell>
          <cell r="AK26">
            <v>0.54372027126141531</v>
          </cell>
          <cell r="AN26" t="str">
            <v/>
          </cell>
        </row>
        <row r="27">
          <cell r="C27" t="str">
            <v>Currency forecast</v>
          </cell>
          <cell r="D27">
            <v>-3.5267885685102085E-2</v>
          </cell>
          <cell r="AE27">
            <v>-8.9399991544048707E-2</v>
          </cell>
          <cell r="AF27">
            <v>-3.5267885685102085E-2</v>
          </cell>
          <cell r="AG27">
            <v>-0.4396796357231203</v>
          </cell>
          <cell r="AH27">
            <v>0.45432027971736666</v>
          </cell>
          <cell r="AI27">
            <v>0</v>
          </cell>
          <cell r="AJ27" t="str">
            <v/>
          </cell>
          <cell r="AK27">
            <v>0.45432027971736666</v>
          </cell>
          <cell r="AN27" t="str">
            <v/>
          </cell>
        </row>
        <row r="28">
          <cell r="D28">
            <v>1.8620935695706471</v>
          </cell>
          <cell r="E28">
            <v>2.7913613706962361</v>
          </cell>
          <cell r="AG28">
            <v>-0.4396796357231203</v>
          </cell>
          <cell r="AH28">
            <v>0.45432027971736666</v>
          </cell>
          <cell r="AN28" t="str">
            <v/>
          </cell>
        </row>
        <row r="29">
          <cell r="D29" t="str">
            <v>BEAR</v>
          </cell>
          <cell r="E29" t="str">
            <v>BULL</v>
          </cell>
          <cell r="AN29" t="str">
            <v/>
          </cell>
        </row>
        <row r="31">
          <cell r="C31" t="str">
            <v>Select currency here:</v>
          </cell>
          <cell r="AE31" t="str">
            <v>-space1</v>
          </cell>
          <cell r="AF31" t="str">
            <v>-bear</v>
          </cell>
          <cell r="AG31" t="str">
            <v>bear_labels</v>
          </cell>
          <cell r="AH31" t="str">
            <v>+space1</v>
          </cell>
          <cell r="AI31" t="str">
            <v>+bull</v>
          </cell>
          <cell r="AJ31" t="str">
            <v>bull_labels</v>
          </cell>
          <cell r="AK31" t="str">
            <v>Bear $1.86</v>
          </cell>
          <cell r="AL31" t="str">
            <v>Base $2.34</v>
          </cell>
          <cell r="AM31" t="str">
            <v>Bull $2.79</v>
          </cell>
          <cell r="AN31" t="str">
            <v>Consensus 
$2.27</v>
          </cell>
          <cell r="AP31" t="str">
            <v/>
          </cell>
        </row>
        <row r="33">
          <cell r="E33" t="str">
            <v/>
          </cell>
          <cell r="AD33" t="str">
            <v>Agriculture &amp; Nutrition segment</v>
          </cell>
          <cell r="AE33">
            <v>0</v>
          </cell>
          <cell r="AF33">
            <v>-0.15649186546434946</v>
          </cell>
          <cell r="AH33">
            <v>0</v>
          </cell>
          <cell r="AI33">
            <v>3.4857675771980734E-2</v>
          </cell>
          <cell r="AJ33">
            <v>8.9399991544048707E-2</v>
          </cell>
          <cell r="AK33">
            <v>-0.47494752140822238</v>
          </cell>
          <cell r="AL33">
            <v>0</v>
          </cell>
          <cell r="AM33">
            <v>0.45432027971736666</v>
          </cell>
          <cell r="AN33">
            <v>-6.7041090978869455E-2</v>
          </cell>
          <cell r="AP33" t="e">
            <v>#N/A</v>
          </cell>
        </row>
        <row r="34">
          <cell r="D34" t="str">
            <v>other currency</v>
          </cell>
          <cell r="AD34" t="str">
            <v>Coatings</v>
          </cell>
          <cell r="AE34">
            <v>-0.15649186546434946</v>
          </cell>
          <cell r="AF34">
            <v>-6.9421029900880171E-2</v>
          </cell>
          <cell r="AH34">
            <v>3.4857675771980734E-2</v>
          </cell>
          <cell r="AI34">
            <v>6.9603152964688331E-2</v>
          </cell>
          <cell r="AJ34">
            <v>8.9399991544048707E-2</v>
          </cell>
          <cell r="AK34">
            <v>-0.47494752140822238</v>
          </cell>
          <cell r="AL34">
            <v>0</v>
          </cell>
          <cell r="AM34">
            <v>0.45432027971736666</v>
          </cell>
          <cell r="AN34">
            <v>-6.7041090978869455E-2</v>
          </cell>
        </row>
        <row r="35">
          <cell r="AD35" t="str">
            <v>Electronics</v>
          </cell>
          <cell r="AE35">
            <v>-0.22591289536522963</v>
          </cell>
          <cell r="AF35">
            <v>-2.5005951236889867E-2</v>
          </cell>
          <cell r="AH35">
            <v>0.10446082873666906</v>
          </cell>
          <cell r="AI35">
            <v>2.5532593259141922E-2</v>
          </cell>
          <cell r="AJ35">
            <v>8.9399991544048707E-2</v>
          </cell>
          <cell r="AK35">
            <v>-0.47494752140822238</v>
          </cell>
          <cell r="AL35">
            <v>0</v>
          </cell>
          <cell r="AM35">
            <v>0.45432027971736666</v>
          </cell>
          <cell r="AN35">
            <v>-6.7041090978869455E-2</v>
          </cell>
        </row>
        <row r="36">
          <cell r="AD36" t="str">
            <v>Chemicals</v>
          </cell>
          <cell r="AE36">
            <v>-0.25091884660211949</v>
          </cell>
          <cell r="AF36">
            <v>-6.6488348062065494E-2</v>
          </cell>
          <cell r="AH36">
            <v>0.12999342199581099</v>
          </cell>
          <cell r="AI36">
            <v>8.925714460703027E-2</v>
          </cell>
          <cell r="AJ36">
            <v>8.9399991544048707E-2</v>
          </cell>
          <cell r="AK36">
            <v>-0.47494752140822238</v>
          </cell>
          <cell r="AL36">
            <v>0</v>
          </cell>
          <cell r="AM36">
            <v>0.45432027971736666</v>
          </cell>
          <cell r="AN36">
            <v>-6.7041090978869455E-2</v>
          </cell>
        </row>
        <row r="37">
          <cell r="AD37" t="str">
            <v>Materials</v>
          </cell>
          <cell r="AE37">
            <v>-0.31740719466418499</v>
          </cell>
          <cell r="AF37">
            <v>-6.0627655083035137E-2</v>
          </cell>
          <cell r="AH37">
            <v>0.21925056660284126</v>
          </cell>
          <cell r="AI37">
            <v>0.15761839614614681</v>
          </cell>
          <cell r="AJ37">
            <v>8.9399991544048707E-2</v>
          </cell>
          <cell r="AK37">
            <v>-0.47494752140822238</v>
          </cell>
          <cell r="AL37">
            <v>0</v>
          </cell>
          <cell r="AM37">
            <v>0.45432027971736666</v>
          </cell>
          <cell r="AN37">
            <v>-6.7041090978869455E-2</v>
          </cell>
        </row>
        <row r="38">
          <cell r="AD38" t="str">
            <v>Safety &amp; Protection</v>
          </cell>
          <cell r="AE38">
            <v>-0.37803484974722013</v>
          </cell>
          <cell r="AF38">
            <v>-6.1644785975900174E-2</v>
          </cell>
          <cell r="AH38">
            <v>0.37686896274898807</v>
          </cell>
          <cell r="AI38">
            <v>7.7451316968378592E-2</v>
          </cell>
          <cell r="AJ38">
            <v>8.9399991544048707E-2</v>
          </cell>
          <cell r="AK38">
            <v>-0.47494752140822238</v>
          </cell>
          <cell r="AL38">
            <v>0</v>
          </cell>
          <cell r="AM38">
            <v>0.45432027971736666</v>
          </cell>
          <cell r="AN38">
            <v>-6.7041090978869455E-2</v>
          </cell>
        </row>
        <row r="39">
          <cell r="AD39" t="str">
            <v>Currency forecast</v>
          </cell>
          <cell r="AE39">
            <v>-0.4396796357231203</v>
          </cell>
          <cell r="AF39">
            <v>-3.5267885685102085E-2</v>
          </cell>
          <cell r="AH39">
            <v>0.45432027971736666</v>
          </cell>
          <cell r="AI39">
            <v>0</v>
          </cell>
          <cell r="AJ39" t="str">
            <v/>
          </cell>
          <cell r="AK39">
            <v>-0.47494752140822238</v>
          </cell>
          <cell r="AL39">
            <v>0</v>
          </cell>
          <cell r="AM39">
            <v>0.45432027971736666</v>
          </cell>
          <cell r="AN39">
            <v>-6.7041090978869455E-2</v>
          </cell>
        </row>
        <row r="40">
          <cell r="H40" t="str">
            <v>click here for link to SmartChart FAQ</v>
          </cell>
          <cell r="AK40">
            <v>-0.47494752140822238</v>
          </cell>
          <cell r="AL40">
            <v>0</v>
          </cell>
          <cell r="AM40">
            <v>0.45432027971736666</v>
          </cell>
          <cell r="AN40">
            <v>-6.7041090978869455E-2</v>
          </cell>
        </row>
        <row r="41">
          <cell r="AK41">
            <v>-0.47494752140822238</v>
          </cell>
          <cell r="AL41">
            <v>0</v>
          </cell>
          <cell r="AM41">
            <v>0.45432027971736666</v>
          </cell>
          <cell r="AN41">
            <v>-6.7041090978869455E-2</v>
          </cell>
        </row>
        <row r="42">
          <cell r="G42" t="str">
            <v>Do not change the width of the exhibit or font sizes (they are optimized for export to Word).</v>
          </cell>
        </row>
        <row r="43">
          <cell r="AC43">
            <v>1</v>
          </cell>
          <cell r="AD43" t="str">
            <v>U.S. Dollars</v>
          </cell>
          <cell r="AE43">
            <v>1</v>
          </cell>
          <cell r="AG43" t="str">
            <v>All values are in U.S. Dollars</v>
          </cell>
        </row>
        <row r="44">
          <cell r="G44" t="str">
            <v>Do not delete any rows or columns (some gray cells are used for calculations).</v>
          </cell>
          <cell r="AC44">
            <v>2</v>
          </cell>
          <cell r="AD44" t="str">
            <v>Euros</v>
          </cell>
        </row>
        <row r="45">
          <cell r="AC45">
            <v>3</v>
          </cell>
          <cell r="AD45" t="str">
            <v>Japanese Yen</v>
          </cell>
        </row>
        <row r="46">
          <cell r="G46" t="str">
            <v>You can move the worksheet into another workbook (please use MOVE; do not COPY)</v>
          </cell>
          <cell r="AC46">
            <v>4</v>
          </cell>
          <cell r="AD46" t="str">
            <v>Other (input below)</v>
          </cell>
        </row>
        <row r="48">
          <cell r="G48" t="str">
            <v>Color palette may be affected after moving the worksheet to another workbook. See instructions in FAQ on the intranet</v>
          </cell>
        </row>
        <row r="51">
          <cell r="AK51" t="str">
            <v>s</v>
          </cell>
        </row>
      </sheetData>
      <sheetData sheetId="2" refreshError="1"/>
      <sheetData sheetId="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OE Template"/>
      <sheetName val="OLD charts &gt;&gt;&gt;"/>
      <sheetName val="MW-Cache"/>
      <sheetName val="ProfMap"/>
      <sheetName val="ROE"/>
      <sheetName val="NOPAT"/>
      <sheetName val="RNOA waterfall"/>
    </sheetNames>
    <sheetDataSet>
      <sheetData sheetId="0" refreshError="1"/>
      <sheetData sheetId="1" refreshError="1"/>
      <sheetData sheetId="2" refreshError="1"/>
      <sheetData sheetId="3" refreshError="1"/>
      <sheetData sheetId="4" refreshError="1">
        <row r="1">
          <cell r="U1" t="str">
            <v>SmartCharts</v>
          </cell>
        </row>
        <row r="4">
          <cell r="I4" t="str">
            <v>0011.HK</v>
          </cell>
        </row>
        <row r="5">
          <cell r="C5" t="str">
            <v>Define value axis here:</v>
          </cell>
        </row>
        <row r="6">
          <cell r="C6" t="str">
            <v>returns</v>
          </cell>
          <cell r="I6">
            <v>5</v>
          </cell>
        </row>
        <row r="8">
          <cell r="C8" t="str">
            <v>Define highlighted areas here:</v>
          </cell>
        </row>
        <row r="9">
          <cell r="C9" t="str">
            <v>MarketView forecast</v>
          </cell>
          <cell r="I9">
            <v>2008</v>
          </cell>
        </row>
        <row r="11">
          <cell r="C11" t="str">
            <v>Input your data here:</v>
          </cell>
          <cell r="H11" t="str">
            <v>Highlight?</v>
          </cell>
        </row>
        <row r="12">
          <cell r="C12" t="str">
            <v>Year</v>
          </cell>
          <cell r="D12" t="str">
            <v>ROE</v>
          </cell>
          <cell r="AH12" t="str">
            <v>No.</v>
          </cell>
          <cell r="AI12" t="str">
            <v>HighlightYes</v>
          </cell>
          <cell r="AJ12" t="str">
            <v>HighlightNo</v>
          </cell>
          <cell r="AL12" t="str">
            <v>ArrowLine</v>
          </cell>
        </row>
        <row r="13">
          <cell r="C13">
            <v>2005</v>
          </cell>
          <cell r="D13">
            <v>0.304107679107679</v>
          </cell>
          <cell r="I13" t="b">
            <v>0</v>
          </cell>
          <cell r="AH13">
            <v>1</v>
          </cell>
          <cell r="AI13">
            <v>0</v>
          </cell>
          <cell r="AJ13">
            <v>0.304107679107679</v>
          </cell>
          <cell r="AL13">
            <v>0.304107679107679</v>
          </cell>
        </row>
        <row r="14">
          <cell r="C14" t="str">
            <v>2006</v>
          </cell>
          <cell r="D14">
            <v>0.30915814885202098</v>
          </cell>
          <cell r="I14" t="b">
            <v>0</v>
          </cell>
          <cell r="AH14">
            <v>2</v>
          </cell>
          <cell r="AI14">
            <v>0</v>
          </cell>
          <cell r="AJ14">
            <v>0.30915814885202098</v>
          </cell>
          <cell r="AL14">
            <v>0.30915814885202098</v>
          </cell>
        </row>
        <row r="15">
          <cell r="C15" t="str">
            <v>2007</v>
          </cell>
          <cell r="D15">
            <v>0.38703054350835098</v>
          </cell>
          <cell r="I15" t="b">
            <v>0</v>
          </cell>
          <cell r="AH15">
            <v>3</v>
          </cell>
          <cell r="AI15">
            <v>0</v>
          </cell>
          <cell r="AJ15">
            <v>0.38703054350835098</v>
          </cell>
          <cell r="AL15">
            <v>0.38703054350835098</v>
          </cell>
        </row>
        <row r="16">
          <cell r="C16" t="str">
            <v>2008e</v>
          </cell>
          <cell r="D16">
            <v>0.36205081530073302</v>
          </cell>
          <cell r="I16" t="b">
            <v>1</v>
          </cell>
          <cell r="AH16">
            <v>4</v>
          </cell>
          <cell r="AI16">
            <v>0.36205081530073302</v>
          </cell>
          <cell r="AJ16">
            <v>0</v>
          </cell>
          <cell r="AL16">
            <v>0.36205081530073302</v>
          </cell>
        </row>
        <row r="17">
          <cell r="C17" t="str">
            <v>2009e</v>
          </cell>
          <cell r="D17">
            <v>0.34670610213403902</v>
          </cell>
          <cell r="I17" t="b">
            <v>1</v>
          </cell>
          <cell r="AH17">
            <v>5</v>
          </cell>
          <cell r="AI17">
            <v>0.34670610213403902</v>
          </cell>
          <cell r="AJ17">
            <v>0</v>
          </cell>
          <cell r="AL17">
            <v>0.34670610213403902</v>
          </cell>
        </row>
        <row r="18">
          <cell r="C18" t="str">
            <v/>
          </cell>
          <cell r="D18" t="str">
            <v/>
          </cell>
          <cell r="I18" t="b">
            <v>1</v>
          </cell>
          <cell r="AH18">
            <v>6</v>
          </cell>
          <cell r="AI18" t="str">
            <v/>
          </cell>
          <cell r="AJ18">
            <v>0</v>
          </cell>
          <cell r="AL18" t="str">
            <v/>
          </cell>
        </row>
        <row r="19">
          <cell r="C19" t="str">
            <v/>
          </cell>
          <cell r="D19" t="str">
            <v/>
          </cell>
          <cell r="I19" t="b">
            <v>1</v>
          </cell>
          <cell r="AH19">
            <v>7</v>
          </cell>
          <cell r="AI19" t="str">
            <v/>
          </cell>
          <cell r="AJ19">
            <v>0</v>
          </cell>
          <cell r="AL19" t="str">
            <v/>
          </cell>
        </row>
        <row r="20">
          <cell r="C20" t="str">
            <v/>
          </cell>
          <cell r="D20" t="str">
            <v/>
          </cell>
          <cell r="I20" t="b">
            <v>1</v>
          </cell>
          <cell r="AH20">
            <v>8</v>
          </cell>
          <cell r="AI20" t="str">
            <v/>
          </cell>
          <cell r="AJ20">
            <v>0</v>
          </cell>
          <cell r="AL20" t="str">
            <v/>
          </cell>
        </row>
        <row r="21">
          <cell r="C21" t="str">
            <v/>
          </cell>
          <cell r="D21" t="str">
            <v/>
          </cell>
          <cell r="I21" t="b">
            <v>1</v>
          </cell>
          <cell r="AH21">
            <v>9</v>
          </cell>
          <cell r="AI21" t="str">
            <v/>
          </cell>
          <cell r="AJ21">
            <v>0</v>
          </cell>
          <cell r="AL21" t="str">
            <v/>
          </cell>
        </row>
        <row r="22">
          <cell r="C22" t="str">
            <v/>
          </cell>
          <cell r="D22" t="str">
            <v/>
          </cell>
          <cell r="I22" t="b">
            <v>0</v>
          </cell>
          <cell r="AH22">
            <v>10</v>
          </cell>
          <cell r="AI22">
            <v>0</v>
          </cell>
          <cell r="AJ22" t="str">
            <v/>
          </cell>
          <cell r="AL22" t="str">
            <v/>
          </cell>
        </row>
        <row r="23">
          <cell r="C23" t="str">
            <v/>
          </cell>
          <cell r="D23" t="str">
            <v/>
          </cell>
          <cell r="I23" t="b">
            <v>0</v>
          </cell>
          <cell r="AH23">
            <v>11</v>
          </cell>
          <cell r="AI23">
            <v>0</v>
          </cell>
          <cell r="AJ23" t="str">
            <v/>
          </cell>
          <cell r="AL23" t="str">
            <v/>
          </cell>
        </row>
        <row r="24">
          <cell r="C24" t="str">
            <v/>
          </cell>
          <cell r="D24" t="str">
            <v/>
          </cell>
          <cell r="I24" t="b">
            <v>0</v>
          </cell>
          <cell r="AH24">
            <v>12</v>
          </cell>
          <cell r="AI24">
            <v>0</v>
          </cell>
          <cell r="AJ24" t="str">
            <v/>
          </cell>
          <cell r="AL24" t="str">
            <v/>
          </cell>
        </row>
        <row r="25">
          <cell r="C25" t="str">
            <v/>
          </cell>
          <cell r="D25" t="str">
            <v/>
          </cell>
          <cell r="I25" t="b">
            <v>0</v>
          </cell>
          <cell r="AH25">
            <v>13</v>
          </cell>
          <cell r="AI25">
            <v>0</v>
          </cell>
          <cell r="AJ25" t="str">
            <v/>
          </cell>
          <cell r="AL25" t="str">
            <v/>
          </cell>
        </row>
        <row r="26">
          <cell r="C26" t="str">
            <v/>
          </cell>
          <cell r="D26" t="str">
            <v/>
          </cell>
          <cell r="I26" t="b">
            <v>0</v>
          </cell>
          <cell r="AH26">
            <v>14</v>
          </cell>
          <cell r="AI26">
            <v>0</v>
          </cell>
          <cell r="AJ26" t="str">
            <v/>
          </cell>
          <cell r="AL26" t="str">
            <v/>
          </cell>
        </row>
        <row r="27">
          <cell r="C27" t="str">
            <v/>
          </cell>
          <cell r="D27" t="str">
            <v/>
          </cell>
          <cell r="I27" t="b">
            <v>0</v>
          </cell>
          <cell r="AH27">
            <v>15</v>
          </cell>
          <cell r="AI27">
            <v>0</v>
          </cell>
          <cell r="AJ27" t="str">
            <v/>
          </cell>
          <cell r="AL27" t="str">
            <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row r="38">
          <cell r="I38" t="str">
            <v>Do not change the width of the exhibit or font sizes (they are optimized for export to Word).</v>
          </cell>
        </row>
        <row r="40">
          <cell r="I40" t="str">
            <v>Do not delete any rows or columns (some gray cells are used for calculations).</v>
          </cell>
        </row>
      </sheetData>
      <sheetData sheetId="5" refreshError="1">
        <row r="1">
          <cell r="U1" t="str">
            <v>SmartCharts</v>
          </cell>
        </row>
        <row r="5">
          <cell r="C5" t="str">
            <v>Define value axis here:</v>
          </cell>
          <cell r="J5" t="str">
            <v>0011.HK</v>
          </cell>
        </row>
        <row r="6">
          <cell r="C6" t="str">
            <v>profit margins</v>
          </cell>
          <cell r="I6">
            <v>5</v>
          </cell>
        </row>
        <row r="8">
          <cell r="C8" t="str">
            <v>Define highlighted areas here:</v>
          </cell>
        </row>
        <row r="9">
          <cell r="C9" t="str">
            <v>MarketView forecast</v>
          </cell>
          <cell r="I9">
            <v>2008</v>
          </cell>
        </row>
        <row r="11">
          <cell r="C11" t="str">
            <v>Input your data here:</v>
          </cell>
          <cell r="H11" t="str">
            <v>Highlight?</v>
          </cell>
        </row>
        <row r="12">
          <cell r="C12" t="str">
            <v>Year</v>
          </cell>
          <cell r="D12" t="str">
            <v>NOPAT</v>
          </cell>
          <cell r="E12" t="str">
            <v>Operating Asset Turnover</v>
          </cell>
          <cell r="F12" t="str">
            <v>Return from Leverage</v>
          </cell>
          <cell r="AH12" t="str">
            <v>No.</v>
          </cell>
          <cell r="AI12" t="str">
            <v>HighlightYes</v>
          </cell>
          <cell r="AJ12" t="str">
            <v>HighlightNo</v>
          </cell>
          <cell r="AL12" t="str">
            <v>ArrowLine</v>
          </cell>
        </row>
        <row r="13">
          <cell r="C13">
            <v>2005</v>
          </cell>
          <cell r="D13">
            <v>0.62299577403517503</v>
          </cell>
          <cell r="E13">
            <v>-0.42587936373501301</v>
          </cell>
          <cell r="F13">
            <v>0.56315056981022804</v>
          </cell>
          <cell r="I13" t="b">
            <v>0</v>
          </cell>
          <cell r="AH13">
            <v>1</v>
          </cell>
          <cell r="AI13">
            <v>0</v>
          </cell>
          <cell r="AJ13">
            <v>0.62299577403517503</v>
          </cell>
          <cell r="AL13">
            <v>0.62299577403517503</v>
          </cell>
        </row>
        <row r="14">
          <cell r="C14" t="str">
            <v>2006</v>
          </cell>
          <cell r="D14">
            <v>0.62838558413719203</v>
          </cell>
          <cell r="E14">
            <v>-0.61486753657572202</v>
          </cell>
          <cell r="F14">
            <v>0.69431215696303195</v>
          </cell>
          <cell r="I14" t="b">
            <v>0</v>
          </cell>
          <cell r="AH14">
            <v>2</v>
          </cell>
          <cell r="AI14">
            <v>0</v>
          </cell>
          <cell r="AJ14">
            <v>0.62838558413719203</v>
          </cell>
          <cell r="AL14">
            <v>0.62838558413719203</v>
          </cell>
        </row>
        <row r="15">
          <cell r="C15" t="str">
            <v>2007</v>
          </cell>
          <cell r="D15">
            <v>0.65150566487775796</v>
          </cell>
          <cell r="E15">
            <v>-0.44635094132051001</v>
          </cell>
          <cell r="F15">
            <v>0.67608437829147905</v>
          </cell>
          <cell r="I15" t="b">
            <v>0</v>
          </cell>
          <cell r="AH15">
            <v>3</v>
          </cell>
          <cell r="AI15">
            <v>0</v>
          </cell>
          <cell r="AJ15">
            <v>0.65150566487775796</v>
          </cell>
          <cell r="AL15">
            <v>0.65150566487775796</v>
          </cell>
        </row>
        <row r="16">
          <cell r="C16" t="str">
            <v>2008e</v>
          </cell>
          <cell r="D16">
            <v>0.66275539318791798</v>
          </cell>
          <cell r="E16">
            <v>-0.42091626861097797</v>
          </cell>
          <cell r="F16">
            <v>0.62783431651939903</v>
          </cell>
          <cell r="I16" t="b">
            <v>1</v>
          </cell>
          <cell r="AH16">
            <v>4</v>
          </cell>
          <cell r="AI16">
            <v>0.66275539318791798</v>
          </cell>
          <cell r="AJ16">
            <v>0</v>
          </cell>
          <cell r="AL16">
            <v>0.66275539318791798</v>
          </cell>
        </row>
        <row r="17">
          <cell r="C17" t="str">
            <v>2009e</v>
          </cell>
          <cell r="D17">
            <v>0.67173347087365598</v>
          </cell>
          <cell r="E17">
            <v>-0.29503545666346698</v>
          </cell>
          <cell r="F17">
            <v>0.53729788709463899</v>
          </cell>
          <cell r="I17" t="b">
            <v>1</v>
          </cell>
          <cell r="AH17">
            <v>5</v>
          </cell>
          <cell r="AI17">
            <v>0.67173347087365598</v>
          </cell>
          <cell r="AJ17">
            <v>0</v>
          </cell>
          <cell r="AL17">
            <v>0.67173347087365598</v>
          </cell>
        </row>
        <row r="18">
          <cell r="C18" t="str">
            <v/>
          </cell>
          <cell r="D18" t="str">
            <v/>
          </cell>
          <cell r="E18" t="str">
            <v/>
          </cell>
          <cell r="F18" t="str">
            <v/>
          </cell>
          <cell r="I18" t="b">
            <v>1</v>
          </cell>
          <cell r="AH18">
            <v>6</v>
          </cell>
          <cell r="AI18" t="str">
            <v/>
          </cell>
          <cell r="AJ18">
            <v>0</v>
          </cell>
          <cell r="AL18" t="str">
            <v/>
          </cell>
        </row>
        <row r="19">
          <cell r="C19" t="str">
            <v/>
          </cell>
          <cell r="D19" t="str">
            <v/>
          </cell>
          <cell r="E19" t="str">
            <v/>
          </cell>
          <cell r="F19" t="str">
            <v/>
          </cell>
          <cell r="I19" t="b">
            <v>1</v>
          </cell>
          <cell r="AH19">
            <v>7</v>
          </cell>
          <cell r="AI19" t="str">
            <v/>
          </cell>
          <cell r="AJ19">
            <v>0</v>
          </cell>
          <cell r="AL19" t="str">
            <v/>
          </cell>
        </row>
        <row r="20">
          <cell r="C20" t="str">
            <v/>
          </cell>
          <cell r="D20" t="str">
            <v/>
          </cell>
          <cell r="E20" t="str">
            <v/>
          </cell>
          <cell r="F20" t="str">
            <v/>
          </cell>
          <cell r="I20" t="b">
            <v>1</v>
          </cell>
          <cell r="AH20">
            <v>8</v>
          </cell>
          <cell r="AI20" t="str">
            <v/>
          </cell>
          <cell r="AJ20">
            <v>0</v>
          </cell>
          <cell r="AL20" t="str">
            <v/>
          </cell>
        </row>
        <row r="21">
          <cell r="C21" t="str">
            <v/>
          </cell>
          <cell r="D21" t="str">
            <v/>
          </cell>
          <cell r="E21" t="str">
            <v/>
          </cell>
          <cell r="F21" t="str">
            <v/>
          </cell>
          <cell r="I21" t="b">
            <v>1</v>
          </cell>
          <cell r="AH21">
            <v>9</v>
          </cell>
          <cell r="AI21" t="str">
            <v/>
          </cell>
          <cell r="AJ21">
            <v>0</v>
          </cell>
          <cell r="AL21" t="str">
            <v/>
          </cell>
        </row>
        <row r="22">
          <cell r="C22" t="str">
            <v/>
          </cell>
          <cell r="D22" t="str">
            <v/>
          </cell>
          <cell r="E22" t="str">
            <v/>
          </cell>
          <cell r="F22" t="str">
            <v/>
          </cell>
          <cell r="I22" t="b">
            <v>0</v>
          </cell>
          <cell r="AH22">
            <v>10</v>
          </cell>
          <cell r="AI22">
            <v>0</v>
          </cell>
          <cell r="AJ22" t="str">
            <v/>
          </cell>
          <cell r="AL22" t="str">
            <v/>
          </cell>
        </row>
        <row r="23">
          <cell r="C23" t="str">
            <v/>
          </cell>
          <cell r="D23" t="str">
            <v/>
          </cell>
          <cell r="E23" t="str">
            <v/>
          </cell>
          <cell r="F23" t="str">
            <v/>
          </cell>
          <cell r="I23" t="b">
            <v>0</v>
          </cell>
          <cell r="AH23">
            <v>11</v>
          </cell>
          <cell r="AI23">
            <v>0</v>
          </cell>
          <cell r="AJ23" t="str">
            <v/>
          </cell>
          <cell r="AL23" t="str">
            <v/>
          </cell>
        </row>
        <row r="24">
          <cell r="C24" t="str">
            <v/>
          </cell>
          <cell r="D24" t="str">
            <v/>
          </cell>
          <cell r="E24" t="str">
            <v/>
          </cell>
          <cell r="F24" t="str">
            <v/>
          </cell>
          <cell r="I24" t="b">
            <v>0</v>
          </cell>
          <cell r="AH24">
            <v>12</v>
          </cell>
          <cell r="AI24">
            <v>0</v>
          </cell>
          <cell r="AJ24" t="str">
            <v/>
          </cell>
          <cell r="AL24" t="str">
            <v/>
          </cell>
        </row>
        <row r="25">
          <cell r="C25" t="str">
            <v/>
          </cell>
          <cell r="D25" t="str">
            <v/>
          </cell>
          <cell r="E25" t="str">
            <v/>
          </cell>
          <cell r="F25" t="str">
            <v/>
          </cell>
          <cell r="I25" t="b">
            <v>0</v>
          </cell>
          <cell r="AH25">
            <v>13</v>
          </cell>
          <cell r="AI25">
            <v>0</v>
          </cell>
          <cell r="AJ25" t="str">
            <v/>
          </cell>
          <cell r="AL25" t="str">
            <v/>
          </cell>
        </row>
        <row r="26">
          <cell r="C26" t="str">
            <v/>
          </cell>
          <cell r="D26" t="str">
            <v/>
          </cell>
          <cell r="E26" t="str">
            <v/>
          </cell>
          <cell r="F26" t="str">
            <v/>
          </cell>
          <cell r="I26" t="b">
            <v>0</v>
          </cell>
          <cell r="AH26">
            <v>14</v>
          </cell>
          <cell r="AI26">
            <v>0</v>
          </cell>
          <cell r="AJ26" t="str">
            <v/>
          </cell>
          <cell r="AL26" t="str">
            <v/>
          </cell>
        </row>
        <row r="27">
          <cell r="C27" t="str">
            <v/>
          </cell>
          <cell r="D27" t="str">
            <v/>
          </cell>
          <cell r="E27" t="str">
            <v/>
          </cell>
          <cell r="F27" t="str">
            <v/>
          </cell>
          <cell r="I27" t="b">
            <v>0</v>
          </cell>
          <cell r="AH27">
            <v>15</v>
          </cell>
          <cell r="AI27">
            <v>0</v>
          </cell>
          <cell r="AJ27" t="str">
            <v/>
          </cell>
          <cell r="AL27" t="str">
            <v/>
          </cell>
        </row>
        <row r="28">
          <cell r="I28" t="b">
            <v>0</v>
          </cell>
          <cell r="AH28">
            <v>16</v>
          </cell>
          <cell r="AI28">
            <v>0</v>
          </cell>
          <cell r="AJ28">
            <v>0</v>
          </cell>
          <cell r="AL28">
            <v>0</v>
          </cell>
        </row>
        <row r="29">
          <cell r="I29" t="b">
            <v>0</v>
          </cell>
          <cell r="AH29">
            <v>17</v>
          </cell>
          <cell r="AI29">
            <v>0</v>
          </cell>
          <cell r="AJ29">
            <v>0</v>
          </cell>
          <cell r="AL29">
            <v>0</v>
          </cell>
        </row>
        <row r="30">
          <cell r="I30" t="b">
            <v>0</v>
          </cell>
          <cell r="AH30">
            <v>18</v>
          </cell>
          <cell r="AI30">
            <v>0</v>
          </cell>
          <cell r="AJ30">
            <v>0</v>
          </cell>
          <cell r="AL30">
            <v>0</v>
          </cell>
        </row>
        <row r="31">
          <cell r="I31" t="b">
            <v>0</v>
          </cell>
          <cell r="AH31">
            <v>19</v>
          </cell>
          <cell r="AI31">
            <v>0</v>
          </cell>
          <cell r="AJ31">
            <v>0</v>
          </cell>
          <cell r="AL31">
            <v>0</v>
          </cell>
        </row>
        <row r="32">
          <cell r="I32" t="b">
            <v>0</v>
          </cell>
          <cell r="AH32">
            <v>20</v>
          </cell>
          <cell r="AI32">
            <v>0</v>
          </cell>
          <cell r="AJ32">
            <v>0</v>
          </cell>
          <cell r="AL32">
            <v>0</v>
          </cell>
        </row>
      </sheetData>
      <sheetData sheetId="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M analyst day"/>
      <sheetName val="Khosla Ventures"/>
      <sheetName val="MS Oil Teach-in"/>
      <sheetName val="Gasoline"/>
      <sheetName val="Cosan"/>
      <sheetName val="Ideas"/>
      <sheetName val="Corn"/>
      <sheetName val="Ethanol"/>
      <sheetName val="Monsanto"/>
      <sheetName val="MON analyst day"/>
      <sheetName val="MON Top 10"/>
      <sheetName val="Mon Random"/>
      <sheetName val="RF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I2" t="str">
            <v>Low Value</v>
          </cell>
          <cell r="J2" t="str">
            <v>High Value</v>
          </cell>
          <cell r="K2" t="str">
            <v xml:space="preserve">Acre base </v>
          </cell>
        </row>
        <row r="3">
          <cell r="C3" t="str">
            <v>Product</v>
          </cell>
          <cell r="G3" t="str">
            <v>Phase</v>
          </cell>
          <cell r="H3" t="str">
            <v>Source of Value</v>
          </cell>
          <cell r="I3" t="str">
            <v>Per Acre</v>
          </cell>
          <cell r="J3" t="str">
            <v>Per Acre</v>
          </cell>
          <cell r="K3" t="str">
            <v>(millions)</v>
          </cell>
          <cell r="L3" t="str">
            <v>Core Markets</v>
          </cell>
        </row>
        <row r="4">
          <cell r="C4" t="str">
            <v>Renessen Corn Processing System and Mavera High-Value Corn with Lysine</v>
          </cell>
          <cell r="G4">
            <v>4</v>
          </cell>
          <cell r="H4" t="str">
            <v>Feed and fuel</v>
          </cell>
          <cell r="I4">
            <v>10</v>
          </cell>
          <cell r="J4">
            <v>30</v>
          </cell>
          <cell r="K4">
            <v>20</v>
          </cell>
          <cell r="L4" t="str">
            <v>US, Brazil, Europe</v>
          </cell>
        </row>
        <row r="5">
          <cell r="B5" t="str">
            <v>HIT</v>
          </cell>
          <cell r="C5" t="str">
            <v>Roundup Rready2Yield soybeans</v>
          </cell>
          <cell r="G5">
            <v>3</v>
          </cell>
          <cell r="H5" t="str">
            <v>Yield enhancement</v>
          </cell>
          <cell r="I5">
            <v>10</v>
          </cell>
          <cell r="J5">
            <v>30</v>
          </cell>
          <cell r="K5">
            <v>155</v>
          </cell>
          <cell r="L5" t="str">
            <v>US, Brazil, Argentina</v>
          </cell>
        </row>
        <row r="6">
          <cell r="C6" t="str">
            <v>Omega-3 soybeans</v>
          </cell>
          <cell r="G6">
            <v>3</v>
          </cell>
          <cell r="H6" t="str">
            <v>Improved health</v>
          </cell>
          <cell r="I6">
            <v>30</v>
          </cell>
          <cell r="J6">
            <v>35</v>
          </cell>
          <cell r="K6">
            <v>5</v>
          </cell>
          <cell r="L6" t="str">
            <v>US</v>
          </cell>
        </row>
        <row r="7">
          <cell r="C7" t="str">
            <v>YieldGard VT PRO 2nd-Gen Corn Borer</v>
          </cell>
          <cell r="G7">
            <v>3</v>
          </cell>
          <cell r="H7" t="str">
            <v>Insect protection</v>
          </cell>
          <cell r="I7">
            <v>10</v>
          </cell>
          <cell r="J7">
            <v>30</v>
          </cell>
          <cell r="K7">
            <v>41</v>
          </cell>
          <cell r="L7" t="str">
            <v>US, Brazil, Europe</v>
          </cell>
        </row>
        <row r="8">
          <cell r="B8" t="str">
            <v>HIT</v>
          </cell>
          <cell r="C8" t="str">
            <v>Drought-tolerant corn</v>
          </cell>
          <cell r="G8">
            <v>2</v>
          </cell>
          <cell r="H8" t="str">
            <v>Water replacement and yield</v>
          </cell>
          <cell r="I8">
            <v>10</v>
          </cell>
          <cell r="J8">
            <v>30</v>
          </cell>
          <cell r="K8">
            <v>164</v>
          </cell>
          <cell r="L8" t="str">
            <v>US, Brazil, Europe</v>
          </cell>
        </row>
        <row r="9">
          <cell r="B9" t="str">
            <v>HIT</v>
          </cell>
          <cell r="C9" t="str">
            <v>Vistive III soybeans</v>
          </cell>
          <cell r="G9">
            <v>2</v>
          </cell>
          <cell r="H9" t="str">
            <v>Improved health</v>
          </cell>
          <cell r="I9">
            <v>10</v>
          </cell>
          <cell r="J9">
            <v>30</v>
          </cell>
          <cell r="K9">
            <v>13.5</v>
          </cell>
          <cell r="L9" t="str">
            <v>US</v>
          </cell>
        </row>
        <row r="10">
          <cell r="C10" t="str">
            <v>Higher yielding soybeans</v>
          </cell>
          <cell r="G10">
            <v>2</v>
          </cell>
          <cell r="H10" t="str">
            <v>Yield enhancement</v>
          </cell>
          <cell r="I10">
            <v>10</v>
          </cell>
          <cell r="J10">
            <v>30</v>
          </cell>
          <cell r="K10">
            <v>155</v>
          </cell>
          <cell r="L10" t="str">
            <v>US, Brazil, Argentina</v>
          </cell>
        </row>
        <row r="11">
          <cell r="C11" t="str">
            <v>Insect-protected soybeans w/ RUR2Y</v>
          </cell>
          <cell r="G11">
            <v>2</v>
          </cell>
          <cell r="H11" t="str">
            <v>Yield and insect protection</v>
          </cell>
          <cell r="I11">
            <v>20</v>
          </cell>
          <cell r="J11">
            <v>40</v>
          </cell>
          <cell r="K11">
            <v>95</v>
          </cell>
          <cell r="L11" t="str">
            <v>Brazil, Argentina</v>
          </cell>
        </row>
        <row r="12">
          <cell r="C12" t="str">
            <v>Drought-tolerant cotton</v>
          </cell>
          <cell r="G12">
            <v>1</v>
          </cell>
          <cell r="H12" t="str">
            <v>Water replacement and yield</v>
          </cell>
          <cell r="I12">
            <v>10</v>
          </cell>
          <cell r="J12">
            <v>30</v>
          </cell>
          <cell r="K12">
            <v>36</v>
          </cell>
          <cell r="L12" t="str">
            <v>US, India, Brazil, Australia</v>
          </cell>
        </row>
        <row r="13">
          <cell r="C13" t="str">
            <v>Nitrogen utilization corn</v>
          </cell>
          <cell r="G13">
            <v>1</v>
          </cell>
          <cell r="H13" t="str">
            <v>Nitrogen replacement and yield</v>
          </cell>
          <cell r="I13">
            <v>10</v>
          </cell>
          <cell r="J13">
            <v>30</v>
          </cell>
          <cell r="K13">
            <v>164</v>
          </cell>
          <cell r="L13" t="str">
            <v>US, Brazil, Europe</v>
          </cell>
        </row>
      </sheetData>
      <sheetData sheetId="11" refreshError="1"/>
      <sheetData sheetId="1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al"/>
      <sheetName val="Quarterly"/>
      <sheetName val="Monthly"/>
      <sheetName val="__FDSCACHE__"/>
      <sheetName val="Sheet1"/>
      <sheetName val="Feedstocks"/>
      <sheetName val="Legend"/>
    </sheetNames>
    <sheetDataSet>
      <sheetData sheetId="0" refreshError="1"/>
      <sheetData sheetId="1" refreshError="1"/>
      <sheetData sheetId="2" refreshError="1"/>
      <sheetData sheetId="3" refreshError="1"/>
      <sheetData sheetId="4" refreshError="1"/>
      <sheetData sheetId="5" refreshError="1">
        <row r="1">
          <cell r="B1" t="str">
            <v>PRODUCT</v>
          </cell>
          <cell r="C1" t="str">
            <v>Crude Oil WTI</v>
          </cell>
          <cell r="D1" t="str">
            <v>Propane non-TET</v>
          </cell>
          <cell r="E1" t="str">
            <v>Ethane Purity</v>
          </cell>
          <cell r="F1" t="str">
            <v xml:space="preserve">Natural Gas </v>
          </cell>
          <cell r="M1" t="str">
            <v>Crude Oil WTI</v>
          </cell>
          <cell r="N1" t="str">
            <v>Ethane Purity</v>
          </cell>
          <cell r="P1" t="str">
            <v>Ethane Purity</v>
          </cell>
          <cell r="Q1" t="str">
            <v>Ethane Purity</v>
          </cell>
          <cell r="R1" t="str">
            <v xml:space="preserve">Natural Gas </v>
          </cell>
        </row>
        <row r="2">
          <cell r="B2" t="str">
            <v>MARKET</v>
          </cell>
          <cell r="C2" t="str">
            <v>North America</v>
          </cell>
          <cell r="D2" t="str">
            <v>North America</v>
          </cell>
          <cell r="E2" t="str">
            <v>North America</v>
          </cell>
          <cell r="F2" t="str">
            <v>North America</v>
          </cell>
          <cell r="M2" t="str">
            <v>North America</v>
          </cell>
          <cell r="N2" t="str">
            <v>North America</v>
          </cell>
          <cell r="R2" t="str">
            <v>North America</v>
          </cell>
        </row>
        <row r="3">
          <cell r="B3" t="str">
            <v>TYPE</v>
          </cell>
          <cell r="C3" t="str">
            <v>Spot, Avg. 1st Month</v>
          </cell>
          <cell r="D3" t="str">
            <v>Spot Average</v>
          </cell>
          <cell r="E3" t="str">
            <v>Spot Average</v>
          </cell>
          <cell r="F3" t="str">
            <v>Contract Burner Tip</v>
          </cell>
          <cell r="M3" t="str">
            <v>Spot, Avg. 1st Month</v>
          </cell>
          <cell r="N3" t="str">
            <v>Spot Average</v>
          </cell>
          <cell r="P3" t="str">
            <v>"Bull Case"</v>
          </cell>
          <cell r="Q3" t="str">
            <v>"Bear Case"</v>
          </cell>
          <cell r="R3" t="str">
            <v>Contract Burner Tip</v>
          </cell>
        </row>
        <row r="4">
          <cell r="B4" t="str">
            <v>UNIT PRICE</v>
          </cell>
          <cell r="C4" t="str">
            <v>US$/Barrel</v>
          </cell>
          <cell r="D4" t="str">
            <v>Cents/Gallon</v>
          </cell>
          <cell r="E4" t="str">
            <v>Cents/Gallon</v>
          </cell>
          <cell r="F4" t="str">
            <v>US$/Million BTU</v>
          </cell>
          <cell r="M4" t="str">
            <v>US$/Barrel</v>
          </cell>
          <cell r="N4" t="str">
            <v>Cents/Gallon</v>
          </cell>
          <cell r="R4" t="str">
            <v>US$/Million BTU</v>
          </cell>
        </row>
        <row r="5">
          <cell r="B5" t="str">
            <v>INCO TERM</v>
          </cell>
          <cell r="C5" t="str">
            <v>FOB Cushing, OK</v>
          </cell>
          <cell r="D5" t="str">
            <v>FOB Mont Belvieu, TX</v>
          </cell>
          <cell r="E5" t="str">
            <v>FOB Mont Belvieu, TX</v>
          </cell>
          <cell r="F5" t="str">
            <v>Delivered US Gulf Coast</v>
          </cell>
          <cell r="H5" t="str">
            <v>Crude equivalent price of ethane</v>
          </cell>
          <cell r="I5" t="str">
            <v>NatGas equivalent price of Ethane</v>
          </cell>
          <cell r="M5" t="str">
            <v>FOB Cushing, OK</v>
          </cell>
          <cell r="N5" t="str">
            <v>FOB Mont Belvieu, TX</v>
          </cell>
          <cell r="R5" t="str">
            <v>Delivered US Gulf Coast</v>
          </cell>
          <cell r="T5" t="str">
            <v>Crude equivalent price of ethane</v>
          </cell>
          <cell r="U5" t="str">
            <v>NatGas equivalent price of Ethane</v>
          </cell>
        </row>
        <row r="8">
          <cell r="B8" t="str">
            <v>MONTHLY</v>
          </cell>
        </row>
        <row r="117">
          <cell r="B117" t="str">
            <v>Jan-1999</v>
          </cell>
          <cell r="C117">
            <v>12.481999999999999</v>
          </cell>
          <cell r="D117">
            <v>21.734000000000002</v>
          </cell>
          <cell r="E117">
            <v>16.47</v>
          </cell>
          <cell r="F117">
            <v>1.89</v>
          </cell>
          <cell r="H117">
            <v>15.791882068965515</v>
          </cell>
          <cell r="I117">
            <v>13.868819999999998</v>
          </cell>
          <cell r="J117">
            <v>15.791882068965515</v>
          </cell>
          <cell r="K117">
            <v>13.868819999999998</v>
          </cell>
          <cell r="V117">
            <v>15.791882068965515</v>
          </cell>
          <cell r="W117">
            <v>13.868819999999998</v>
          </cell>
          <cell r="X117">
            <v>10.119</v>
          </cell>
        </row>
        <row r="118">
          <cell r="B118" t="str">
            <v>Feb-1999</v>
          </cell>
          <cell r="C118">
            <v>11.997999999999999</v>
          </cell>
          <cell r="D118">
            <v>22.451000000000001</v>
          </cell>
          <cell r="E118">
            <v>18.321999999999999</v>
          </cell>
          <cell r="F118">
            <v>1.91</v>
          </cell>
          <cell r="H118">
            <v>15.179538620689653</v>
          </cell>
          <cell r="I118">
            <v>14.01558</v>
          </cell>
          <cell r="J118">
            <v>15.179538620689653</v>
          </cell>
          <cell r="K118">
            <v>14.01558</v>
          </cell>
          <cell r="V118">
            <v>15.179538620689653</v>
          </cell>
          <cell r="W118">
            <v>14.01558</v>
          </cell>
          <cell r="X118">
            <v>10.95</v>
          </cell>
        </row>
        <row r="119">
          <cell r="B119" t="str">
            <v>Mar-1999</v>
          </cell>
          <cell r="C119">
            <v>14.663</v>
          </cell>
          <cell r="D119">
            <v>24.106000000000002</v>
          </cell>
          <cell r="E119">
            <v>20.783000000000001</v>
          </cell>
          <cell r="F119">
            <v>1.74</v>
          </cell>
          <cell r="H119">
            <v>18.551223103448276</v>
          </cell>
          <cell r="I119">
            <v>12.76812</v>
          </cell>
          <cell r="J119">
            <v>18.551223103448276</v>
          </cell>
          <cell r="K119">
            <v>12.76812</v>
          </cell>
          <cell r="V119">
            <v>18.551223103448276</v>
          </cell>
          <cell r="W119">
            <v>12.76812</v>
          </cell>
          <cell r="X119">
            <v>11.94</v>
          </cell>
        </row>
        <row r="120">
          <cell r="B120" t="str">
            <v>Apr-1999</v>
          </cell>
          <cell r="C120">
            <v>17.337</v>
          </cell>
          <cell r="D120">
            <v>28.138999999999999</v>
          </cell>
          <cell r="E120">
            <v>27.699000000000002</v>
          </cell>
          <cell r="F120">
            <v>1.97</v>
          </cell>
          <cell r="H120">
            <v>21.934294137931033</v>
          </cell>
          <cell r="I120">
            <v>14.455859999999998</v>
          </cell>
          <cell r="J120">
            <v>21.934294137931033</v>
          </cell>
          <cell r="K120">
            <v>14.455859999999998</v>
          </cell>
          <cell r="V120">
            <v>21.934294137931033</v>
          </cell>
          <cell r="W120">
            <v>14.455859999999998</v>
          </cell>
          <cell r="X120">
            <v>14.895</v>
          </cell>
        </row>
        <row r="121">
          <cell r="B121" t="str">
            <v>May-1999</v>
          </cell>
          <cell r="C121">
            <v>17.738</v>
          </cell>
          <cell r="D121">
            <v>28.324999999999999</v>
          </cell>
          <cell r="E121">
            <v>28.047000000000001</v>
          </cell>
          <cell r="F121">
            <v>2.4500000000000002</v>
          </cell>
          <cell r="H121">
            <v>22.441628275862069</v>
          </cell>
          <cell r="I121">
            <v>17.978100000000001</v>
          </cell>
          <cell r="J121">
            <v>22.441628275862069</v>
          </cell>
          <cell r="K121">
            <v>17.978100000000001</v>
          </cell>
          <cell r="V121">
            <v>22.441628275862069</v>
          </cell>
          <cell r="W121">
            <v>17.978100000000001</v>
          </cell>
          <cell r="X121">
            <v>15.164</v>
          </cell>
        </row>
        <row r="122">
          <cell r="B122" t="str">
            <v>Jun-1999</v>
          </cell>
          <cell r="C122">
            <v>17.899999999999999</v>
          </cell>
          <cell r="D122">
            <v>31.006</v>
          </cell>
          <cell r="E122">
            <v>26.452000000000002</v>
          </cell>
          <cell r="F122">
            <v>2.35</v>
          </cell>
          <cell r="H122">
            <v>22.646586206896551</v>
          </cell>
          <cell r="I122">
            <v>17.244299999999999</v>
          </cell>
          <cell r="J122">
            <v>22.646586206896551</v>
          </cell>
          <cell r="K122">
            <v>17.244299999999999</v>
          </cell>
          <cell r="V122">
            <v>22.646586206896551</v>
          </cell>
          <cell r="W122">
            <v>17.244299999999999</v>
          </cell>
          <cell r="X122">
            <v>14.4</v>
          </cell>
        </row>
        <row r="123">
          <cell r="B123" t="str">
            <v>Jul-1999</v>
          </cell>
          <cell r="C123">
            <v>20.084</v>
          </cell>
          <cell r="D123">
            <v>37.262</v>
          </cell>
          <cell r="E123">
            <v>28.449000000000002</v>
          </cell>
          <cell r="F123">
            <v>2.38</v>
          </cell>
          <cell r="H123">
            <v>25.409722758620688</v>
          </cell>
          <cell r="I123">
            <v>17.46444</v>
          </cell>
          <cell r="J123">
            <v>25.409722758620688</v>
          </cell>
          <cell r="K123">
            <v>17.46444</v>
          </cell>
          <cell r="V123">
            <v>25.409722758620688</v>
          </cell>
          <cell r="W123">
            <v>17.46444</v>
          </cell>
          <cell r="X123">
            <v>15.144</v>
          </cell>
        </row>
        <row r="124">
          <cell r="B124" t="str">
            <v>Aug-1999</v>
          </cell>
          <cell r="C124">
            <v>21.265999999999998</v>
          </cell>
          <cell r="D124">
            <v>40.530999999999999</v>
          </cell>
          <cell r="E124">
            <v>36.469000000000001</v>
          </cell>
          <cell r="F124">
            <v>2.73</v>
          </cell>
          <cell r="H124">
            <v>26.905156551724136</v>
          </cell>
          <cell r="I124">
            <v>20.03274</v>
          </cell>
          <cell r="J124">
            <v>26.905156551724136</v>
          </cell>
          <cell r="K124">
            <v>20.03274</v>
          </cell>
          <cell r="V124">
            <v>26.905156551724136</v>
          </cell>
          <cell r="W124">
            <v>20.03274</v>
          </cell>
          <cell r="X124">
            <v>18.655000000000001</v>
          </cell>
        </row>
        <row r="125">
          <cell r="B125" t="str">
            <v>Sep-1999</v>
          </cell>
          <cell r="C125">
            <v>23.884</v>
          </cell>
          <cell r="D125">
            <v>43.182000000000002</v>
          </cell>
          <cell r="E125">
            <v>34.673000000000002</v>
          </cell>
          <cell r="F125">
            <v>3.01</v>
          </cell>
          <cell r="H125">
            <v>30.217377931034484</v>
          </cell>
          <cell r="I125">
            <v>22.08738</v>
          </cell>
          <cell r="J125">
            <v>30.217377931034484</v>
          </cell>
          <cell r="K125">
            <v>22.08738</v>
          </cell>
          <cell r="V125">
            <v>30.217377931034484</v>
          </cell>
          <cell r="W125">
            <v>22.08738</v>
          </cell>
          <cell r="X125">
            <v>17.882999999999999</v>
          </cell>
        </row>
        <row r="126">
          <cell r="B126" t="str">
            <v>Oct-1999</v>
          </cell>
          <cell r="C126">
            <v>22.693999999999999</v>
          </cell>
          <cell r="D126">
            <v>45.408000000000001</v>
          </cell>
          <cell r="E126">
            <v>35.570999999999998</v>
          </cell>
          <cell r="F126">
            <v>2.63</v>
          </cell>
          <cell r="H126">
            <v>28.711822758620688</v>
          </cell>
          <cell r="I126">
            <v>19.298939999999998</v>
          </cell>
          <cell r="J126">
            <v>28.711822758620688</v>
          </cell>
          <cell r="K126">
            <v>19.298939999999998</v>
          </cell>
          <cell r="V126">
            <v>28.711822758620688</v>
          </cell>
          <cell r="W126">
            <v>19.298939999999998</v>
          </cell>
          <cell r="X126">
            <v>18.088000000000001</v>
          </cell>
        </row>
        <row r="127">
          <cell r="B127" t="str">
            <v>Nov-1999</v>
          </cell>
          <cell r="C127">
            <v>24.876999999999999</v>
          </cell>
          <cell r="D127">
            <v>43.444000000000003</v>
          </cell>
          <cell r="E127">
            <v>33.066000000000003</v>
          </cell>
          <cell r="F127">
            <v>3.125</v>
          </cell>
          <cell r="H127">
            <v>31.473694137931034</v>
          </cell>
          <cell r="I127">
            <v>22.931249999999999</v>
          </cell>
          <cell r="J127">
            <v>31.473694137931034</v>
          </cell>
          <cell r="K127">
            <v>22.931249999999999</v>
          </cell>
          <cell r="V127">
            <v>31.473694137931034</v>
          </cell>
          <cell r="W127">
            <v>22.931249999999999</v>
          </cell>
          <cell r="X127">
            <v>17.097999999999999</v>
          </cell>
        </row>
        <row r="128">
          <cell r="B128" t="str">
            <v>Dec-1999</v>
          </cell>
          <cell r="C128">
            <v>26.106999999999999</v>
          </cell>
          <cell r="D128">
            <v>42.832999999999998</v>
          </cell>
          <cell r="E128">
            <v>28.11</v>
          </cell>
          <cell r="F128">
            <v>2.226</v>
          </cell>
          <cell r="H128">
            <v>33.029856206896554</v>
          </cell>
          <cell r="I128">
            <v>16.334388000000001</v>
          </cell>
          <cell r="J128">
            <v>33.029856206896554</v>
          </cell>
          <cell r="K128">
            <v>16.334388000000001</v>
          </cell>
          <cell r="V128">
            <v>33.029856206896554</v>
          </cell>
          <cell r="W128">
            <v>16.334388000000001</v>
          </cell>
          <cell r="X128">
            <v>14.64</v>
          </cell>
        </row>
        <row r="129">
          <cell r="B129" t="str">
            <v>Jan-2000</v>
          </cell>
          <cell r="C129">
            <v>27.254999999999999</v>
          </cell>
          <cell r="D129">
            <v>55.536000000000001</v>
          </cell>
          <cell r="E129">
            <v>33.914000000000001</v>
          </cell>
          <cell r="F129">
            <v>2.46</v>
          </cell>
          <cell r="H129">
            <v>34.482274137931029</v>
          </cell>
          <cell r="I129">
            <v>18.051480000000002</v>
          </cell>
          <cell r="J129">
            <v>34.482274137931029</v>
          </cell>
          <cell r="K129">
            <v>18.051480000000002</v>
          </cell>
          <cell r="V129">
            <v>34.482274137931029</v>
          </cell>
          <cell r="W129">
            <v>18.051480000000002</v>
          </cell>
          <cell r="X129">
            <v>17.155000000000001</v>
          </cell>
        </row>
        <row r="130">
          <cell r="B130" t="str">
            <v>Feb-2000</v>
          </cell>
          <cell r="C130">
            <v>29.387</v>
          </cell>
          <cell r="D130">
            <v>59.296999999999997</v>
          </cell>
          <cell r="E130">
            <v>41.866</v>
          </cell>
          <cell r="F130">
            <v>2.71</v>
          </cell>
          <cell r="H130">
            <v>37.179621724137931</v>
          </cell>
          <cell r="I130">
            <v>19.88598</v>
          </cell>
          <cell r="J130">
            <v>37.179621724137931</v>
          </cell>
          <cell r="K130">
            <v>19.88598</v>
          </cell>
          <cell r="V130">
            <v>37.179621724137931</v>
          </cell>
          <cell r="W130">
            <v>19.88598</v>
          </cell>
          <cell r="X130">
            <v>20.541</v>
          </cell>
        </row>
        <row r="131">
          <cell r="B131" t="str">
            <v>Mar-2000</v>
          </cell>
          <cell r="C131">
            <v>29.864000000000001</v>
          </cell>
          <cell r="D131">
            <v>52.320999999999998</v>
          </cell>
          <cell r="E131">
            <v>40.103000000000002</v>
          </cell>
          <cell r="F131">
            <v>2.71</v>
          </cell>
          <cell r="H131">
            <v>37.783108965517251</v>
          </cell>
          <cell r="I131">
            <v>19.88598</v>
          </cell>
          <cell r="J131">
            <v>37.783108965517251</v>
          </cell>
          <cell r="K131">
            <v>19.88598</v>
          </cell>
          <cell r="V131">
            <v>37.783108965517251</v>
          </cell>
          <cell r="W131">
            <v>19.88598</v>
          </cell>
          <cell r="X131">
            <v>19.640999999999998</v>
          </cell>
        </row>
        <row r="132">
          <cell r="B132" t="str">
            <v>Apr-2000</v>
          </cell>
          <cell r="C132">
            <v>25.783999999999999</v>
          </cell>
          <cell r="D132">
            <v>46.933999999999997</v>
          </cell>
          <cell r="E132">
            <v>31.562999999999999</v>
          </cell>
          <cell r="F132">
            <v>3</v>
          </cell>
          <cell r="H132">
            <v>32.621205517241378</v>
          </cell>
          <cell r="I132">
            <v>22.013999999999999</v>
          </cell>
          <cell r="J132">
            <v>32.621205517241378</v>
          </cell>
          <cell r="K132">
            <v>22.013999999999999</v>
          </cell>
          <cell r="V132">
            <v>32.621205517241378</v>
          </cell>
          <cell r="W132">
            <v>22.013999999999999</v>
          </cell>
          <cell r="X132">
            <v>16.039000000000001</v>
          </cell>
        </row>
        <row r="133">
          <cell r="B133" t="str">
            <v>May-2000</v>
          </cell>
          <cell r="C133">
            <v>28.8</v>
          </cell>
          <cell r="D133">
            <v>51.323999999999998</v>
          </cell>
          <cell r="E133">
            <v>33.923000000000002</v>
          </cell>
          <cell r="F133">
            <v>3.1749999999999998</v>
          </cell>
          <cell r="H133">
            <v>36.436965517241383</v>
          </cell>
          <cell r="I133">
            <v>23.29815</v>
          </cell>
          <cell r="J133">
            <v>36.436965517241383</v>
          </cell>
          <cell r="K133">
            <v>23.29815</v>
          </cell>
          <cell r="V133">
            <v>36.436965517241383</v>
          </cell>
          <cell r="W133">
            <v>23.29815</v>
          </cell>
          <cell r="X133">
            <v>16.989999999999998</v>
          </cell>
        </row>
        <row r="134">
          <cell r="B134" t="str">
            <v>Jun-2000</v>
          </cell>
          <cell r="C134">
            <v>31.878</v>
          </cell>
          <cell r="D134">
            <v>55.48</v>
          </cell>
          <cell r="E134">
            <v>40.110999999999997</v>
          </cell>
          <cell r="F134">
            <v>4.4800000000000004</v>
          </cell>
          <cell r="H134">
            <v>40.331166206896555</v>
          </cell>
          <cell r="I134">
            <v>32.874240000000007</v>
          </cell>
          <cell r="J134">
            <v>40.331166206896555</v>
          </cell>
          <cell r="K134">
            <v>32.874240000000007</v>
          </cell>
          <cell r="V134">
            <v>40.331166206896555</v>
          </cell>
          <cell r="W134">
            <v>32.874240000000007</v>
          </cell>
          <cell r="X134">
            <v>19.977</v>
          </cell>
        </row>
        <row r="135">
          <cell r="B135" t="str">
            <v>Jul-2000</v>
          </cell>
          <cell r="C135">
            <v>29.706</v>
          </cell>
          <cell r="D135">
            <v>54.881999999999998</v>
          </cell>
          <cell r="E135">
            <v>37.348999999999997</v>
          </cell>
          <cell r="F135">
            <v>4.45</v>
          </cell>
          <cell r="H135">
            <v>37.583211724137932</v>
          </cell>
          <cell r="I135">
            <v>32.6541</v>
          </cell>
          <cell r="J135">
            <v>37.583211724137932</v>
          </cell>
          <cell r="K135">
            <v>32.6541</v>
          </cell>
          <cell r="V135">
            <v>37.583211724137932</v>
          </cell>
          <cell r="W135">
            <v>32.6541</v>
          </cell>
          <cell r="X135">
            <v>18.878</v>
          </cell>
        </row>
        <row r="136">
          <cell r="B136" t="str">
            <v>Aug-2000</v>
          </cell>
          <cell r="C136">
            <v>31.327999999999999</v>
          </cell>
          <cell r="D136">
            <v>58.466999999999999</v>
          </cell>
          <cell r="E136">
            <v>37.130000000000003</v>
          </cell>
          <cell r="F136">
            <v>3.91</v>
          </cell>
          <cell r="H136">
            <v>39.635321379310348</v>
          </cell>
          <cell r="I136">
            <v>28.691579999999998</v>
          </cell>
          <cell r="J136">
            <v>39.635321379310348</v>
          </cell>
          <cell r="K136">
            <v>28.691579999999998</v>
          </cell>
          <cell r="V136">
            <v>39.635321379310348</v>
          </cell>
          <cell r="W136">
            <v>28.691579999999998</v>
          </cell>
          <cell r="X136">
            <v>18.667000000000002</v>
          </cell>
        </row>
        <row r="137">
          <cell r="B137" t="str">
            <v>Sep-2000</v>
          </cell>
          <cell r="C137">
            <v>33.887</v>
          </cell>
          <cell r="D137">
            <v>64.203000000000003</v>
          </cell>
          <cell r="E137">
            <v>42.680999999999997</v>
          </cell>
          <cell r="F137">
            <v>4.71</v>
          </cell>
          <cell r="H137">
            <v>42.872897586206896</v>
          </cell>
          <cell r="I137">
            <v>34.561979999999998</v>
          </cell>
          <cell r="J137">
            <v>42.872897586206896</v>
          </cell>
          <cell r="K137">
            <v>34.561979999999998</v>
          </cell>
          <cell r="V137">
            <v>42.872897586206896</v>
          </cell>
          <cell r="W137">
            <v>34.561979999999998</v>
          </cell>
          <cell r="X137">
            <v>21.327999999999999</v>
          </cell>
        </row>
        <row r="138">
          <cell r="B138" t="str">
            <v>Oct-2000</v>
          </cell>
          <cell r="C138">
            <v>33.020000000000003</v>
          </cell>
          <cell r="D138">
            <v>61.764000000000003</v>
          </cell>
          <cell r="E138">
            <v>42.848999999999997</v>
          </cell>
          <cell r="F138">
            <v>5.37</v>
          </cell>
          <cell r="H138">
            <v>41.775993103448279</v>
          </cell>
          <cell r="I138">
            <v>39.405060000000006</v>
          </cell>
          <cell r="J138">
            <v>41.775993103448279</v>
          </cell>
          <cell r="K138">
            <v>39.405060000000006</v>
          </cell>
          <cell r="V138">
            <v>41.775993103448279</v>
          </cell>
          <cell r="W138">
            <v>39.405060000000006</v>
          </cell>
          <cell r="X138">
            <v>21.675999999999998</v>
          </cell>
        </row>
        <row r="139">
          <cell r="B139" t="str">
            <v>Nov-2000</v>
          </cell>
          <cell r="C139">
            <v>34.396999999999998</v>
          </cell>
          <cell r="D139">
            <v>60.697000000000003</v>
          </cell>
          <cell r="E139">
            <v>44.006</v>
          </cell>
          <cell r="F139">
            <v>4.59</v>
          </cell>
          <cell r="H139">
            <v>43.518135517241383</v>
          </cell>
          <cell r="I139">
            <v>33.681420000000003</v>
          </cell>
          <cell r="J139">
            <v>43.518135517241383</v>
          </cell>
          <cell r="K139">
            <v>33.681420000000003</v>
          </cell>
          <cell r="V139">
            <v>43.518135517241383</v>
          </cell>
          <cell r="W139">
            <v>33.681420000000003</v>
          </cell>
          <cell r="X139">
            <v>21.963999999999999</v>
          </cell>
        </row>
        <row r="140">
          <cell r="B140" t="str">
            <v>Dec-2000</v>
          </cell>
          <cell r="C140">
            <v>28.346</v>
          </cell>
          <cell r="D140">
            <v>73.158000000000001</v>
          </cell>
          <cell r="E140">
            <v>55.3</v>
          </cell>
          <cell r="F140">
            <v>6.12</v>
          </cell>
          <cell r="H140">
            <v>35.862577241379313</v>
          </cell>
          <cell r="I140">
            <v>44.908559999999994</v>
          </cell>
          <cell r="J140">
            <v>44.908559999999994</v>
          </cell>
          <cell r="K140">
            <v>35.862577241379313</v>
          </cell>
          <cell r="V140">
            <v>44.908559999999994</v>
          </cell>
          <cell r="W140">
            <v>35.862577241379313</v>
          </cell>
          <cell r="X140">
            <v>27.384</v>
          </cell>
        </row>
        <row r="141">
          <cell r="B141" t="str">
            <v>Jan-2001</v>
          </cell>
          <cell r="C141">
            <v>29.558</v>
          </cell>
          <cell r="D141">
            <v>75.911000000000001</v>
          </cell>
          <cell r="E141">
            <v>59.929000000000002</v>
          </cell>
          <cell r="F141">
            <v>9.9250000000000007</v>
          </cell>
          <cell r="H141">
            <v>37.395966206896546</v>
          </cell>
          <cell r="I141">
            <v>72.829650000000001</v>
          </cell>
          <cell r="J141">
            <v>72.829650000000001</v>
          </cell>
          <cell r="K141">
            <v>37.395966206896546</v>
          </cell>
          <cell r="V141">
            <v>72.829650000000001</v>
          </cell>
          <cell r="W141">
            <v>37.395966206896546</v>
          </cell>
          <cell r="X141">
            <v>30.701000000000001</v>
          </cell>
        </row>
        <row r="142">
          <cell r="B142" t="str">
            <v>Feb-2001</v>
          </cell>
          <cell r="C142">
            <v>29.562000000000001</v>
          </cell>
          <cell r="D142">
            <v>59.273000000000003</v>
          </cell>
          <cell r="E142">
            <v>44.911000000000001</v>
          </cell>
          <cell r="F142">
            <v>6.31</v>
          </cell>
          <cell r="H142">
            <v>37.401026896551734</v>
          </cell>
          <cell r="I142">
            <v>46.302779999999998</v>
          </cell>
          <cell r="J142">
            <v>46.302779999999998</v>
          </cell>
          <cell r="K142">
            <v>37.401026896551734</v>
          </cell>
          <cell r="V142">
            <v>46.302779999999998</v>
          </cell>
          <cell r="W142">
            <v>37.401026896551734</v>
          </cell>
          <cell r="X142">
            <v>23.106000000000002</v>
          </cell>
        </row>
        <row r="143">
          <cell r="B143" t="str">
            <v>Mar-2001</v>
          </cell>
          <cell r="C143">
            <v>27.181999999999999</v>
          </cell>
          <cell r="D143">
            <v>54.366</v>
          </cell>
          <cell r="E143">
            <v>41.56</v>
          </cell>
          <cell r="F143">
            <v>5.07</v>
          </cell>
          <cell r="H143">
            <v>34.389916551724134</v>
          </cell>
          <cell r="I143">
            <v>37.203660000000006</v>
          </cell>
          <cell r="J143">
            <v>37.203660000000006</v>
          </cell>
          <cell r="K143">
            <v>34.389916551724134</v>
          </cell>
          <cell r="V143">
            <v>37.203660000000006</v>
          </cell>
          <cell r="W143">
            <v>34.389916551724134</v>
          </cell>
          <cell r="X143">
            <v>21.338000000000001</v>
          </cell>
        </row>
        <row r="144">
          <cell r="B144" t="str">
            <v>Apr-2001</v>
          </cell>
          <cell r="C144">
            <v>27.396999999999998</v>
          </cell>
          <cell r="D144">
            <v>54.280999999999999</v>
          </cell>
          <cell r="E144">
            <v>41.822000000000003</v>
          </cell>
          <cell r="F144">
            <v>5.44</v>
          </cell>
          <cell r="H144">
            <v>34.66192862068965</v>
          </cell>
          <cell r="I144">
            <v>39.91872</v>
          </cell>
          <cell r="J144">
            <v>39.91872</v>
          </cell>
          <cell r="K144">
            <v>34.66192862068965</v>
          </cell>
          <cell r="V144">
            <v>39.91872</v>
          </cell>
          <cell r="W144">
            <v>34.66192862068965</v>
          </cell>
          <cell r="X144">
            <v>21.606000000000002</v>
          </cell>
        </row>
        <row r="145">
          <cell r="B145" t="str">
            <v>May-2001</v>
          </cell>
          <cell r="C145">
            <v>28.614000000000001</v>
          </cell>
          <cell r="D145">
            <v>51.152999999999999</v>
          </cell>
          <cell r="E145">
            <v>37.270000000000003</v>
          </cell>
          <cell r="F145">
            <v>4.9649999999999999</v>
          </cell>
          <cell r="H145">
            <v>36.20164344827586</v>
          </cell>
          <cell r="I145">
            <v>36.433169999999997</v>
          </cell>
          <cell r="J145">
            <v>36.433169999999997</v>
          </cell>
          <cell r="K145">
            <v>36.20164344827586</v>
          </cell>
          <cell r="V145">
            <v>36.433169999999997</v>
          </cell>
          <cell r="W145">
            <v>36.20164344827586</v>
          </cell>
          <cell r="X145">
            <v>19.541</v>
          </cell>
        </row>
        <row r="146">
          <cell r="B146" t="str">
            <v>Jun-2001</v>
          </cell>
          <cell r="C146">
            <v>27.565999999999999</v>
          </cell>
          <cell r="D146">
            <v>43.146000000000001</v>
          </cell>
          <cell r="E146">
            <v>31.353999999999999</v>
          </cell>
          <cell r="F146">
            <v>3.85</v>
          </cell>
          <cell r="H146">
            <v>34.875742758620689</v>
          </cell>
          <cell r="I146">
            <v>28.251300000000001</v>
          </cell>
          <cell r="J146">
            <v>34.875742758620689</v>
          </cell>
          <cell r="K146">
            <v>28.251300000000001</v>
          </cell>
          <cell r="V146">
            <v>34.875742758620689</v>
          </cell>
          <cell r="W146">
            <v>28.251300000000001</v>
          </cell>
          <cell r="X146">
            <v>16.832999999999998</v>
          </cell>
        </row>
        <row r="147">
          <cell r="B147" t="str">
            <v>Jul-2001</v>
          </cell>
          <cell r="C147">
            <v>26.434999999999999</v>
          </cell>
          <cell r="D147">
            <v>38.86</v>
          </cell>
          <cell r="E147">
            <v>27.58</v>
          </cell>
          <cell r="F147">
            <v>3.29</v>
          </cell>
          <cell r="H147">
            <v>33.444832758620691</v>
          </cell>
          <cell r="I147">
            <v>24.142019999999999</v>
          </cell>
          <cell r="J147">
            <v>33.444832758620691</v>
          </cell>
          <cell r="K147">
            <v>24.142019999999999</v>
          </cell>
          <cell r="V147">
            <v>33.444832758620691</v>
          </cell>
          <cell r="W147">
            <v>24.142019999999999</v>
          </cell>
          <cell r="X147">
            <v>15.228999999999999</v>
          </cell>
        </row>
        <row r="148">
          <cell r="B148" t="str">
            <v>Aug-2001</v>
          </cell>
          <cell r="C148">
            <v>27.396999999999998</v>
          </cell>
          <cell r="D148">
            <v>41.552</v>
          </cell>
          <cell r="E148">
            <v>27.071000000000002</v>
          </cell>
          <cell r="F148">
            <v>3.28</v>
          </cell>
          <cell r="H148">
            <v>34.66192862068965</v>
          </cell>
          <cell r="I148">
            <v>24.068639999999998</v>
          </cell>
          <cell r="J148">
            <v>34.66192862068965</v>
          </cell>
          <cell r="K148">
            <v>24.068639999999998</v>
          </cell>
          <cell r="V148">
            <v>34.66192862068965</v>
          </cell>
          <cell r="W148">
            <v>24.068639999999998</v>
          </cell>
          <cell r="X148">
            <v>14.965</v>
          </cell>
        </row>
        <row r="149">
          <cell r="B149" t="str">
            <v>Sep-2001</v>
          </cell>
          <cell r="C149">
            <v>26.081</v>
          </cell>
          <cell r="D149">
            <v>41.661999999999999</v>
          </cell>
          <cell r="E149">
            <v>25.268000000000001</v>
          </cell>
          <cell r="F149">
            <v>2.46</v>
          </cell>
          <cell r="H149">
            <v>32.996961724137932</v>
          </cell>
          <cell r="I149">
            <v>18.051480000000002</v>
          </cell>
          <cell r="J149">
            <v>32.996961724137932</v>
          </cell>
          <cell r="K149">
            <v>18.051480000000002</v>
          </cell>
          <cell r="V149">
            <v>32.996961724137932</v>
          </cell>
          <cell r="W149">
            <v>18.051480000000002</v>
          </cell>
          <cell r="X149">
            <v>13.909000000000001</v>
          </cell>
        </row>
        <row r="150">
          <cell r="B150" t="str">
            <v>Oct-2001</v>
          </cell>
          <cell r="C150">
            <v>22.079000000000001</v>
          </cell>
          <cell r="D150">
            <v>39.423999999999999</v>
          </cell>
          <cell r="E150">
            <v>24.260999999999999</v>
          </cell>
          <cell r="F150">
            <v>1.94</v>
          </cell>
          <cell r="H150">
            <v>27.933741724137935</v>
          </cell>
          <cell r="I150">
            <v>14.235720000000002</v>
          </cell>
          <cell r="J150">
            <v>27.933741724137935</v>
          </cell>
          <cell r="K150">
            <v>14.235720000000002</v>
          </cell>
          <cell r="V150">
            <v>27.933741724137935</v>
          </cell>
          <cell r="W150">
            <v>14.235720000000002</v>
          </cell>
          <cell r="X150">
            <v>13.417999999999999</v>
          </cell>
        </row>
        <row r="151">
          <cell r="B151" t="str">
            <v>Nov-2001</v>
          </cell>
          <cell r="C151">
            <v>19.587</v>
          </cell>
          <cell r="D151">
            <v>33.021999999999998</v>
          </cell>
          <cell r="E151">
            <v>21.25</v>
          </cell>
          <cell r="F151">
            <v>3.25</v>
          </cell>
          <cell r="H151">
            <v>24.780932068965516</v>
          </cell>
          <cell r="I151">
            <v>23.848499999999998</v>
          </cell>
          <cell r="J151">
            <v>24.780932068965516</v>
          </cell>
          <cell r="K151">
            <v>23.848499999999998</v>
          </cell>
          <cell r="V151">
            <v>24.780932068965516</v>
          </cell>
          <cell r="W151">
            <v>23.848499999999998</v>
          </cell>
          <cell r="X151">
            <v>12.61</v>
          </cell>
        </row>
        <row r="152">
          <cell r="B152" t="str">
            <v>Dec-2001</v>
          </cell>
          <cell r="C152">
            <v>19.271000000000001</v>
          </cell>
          <cell r="D152">
            <v>29.765999999999998</v>
          </cell>
          <cell r="E152">
            <v>19.378</v>
          </cell>
          <cell r="F152">
            <v>2.4700000000000002</v>
          </cell>
          <cell r="H152">
            <v>24.381137586206901</v>
          </cell>
          <cell r="I152">
            <v>18.124860000000002</v>
          </cell>
          <cell r="J152">
            <v>24.381137586206901</v>
          </cell>
          <cell r="K152">
            <v>18.124860000000002</v>
          </cell>
          <cell r="V152">
            <v>24.381137586206901</v>
          </cell>
          <cell r="W152">
            <v>18.124860000000002</v>
          </cell>
          <cell r="X152">
            <v>11.648</v>
          </cell>
        </row>
        <row r="153">
          <cell r="B153" t="str">
            <v>Jan-2002</v>
          </cell>
          <cell r="C153">
            <v>19.68</v>
          </cell>
          <cell r="D153">
            <v>29.08</v>
          </cell>
          <cell r="E153">
            <v>18.994</v>
          </cell>
          <cell r="F153">
            <v>2.7</v>
          </cell>
          <cell r="H153">
            <v>24.898593103448274</v>
          </cell>
          <cell r="I153">
            <v>19.8126</v>
          </cell>
          <cell r="J153">
            <v>24.898593103448274</v>
          </cell>
          <cell r="K153">
            <v>19.8126</v>
          </cell>
          <cell r="V153">
            <v>24.898593103448274</v>
          </cell>
          <cell r="W153">
            <v>19.8126</v>
          </cell>
          <cell r="X153">
            <v>11.412000000000001</v>
          </cell>
        </row>
        <row r="154">
          <cell r="B154" t="str">
            <v>Feb-2002</v>
          </cell>
          <cell r="C154">
            <v>20.661999999999999</v>
          </cell>
          <cell r="D154">
            <v>31.408000000000001</v>
          </cell>
          <cell r="E154">
            <v>19.783000000000001</v>
          </cell>
          <cell r="F154">
            <v>2.1349999999999998</v>
          </cell>
          <cell r="H154">
            <v>26.1409924137931</v>
          </cell>
          <cell r="I154">
            <v>15.666629999999998</v>
          </cell>
          <cell r="J154">
            <v>26.1409924137931</v>
          </cell>
          <cell r="K154">
            <v>15.666629999999998</v>
          </cell>
          <cell r="V154">
            <v>26.1409924137931</v>
          </cell>
          <cell r="W154">
            <v>15.666629999999998</v>
          </cell>
          <cell r="X154">
            <v>11.558</v>
          </cell>
        </row>
        <row r="155">
          <cell r="B155" t="str">
            <v>Mar-2002</v>
          </cell>
          <cell r="C155">
            <v>24.35</v>
          </cell>
          <cell r="D155">
            <v>38.018999999999998</v>
          </cell>
          <cell r="E155">
            <v>25.806000000000001</v>
          </cell>
          <cell r="F155">
            <v>2.4900000000000002</v>
          </cell>
          <cell r="H155">
            <v>30.806948275862073</v>
          </cell>
          <cell r="I155">
            <v>18.271620000000002</v>
          </cell>
          <cell r="J155">
            <v>30.806948275862073</v>
          </cell>
          <cell r="K155">
            <v>18.271620000000002</v>
          </cell>
          <cell r="V155">
            <v>30.806948275862073</v>
          </cell>
          <cell r="W155">
            <v>18.271620000000002</v>
          </cell>
          <cell r="X155">
            <v>14.138</v>
          </cell>
        </row>
        <row r="156">
          <cell r="B156" t="str">
            <v>Apr-2002</v>
          </cell>
          <cell r="C156">
            <v>26.259</v>
          </cell>
          <cell r="D156">
            <v>41.46</v>
          </cell>
          <cell r="E156">
            <v>27.911999999999999</v>
          </cell>
          <cell r="F156">
            <v>3.5150000000000001</v>
          </cell>
          <cell r="H156">
            <v>33.222162413793107</v>
          </cell>
          <cell r="I156">
            <v>25.79307</v>
          </cell>
          <cell r="J156">
            <v>33.222162413793107</v>
          </cell>
          <cell r="K156">
            <v>25.79307</v>
          </cell>
          <cell r="V156">
            <v>33.222162413793107</v>
          </cell>
          <cell r="W156">
            <v>25.79307</v>
          </cell>
          <cell r="X156">
            <v>15.173</v>
          </cell>
        </row>
        <row r="157">
          <cell r="B157" t="str">
            <v>May-2002</v>
          </cell>
          <cell r="C157">
            <v>27.056999999999999</v>
          </cell>
          <cell r="D157">
            <v>40.667999999999999</v>
          </cell>
          <cell r="E157">
            <v>27.391999999999999</v>
          </cell>
          <cell r="F157">
            <v>3.46</v>
          </cell>
          <cell r="H157">
            <v>34.231769999999997</v>
          </cell>
          <cell r="I157">
            <v>25.389479999999999</v>
          </cell>
          <cell r="J157">
            <v>34.231769999999997</v>
          </cell>
          <cell r="K157">
            <v>25.389479999999999</v>
          </cell>
          <cell r="V157">
            <v>34.231769999999997</v>
          </cell>
          <cell r="W157">
            <v>25.389479999999999</v>
          </cell>
          <cell r="X157">
            <v>14.884</v>
          </cell>
        </row>
        <row r="158">
          <cell r="B158" t="str">
            <v>Jun-2002</v>
          </cell>
          <cell r="C158">
            <v>25.498000000000001</v>
          </cell>
          <cell r="D158">
            <v>37.430999999999997</v>
          </cell>
          <cell r="E158">
            <v>23.425000000000001</v>
          </cell>
          <cell r="F158">
            <v>3.46</v>
          </cell>
          <cell r="H158">
            <v>32.259366206896559</v>
          </cell>
          <cell r="I158">
            <v>25.389479999999999</v>
          </cell>
          <cell r="J158">
            <v>32.259366206896559</v>
          </cell>
          <cell r="K158">
            <v>25.389479999999999</v>
          </cell>
          <cell r="V158">
            <v>32.259366206896559</v>
          </cell>
          <cell r="W158">
            <v>25.389479999999999</v>
          </cell>
          <cell r="X158">
            <v>13.093</v>
          </cell>
        </row>
        <row r="159">
          <cell r="B159" t="str">
            <v>Jul-2002</v>
          </cell>
          <cell r="C159">
            <v>26.914999999999999</v>
          </cell>
          <cell r="D159">
            <v>36.981999999999999</v>
          </cell>
          <cell r="E159">
            <v>22.922999999999998</v>
          </cell>
          <cell r="F159">
            <v>3.3650000000000002</v>
          </cell>
          <cell r="H159">
            <v>34.052115517241376</v>
          </cell>
          <cell r="I159">
            <v>24.692370000000004</v>
          </cell>
          <cell r="J159">
            <v>34.052115517241376</v>
          </cell>
          <cell r="K159">
            <v>24.692370000000004</v>
          </cell>
          <cell r="V159">
            <v>34.052115517241376</v>
          </cell>
          <cell r="W159">
            <v>24.692370000000004</v>
          </cell>
          <cell r="X159">
            <v>12.728</v>
          </cell>
        </row>
        <row r="160">
          <cell r="B160" t="str">
            <v>Aug-2002</v>
          </cell>
          <cell r="C160">
            <v>28.34</v>
          </cell>
          <cell r="D160">
            <v>41.301000000000002</v>
          </cell>
          <cell r="E160">
            <v>25.114000000000001</v>
          </cell>
          <cell r="F160">
            <v>3.07</v>
          </cell>
          <cell r="H160">
            <v>35.854986206896548</v>
          </cell>
          <cell r="I160">
            <v>22.527660000000001</v>
          </cell>
          <cell r="J160">
            <v>35.854986206896548</v>
          </cell>
          <cell r="K160">
            <v>22.527660000000001</v>
          </cell>
          <cell r="V160">
            <v>35.854986206896548</v>
          </cell>
          <cell r="W160">
            <v>22.527660000000001</v>
          </cell>
          <cell r="X160">
            <v>13.587999999999999</v>
          </cell>
        </row>
        <row r="161">
          <cell r="B161" t="str">
            <v>Sep-2002</v>
          </cell>
          <cell r="C161">
            <v>29.704999999999998</v>
          </cell>
          <cell r="D161">
            <v>47.162999999999997</v>
          </cell>
          <cell r="E161">
            <v>29.2</v>
          </cell>
          <cell r="F161">
            <v>3.415</v>
          </cell>
          <cell r="H161">
            <v>37.581946551724137</v>
          </cell>
          <cell r="I161">
            <v>25.059270000000001</v>
          </cell>
          <cell r="J161">
            <v>37.581946551724137</v>
          </cell>
          <cell r="K161">
            <v>25.059270000000001</v>
          </cell>
          <cell r="V161">
            <v>37.581946551724137</v>
          </cell>
          <cell r="W161">
            <v>25.059270000000001</v>
          </cell>
          <cell r="X161">
            <v>15.47</v>
          </cell>
        </row>
        <row r="162">
          <cell r="B162" t="str">
            <v>Oct-2002</v>
          </cell>
          <cell r="C162">
            <v>28.866</v>
          </cell>
          <cell r="D162">
            <v>47.902000000000001</v>
          </cell>
          <cell r="E162">
            <v>30.638999999999999</v>
          </cell>
          <cell r="F162">
            <v>3.76</v>
          </cell>
          <cell r="H162">
            <v>36.520466896551724</v>
          </cell>
          <cell r="I162">
            <v>27.590879999999995</v>
          </cell>
          <cell r="J162">
            <v>36.520466896551724</v>
          </cell>
          <cell r="K162">
            <v>27.590879999999995</v>
          </cell>
          <cell r="V162">
            <v>36.520466896551724</v>
          </cell>
          <cell r="W162">
            <v>27.590879999999995</v>
          </cell>
          <cell r="X162">
            <v>16.443999999999999</v>
          </cell>
        </row>
        <row r="163">
          <cell r="B163" t="str">
            <v>Nov-2002</v>
          </cell>
          <cell r="C163">
            <v>26.292999999999999</v>
          </cell>
          <cell r="D163">
            <v>47.243000000000002</v>
          </cell>
          <cell r="E163">
            <v>29.048999999999999</v>
          </cell>
          <cell r="F163">
            <v>4.22</v>
          </cell>
          <cell r="H163">
            <v>33.26517827586207</v>
          </cell>
          <cell r="I163">
            <v>30.966359999999998</v>
          </cell>
          <cell r="J163">
            <v>33.26517827586207</v>
          </cell>
          <cell r="K163">
            <v>30.966359999999998</v>
          </cell>
          <cell r="V163">
            <v>33.26517827586207</v>
          </cell>
          <cell r="W163">
            <v>30.966359999999998</v>
          </cell>
          <cell r="X163">
            <v>15.981999999999999</v>
          </cell>
        </row>
        <row r="164">
          <cell r="B164" t="str">
            <v>Dec-2002</v>
          </cell>
          <cell r="C164">
            <v>29.454999999999998</v>
          </cell>
          <cell r="D164">
            <v>52.25</v>
          </cell>
          <cell r="E164">
            <v>33.173000000000002</v>
          </cell>
          <cell r="F164">
            <v>4.2249999999999996</v>
          </cell>
          <cell r="H164">
            <v>37.265653448275856</v>
          </cell>
          <cell r="I164">
            <v>31.003049999999995</v>
          </cell>
          <cell r="J164">
            <v>37.265653448275856</v>
          </cell>
          <cell r="K164">
            <v>31.003049999999995</v>
          </cell>
          <cell r="V164">
            <v>37.265653448275856</v>
          </cell>
          <cell r="W164">
            <v>31.003049999999995</v>
          </cell>
          <cell r="X164">
            <v>17.704999999999998</v>
          </cell>
        </row>
        <row r="165">
          <cell r="B165" t="str">
            <v>Jan-2003</v>
          </cell>
          <cell r="C165">
            <v>32.984999999999999</v>
          </cell>
          <cell r="D165">
            <v>59.725999999999999</v>
          </cell>
          <cell r="E165">
            <v>38.033000000000001</v>
          </cell>
          <cell r="F165">
            <v>4.9649999999999999</v>
          </cell>
          <cell r="H165">
            <v>41.731712068965521</v>
          </cell>
          <cell r="I165">
            <v>36.433169999999997</v>
          </cell>
          <cell r="J165">
            <v>41.731712068965521</v>
          </cell>
          <cell r="K165">
            <v>36.433169999999997</v>
          </cell>
          <cell r="V165">
            <v>41.731712068965521</v>
          </cell>
          <cell r="W165">
            <v>36.433169999999997</v>
          </cell>
          <cell r="X165">
            <v>19.882999999999999</v>
          </cell>
        </row>
        <row r="166">
          <cell r="B166" t="str">
            <v>Feb-2003</v>
          </cell>
          <cell r="C166">
            <v>35.753</v>
          </cell>
          <cell r="D166">
            <v>72.078999999999994</v>
          </cell>
          <cell r="E166">
            <v>46.447000000000003</v>
          </cell>
          <cell r="F166">
            <v>5.7450000000000001</v>
          </cell>
          <cell r="H166">
            <v>45.233709310344828</v>
          </cell>
          <cell r="I166">
            <v>42.15681</v>
          </cell>
          <cell r="J166">
            <v>45.233709310344828</v>
          </cell>
          <cell r="K166">
            <v>42.15681</v>
          </cell>
          <cell r="V166">
            <v>45.233709310344828</v>
          </cell>
          <cell r="W166">
            <v>42.15681</v>
          </cell>
          <cell r="X166">
            <v>23.574999999999999</v>
          </cell>
        </row>
        <row r="167">
          <cell r="B167" t="str">
            <v>Mar-2003</v>
          </cell>
          <cell r="C167">
            <v>33.43</v>
          </cell>
          <cell r="D167">
            <v>61.801000000000002</v>
          </cell>
          <cell r="E167">
            <v>44.317999999999998</v>
          </cell>
          <cell r="F167">
            <v>9.1449999999999996</v>
          </cell>
          <cell r="H167">
            <v>42.294713793103448</v>
          </cell>
          <cell r="I167">
            <v>67.106009999999998</v>
          </cell>
          <cell r="J167">
            <v>67.106009999999998</v>
          </cell>
          <cell r="K167">
            <v>42.294713793103448</v>
          </cell>
          <cell r="V167">
            <v>67.106009999999998</v>
          </cell>
          <cell r="W167">
            <v>42.294713793103448</v>
          </cell>
          <cell r="X167">
            <v>23.641999999999999</v>
          </cell>
        </row>
        <row r="168">
          <cell r="B168" t="str">
            <v>Apr-2003</v>
          </cell>
          <cell r="C168">
            <v>28.262</v>
          </cell>
          <cell r="D168">
            <v>50.231999999999999</v>
          </cell>
          <cell r="E168">
            <v>36.344999999999999</v>
          </cell>
          <cell r="F168">
            <v>5.2149999999999999</v>
          </cell>
          <cell r="H168">
            <v>35.756302758620691</v>
          </cell>
          <cell r="I168">
            <v>38.267669999999995</v>
          </cell>
          <cell r="J168">
            <v>38.267669999999995</v>
          </cell>
          <cell r="K168">
            <v>35.756302758620691</v>
          </cell>
          <cell r="V168">
            <v>38.267669999999995</v>
          </cell>
          <cell r="W168">
            <v>35.756302758620691</v>
          </cell>
          <cell r="X168">
            <v>19.076000000000001</v>
          </cell>
        </row>
        <row r="169">
          <cell r="B169" t="str">
            <v>May-2003</v>
          </cell>
          <cell r="C169">
            <v>28.143000000000001</v>
          </cell>
          <cell r="D169">
            <v>53.911000000000001</v>
          </cell>
          <cell r="E169">
            <v>40.533000000000001</v>
          </cell>
          <cell r="F169">
            <v>5.1749999999999998</v>
          </cell>
          <cell r="H169">
            <v>35.605747241379312</v>
          </cell>
          <cell r="I169">
            <v>37.974149999999995</v>
          </cell>
          <cell r="J169">
            <v>37.974149999999995</v>
          </cell>
          <cell r="K169">
            <v>35.605747241379312</v>
          </cell>
          <cell r="V169">
            <v>37.974149999999995</v>
          </cell>
          <cell r="W169">
            <v>35.605747241379312</v>
          </cell>
          <cell r="X169">
            <v>21.033999999999999</v>
          </cell>
        </row>
        <row r="170">
          <cell r="B170" t="str">
            <v>Jun-2003</v>
          </cell>
          <cell r="C170">
            <v>30.657</v>
          </cell>
          <cell r="D170">
            <v>55.716999999999999</v>
          </cell>
          <cell r="E170">
            <v>42.14</v>
          </cell>
          <cell r="F170">
            <v>6.0149999999999997</v>
          </cell>
          <cell r="H170">
            <v>38.786390689655171</v>
          </cell>
          <cell r="I170">
            <v>44.138069999999999</v>
          </cell>
          <cell r="J170">
            <v>44.138069999999999</v>
          </cell>
          <cell r="K170">
            <v>38.786390689655171</v>
          </cell>
          <cell r="V170">
            <v>44.138069999999999</v>
          </cell>
          <cell r="W170">
            <v>38.786390689655171</v>
          </cell>
          <cell r="X170">
            <v>22.053000000000001</v>
          </cell>
        </row>
        <row r="171">
          <cell r="B171" t="str">
            <v>Jul-2003</v>
          </cell>
          <cell r="C171">
            <v>30.704000000000001</v>
          </cell>
          <cell r="D171">
            <v>52.777999999999999</v>
          </cell>
          <cell r="E171">
            <v>37.247</v>
          </cell>
          <cell r="F171">
            <v>5.38</v>
          </cell>
          <cell r="H171">
            <v>38.845853793103444</v>
          </cell>
          <cell r="I171">
            <v>39.478440000000006</v>
          </cell>
          <cell r="J171">
            <v>39.478440000000006</v>
          </cell>
          <cell r="K171">
            <v>38.845853793103444</v>
          </cell>
          <cell r="V171">
            <v>39.478440000000006</v>
          </cell>
          <cell r="W171">
            <v>38.845853793103444</v>
          </cell>
          <cell r="X171">
            <v>19.693000000000001</v>
          </cell>
        </row>
        <row r="172">
          <cell r="B172" t="str">
            <v>Aug-2003</v>
          </cell>
          <cell r="C172">
            <v>31.593</v>
          </cell>
          <cell r="D172">
            <v>54.807000000000002</v>
          </cell>
          <cell r="E172">
            <v>36.994</v>
          </cell>
          <cell r="F172">
            <v>4.7750000000000004</v>
          </cell>
          <cell r="H172">
            <v>39.970592068965523</v>
          </cell>
          <cell r="I172">
            <v>35.03895</v>
          </cell>
          <cell r="J172">
            <v>39.970592068965523</v>
          </cell>
          <cell r="K172">
            <v>35.03895</v>
          </cell>
          <cell r="V172">
            <v>39.970592068965523</v>
          </cell>
          <cell r="W172">
            <v>35.03895</v>
          </cell>
          <cell r="X172">
            <v>19.318999999999999</v>
          </cell>
        </row>
        <row r="173">
          <cell r="B173" t="str">
            <v>Sep-2003</v>
          </cell>
          <cell r="C173">
            <v>28.25</v>
          </cell>
          <cell r="D173">
            <v>51.978999999999999</v>
          </cell>
          <cell r="E173">
            <v>35.399000000000001</v>
          </cell>
          <cell r="F173">
            <v>5</v>
          </cell>
          <cell r="H173">
            <v>35.741120689655169</v>
          </cell>
          <cell r="I173">
            <v>36.69</v>
          </cell>
          <cell r="J173">
            <v>36.69</v>
          </cell>
          <cell r="K173">
            <v>35.741120689655169</v>
          </cell>
          <cell r="V173">
            <v>36.69</v>
          </cell>
          <cell r="W173">
            <v>35.741120689655169</v>
          </cell>
          <cell r="X173">
            <v>18.747</v>
          </cell>
        </row>
        <row r="174">
          <cell r="B174" t="str">
            <v>Oct-2003</v>
          </cell>
          <cell r="C174">
            <v>30.303999999999998</v>
          </cell>
          <cell r="D174">
            <v>55.314999999999998</v>
          </cell>
          <cell r="E174">
            <v>38.451000000000001</v>
          </cell>
          <cell r="F174">
            <v>4.51</v>
          </cell>
          <cell r="H174">
            <v>38.339784827586207</v>
          </cell>
          <cell r="I174">
            <v>33.094380000000001</v>
          </cell>
          <cell r="J174">
            <v>38.339784827586207</v>
          </cell>
          <cell r="K174">
            <v>33.094380000000001</v>
          </cell>
          <cell r="V174">
            <v>38.339784827586207</v>
          </cell>
          <cell r="W174">
            <v>33.094380000000001</v>
          </cell>
          <cell r="X174">
            <v>19.762</v>
          </cell>
        </row>
        <row r="175">
          <cell r="B175" t="str">
            <v>Nov-2003</v>
          </cell>
          <cell r="C175">
            <v>31.06</v>
          </cell>
          <cell r="D175">
            <v>54.454999999999998</v>
          </cell>
          <cell r="E175">
            <v>37.99</v>
          </cell>
          <cell r="F175">
            <v>4.5199999999999996</v>
          </cell>
          <cell r="H175">
            <v>39.296255172413794</v>
          </cell>
          <cell r="I175">
            <v>33.167760000000001</v>
          </cell>
          <cell r="J175">
            <v>39.296255172413794</v>
          </cell>
          <cell r="K175">
            <v>33.167760000000001</v>
          </cell>
          <cell r="V175">
            <v>39.296255172413794</v>
          </cell>
          <cell r="W175">
            <v>33.167760000000001</v>
          </cell>
          <cell r="X175">
            <v>19.577999999999999</v>
          </cell>
        </row>
        <row r="176">
          <cell r="B176" t="str">
            <v>Dec-2003</v>
          </cell>
          <cell r="C176">
            <v>32.14</v>
          </cell>
          <cell r="D176">
            <v>62.731999999999999</v>
          </cell>
          <cell r="E176">
            <v>44.429000000000002</v>
          </cell>
          <cell r="F176">
            <v>4.9000000000000004</v>
          </cell>
          <cell r="H176">
            <v>40.662641379310351</v>
          </cell>
          <cell r="I176">
            <v>35.956200000000003</v>
          </cell>
          <cell r="J176">
            <v>40.662641379310351</v>
          </cell>
          <cell r="K176">
            <v>35.956200000000003</v>
          </cell>
          <cell r="V176">
            <v>40.662641379310351</v>
          </cell>
          <cell r="W176">
            <v>35.956200000000003</v>
          </cell>
          <cell r="X176">
            <v>22.414000000000001</v>
          </cell>
        </row>
        <row r="177">
          <cell r="B177" t="str">
            <v>Jan-2004</v>
          </cell>
          <cell r="C177">
            <v>34.24</v>
          </cell>
          <cell r="D177">
            <v>73.674000000000007</v>
          </cell>
          <cell r="E177">
            <v>48.079000000000001</v>
          </cell>
          <cell r="F177">
            <v>6.1550000000000002</v>
          </cell>
          <cell r="H177">
            <v>43.319503448275867</v>
          </cell>
          <cell r="I177">
            <v>45.165390000000002</v>
          </cell>
          <cell r="J177">
            <v>45.165390000000002</v>
          </cell>
          <cell r="K177">
            <v>43.319503448275867</v>
          </cell>
          <cell r="V177">
            <v>45.165390000000002</v>
          </cell>
          <cell r="W177">
            <v>43.319503448275867</v>
          </cell>
          <cell r="X177">
            <v>24.364999999999998</v>
          </cell>
        </row>
        <row r="178">
          <cell r="B178" t="str">
            <v>Feb-2004</v>
          </cell>
          <cell r="C178">
            <v>34.744</v>
          </cell>
          <cell r="D178">
            <v>65.655000000000001</v>
          </cell>
          <cell r="E178">
            <v>39.734000000000002</v>
          </cell>
          <cell r="F178">
            <v>5.71</v>
          </cell>
          <cell r="H178">
            <v>43.957150344827582</v>
          </cell>
          <cell r="I178">
            <v>41.899980000000006</v>
          </cell>
          <cell r="J178">
            <v>43.957150344827582</v>
          </cell>
          <cell r="K178">
            <v>41.899980000000006</v>
          </cell>
          <cell r="V178">
            <v>43.957150344827582</v>
          </cell>
          <cell r="W178">
            <v>41.899980000000006</v>
          </cell>
          <cell r="X178">
            <v>20.454999999999998</v>
          </cell>
        </row>
        <row r="179">
          <cell r="B179" t="str">
            <v>Mar-2004</v>
          </cell>
          <cell r="C179">
            <v>36.715000000000003</v>
          </cell>
          <cell r="D179">
            <v>58.622</v>
          </cell>
          <cell r="E179">
            <v>41.064999999999998</v>
          </cell>
          <cell r="F179">
            <v>5.15</v>
          </cell>
          <cell r="H179">
            <v>46.450805172413794</v>
          </cell>
          <cell r="I179">
            <v>37.790700000000008</v>
          </cell>
          <cell r="J179">
            <v>46.450805172413794</v>
          </cell>
          <cell r="K179">
            <v>37.790700000000008</v>
          </cell>
          <cell r="V179">
            <v>46.450805172413794</v>
          </cell>
          <cell r="W179">
            <v>37.790700000000008</v>
          </cell>
          <cell r="X179">
            <v>20.747</v>
          </cell>
        </row>
        <row r="180">
          <cell r="B180" t="str">
            <v>Apr-2004</v>
          </cell>
          <cell r="C180">
            <v>36.69</v>
          </cell>
          <cell r="D180">
            <v>60.628</v>
          </cell>
          <cell r="E180">
            <v>41.875</v>
          </cell>
          <cell r="F180">
            <v>5.44</v>
          </cell>
          <cell r="H180">
            <v>46.419175862068961</v>
          </cell>
          <cell r="I180">
            <v>39.91872</v>
          </cell>
          <cell r="J180">
            <v>46.419175862068961</v>
          </cell>
          <cell r="K180">
            <v>39.91872</v>
          </cell>
          <cell r="V180">
            <v>46.419175862068961</v>
          </cell>
          <cell r="W180">
            <v>39.91872</v>
          </cell>
          <cell r="X180">
            <v>21.039000000000001</v>
          </cell>
        </row>
        <row r="181">
          <cell r="B181" t="str">
            <v>May-2004</v>
          </cell>
          <cell r="C181">
            <v>40.238999999999997</v>
          </cell>
          <cell r="D181">
            <v>67.644000000000005</v>
          </cell>
          <cell r="E181">
            <v>46.756</v>
          </cell>
          <cell r="F181">
            <v>5.9749999999999996</v>
          </cell>
          <cell r="H181">
            <v>50.909272758620681</v>
          </cell>
          <cell r="I181">
            <v>43.844549999999998</v>
          </cell>
          <cell r="J181">
            <v>50.909272758620681</v>
          </cell>
          <cell r="K181">
            <v>43.844549999999998</v>
          </cell>
          <cell r="V181">
            <v>50.909272758620681</v>
          </cell>
          <cell r="W181">
            <v>43.844549999999998</v>
          </cell>
          <cell r="X181">
            <v>23.207000000000001</v>
          </cell>
        </row>
        <row r="182">
          <cell r="B182" t="str">
            <v>Jun-2004</v>
          </cell>
          <cell r="C182">
            <v>37.996000000000002</v>
          </cell>
          <cell r="D182">
            <v>67.085999999999999</v>
          </cell>
          <cell r="E182">
            <v>47.36</v>
          </cell>
          <cell r="F182">
            <v>6.75</v>
          </cell>
          <cell r="H182">
            <v>48.071491034482762</v>
          </cell>
          <cell r="I182">
            <v>49.531500000000001</v>
          </cell>
          <cell r="J182">
            <v>49.531500000000001</v>
          </cell>
          <cell r="K182">
            <v>48.071491034482762</v>
          </cell>
          <cell r="V182">
            <v>49.531500000000001</v>
          </cell>
          <cell r="W182">
            <v>48.071491034482762</v>
          </cell>
          <cell r="X182">
            <v>23.736999999999998</v>
          </cell>
        </row>
        <row r="183">
          <cell r="B183" t="str">
            <v>Jul-2004</v>
          </cell>
          <cell r="C183">
            <v>40.789000000000001</v>
          </cell>
          <cell r="D183">
            <v>74.207999999999998</v>
          </cell>
          <cell r="E183">
            <v>50.03</v>
          </cell>
          <cell r="F183">
            <v>6.2249999999999996</v>
          </cell>
          <cell r="H183">
            <v>51.605117586206909</v>
          </cell>
          <cell r="I183">
            <v>45.679049999999997</v>
          </cell>
          <cell r="J183">
            <v>51.605117586206909</v>
          </cell>
          <cell r="K183">
            <v>45.679049999999997</v>
          </cell>
          <cell r="V183">
            <v>51.605117586206909</v>
          </cell>
          <cell r="W183">
            <v>45.679049999999997</v>
          </cell>
          <cell r="X183">
            <v>24.565000000000001</v>
          </cell>
        </row>
        <row r="184">
          <cell r="B184" t="str">
            <v>Aug-2004</v>
          </cell>
          <cell r="C184">
            <v>44.896999999999998</v>
          </cell>
          <cell r="D184">
            <v>83.775999999999996</v>
          </cell>
          <cell r="E184">
            <v>55.381</v>
          </cell>
          <cell r="F184">
            <v>6.1</v>
          </cell>
          <cell r="H184">
            <v>56.802445862068971</v>
          </cell>
          <cell r="I184">
            <v>44.761800000000001</v>
          </cell>
          <cell r="J184">
            <v>56.802445862068971</v>
          </cell>
          <cell r="K184">
            <v>44.761800000000001</v>
          </cell>
          <cell r="V184">
            <v>56.802445862068971</v>
          </cell>
          <cell r="W184">
            <v>44.761800000000001</v>
          </cell>
          <cell r="X184">
            <v>26.744</v>
          </cell>
        </row>
        <row r="185">
          <cell r="B185" t="str">
            <v>Sep-2004</v>
          </cell>
          <cell r="C185">
            <v>45.9</v>
          </cell>
          <cell r="D185">
            <v>80.012</v>
          </cell>
          <cell r="E185">
            <v>51.411000000000001</v>
          </cell>
          <cell r="F185">
            <v>5.1449999999999996</v>
          </cell>
          <cell r="H185">
            <v>58.071413793103446</v>
          </cell>
          <cell r="I185">
            <v>37.754010000000001</v>
          </cell>
          <cell r="J185">
            <v>58.071413793103446</v>
          </cell>
          <cell r="K185">
            <v>37.754010000000001</v>
          </cell>
          <cell r="V185">
            <v>58.071413793103446</v>
          </cell>
          <cell r="W185">
            <v>37.754010000000001</v>
          </cell>
          <cell r="X185">
            <v>24.6</v>
          </cell>
        </row>
        <row r="186">
          <cell r="B186" t="str">
            <v>Oct-2004</v>
          </cell>
          <cell r="C186">
            <v>53.238999999999997</v>
          </cell>
          <cell r="D186">
            <v>90.451999999999998</v>
          </cell>
          <cell r="E186">
            <v>61.69</v>
          </cell>
          <cell r="F186">
            <v>5.69</v>
          </cell>
          <cell r="H186">
            <v>67.356514137931029</v>
          </cell>
          <cell r="I186">
            <v>41.753219999999999</v>
          </cell>
          <cell r="J186">
            <v>67.356514137931029</v>
          </cell>
          <cell r="K186">
            <v>41.753219999999999</v>
          </cell>
          <cell r="V186">
            <v>67.356514137931029</v>
          </cell>
          <cell r="W186">
            <v>41.753219999999999</v>
          </cell>
          <cell r="X186">
            <v>29.084</v>
          </cell>
        </row>
        <row r="187">
          <cell r="B187" t="str">
            <v>Nov-2004</v>
          </cell>
          <cell r="C187">
            <v>48.436</v>
          </cell>
          <cell r="D187">
            <v>86.269000000000005</v>
          </cell>
          <cell r="E187">
            <v>64.974999999999994</v>
          </cell>
          <cell r="F187">
            <v>7.64</v>
          </cell>
          <cell r="H187">
            <v>61.279891034482759</v>
          </cell>
          <cell r="I187">
            <v>56.06232</v>
          </cell>
          <cell r="J187">
            <v>61.279891034482759</v>
          </cell>
          <cell r="K187">
            <v>56.06232</v>
          </cell>
          <cell r="V187">
            <v>61.279891034482759</v>
          </cell>
          <cell r="W187">
            <v>56.06232</v>
          </cell>
          <cell r="X187">
            <v>31.062999999999999</v>
          </cell>
        </row>
        <row r="188">
          <cell r="B188" t="str">
            <v>Dec-2004</v>
          </cell>
          <cell r="C188">
            <v>43.197000000000003</v>
          </cell>
          <cell r="D188">
            <v>77.522999999999996</v>
          </cell>
          <cell r="E188">
            <v>54.134</v>
          </cell>
          <cell r="F188">
            <v>7.42</v>
          </cell>
          <cell r="H188">
            <v>54.651652758620692</v>
          </cell>
          <cell r="I188">
            <v>54.447960000000009</v>
          </cell>
          <cell r="J188">
            <v>54.651652758620692</v>
          </cell>
          <cell r="K188">
            <v>54.447960000000009</v>
          </cell>
          <cell r="V188">
            <v>54.651652758620692</v>
          </cell>
          <cell r="W188">
            <v>54.447960000000009</v>
          </cell>
          <cell r="X188">
            <v>26.367000000000001</v>
          </cell>
        </row>
        <row r="189">
          <cell r="B189" t="str">
            <v>Jan-2005</v>
          </cell>
          <cell r="C189">
            <v>46.829000000000001</v>
          </cell>
          <cell r="D189">
            <v>73.575000000000003</v>
          </cell>
          <cell r="E189">
            <v>49.671999999999997</v>
          </cell>
          <cell r="F189">
            <v>6.14</v>
          </cell>
          <cell r="H189">
            <v>59.246758965517245</v>
          </cell>
          <cell r="I189">
            <v>45.055320000000002</v>
          </cell>
          <cell r="J189">
            <v>59.246758965517245</v>
          </cell>
          <cell r="K189">
            <v>45.055320000000002</v>
          </cell>
          <cell r="V189">
            <v>59.246758965517245</v>
          </cell>
          <cell r="W189">
            <v>45.055320000000002</v>
          </cell>
          <cell r="X189">
            <v>24.155999999999999</v>
          </cell>
        </row>
        <row r="190">
          <cell r="B190" t="str">
            <v>Feb-2005</v>
          </cell>
          <cell r="C190">
            <v>47.94</v>
          </cell>
          <cell r="D190">
            <v>75.757000000000005</v>
          </cell>
          <cell r="E190">
            <v>50.5</v>
          </cell>
          <cell r="F190">
            <v>6.2</v>
          </cell>
          <cell r="H190">
            <v>60.652365517241378</v>
          </cell>
          <cell r="I190">
            <v>45.495599999999996</v>
          </cell>
          <cell r="J190">
            <v>60.652365517241378</v>
          </cell>
          <cell r="K190">
            <v>45.495599999999996</v>
          </cell>
          <cell r="V190">
            <v>60.652365517241378</v>
          </cell>
          <cell r="W190">
            <v>45.495599999999996</v>
          </cell>
          <cell r="X190">
            <v>24.396000000000001</v>
          </cell>
        </row>
        <row r="191">
          <cell r="B191" t="str">
            <v>Mar-2005</v>
          </cell>
          <cell r="C191">
            <v>54.331000000000003</v>
          </cell>
          <cell r="D191">
            <v>87.58</v>
          </cell>
          <cell r="E191">
            <v>56.386000000000003</v>
          </cell>
          <cell r="F191">
            <v>6.25</v>
          </cell>
          <cell r="H191">
            <v>68.738082413793109</v>
          </cell>
          <cell r="I191">
            <v>45.862499999999997</v>
          </cell>
          <cell r="J191">
            <v>68.738082413793109</v>
          </cell>
          <cell r="K191">
            <v>45.862499999999997</v>
          </cell>
          <cell r="V191">
            <v>68.738082413793109</v>
          </cell>
          <cell r="W191">
            <v>45.862499999999997</v>
          </cell>
          <cell r="X191">
            <v>26.768999999999998</v>
          </cell>
        </row>
        <row r="192">
          <cell r="B192" t="str">
            <v>Apr-2005</v>
          </cell>
          <cell r="C192">
            <v>52.89</v>
          </cell>
          <cell r="D192">
            <v>85.432000000000002</v>
          </cell>
          <cell r="E192">
            <v>56.122</v>
          </cell>
          <cell r="F192">
            <v>7.3049999999999997</v>
          </cell>
          <cell r="H192">
            <v>66.914968965517247</v>
          </cell>
          <cell r="I192">
            <v>53.604089999999992</v>
          </cell>
          <cell r="J192">
            <v>66.914968965517247</v>
          </cell>
          <cell r="K192">
            <v>53.604089999999992</v>
          </cell>
          <cell r="V192">
            <v>66.914968965517247</v>
          </cell>
          <cell r="W192">
            <v>53.604089999999992</v>
          </cell>
          <cell r="X192">
            <v>27.105</v>
          </cell>
        </row>
        <row r="193">
          <cell r="B193" t="str">
            <v>May-2005</v>
          </cell>
          <cell r="C193">
            <v>49.84</v>
          </cell>
          <cell r="D193">
            <v>79.557000000000002</v>
          </cell>
          <cell r="E193">
            <v>49.231999999999999</v>
          </cell>
          <cell r="F193">
            <v>6.8150000000000004</v>
          </cell>
          <cell r="H193">
            <v>63.056193103448287</v>
          </cell>
          <cell r="I193">
            <v>50.008470000000003</v>
          </cell>
          <cell r="J193">
            <v>63.056193103448287</v>
          </cell>
          <cell r="K193">
            <v>50.008470000000003</v>
          </cell>
          <cell r="V193">
            <v>63.056193103448287</v>
          </cell>
          <cell r="W193">
            <v>50.008470000000003</v>
          </cell>
          <cell r="X193">
            <v>24.280999999999999</v>
          </cell>
        </row>
        <row r="194">
          <cell r="B194" t="str">
            <v>Jun-2005</v>
          </cell>
          <cell r="C194">
            <v>56.174999999999997</v>
          </cell>
          <cell r="D194">
            <v>81.622</v>
          </cell>
          <cell r="E194">
            <v>51.676000000000002</v>
          </cell>
          <cell r="F194">
            <v>6.24</v>
          </cell>
          <cell r="H194">
            <v>71.071060344827586</v>
          </cell>
          <cell r="I194">
            <v>45.789120000000004</v>
          </cell>
          <cell r="J194">
            <v>71.071060344827586</v>
          </cell>
          <cell r="K194">
            <v>45.789120000000004</v>
          </cell>
          <cell r="V194">
            <v>71.071060344827586</v>
          </cell>
          <cell r="W194">
            <v>45.789120000000004</v>
          </cell>
          <cell r="X194">
            <v>25.280999999999999</v>
          </cell>
        </row>
        <row r="195">
          <cell r="B195" t="str">
            <v>Jul-2005</v>
          </cell>
          <cell r="C195">
            <v>58.679000000000002</v>
          </cell>
          <cell r="D195">
            <v>83.775000000000006</v>
          </cell>
          <cell r="E195">
            <v>54.459000000000003</v>
          </cell>
          <cell r="F195">
            <v>7.0650000000000004</v>
          </cell>
          <cell r="H195">
            <v>74.23905206896552</v>
          </cell>
          <cell r="I195">
            <v>51.842970000000001</v>
          </cell>
          <cell r="J195">
            <v>74.23905206896552</v>
          </cell>
          <cell r="K195">
            <v>51.842970000000001</v>
          </cell>
          <cell r="V195">
            <v>74.23905206896552</v>
          </cell>
          <cell r="W195">
            <v>51.842970000000001</v>
          </cell>
          <cell r="X195">
            <v>26.93</v>
          </cell>
        </row>
        <row r="196">
          <cell r="B196" t="str">
            <v>Aug-2005</v>
          </cell>
          <cell r="C196">
            <v>64.307000000000002</v>
          </cell>
          <cell r="D196">
            <v>93.668000000000006</v>
          </cell>
          <cell r="E196">
            <v>67.635999999999996</v>
          </cell>
          <cell r="F196">
            <v>7.6449999999999996</v>
          </cell>
          <cell r="H196">
            <v>81.359442413793104</v>
          </cell>
          <cell r="I196">
            <v>56.099009999999993</v>
          </cell>
          <cell r="J196">
            <v>81.359442413793104</v>
          </cell>
          <cell r="K196">
            <v>56.099009999999993</v>
          </cell>
          <cell r="V196">
            <v>81.359442413793104</v>
          </cell>
          <cell r="W196">
            <v>56.099009999999993</v>
          </cell>
          <cell r="X196">
            <v>32.610999999999997</v>
          </cell>
        </row>
        <row r="197">
          <cell r="B197" t="str">
            <v>Sep-2005</v>
          </cell>
          <cell r="C197">
            <v>65.516000000000005</v>
          </cell>
          <cell r="D197">
            <v>112.765</v>
          </cell>
          <cell r="E197">
            <v>84.158000000000001</v>
          </cell>
          <cell r="F197">
            <v>10.47</v>
          </cell>
          <cell r="H197">
            <v>82.88903586206898</v>
          </cell>
          <cell r="I197">
            <v>76.828860000000006</v>
          </cell>
          <cell r="J197">
            <v>82.88903586206898</v>
          </cell>
          <cell r="K197">
            <v>76.828860000000006</v>
          </cell>
          <cell r="V197">
            <v>82.88903586206898</v>
          </cell>
          <cell r="W197">
            <v>76.828860000000006</v>
          </cell>
          <cell r="X197">
            <v>40.332999999999998</v>
          </cell>
        </row>
        <row r="198">
          <cell r="B198" t="str">
            <v>Oct-2005</v>
          </cell>
          <cell r="C198">
            <v>62.279000000000003</v>
          </cell>
          <cell r="D198">
            <v>113.357</v>
          </cell>
          <cell r="E198">
            <v>82.460999999999999</v>
          </cell>
          <cell r="F198">
            <v>12.69</v>
          </cell>
          <cell r="H198">
            <v>78.793672758620701</v>
          </cell>
          <cell r="I198">
            <v>93.119219999999984</v>
          </cell>
          <cell r="J198">
            <v>93.119219999999984</v>
          </cell>
          <cell r="K198">
            <v>78.793672758620701</v>
          </cell>
          <cell r="V198">
            <v>93.119219999999984</v>
          </cell>
          <cell r="W198">
            <v>78.793672758620701</v>
          </cell>
          <cell r="X198">
            <v>40.558999999999997</v>
          </cell>
        </row>
        <row r="199">
          <cell r="B199" t="str">
            <v>Nov-2005</v>
          </cell>
          <cell r="C199">
            <v>58.271000000000001</v>
          </cell>
          <cell r="D199">
            <v>99.631</v>
          </cell>
          <cell r="E199">
            <v>69.825000000000003</v>
          </cell>
          <cell r="F199">
            <v>12.79</v>
          </cell>
          <cell r="H199">
            <v>73.722861724137928</v>
          </cell>
          <cell r="I199">
            <v>93.853020000000001</v>
          </cell>
          <cell r="J199">
            <v>93.853020000000001</v>
          </cell>
          <cell r="K199">
            <v>73.722861724137928</v>
          </cell>
          <cell r="V199">
            <v>93.853020000000001</v>
          </cell>
          <cell r="W199">
            <v>73.722861724137928</v>
          </cell>
          <cell r="X199">
            <v>35.415999999999997</v>
          </cell>
        </row>
        <row r="200">
          <cell r="B200" t="str">
            <v>Dec-2005</v>
          </cell>
          <cell r="C200">
            <v>59.405999999999999</v>
          </cell>
          <cell r="D200">
            <v>105.455</v>
          </cell>
          <cell r="E200">
            <v>76.344999999999999</v>
          </cell>
          <cell r="F200">
            <v>9.7949999999999999</v>
          </cell>
          <cell r="H200">
            <v>75.158832413793107</v>
          </cell>
          <cell r="I200">
            <v>71.875709999999998</v>
          </cell>
          <cell r="J200">
            <v>75.158832413793107</v>
          </cell>
          <cell r="K200">
            <v>71.875709999999998</v>
          </cell>
          <cell r="V200">
            <v>75.158832413793107</v>
          </cell>
          <cell r="W200">
            <v>71.875709999999998</v>
          </cell>
          <cell r="X200">
            <v>37.302</v>
          </cell>
        </row>
        <row r="201">
          <cell r="B201" t="str">
            <v>Jan-2006</v>
          </cell>
          <cell r="C201">
            <v>65.391999999999996</v>
          </cell>
          <cell r="D201">
            <v>99.084000000000003</v>
          </cell>
          <cell r="E201">
            <v>63.009</v>
          </cell>
          <cell r="F201">
            <v>10.275</v>
          </cell>
          <cell r="H201">
            <v>82.732154482758617</v>
          </cell>
          <cell r="I201">
            <v>75.397950000000009</v>
          </cell>
          <cell r="J201">
            <v>82.732154482758617</v>
          </cell>
          <cell r="K201">
            <v>75.397950000000009</v>
          </cell>
          <cell r="V201">
            <v>82.732154482758617</v>
          </cell>
          <cell r="W201">
            <v>75.397950000000009</v>
          </cell>
          <cell r="X201">
            <v>30.853999999999999</v>
          </cell>
        </row>
        <row r="202">
          <cell r="B202" t="str">
            <v>Feb-2006</v>
          </cell>
          <cell r="C202">
            <v>61.570999999999998</v>
          </cell>
          <cell r="D202">
            <v>92.03</v>
          </cell>
          <cell r="E202">
            <v>52.920999999999999</v>
          </cell>
          <cell r="F202">
            <v>7.915</v>
          </cell>
          <cell r="H202">
            <v>77.897930689655169</v>
          </cell>
          <cell r="I202">
            <v>58.080269999999999</v>
          </cell>
          <cell r="J202">
            <v>77.897930689655169</v>
          </cell>
          <cell r="K202">
            <v>58.080269999999999</v>
          </cell>
          <cell r="V202">
            <v>77.897930689655169</v>
          </cell>
          <cell r="W202">
            <v>58.080269999999999</v>
          </cell>
          <cell r="X202">
            <v>25.666</v>
          </cell>
        </row>
        <row r="203">
          <cell r="B203" t="str">
            <v>Mar-2006</v>
          </cell>
          <cell r="C203">
            <v>62.938000000000002</v>
          </cell>
          <cell r="D203">
            <v>92.16</v>
          </cell>
          <cell r="E203">
            <v>55.067999999999998</v>
          </cell>
          <cell r="F203">
            <v>6.98</v>
          </cell>
          <cell r="H203">
            <v>79.627421379310348</v>
          </cell>
          <cell r="I203">
            <v>51.219239999999999</v>
          </cell>
          <cell r="J203">
            <v>79.627421379310348</v>
          </cell>
          <cell r="K203">
            <v>51.219239999999999</v>
          </cell>
          <cell r="V203">
            <v>79.627421379310348</v>
          </cell>
          <cell r="W203">
            <v>51.219239999999999</v>
          </cell>
          <cell r="X203">
            <v>26.157</v>
          </cell>
        </row>
        <row r="204">
          <cell r="B204" t="str">
            <v>Apr-2006</v>
          </cell>
          <cell r="C204">
            <v>69.569999999999993</v>
          </cell>
          <cell r="D204">
            <v>101.283</v>
          </cell>
          <cell r="E204">
            <v>65.216999999999999</v>
          </cell>
          <cell r="F204">
            <v>7.0650000000000004</v>
          </cell>
          <cell r="H204">
            <v>88.018044827586209</v>
          </cell>
          <cell r="I204">
            <v>51.842970000000001</v>
          </cell>
          <cell r="J204">
            <v>88.018044827586209</v>
          </cell>
          <cell r="K204">
            <v>51.842970000000001</v>
          </cell>
          <cell r="V204">
            <v>88.018044827586209</v>
          </cell>
          <cell r="W204">
            <v>51.842970000000001</v>
          </cell>
          <cell r="X204">
            <v>30.414000000000001</v>
          </cell>
        </row>
        <row r="205">
          <cell r="B205" t="str">
            <v>May-2006</v>
          </cell>
          <cell r="C205">
            <v>70.867000000000004</v>
          </cell>
          <cell r="D205">
            <v>103.852</v>
          </cell>
          <cell r="E205">
            <v>67.721999999999994</v>
          </cell>
          <cell r="F205">
            <v>7.0449999999999999</v>
          </cell>
          <cell r="H205">
            <v>89.658973448275873</v>
          </cell>
          <cell r="I205">
            <v>51.696210000000001</v>
          </cell>
          <cell r="J205">
            <v>89.658973448275873</v>
          </cell>
          <cell r="K205">
            <v>51.696210000000001</v>
          </cell>
          <cell r="V205">
            <v>89.658973448275873</v>
          </cell>
          <cell r="W205">
            <v>51.696210000000001</v>
          </cell>
          <cell r="X205">
            <v>31.437000000000001</v>
          </cell>
        </row>
        <row r="206">
          <cell r="B206" t="str">
            <v>Jun-2006</v>
          </cell>
          <cell r="C206">
            <v>70.875</v>
          </cell>
          <cell r="D206">
            <v>109.438</v>
          </cell>
          <cell r="E206">
            <v>70.334999999999994</v>
          </cell>
          <cell r="F206">
            <v>5.93</v>
          </cell>
          <cell r="H206">
            <v>89.669094827586207</v>
          </cell>
          <cell r="I206">
            <v>43.514340000000004</v>
          </cell>
          <cell r="J206">
            <v>89.669094827586207</v>
          </cell>
          <cell r="K206">
            <v>43.514340000000004</v>
          </cell>
          <cell r="V206">
            <v>89.669094827586207</v>
          </cell>
          <cell r="W206">
            <v>43.514340000000004</v>
          </cell>
          <cell r="X206">
            <v>32.017000000000003</v>
          </cell>
        </row>
        <row r="207">
          <cell r="B207" t="str">
            <v>Jul-2006</v>
          </cell>
          <cell r="C207">
            <v>74.381</v>
          </cell>
          <cell r="D207">
            <v>115.875</v>
          </cell>
          <cell r="E207">
            <v>83.918000000000006</v>
          </cell>
          <cell r="F207">
            <v>5.8849999999999998</v>
          </cell>
          <cell r="H207">
            <v>94.104789310344827</v>
          </cell>
          <cell r="I207">
            <v>43.184129999999996</v>
          </cell>
          <cell r="J207">
            <v>94.104789310344827</v>
          </cell>
          <cell r="K207">
            <v>43.184129999999996</v>
          </cell>
          <cell r="V207">
            <v>94.104789310344827</v>
          </cell>
          <cell r="W207">
            <v>43.184129999999996</v>
          </cell>
          <cell r="X207">
            <v>37.79</v>
          </cell>
        </row>
        <row r="208">
          <cell r="B208" t="str">
            <v>Aug-2006</v>
          </cell>
          <cell r="C208">
            <v>73.007000000000005</v>
          </cell>
          <cell r="D208">
            <v>113.071</v>
          </cell>
          <cell r="E208">
            <v>79.227999999999994</v>
          </cell>
          <cell r="F208">
            <v>6.99</v>
          </cell>
          <cell r="H208">
            <v>92.366442413793109</v>
          </cell>
          <cell r="I208">
            <v>51.292619999999999</v>
          </cell>
          <cell r="J208">
            <v>92.366442413793109</v>
          </cell>
          <cell r="K208">
            <v>51.292619999999999</v>
          </cell>
          <cell r="V208">
            <v>92.366442413793109</v>
          </cell>
          <cell r="W208">
            <v>51.292619999999999</v>
          </cell>
          <cell r="X208">
            <v>36.162999999999997</v>
          </cell>
        </row>
        <row r="209">
          <cell r="B209" t="str">
            <v>Sep-2006</v>
          </cell>
          <cell r="C209">
            <v>63.738999999999997</v>
          </cell>
          <cell r="D209">
            <v>100.64700000000001</v>
          </cell>
          <cell r="E209">
            <v>64.191000000000003</v>
          </cell>
          <cell r="F209">
            <v>6.73</v>
          </cell>
          <cell r="H209">
            <v>80.640824482758617</v>
          </cell>
          <cell r="I209">
            <v>49.384740000000008</v>
          </cell>
          <cell r="J209">
            <v>80.640824482758617</v>
          </cell>
          <cell r="K209">
            <v>49.384740000000008</v>
          </cell>
          <cell r="V209">
            <v>80.640824482758617</v>
          </cell>
          <cell r="W209">
            <v>49.384740000000008</v>
          </cell>
          <cell r="X209">
            <v>29.762</v>
          </cell>
        </row>
        <row r="210">
          <cell r="B210" t="str">
            <v>Oct-2006</v>
          </cell>
          <cell r="C210">
            <v>58.82</v>
          </cell>
          <cell r="D210">
            <v>92.884</v>
          </cell>
          <cell r="E210">
            <v>62.405999999999999</v>
          </cell>
          <cell r="F210">
            <v>4.1849999999999996</v>
          </cell>
          <cell r="H210">
            <v>74.417441379310347</v>
          </cell>
          <cell r="I210">
            <v>30.709529999999997</v>
          </cell>
          <cell r="J210">
            <v>74.417441379310347</v>
          </cell>
          <cell r="K210">
            <v>30.709529999999997</v>
          </cell>
          <cell r="V210">
            <v>74.417441379310347</v>
          </cell>
          <cell r="W210">
            <v>30.709529999999997</v>
          </cell>
          <cell r="X210">
            <v>28.279</v>
          </cell>
        </row>
        <row r="211">
          <cell r="B211" t="str">
            <v>Nov-2006</v>
          </cell>
          <cell r="C211">
            <v>59.027000000000001</v>
          </cell>
          <cell r="D211">
            <v>94.444000000000003</v>
          </cell>
          <cell r="E211">
            <v>59.787999999999997</v>
          </cell>
          <cell r="F211">
            <v>7.13</v>
          </cell>
          <cell r="H211">
            <v>74.679332068965508</v>
          </cell>
          <cell r="I211">
            <v>52.319939999999995</v>
          </cell>
          <cell r="J211">
            <v>74.679332068965508</v>
          </cell>
          <cell r="K211">
            <v>52.319939999999995</v>
          </cell>
          <cell r="V211">
            <v>74.679332068965508</v>
          </cell>
          <cell r="W211">
            <v>52.319939999999995</v>
          </cell>
          <cell r="X211">
            <v>28.388000000000002</v>
          </cell>
        </row>
        <row r="212">
          <cell r="B212" t="str">
            <v>Dec-2006</v>
          </cell>
          <cell r="C212">
            <v>61.957999999999998</v>
          </cell>
          <cell r="D212">
            <v>96.340999999999994</v>
          </cell>
          <cell r="E212">
            <v>63.027999999999999</v>
          </cell>
          <cell r="F212">
            <v>8.0649999999999995</v>
          </cell>
          <cell r="H212">
            <v>78.387552413793102</v>
          </cell>
          <cell r="I212">
            <v>59.180970000000002</v>
          </cell>
          <cell r="J212">
            <v>78.387552413793102</v>
          </cell>
          <cell r="K212">
            <v>59.180970000000002</v>
          </cell>
          <cell r="V212">
            <v>78.387552413793102</v>
          </cell>
          <cell r="W212">
            <v>59.180970000000002</v>
          </cell>
          <cell r="X212">
            <v>30.143999999999998</v>
          </cell>
        </row>
        <row r="213">
          <cell r="B213" t="str">
            <v>Jan-2007</v>
          </cell>
          <cell r="C213">
            <v>54.17</v>
          </cell>
          <cell r="D213">
            <v>89.144000000000005</v>
          </cell>
          <cell r="E213">
            <v>55.433999999999997</v>
          </cell>
          <cell r="F213">
            <v>5.79</v>
          </cell>
          <cell r="H213">
            <v>68.534389655172419</v>
          </cell>
          <cell r="I213">
            <v>42.487020000000001</v>
          </cell>
          <cell r="J213">
            <v>68.534389655172419</v>
          </cell>
          <cell r="K213">
            <v>42.487020000000001</v>
          </cell>
          <cell r="V213">
            <v>68.534389655172419</v>
          </cell>
          <cell r="W213">
            <v>42.487020000000001</v>
          </cell>
          <cell r="X213">
            <v>26.141999999999999</v>
          </cell>
        </row>
        <row r="214">
          <cell r="B214" t="str">
            <v>Feb-2007</v>
          </cell>
          <cell r="C214">
            <v>59.201000000000001</v>
          </cell>
          <cell r="D214">
            <v>97.569000000000003</v>
          </cell>
          <cell r="E214">
            <v>59.085999999999999</v>
          </cell>
          <cell r="F214">
            <v>6.95</v>
          </cell>
          <cell r="H214">
            <v>74.899472068965537</v>
          </cell>
          <cell r="I214">
            <v>50.999099999999999</v>
          </cell>
          <cell r="J214">
            <v>74.899472068965537</v>
          </cell>
          <cell r="K214">
            <v>50.999099999999999</v>
          </cell>
          <cell r="V214">
            <v>74.899472068965537</v>
          </cell>
          <cell r="W214">
            <v>50.999099999999999</v>
          </cell>
          <cell r="X214">
            <v>27.963000000000001</v>
          </cell>
        </row>
        <row r="215">
          <cell r="B215" t="str">
            <v>Mar-2007</v>
          </cell>
          <cell r="C215">
            <v>60.692999999999998</v>
          </cell>
          <cell r="D215">
            <v>103.40900000000001</v>
          </cell>
          <cell r="E215">
            <v>62.454999999999998</v>
          </cell>
          <cell r="F215">
            <v>7.46</v>
          </cell>
          <cell r="H215">
            <v>76.787109310344832</v>
          </cell>
          <cell r="I215">
            <v>54.741479999999996</v>
          </cell>
          <cell r="J215">
            <v>76.787109310344832</v>
          </cell>
          <cell r="K215">
            <v>54.741479999999996</v>
          </cell>
          <cell r="V215">
            <v>76.787109310344832</v>
          </cell>
          <cell r="W215">
            <v>54.741479999999996</v>
          </cell>
          <cell r="X215">
            <v>29.384</v>
          </cell>
        </row>
        <row r="216">
          <cell r="B216" t="str">
            <v>Apr-2007</v>
          </cell>
          <cell r="C216">
            <v>63.844999999999999</v>
          </cell>
          <cell r="D216">
            <v>109.825</v>
          </cell>
          <cell r="E216">
            <v>68.459000000000003</v>
          </cell>
          <cell r="F216">
            <v>7.3849999999999998</v>
          </cell>
          <cell r="H216">
            <v>80.774932758620693</v>
          </cell>
          <cell r="I216">
            <v>54.191130000000001</v>
          </cell>
          <cell r="J216">
            <v>80.774932758620693</v>
          </cell>
          <cell r="K216">
            <v>54.191130000000001</v>
          </cell>
          <cell r="V216">
            <v>80.774932758620693</v>
          </cell>
          <cell r="W216">
            <v>54.191130000000001</v>
          </cell>
          <cell r="X216">
            <v>31.617000000000001</v>
          </cell>
        </row>
        <row r="217">
          <cell r="B217" t="str">
            <v>May-2007</v>
          </cell>
          <cell r="C217">
            <v>63.405000000000001</v>
          </cell>
          <cell r="D217">
            <v>114.795</v>
          </cell>
          <cell r="E217">
            <v>74.525999999999996</v>
          </cell>
          <cell r="F217">
            <v>7.54</v>
          </cell>
          <cell r="H217">
            <v>80.218256896551736</v>
          </cell>
          <cell r="I217">
            <v>55.328520000000005</v>
          </cell>
          <cell r="J217">
            <v>80.218256896551736</v>
          </cell>
          <cell r="K217">
            <v>55.328520000000005</v>
          </cell>
          <cell r="V217">
            <v>80.218256896551736</v>
          </cell>
          <cell r="W217">
            <v>55.328520000000005</v>
          </cell>
          <cell r="X217">
            <v>34.204999999999998</v>
          </cell>
        </row>
        <row r="218">
          <cell r="B218" t="str">
            <v>Jun-2007</v>
          </cell>
          <cell r="C218">
            <v>67.436000000000007</v>
          </cell>
          <cell r="D218">
            <v>113.565</v>
          </cell>
          <cell r="E218">
            <v>73.869</v>
          </cell>
          <cell r="F218">
            <v>7.665</v>
          </cell>
          <cell r="H218">
            <v>85.31816689655173</v>
          </cell>
          <cell r="I218">
            <v>56.245770000000007</v>
          </cell>
          <cell r="J218">
            <v>85.31816689655173</v>
          </cell>
          <cell r="K218">
            <v>56.245770000000007</v>
          </cell>
          <cell r="V218">
            <v>85.31816689655173</v>
          </cell>
          <cell r="W218">
            <v>56.245770000000007</v>
          </cell>
          <cell r="X218">
            <v>34.042999999999999</v>
          </cell>
        </row>
        <row r="219">
          <cell r="B219" t="str">
            <v>Jul-2007</v>
          </cell>
          <cell r="C219">
            <v>74.100999999999999</v>
          </cell>
          <cell r="D219">
            <v>118.869</v>
          </cell>
          <cell r="E219">
            <v>76.372</v>
          </cell>
          <cell r="F219">
            <v>6.95</v>
          </cell>
          <cell r="H219">
            <v>93.750541034482765</v>
          </cell>
          <cell r="I219">
            <v>50.999099999999999</v>
          </cell>
          <cell r="J219">
            <v>93.750541034482765</v>
          </cell>
          <cell r="K219">
            <v>50.999099999999999</v>
          </cell>
          <cell r="V219">
            <v>93.750541034482765</v>
          </cell>
          <cell r="W219">
            <v>50.999099999999999</v>
          </cell>
          <cell r="X219">
            <v>34.929000000000002</v>
          </cell>
        </row>
        <row r="220">
          <cell r="B220" t="str">
            <v>Aug-2007</v>
          </cell>
          <cell r="C220">
            <v>72.364999999999995</v>
          </cell>
          <cell r="D220">
            <v>118.685</v>
          </cell>
          <cell r="E220">
            <v>80.135999999999996</v>
          </cell>
          <cell r="F220">
            <v>6.0549999999999997</v>
          </cell>
          <cell r="H220">
            <v>91.55420172413794</v>
          </cell>
          <cell r="I220">
            <v>44.43159</v>
          </cell>
          <cell r="J220">
            <v>91.55420172413794</v>
          </cell>
          <cell r="K220">
            <v>44.43159</v>
          </cell>
          <cell r="V220">
            <v>91.55420172413794</v>
          </cell>
          <cell r="W220">
            <v>44.43159</v>
          </cell>
          <cell r="X220">
            <v>36.357999999999997</v>
          </cell>
        </row>
        <row r="221">
          <cell r="B221" t="str">
            <v>Sep-2007</v>
          </cell>
          <cell r="C221">
            <v>79.983999999999995</v>
          </cell>
          <cell r="D221">
            <v>129.25700000000001</v>
          </cell>
          <cell r="E221">
            <v>89.058999999999997</v>
          </cell>
          <cell r="F221">
            <v>5.4550000000000001</v>
          </cell>
          <cell r="H221">
            <v>101.19355034482757</v>
          </cell>
          <cell r="I221">
            <v>40.028790000000001</v>
          </cell>
          <cell r="J221">
            <v>101.19355034482757</v>
          </cell>
          <cell r="K221">
            <v>40.028790000000001</v>
          </cell>
          <cell r="V221">
            <v>101.19355034482757</v>
          </cell>
          <cell r="W221">
            <v>40.028790000000001</v>
          </cell>
          <cell r="X221">
            <v>40.273000000000003</v>
          </cell>
        </row>
        <row r="222">
          <cell r="B222" t="str">
            <v>Oct-2007</v>
          </cell>
          <cell r="C222">
            <v>85.873999999999995</v>
          </cell>
          <cell r="D222">
            <v>142.79599999999999</v>
          </cell>
          <cell r="E222">
            <v>99.722999999999999</v>
          </cell>
          <cell r="F222">
            <v>6.38</v>
          </cell>
          <cell r="H222">
            <v>108.64541586206897</v>
          </cell>
          <cell r="I222">
            <v>46.81644</v>
          </cell>
          <cell r="J222">
            <v>108.64541586206897</v>
          </cell>
          <cell r="K222">
            <v>46.81644</v>
          </cell>
          <cell r="V222">
            <v>108.64541586206897</v>
          </cell>
          <cell r="W222">
            <v>46.81644</v>
          </cell>
          <cell r="X222">
            <v>45.015999999999998</v>
          </cell>
        </row>
        <row r="223">
          <cell r="B223" t="str">
            <v>Nov-2007</v>
          </cell>
          <cell r="C223">
            <v>94.736999999999995</v>
          </cell>
          <cell r="D223">
            <v>156.08000000000001</v>
          </cell>
          <cell r="E223">
            <v>106.193</v>
          </cell>
          <cell r="F223">
            <v>7.2149999999999999</v>
          </cell>
          <cell r="H223">
            <v>119.85863896551723</v>
          </cell>
          <cell r="I223">
            <v>52.943669999999997</v>
          </cell>
          <cell r="J223">
            <v>119.85863896551723</v>
          </cell>
          <cell r="K223">
            <v>52.943669999999997</v>
          </cell>
          <cell r="V223">
            <v>119.85863896551723</v>
          </cell>
          <cell r="W223">
            <v>52.943669999999997</v>
          </cell>
          <cell r="X223">
            <v>47.698999999999998</v>
          </cell>
        </row>
        <row r="224">
          <cell r="B224" t="str">
            <v>Dec-2007</v>
          </cell>
          <cell r="C224">
            <v>91.364999999999995</v>
          </cell>
          <cell r="D224">
            <v>153.209</v>
          </cell>
          <cell r="E224">
            <v>107.26600000000001</v>
          </cell>
          <cell r="F224">
            <v>7.15</v>
          </cell>
          <cell r="H224">
            <v>115.59247758620688</v>
          </cell>
          <cell r="I224">
            <v>52.466700000000003</v>
          </cell>
          <cell r="J224">
            <v>115.59247758620688</v>
          </cell>
          <cell r="K224">
            <v>52.466700000000003</v>
          </cell>
          <cell r="V224">
            <v>115.59247758620688</v>
          </cell>
          <cell r="W224">
            <v>52.466700000000003</v>
          </cell>
          <cell r="X224">
            <v>48.052</v>
          </cell>
        </row>
        <row r="225">
          <cell r="B225" t="str">
            <v>Jan-2008</v>
          </cell>
          <cell r="C225">
            <v>92.98</v>
          </cell>
          <cell r="D225">
            <v>150.863</v>
          </cell>
          <cell r="E225">
            <v>111.485</v>
          </cell>
          <cell r="F225">
            <v>7.125</v>
          </cell>
          <cell r="H225">
            <v>117.63573103448275</v>
          </cell>
          <cell r="I225">
            <v>52.283250000000002</v>
          </cell>
          <cell r="J225">
            <v>117.63573103448275</v>
          </cell>
          <cell r="K225">
            <v>52.283250000000002</v>
          </cell>
          <cell r="V225">
            <v>117.63573103448275</v>
          </cell>
          <cell r="W225">
            <v>52.283250000000002</v>
          </cell>
          <cell r="X225">
            <v>49.923000000000002</v>
          </cell>
        </row>
        <row r="226">
          <cell r="B226" t="str">
            <v>Feb-2008</v>
          </cell>
          <cell r="C226">
            <v>95.393000000000001</v>
          </cell>
          <cell r="D226">
            <v>142.44399999999999</v>
          </cell>
          <cell r="E226">
            <v>95.418999999999997</v>
          </cell>
          <cell r="F226">
            <v>8.07</v>
          </cell>
          <cell r="H226">
            <v>120.68859206896552</v>
          </cell>
          <cell r="I226">
            <v>59.217660000000002</v>
          </cell>
          <cell r="J226">
            <v>120.68859206896552</v>
          </cell>
          <cell r="K226">
            <v>59.217660000000002</v>
          </cell>
          <cell r="V226">
            <v>120.68859206896552</v>
          </cell>
          <cell r="W226">
            <v>59.217660000000002</v>
          </cell>
          <cell r="X226">
            <v>43.424999999999997</v>
          </cell>
        </row>
        <row r="227">
          <cell r="B227" t="str">
            <v>Mar-2008</v>
          </cell>
          <cell r="C227">
            <v>105.24299999999999</v>
          </cell>
          <cell r="D227">
            <v>147.33799999999999</v>
          </cell>
          <cell r="E227">
            <v>96.974999999999994</v>
          </cell>
          <cell r="F227">
            <v>8.9849999999999994</v>
          </cell>
          <cell r="H227">
            <v>133.15054034482762</v>
          </cell>
          <cell r="I227">
            <v>65.931929999999994</v>
          </cell>
          <cell r="J227">
            <v>133.15054034482762</v>
          </cell>
          <cell r="K227">
            <v>65.931929999999994</v>
          </cell>
          <cell r="V227">
            <v>133.15054034482762</v>
          </cell>
          <cell r="W227">
            <v>65.931929999999994</v>
          </cell>
          <cell r="X227">
            <v>43.993000000000002</v>
          </cell>
        </row>
        <row r="228">
          <cell r="B228" t="str">
            <v>Apr-2008</v>
          </cell>
          <cell r="C228">
            <v>112.63200000000001</v>
          </cell>
          <cell r="D228">
            <v>158.53399999999999</v>
          </cell>
          <cell r="E228">
            <v>94.528000000000006</v>
          </cell>
          <cell r="F228">
            <v>9.5749999999999993</v>
          </cell>
          <cell r="H228">
            <v>142.49889931034483</v>
          </cell>
          <cell r="I228">
            <v>70.261349999999993</v>
          </cell>
          <cell r="J228">
            <v>142.49889931034483</v>
          </cell>
          <cell r="K228">
            <v>70.261349999999993</v>
          </cell>
          <cell r="V228">
            <v>142.49889931034483</v>
          </cell>
          <cell r="W228">
            <v>70.261349999999993</v>
          </cell>
          <cell r="X228">
            <v>42.707000000000001</v>
          </cell>
        </row>
        <row r="229">
          <cell r="B229" t="str">
            <v>May-2008</v>
          </cell>
          <cell r="C229">
            <v>125.38</v>
          </cell>
          <cell r="D229">
            <v>169.69</v>
          </cell>
          <cell r="E229">
            <v>97.070999999999998</v>
          </cell>
          <cell r="F229">
            <v>11.225</v>
          </cell>
          <cell r="H229">
            <v>158.62731724137927</v>
          </cell>
          <cell r="I229">
            <v>82.369050000000001</v>
          </cell>
          <cell r="J229">
            <v>158.62731724137927</v>
          </cell>
          <cell r="K229">
            <v>82.369050000000001</v>
          </cell>
          <cell r="V229">
            <v>158.62731724137927</v>
          </cell>
          <cell r="W229">
            <v>82.369050000000001</v>
          </cell>
          <cell r="X229">
            <v>44.084000000000003</v>
          </cell>
        </row>
        <row r="230">
          <cell r="B230" t="str">
            <v>Jun-2008</v>
          </cell>
          <cell r="C230">
            <v>133.93299999999999</v>
          </cell>
          <cell r="D230">
            <v>181.09800000000001</v>
          </cell>
          <cell r="E230">
            <v>123.869</v>
          </cell>
          <cell r="F230">
            <v>11.925000000000001</v>
          </cell>
          <cell r="H230">
            <v>169.44833689655172</v>
          </cell>
          <cell r="I230">
            <v>87.505650000000003</v>
          </cell>
          <cell r="J230">
            <v>169.44833689655172</v>
          </cell>
          <cell r="K230">
            <v>87.505650000000003</v>
          </cell>
          <cell r="V230">
            <v>169.44833689655172</v>
          </cell>
          <cell r="W230">
            <v>87.505650000000003</v>
          </cell>
          <cell r="X230">
            <v>55.283999999999999</v>
          </cell>
        </row>
        <row r="231">
          <cell r="B231" t="str">
            <v>Jul-2008</v>
          </cell>
          <cell r="C231">
            <v>133.29499999999999</v>
          </cell>
          <cell r="D231">
            <v>186.08500000000001</v>
          </cell>
          <cell r="E231">
            <v>138.30699999999999</v>
          </cell>
          <cell r="F231">
            <v>13.05</v>
          </cell>
          <cell r="H231">
            <v>168.64115689655173</v>
          </cell>
          <cell r="I231">
            <v>95.760900000000007</v>
          </cell>
          <cell r="J231">
            <v>168.64115689655173</v>
          </cell>
          <cell r="K231">
            <v>95.760900000000007</v>
          </cell>
          <cell r="V231">
            <v>168.64115689655173</v>
          </cell>
          <cell r="W231">
            <v>95.760900000000007</v>
          </cell>
          <cell r="X231">
            <v>61.448999999999998</v>
          </cell>
        </row>
        <row r="232">
          <cell r="B232" t="str">
            <v>Aug-2008</v>
          </cell>
          <cell r="C232">
            <v>116.58199999999999</v>
          </cell>
          <cell r="D232">
            <v>165.137</v>
          </cell>
          <cell r="E232">
            <v>107.735</v>
          </cell>
          <cell r="F232">
            <v>9.1950000000000003</v>
          </cell>
          <cell r="H232">
            <v>147.49633034482756</v>
          </cell>
          <cell r="I232">
            <v>67.472910000000013</v>
          </cell>
          <cell r="J232">
            <v>147.49633034482756</v>
          </cell>
          <cell r="K232">
            <v>67.472910000000013</v>
          </cell>
          <cell r="V232">
            <v>147.49633034482756</v>
          </cell>
          <cell r="W232">
            <v>67.472910000000013</v>
          </cell>
          <cell r="X232">
            <v>46.98</v>
          </cell>
        </row>
        <row r="233">
          <cell r="B233" t="str">
            <v>Sep-2008</v>
          </cell>
          <cell r="C233">
            <v>103.61</v>
          </cell>
          <cell r="D233">
            <v>152.893</v>
          </cell>
          <cell r="E233">
            <v>80.613</v>
          </cell>
          <cell r="F233">
            <v>8.3550000000000004</v>
          </cell>
          <cell r="H233">
            <v>131.08451379310347</v>
          </cell>
          <cell r="I233">
            <v>61.308990000000009</v>
          </cell>
          <cell r="J233">
            <v>131.08451379310347</v>
          </cell>
          <cell r="K233">
            <v>61.308990000000009</v>
          </cell>
          <cell r="V233">
            <v>131.08451379310347</v>
          </cell>
          <cell r="W233">
            <v>61.308990000000009</v>
          </cell>
          <cell r="X233">
            <v>43.276000000000003</v>
          </cell>
        </row>
        <row r="234">
          <cell r="B234" t="str">
            <v>Oct-2008</v>
          </cell>
          <cell r="C234">
            <v>76.614999999999995</v>
          </cell>
          <cell r="D234">
            <v>104.261</v>
          </cell>
          <cell r="E234">
            <v>50.018999999999998</v>
          </cell>
          <cell r="F234">
            <v>7.3550000000000004</v>
          </cell>
          <cell r="H234">
            <v>96.931184482758624</v>
          </cell>
          <cell r="I234">
            <v>53.970990000000008</v>
          </cell>
          <cell r="J234">
            <v>96.931184482758624</v>
          </cell>
          <cell r="K234">
            <v>53.970990000000008</v>
          </cell>
          <cell r="V234">
            <v>96.931184482758624</v>
          </cell>
          <cell r="W234">
            <v>53.970990000000008</v>
          </cell>
          <cell r="X234">
            <v>23.094999999999999</v>
          </cell>
        </row>
        <row r="235">
          <cell r="B235" t="str">
            <v>Nov-2008</v>
          </cell>
          <cell r="C235">
            <v>57.411999999999999</v>
          </cell>
          <cell r="D235">
            <v>73.962000000000003</v>
          </cell>
          <cell r="E235">
            <v>40.767000000000003</v>
          </cell>
          <cell r="F235">
            <v>6.2649999999999997</v>
          </cell>
          <cell r="H235">
            <v>72.636078620689673</v>
          </cell>
          <cell r="I235">
            <v>45.972569999999997</v>
          </cell>
          <cell r="J235">
            <v>72.636078620689673</v>
          </cell>
          <cell r="K235">
            <v>45.972569999999997</v>
          </cell>
          <cell r="V235">
            <v>72.636078620689673</v>
          </cell>
          <cell r="W235">
            <v>45.972569999999997</v>
          </cell>
          <cell r="X235">
            <v>21.132999999999999</v>
          </cell>
        </row>
        <row r="236">
          <cell r="B236" t="str">
            <v>Dec-2008</v>
          </cell>
          <cell r="C236">
            <v>41.451999999999998</v>
          </cell>
          <cell r="D236">
            <v>60.863</v>
          </cell>
          <cell r="E236">
            <v>35.070999999999998</v>
          </cell>
          <cell r="F236">
            <v>6.76</v>
          </cell>
          <cell r="H236">
            <v>52.443926896551716</v>
          </cell>
          <cell r="I236">
            <v>49.604879999999994</v>
          </cell>
          <cell r="J236">
            <v>52.443926896551716</v>
          </cell>
          <cell r="K236">
            <v>49.604879999999994</v>
          </cell>
          <cell r="V236">
            <v>52.443926896551716</v>
          </cell>
          <cell r="W236">
            <v>49.604879999999994</v>
          </cell>
          <cell r="X236">
            <v>22.74</v>
          </cell>
        </row>
        <row r="237">
          <cell r="B237" t="str">
            <v>Jan-2009</v>
          </cell>
          <cell r="C237">
            <v>41.753999999999998</v>
          </cell>
          <cell r="D237">
            <v>72.272000000000006</v>
          </cell>
          <cell r="E237">
            <v>36.997</v>
          </cell>
          <cell r="F237">
            <v>6.0350000000000001</v>
          </cell>
          <cell r="H237">
            <v>52.826008965517246</v>
          </cell>
          <cell r="I237">
            <v>44.284829999999999</v>
          </cell>
          <cell r="J237">
            <v>52.826008965517246</v>
          </cell>
          <cell r="K237">
            <v>44.284829999999999</v>
          </cell>
          <cell r="V237">
            <v>52.826008965517246</v>
          </cell>
          <cell r="W237">
            <v>44.284829999999999</v>
          </cell>
          <cell r="X237">
            <v>21.128</v>
          </cell>
        </row>
        <row r="238">
          <cell r="B238" t="str">
            <v>Feb-2009</v>
          </cell>
          <cell r="C238">
            <v>39.159999999999997</v>
          </cell>
          <cell r="D238">
            <v>65.727000000000004</v>
          </cell>
          <cell r="E238">
            <v>35.783000000000001</v>
          </cell>
          <cell r="F238">
            <v>4.4000000000000004</v>
          </cell>
          <cell r="H238">
            <v>49.544151724137926</v>
          </cell>
          <cell r="I238">
            <v>32.287199999999999</v>
          </cell>
          <cell r="J238">
            <v>49.544151724137926</v>
          </cell>
          <cell r="K238">
            <v>32.287199999999999</v>
          </cell>
          <cell r="V238">
            <v>49.544151724137926</v>
          </cell>
          <cell r="W238">
            <v>32.287199999999999</v>
          </cell>
          <cell r="X238">
            <v>19.419</v>
          </cell>
        </row>
        <row r="239">
          <cell r="B239" t="str">
            <v>Mar-2009</v>
          </cell>
          <cell r="C239">
            <v>47.996000000000002</v>
          </cell>
          <cell r="D239">
            <v>65.099000000000004</v>
          </cell>
          <cell r="E239">
            <v>33.92</v>
          </cell>
          <cell r="F239">
            <v>3.92</v>
          </cell>
          <cell r="H239">
            <v>60.723215172413788</v>
          </cell>
          <cell r="I239">
            <v>28.764960000000002</v>
          </cell>
          <cell r="J239">
            <v>60.723215172413788</v>
          </cell>
          <cell r="K239">
            <v>28.764960000000002</v>
          </cell>
          <cell r="V239">
            <v>60.723215172413788</v>
          </cell>
          <cell r="W239">
            <v>28.764960000000002</v>
          </cell>
          <cell r="X239">
            <v>17.920000000000002</v>
          </cell>
        </row>
        <row r="240">
          <cell r="B240" t="str">
            <v>Apr-2009</v>
          </cell>
          <cell r="C240">
            <v>49.823999999999998</v>
          </cell>
          <cell r="D240">
            <v>63.798000000000002</v>
          </cell>
          <cell r="E240">
            <v>36.801000000000002</v>
          </cell>
          <cell r="F240">
            <v>3.5649999999999999</v>
          </cell>
          <cell r="H240">
            <v>63.035950344827597</v>
          </cell>
          <cell r="I240">
            <v>26.159969999999998</v>
          </cell>
          <cell r="J240">
            <v>63.035950344827597</v>
          </cell>
          <cell r="K240">
            <v>26.159969999999998</v>
          </cell>
          <cell r="V240">
            <v>63.035950344827597</v>
          </cell>
          <cell r="W240">
            <v>26.159969999999998</v>
          </cell>
          <cell r="X240">
            <v>18.866</v>
          </cell>
        </row>
        <row r="241">
          <cell r="B241" t="str">
            <v>May-2009</v>
          </cell>
          <cell r="C241">
            <v>59.116999999999997</v>
          </cell>
          <cell r="D241">
            <v>70.215999999999994</v>
          </cell>
          <cell r="E241">
            <v>41.441000000000003</v>
          </cell>
          <cell r="F241">
            <v>3.36</v>
          </cell>
          <cell r="H241">
            <v>74.793197586206901</v>
          </cell>
          <cell r="I241">
            <v>24.65568</v>
          </cell>
          <cell r="J241">
            <v>74.793197586206901</v>
          </cell>
          <cell r="K241">
            <v>24.65568</v>
          </cell>
          <cell r="V241">
            <v>74.793197586206901</v>
          </cell>
          <cell r="W241">
            <v>24.65568</v>
          </cell>
          <cell r="X241">
            <v>20.498000000000001</v>
          </cell>
        </row>
        <row r="242">
          <cell r="B242" t="str">
            <v>Jun-2009</v>
          </cell>
          <cell r="C242">
            <v>69.683000000000007</v>
          </cell>
          <cell r="D242">
            <v>84.772999999999996</v>
          </cell>
          <cell r="E242">
            <v>50.866</v>
          </cell>
          <cell r="F242">
            <v>3.57</v>
          </cell>
          <cell r="H242">
            <v>88.161009310344824</v>
          </cell>
          <cell r="I242">
            <v>26.196659999999998</v>
          </cell>
          <cell r="J242">
            <v>88.161009310344824</v>
          </cell>
          <cell r="K242">
            <v>26.196659999999998</v>
          </cell>
          <cell r="V242">
            <v>88.161009310344824</v>
          </cell>
          <cell r="W242">
            <v>26.196659999999998</v>
          </cell>
          <cell r="X242">
            <v>24.114000000000001</v>
          </cell>
        </row>
        <row r="243">
          <cell r="B243" t="str">
            <v>Jul-2009</v>
          </cell>
          <cell r="C243">
            <v>64.102999999999994</v>
          </cell>
          <cell r="D243">
            <v>75.057000000000002</v>
          </cell>
          <cell r="E243">
            <v>43.244</v>
          </cell>
          <cell r="F243">
            <v>3.98</v>
          </cell>
          <cell r="H243">
            <v>81.101347241379301</v>
          </cell>
          <cell r="I243">
            <v>29.20524</v>
          </cell>
          <cell r="J243">
            <v>81.101347241379301</v>
          </cell>
          <cell r="K243">
            <v>29.20524</v>
          </cell>
          <cell r="V243">
            <v>81.101347241379301</v>
          </cell>
          <cell r="W243">
            <v>29.20524</v>
          </cell>
          <cell r="X243">
            <v>20.731999999999999</v>
          </cell>
        </row>
        <row r="244">
          <cell r="B244" t="str">
            <v>Aug-2009</v>
          </cell>
          <cell r="C244">
            <v>71.138000000000005</v>
          </cell>
          <cell r="D244">
            <v>90.192999999999998</v>
          </cell>
          <cell r="E244">
            <v>48.777000000000001</v>
          </cell>
          <cell r="F244">
            <v>3.48</v>
          </cell>
          <cell r="H244">
            <v>90.001835172413806</v>
          </cell>
          <cell r="I244">
            <v>25.536239999999999</v>
          </cell>
          <cell r="J244">
            <v>90.001835172413806</v>
          </cell>
          <cell r="K244">
            <v>25.536239999999999</v>
          </cell>
          <cell r="V244">
            <v>90.001835172413806</v>
          </cell>
          <cell r="W244">
            <v>25.536239999999999</v>
          </cell>
          <cell r="X244">
            <v>22.332000000000001</v>
          </cell>
        </row>
        <row r="245">
          <cell r="B245" t="str">
            <v>Sep-2009</v>
          </cell>
          <cell r="C245">
            <v>69.334000000000003</v>
          </cell>
          <cell r="D245">
            <v>95.103999999999999</v>
          </cell>
          <cell r="E245">
            <v>49.981999999999999</v>
          </cell>
          <cell r="F245">
            <v>2.875</v>
          </cell>
          <cell r="H245">
            <v>87.719464137931041</v>
          </cell>
          <cell r="I245">
            <v>21.09675</v>
          </cell>
          <cell r="J245">
            <v>87.719464137931041</v>
          </cell>
          <cell r="K245">
            <v>21.09675</v>
          </cell>
          <cell r="V245">
            <v>87.719464137931041</v>
          </cell>
          <cell r="W245">
            <v>21.09675</v>
          </cell>
          <cell r="X245">
            <v>22.35</v>
          </cell>
        </row>
        <row r="246">
          <cell r="B246" t="str">
            <v>Oct-2009</v>
          </cell>
          <cell r="C246">
            <v>76.013999999999996</v>
          </cell>
          <cell r="D246">
            <v>100.44</v>
          </cell>
          <cell r="E246">
            <v>57.295000000000002</v>
          </cell>
          <cell r="F246">
            <v>3.8050000000000002</v>
          </cell>
          <cell r="H246">
            <v>96.170815862068949</v>
          </cell>
          <cell r="I246">
            <v>27.92109</v>
          </cell>
          <cell r="J246">
            <v>96.170815862068949</v>
          </cell>
          <cell r="K246">
            <v>27.92109</v>
          </cell>
          <cell r="V246">
            <v>96.170815862068949</v>
          </cell>
          <cell r="W246">
            <v>27.92109</v>
          </cell>
          <cell r="X246">
            <v>26.186</v>
          </cell>
        </row>
        <row r="247">
          <cell r="B247" t="str">
            <v>Nov-2009</v>
          </cell>
          <cell r="C247">
            <v>78.028000000000006</v>
          </cell>
          <cell r="D247">
            <v>107.20399999999999</v>
          </cell>
          <cell r="E247">
            <v>69.953999999999994</v>
          </cell>
          <cell r="F247">
            <v>4.41</v>
          </cell>
          <cell r="G247">
            <v>1.1617041474534755</v>
          </cell>
          <cell r="H247">
            <v>98.718873103448274</v>
          </cell>
          <cell r="I247">
            <v>32.360579999999999</v>
          </cell>
          <cell r="J247">
            <v>98.718873103448274</v>
          </cell>
          <cell r="K247">
            <v>32.360579999999999</v>
          </cell>
          <cell r="V247">
            <v>98.718873103448274</v>
          </cell>
          <cell r="W247">
            <v>32.360579999999999</v>
          </cell>
          <cell r="X247">
            <v>31.564</v>
          </cell>
        </row>
        <row r="248">
          <cell r="B248" t="str">
            <v>Dec-2009</v>
          </cell>
          <cell r="C248">
            <v>74.459999999999994</v>
          </cell>
          <cell r="D248">
            <v>119.173</v>
          </cell>
          <cell r="E248">
            <v>71.878</v>
          </cell>
          <cell r="F248">
            <v>4.6150000000000002</v>
          </cell>
          <cell r="G248">
            <v>1.1224944906033896</v>
          </cell>
          <cell r="H248">
            <v>94.204737931034472</v>
          </cell>
          <cell r="I248">
            <v>33.864869999999996</v>
          </cell>
          <cell r="J248">
            <v>94.204737931034472</v>
          </cell>
          <cell r="K248">
            <v>33.864869999999996</v>
          </cell>
          <cell r="V248">
            <v>94.204737931034472</v>
          </cell>
          <cell r="W248">
            <v>33.864869999999996</v>
          </cell>
          <cell r="X248">
            <v>32.518000000000001</v>
          </cell>
        </row>
        <row r="249">
          <cell r="B249" t="str">
            <v>Jan-2010</v>
          </cell>
          <cell r="C249">
            <v>78.311000000000007</v>
          </cell>
          <cell r="D249">
            <v>130.82599999999999</v>
          </cell>
          <cell r="E249">
            <v>77.844999999999999</v>
          </cell>
          <cell r="F249">
            <v>5.9249999999999998</v>
          </cell>
          <cell r="G249">
            <v>0.79046015596519115</v>
          </cell>
          <cell r="H249">
            <v>99.076916896551722</v>
          </cell>
          <cell r="I249">
            <v>43.477650000000004</v>
          </cell>
          <cell r="J249">
            <v>99.076916896551722</v>
          </cell>
          <cell r="K249">
            <v>43.477650000000004</v>
          </cell>
          <cell r="V249">
            <v>99.076916896551722</v>
          </cell>
          <cell r="W249">
            <v>43.477650000000004</v>
          </cell>
          <cell r="X249">
            <v>35.036000000000001</v>
          </cell>
        </row>
        <row r="250">
          <cell r="B250" t="str">
            <v>Feb-2010</v>
          </cell>
          <cell r="C250">
            <v>76.453999999999994</v>
          </cell>
          <cell r="D250">
            <v>128.405</v>
          </cell>
          <cell r="E250">
            <v>78.352000000000004</v>
          </cell>
          <cell r="F250">
            <v>5.44</v>
          </cell>
          <cell r="G250">
            <v>0.96278838600035277</v>
          </cell>
          <cell r="H250">
            <v>96.72749172413792</v>
          </cell>
          <cell r="I250">
            <v>39.91872</v>
          </cell>
          <cell r="J250">
            <v>96.72749172413792</v>
          </cell>
          <cell r="K250">
            <v>39.91872</v>
          </cell>
          <cell r="V250">
            <v>96.72749172413792</v>
          </cell>
          <cell r="W250">
            <v>39.91872</v>
          </cell>
          <cell r="X250">
            <v>34.970999999999997</v>
          </cell>
        </row>
        <row r="251">
          <cell r="B251" t="str">
            <v>Mar-2010</v>
          </cell>
          <cell r="C251">
            <v>81.233000000000004</v>
          </cell>
          <cell r="D251">
            <v>113.48399999999999</v>
          </cell>
          <cell r="E251">
            <v>64.007999999999996</v>
          </cell>
          <cell r="F251">
            <v>4.875</v>
          </cell>
          <cell r="G251">
            <v>0.78929492420906988</v>
          </cell>
          <cell r="H251">
            <v>102.77375068965517</v>
          </cell>
          <cell r="I251">
            <v>35.772749999999995</v>
          </cell>
          <cell r="J251">
            <v>102.77375068965517</v>
          </cell>
          <cell r="K251">
            <v>35.772749999999995</v>
          </cell>
          <cell r="V251">
            <v>102.77375068965517</v>
          </cell>
          <cell r="W251">
            <v>35.772749999999995</v>
          </cell>
          <cell r="X251">
            <v>28.172999999999998</v>
          </cell>
        </row>
        <row r="252">
          <cell r="B252" t="str">
            <v>Apr-2010</v>
          </cell>
          <cell r="C252">
            <v>84.44</v>
          </cell>
          <cell r="D252">
            <v>113.476</v>
          </cell>
          <cell r="E252">
            <v>55.771000000000001</v>
          </cell>
          <cell r="F252">
            <v>3.9550000000000001</v>
          </cell>
          <cell r="G252">
            <v>0.92169400991461914</v>
          </cell>
          <cell r="H252">
            <v>106.83115862068966</v>
          </cell>
          <cell r="I252">
            <v>29.021790000000003</v>
          </cell>
          <cell r="J252">
            <v>106.83115862068966</v>
          </cell>
          <cell r="K252">
            <v>29.021790000000003</v>
          </cell>
          <cell r="V252">
            <v>106.83115862068966</v>
          </cell>
          <cell r="W252">
            <v>29.021790000000003</v>
          </cell>
          <cell r="X252">
            <v>23.888999999999999</v>
          </cell>
        </row>
        <row r="253">
          <cell r="B253" t="str">
            <v>May-2010</v>
          </cell>
          <cell r="C253">
            <v>73.620999999999995</v>
          </cell>
          <cell r="D253">
            <v>107.72799999999999</v>
          </cell>
          <cell r="E253">
            <v>55.780999999999999</v>
          </cell>
          <cell r="F253">
            <v>4.34</v>
          </cell>
          <cell r="G253">
            <v>0.75153515630396894</v>
          </cell>
          <cell r="H253">
            <v>93.143258275862067</v>
          </cell>
          <cell r="I253">
            <v>31.846920000000001</v>
          </cell>
          <cell r="J253">
            <v>93.143258275862067</v>
          </cell>
          <cell r="K253">
            <v>31.846920000000001</v>
          </cell>
          <cell r="V253">
            <v>93.143258275862067</v>
          </cell>
          <cell r="W253">
            <v>31.846920000000001</v>
          </cell>
          <cell r="X253">
            <v>24.445</v>
          </cell>
        </row>
        <row r="254">
          <cell r="B254" t="str">
            <v>Jun-2010</v>
          </cell>
          <cell r="C254">
            <v>75.292000000000002</v>
          </cell>
          <cell r="D254">
            <v>103.818</v>
          </cell>
          <cell r="E254">
            <v>52.509</v>
          </cell>
          <cell r="F254">
            <v>4.22</v>
          </cell>
          <cell r="G254">
            <v>0.69567879466621219</v>
          </cell>
          <cell r="H254">
            <v>95.257361379310339</v>
          </cell>
          <cell r="I254">
            <v>30.966359999999998</v>
          </cell>
          <cell r="J254">
            <v>95.257361379310339</v>
          </cell>
          <cell r="K254">
            <v>30.966359999999998</v>
          </cell>
          <cell r="V254">
            <v>95.257361379310339</v>
          </cell>
          <cell r="W254">
            <v>30.966359999999998</v>
          </cell>
          <cell r="X254">
            <v>23.123000000000001</v>
          </cell>
        </row>
        <row r="255">
          <cell r="B255" t="str">
            <v>Jul-2010</v>
          </cell>
          <cell r="C255">
            <v>76.545000000000002</v>
          </cell>
          <cell r="D255">
            <v>100.771</v>
          </cell>
          <cell r="E255">
            <v>45.042000000000002</v>
          </cell>
          <cell r="F255">
            <v>4.8150000000000004</v>
          </cell>
          <cell r="G255">
            <v>0.27480473343641099</v>
          </cell>
          <cell r="H255">
            <v>96.842622413793094</v>
          </cell>
          <cell r="I255">
            <v>35.332470000000008</v>
          </cell>
          <cell r="J255">
            <v>96.842622413793094</v>
          </cell>
          <cell r="K255">
            <v>35.332470000000008</v>
          </cell>
          <cell r="V255">
            <v>96.842622413793094</v>
          </cell>
          <cell r="W255">
            <v>35.332470000000008</v>
          </cell>
          <cell r="X255">
            <v>20.117999999999999</v>
          </cell>
        </row>
        <row r="256">
          <cell r="B256" t="str">
            <v>Aug-2010</v>
          </cell>
          <cell r="C256">
            <v>76.656000000000006</v>
          </cell>
          <cell r="D256">
            <v>107.05200000000001</v>
          </cell>
          <cell r="E256">
            <v>47.594000000000001</v>
          </cell>
          <cell r="F256">
            <v>4.7949999999999999</v>
          </cell>
          <cell r="G256">
            <v>0.35265140308380882</v>
          </cell>
          <cell r="H256">
            <v>96.983056551724147</v>
          </cell>
          <cell r="I256">
            <v>35.18571</v>
          </cell>
          <cell r="J256">
            <v>96.983056551724147</v>
          </cell>
          <cell r="K256">
            <v>35.18571</v>
          </cell>
          <cell r="V256">
            <v>96.983056551724147</v>
          </cell>
          <cell r="W256">
            <v>35.18571</v>
          </cell>
          <cell r="X256">
            <v>20.617000000000001</v>
          </cell>
        </row>
        <row r="257">
          <cell r="B257" t="str">
            <v>Sep-2010</v>
          </cell>
          <cell r="C257">
            <v>75.173000000000002</v>
          </cell>
          <cell r="D257">
            <v>113.012</v>
          </cell>
          <cell r="E257">
            <v>51.822000000000003</v>
          </cell>
          <cell r="F257">
            <v>3.65</v>
          </cell>
          <cell r="G257">
            <v>0.93483349947916095</v>
          </cell>
          <cell r="H257">
            <v>95.106805862068981</v>
          </cell>
          <cell r="I257">
            <v>26.7837</v>
          </cell>
          <cell r="J257">
            <v>95.106805862068981</v>
          </cell>
          <cell r="K257">
            <v>26.7837</v>
          </cell>
          <cell r="V257">
            <v>95.106805862068981</v>
          </cell>
          <cell r="W257">
            <v>26.7837</v>
          </cell>
          <cell r="X257">
            <v>21.05</v>
          </cell>
        </row>
        <row r="258">
          <cell r="B258" t="str">
            <v>Oct-2010</v>
          </cell>
          <cell r="C258">
            <v>81.891999999999996</v>
          </cell>
          <cell r="D258">
            <v>123.161</v>
          </cell>
          <cell r="E258">
            <v>59.048000000000002</v>
          </cell>
          <cell r="F258">
            <v>3.92</v>
          </cell>
          <cell r="G258">
            <v>1.0527753210850981</v>
          </cell>
          <cell r="H258">
            <v>103.60749931034481</v>
          </cell>
          <cell r="I258">
            <v>28.764960000000002</v>
          </cell>
          <cell r="J258">
            <v>103.60749931034481</v>
          </cell>
          <cell r="K258">
            <v>28.764960000000002</v>
          </cell>
          <cell r="M258">
            <v>88</v>
          </cell>
          <cell r="R258">
            <v>3.38</v>
          </cell>
          <cell r="T258">
            <v>111.33517241379312</v>
          </cell>
          <cell r="U258">
            <v>24.802439999999997</v>
          </cell>
          <cell r="V258">
            <v>103.60749931034481</v>
          </cell>
          <cell r="W258">
            <v>28.764960000000002</v>
          </cell>
        </row>
        <row r="259">
          <cell r="B259" t="str">
            <v>Nov-2010</v>
          </cell>
          <cell r="C259">
            <v>84.200999999999993</v>
          </cell>
          <cell r="D259">
            <v>125.221</v>
          </cell>
          <cell r="E259">
            <v>66.45</v>
          </cell>
          <cell r="F259">
            <v>3.2250000000000001</v>
          </cell>
          <cell r="G259">
            <v>1.807938288742259</v>
          </cell>
          <cell r="H259">
            <v>106.5287824137931</v>
          </cell>
          <cell r="I259">
            <v>23.665050000000001</v>
          </cell>
          <cell r="J259">
            <v>106.5287824137931</v>
          </cell>
          <cell r="K259">
            <v>23.665050000000001</v>
          </cell>
          <cell r="M259">
            <v>88</v>
          </cell>
          <cell r="R259">
            <v>3.38</v>
          </cell>
          <cell r="T259">
            <v>111.33517241379312</v>
          </cell>
          <cell r="U259">
            <v>24.802439999999997</v>
          </cell>
          <cell r="V259">
            <v>106.5287824137931</v>
          </cell>
          <cell r="W259">
            <v>23.665050000000001</v>
          </cell>
        </row>
        <row r="260">
          <cell r="B260" t="str">
            <v>Dec-2010</v>
          </cell>
          <cell r="C260">
            <v>89.075000000000003</v>
          </cell>
          <cell r="D260">
            <v>129.41999999999999</v>
          </cell>
          <cell r="E260">
            <v>65.08</v>
          </cell>
          <cell r="F260">
            <v>4.3150000000000004</v>
          </cell>
          <cell r="H260">
            <v>112.6952327586207</v>
          </cell>
          <cell r="I260">
            <v>31.66347</v>
          </cell>
          <cell r="J260">
            <v>112.6952327586207</v>
          </cell>
          <cell r="K260">
            <v>31.66347</v>
          </cell>
          <cell r="M260">
            <v>88</v>
          </cell>
          <cell r="N260">
            <v>65.08</v>
          </cell>
          <cell r="P260">
            <v>65.08</v>
          </cell>
          <cell r="Q260">
            <v>65.08</v>
          </cell>
          <cell r="R260">
            <v>3.38</v>
          </cell>
          <cell r="T260">
            <v>111.33517241379312</v>
          </cell>
          <cell r="U260">
            <v>24.802439999999997</v>
          </cell>
          <cell r="V260">
            <v>112.6952327586207</v>
          </cell>
          <cell r="W260">
            <v>31.66347</v>
          </cell>
        </row>
        <row r="261">
          <cell r="B261" t="str">
            <v>Jan-2011</v>
          </cell>
          <cell r="C261">
            <v>89.384</v>
          </cell>
          <cell r="D261">
            <v>134.666</v>
          </cell>
          <cell r="E261">
            <v>61.415999999999997</v>
          </cell>
          <cell r="F261">
            <v>4.24</v>
          </cell>
          <cell r="H261">
            <v>113.08617103448277</v>
          </cell>
          <cell r="I261">
            <v>31.113119999999999</v>
          </cell>
          <cell r="J261">
            <v>113.08617103448277</v>
          </cell>
          <cell r="K261">
            <v>31.113119999999999</v>
          </cell>
          <cell r="M261">
            <v>100</v>
          </cell>
          <cell r="N261">
            <v>61.415999999999997</v>
          </cell>
          <cell r="P261">
            <v>61.415999999999997</v>
          </cell>
          <cell r="Q261">
            <v>61.415999999999997</v>
          </cell>
          <cell r="R261">
            <v>3.62</v>
          </cell>
          <cell r="T261">
            <v>126.51724137931035</v>
          </cell>
          <cell r="U261">
            <v>26.563560000000003</v>
          </cell>
          <cell r="V261">
            <v>113.08617103448277</v>
          </cell>
          <cell r="W261">
            <v>31.113119999999999</v>
          </cell>
        </row>
        <row r="262">
          <cell r="B262" t="str">
            <v>Feb-2011</v>
          </cell>
          <cell r="C262">
            <v>87.265000000000001</v>
          </cell>
          <cell r="D262">
            <v>133.99600000000001</v>
          </cell>
          <cell r="E262">
            <v>62.883000000000003</v>
          </cell>
          <cell r="F262">
            <v>4.43</v>
          </cell>
          <cell r="H262">
            <v>110.40527068965515</v>
          </cell>
          <cell r="I262">
            <v>32.507339999999999</v>
          </cell>
          <cell r="J262">
            <v>110.40527068965515</v>
          </cell>
          <cell r="K262">
            <v>32.507339999999999</v>
          </cell>
          <cell r="M262">
            <v>100</v>
          </cell>
          <cell r="N262">
            <v>64</v>
          </cell>
          <cell r="P262">
            <v>62.883000000000003</v>
          </cell>
          <cell r="Q262">
            <v>62.883000000000003</v>
          </cell>
          <cell r="R262">
            <v>3.62</v>
          </cell>
          <cell r="T262">
            <v>126.51724137931035</v>
          </cell>
          <cell r="U262">
            <v>26.563560000000003</v>
          </cell>
          <cell r="V262">
            <v>110.40527068965515</v>
          </cell>
          <cell r="W262">
            <v>32.507339999999999</v>
          </cell>
        </row>
        <row r="263">
          <cell r="B263" t="str">
            <v>Mar-2011</v>
          </cell>
          <cell r="C263">
            <v>90.335999999999999</v>
          </cell>
          <cell r="D263">
            <v>129.99799999999999</v>
          </cell>
          <cell r="E263">
            <v>58.2</v>
          </cell>
          <cell r="F263">
            <v>4.05</v>
          </cell>
          <cell r="H263">
            <v>114.29061517241379</v>
          </cell>
          <cell r="I263">
            <v>29.718900000000005</v>
          </cell>
          <cell r="J263">
            <v>114.29061517241379</v>
          </cell>
          <cell r="K263">
            <v>29.718900000000005</v>
          </cell>
          <cell r="M263">
            <v>100</v>
          </cell>
          <cell r="N263">
            <v>66</v>
          </cell>
          <cell r="P263">
            <v>58.2</v>
          </cell>
          <cell r="Q263">
            <v>74</v>
          </cell>
          <cell r="R263">
            <v>3.62</v>
          </cell>
          <cell r="T263">
            <v>126.51724137931035</v>
          </cell>
          <cell r="U263">
            <v>26.563560000000003</v>
          </cell>
          <cell r="V263">
            <v>114.29061517241379</v>
          </cell>
          <cell r="W263">
            <v>29.718900000000005</v>
          </cell>
        </row>
        <row r="264">
          <cell r="B264" t="str">
            <v>Apr-2011</v>
          </cell>
          <cell r="C264">
            <v>91.92</v>
          </cell>
          <cell r="D264">
            <v>129.00399999999999</v>
          </cell>
          <cell r="E264">
            <v>56.2</v>
          </cell>
          <cell r="F264">
            <v>4.05</v>
          </cell>
          <cell r="H264">
            <v>116.29464827586207</v>
          </cell>
          <cell r="I264">
            <v>29.718900000000005</v>
          </cell>
          <cell r="J264">
            <v>116.29464827586207</v>
          </cell>
          <cell r="K264">
            <v>29.718900000000005</v>
          </cell>
          <cell r="M264">
            <v>100</v>
          </cell>
          <cell r="N264">
            <v>56</v>
          </cell>
          <cell r="P264">
            <v>45</v>
          </cell>
          <cell r="Q264">
            <v>107</v>
          </cell>
          <cell r="R264">
            <v>3.62</v>
          </cell>
          <cell r="T264">
            <v>126.51724137931035</v>
          </cell>
          <cell r="U264">
            <v>26.563560000000003</v>
          </cell>
          <cell r="V264">
            <v>116.29464827586207</v>
          </cell>
          <cell r="W264">
            <v>29.718900000000005</v>
          </cell>
        </row>
        <row r="265">
          <cell r="B265" t="str">
            <v>May-2011</v>
          </cell>
          <cell r="C265">
            <v>94.283000000000001</v>
          </cell>
          <cell r="D265">
            <v>129.99600000000001</v>
          </cell>
          <cell r="E265">
            <v>54.5</v>
          </cell>
          <cell r="F265">
            <v>4.2</v>
          </cell>
          <cell r="H265">
            <v>119.28425068965518</v>
          </cell>
          <cell r="I265">
            <v>30.819600000000001</v>
          </cell>
          <cell r="J265">
            <v>119.28425068965518</v>
          </cell>
          <cell r="K265">
            <v>30.819600000000001</v>
          </cell>
          <cell r="M265">
            <v>100</v>
          </cell>
          <cell r="N265">
            <v>56</v>
          </cell>
          <cell r="P265">
            <v>45</v>
          </cell>
          <cell r="Q265">
            <v>107</v>
          </cell>
          <cell r="R265">
            <v>3.62</v>
          </cell>
          <cell r="T265">
            <v>126.51724137931035</v>
          </cell>
          <cell r="U265">
            <v>26.563560000000003</v>
          </cell>
          <cell r="V265">
            <v>119.28425068965518</v>
          </cell>
          <cell r="W265">
            <v>30.819600000000001</v>
          </cell>
        </row>
        <row r="266">
          <cell r="B266" t="str">
            <v>Jun-2011</v>
          </cell>
          <cell r="C266">
            <v>95.36</v>
          </cell>
          <cell r="D266">
            <v>131.00200000000001</v>
          </cell>
          <cell r="E266">
            <v>54.2</v>
          </cell>
          <cell r="F266">
            <v>4.25</v>
          </cell>
          <cell r="H266">
            <v>120.64684137931035</v>
          </cell>
          <cell r="I266">
            <v>31.186499999999999</v>
          </cell>
          <cell r="J266">
            <v>120.64684137931035</v>
          </cell>
          <cell r="K266">
            <v>31.186499999999999</v>
          </cell>
          <cell r="M266">
            <v>100</v>
          </cell>
          <cell r="N266">
            <v>56</v>
          </cell>
          <cell r="P266">
            <v>45</v>
          </cell>
          <cell r="Q266">
            <v>107</v>
          </cell>
          <cell r="R266">
            <v>3.62</v>
          </cell>
          <cell r="T266">
            <v>126.51724137931035</v>
          </cell>
          <cell r="U266">
            <v>26.563560000000003</v>
          </cell>
          <cell r="V266">
            <v>120.64684137931035</v>
          </cell>
          <cell r="W266">
            <v>31.186499999999999</v>
          </cell>
        </row>
        <row r="267">
          <cell r="B267" t="str">
            <v>Jul-2011</v>
          </cell>
          <cell r="C267">
            <v>96.878</v>
          </cell>
          <cell r="D267">
            <v>135.999</v>
          </cell>
          <cell r="E267">
            <v>53.951999999999998</v>
          </cell>
          <cell r="F267">
            <v>4.1500000000000004</v>
          </cell>
          <cell r="H267">
            <v>122.56737310344825</v>
          </cell>
          <cell r="I267">
            <v>30.4527</v>
          </cell>
          <cell r="J267">
            <v>122.56737310344825</v>
          </cell>
          <cell r="K267">
            <v>30.4527</v>
          </cell>
          <cell r="M267">
            <v>100</v>
          </cell>
          <cell r="N267">
            <v>51</v>
          </cell>
          <cell r="P267">
            <v>42</v>
          </cell>
          <cell r="Q267">
            <v>107</v>
          </cell>
          <cell r="R267">
            <v>3.62</v>
          </cell>
          <cell r="T267">
            <v>126.51724137931035</v>
          </cell>
          <cell r="U267">
            <v>26.563560000000003</v>
          </cell>
          <cell r="V267">
            <v>122.56737310344825</v>
          </cell>
          <cell r="W267">
            <v>30.4527</v>
          </cell>
        </row>
        <row r="268">
          <cell r="B268" t="str">
            <v>Aug-2011</v>
          </cell>
          <cell r="C268">
            <v>98.248999999999995</v>
          </cell>
          <cell r="D268">
            <v>143.999</v>
          </cell>
          <cell r="E268">
            <v>57.281999999999996</v>
          </cell>
          <cell r="F268">
            <v>4.0999999999999996</v>
          </cell>
          <cell r="H268">
            <v>124.30192448275861</v>
          </cell>
          <cell r="I268">
            <v>30.085799999999995</v>
          </cell>
          <cell r="J268">
            <v>124.30192448275861</v>
          </cell>
          <cell r="K268">
            <v>30.085799999999995</v>
          </cell>
          <cell r="M268">
            <v>100</v>
          </cell>
          <cell r="N268">
            <v>51</v>
          </cell>
          <cell r="P268">
            <v>42</v>
          </cell>
          <cell r="Q268">
            <v>107</v>
          </cell>
          <cell r="R268">
            <v>3.62</v>
          </cell>
          <cell r="T268">
            <v>126.51724137931035</v>
          </cell>
          <cell r="U268">
            <v>26.563560000000003</v>
          </cell>
          <cell r="V268">
            <v>124.30192448275861</v>
          </cell>
          <cell r="W268">
            <v>30.085799999999995</v>
          </cell>
        </row>
        <row r="269">
          <cell r="B269" t="str">
            <v>Sep-2011</v>
          </cell>
          <cell r="C269">
            <v>99.635000000000005</v>
          </cell>
          <cell r="D269">
            <v>151.00200000000001</v>
          </cell>
          <cell r="E269">
            <v>63.149000000000001</v>
          </cell>
          <cell r="F269">
            <v>4</v>
          </cell>
          <cell r="H269">
            <v>126.05545344827587</v>
          </cell>
          <cell r="I269">
            <v>29.352</v>
          </cell>
          <cell r="J269">
            <v>126.05545344827587</v>
          </cell>
          <cell r="K269">
            <v>29.352</v>
          </cell>
          <cell r="M269">
            <v>100</v>
          </cell>
          <cell r="N269">
            <v>51</v>
          </cell>
          <cell r="P269">
            <v>42</v>
          </cell>
          <cell r="Q269">
            <v>107</v>
          </cell>
          <cell r="R269">
            <v>3.62</v>
          </cell>
          <cell r="T269">
            <v>126.51724137931035</v>
          </cell>
          <cell r="U269">
            <v>26.563560000000003</v>
          </cell>
          <cell r="V269">
            <v>126.05545344827587</v>
          </cell>
          <cell r="W269">
            <v>29.352</v>
          </cell>
        </row>
        <row r="270">
          <cell r="B270" t="str">
            <v>Oct-2011</v>
          </cell>
          <cell r="C270">
            <v>100.93300000000001</v>
          </cell>
          <cell r="D270">
            <v>153.999</v>
          </cell>
          <cell r="E270">
            <v>69.069999999999993</v>
          </cell>
          <cell r="F270">
            <v>4.5</v>
          </cell>
          <cell r="H270">
            <v>127.69764724137933</v>
          </cell>
          <cell r="I270">
            <v>33.021000000000001</v>
          </cell>
          <cell r="J270">
            <v>127.69764724137933</v>
          </cell>
          <cell r="K270">
            <v>33.021000000000001</v>
          </cell>
          <cell r="M270">
            <v>100</v>
          </cell>
          <cell r="N270">
            <v>48</v>
          </cell>
          <cell r="P270">
            <v>42</v>
          </cell>
          <cell r="Q270">
            <v>107</v>
          </cell>
          <cell r="R270">
            <v>3.62</v>
          </cell>
          <cell r="T270">
            <v>126.51724137931035</v>
          </cell>
          <cell r="U270">
            <v>26.563560000000003</v>
          </cell>
          <cell r="V270">
            <v>127.69764724137933</v>
          </cell>
          <cell r="W270">
            <v>33.021000000000001</v>
          </cell>
        </row>
        <row r="271">
          <cell r="B271" t="str">
            <v>Nov-2011</v>
          </cell>
          <cell r="C271">
            <v>102.194</v>
          </cell>
          <cell r="D271">
            <v>154.999</v>
          </cell>
          <cell r="E271">
            <v>73.412999999999997</v>
          </cell>
          <cell r="F271">
            <v>4.6500000000000004</v>
          </cell>
          <cell r="H271">
            <v>129.29302965517243</v>
          </cell>
          <cell r="I271">
            <v>34.121700000000004</v>
          </cell>
          <cell r="J271">
            <v>129.29302965517243</v>
          </cell>
          <cell r="K271">
            <v>34.121700000000004</v>
          </cell>
          <cell r="M271">
            <v>100</v>
          </cell>
          <cell r="N271">
            <v>48</v>
          </cell>
          <cell r="P271">
            <v>42</v>
          </cell>
          <cell r="Q271">
            <v>107</v>
          </cell>
          <cell r="R271">
            <v>3.62</v>
          </cell>
          <cell r="T271">
            <v>126.51724137931035</v>
          </cell>
          <cell r="U271">
            <v>26.563560000000003</v>
          </cell>
          <cell r="V271">
            <v>129.29302965517243</v>
          </cell>
          <cell r="W271">
            <v>34.121700000000004</v>
          </cell>
        </row>
        <row r="272">
          <cell r="B272" t="str">
            <v>Dec-2011</v>
          </cell>
          <cell r="C272">
            <v>103.685</v>
          </cell>
          <cell r="D272">
            <v>158.001</v>
          </cell>
          <cell r="E272">
            <v>76.358000000000004</v>
          </cell>
          <cell r="F272">
            <v>5.0999999999999996</v>
          </cell>
          <cell r="H272">
            <v>131.17940172413793</v>
          </cell>
          <cell r="I272">
            <v>37.423799999999993</v>
          </cell>
          <cell r="J272">
            <v>131.17940172413793</v>
          </cell>
          <cell r="K272">
            <v>37.423799999999993</v>
          </cell>
          <cell r="M272">
            <v>100</v>
          </cell>
          <cell r="N272">
            <v>48</v>
          </cell>
          <cell r="P272">
            <v>42</v>
          </cell>
          <cell r="Q272">
            <v>107</v>
          </cell>
          <cell r="R272">
            <v>3.62</v>
          </cell>
          <cell r="T272">
            <v>126.51724137931035</v>
          </cell>
          <cell r="U272">
            <v>26.563560000000003</v>
          </cell>
          <cell r="V272">
            <v>131.17940172413793</v>
          </cell>
          <cell r="W272">
            <v>37.423799999999993</v>
          </cell>
        </row>
        <row r="273">
          <cell r="B273" t="str">
            <v>Jan-2012</v>
          </cell>
          <cell r="C273">
            <v>105.209</v>
          </cell>
          <cell r="D273">
            <v>159.99600000000001</v>
          </cell>
          <cell r="E273">
            <v>75.134</v>
          </cell>
          <cell r="F273">
            <v>5.3</v>
          </cell>
          <cell r="H273">
            <v>133.10752448275863</v>
          </cell>
          <cell r="I273">
            <v>38.891399999999997</v>
          </cell>
          <cell r="J273">
            <v>133.10752448275863</v>
          </cell>
          <cell r="K273">
            <v>38.891399999999997</v>
          </cell>
          <cell r="M273">
            <v>110</v>
          </cell>
          <cell r="N273">
            <v>48</v>
          </cell>
          <cell r="P273">
            <v>33</v>
          </cell>
          <cell r="Q273">
            <v>79</v>
          </cell>
          <cell r="R273">
            <v>4.4000000000000004</v>
          </cell>
          <cell r="T273">
            <v>139.16896551724136</v>
          </cell>
          <cell r="U273">
            <v>32.287199999999999</v>
          </cell>
          <cell r="V273">
            <v>133.10752448275863</v>
          </cell>
          <cell r="W273">
            <v>38.891399999999997</v>
          </cell>
        </row>
        <row r="274">
          <cell r="B274" t="str">
            <v>Feb-2012</v>
          </cell>
          <cell r="C274">
            <v>106.477</v>
          </cell>
          <cell r="D274">
            <v>151.999</v>
          </cell>
          <cell r="E274">
            <v>70.593999999999994</v>
          </cell>
          <cell r="F274">
            <v>5.25</v>
          </cell>
          <cell r="H274">
            <v>134.71176310344828</v>
          </cell>
          <cell r="I274">
            <v>38.524500000000003</v>
          </cell>
          <cell r="J274">
            <v>134.71176310344828</v>
          </cell>
          <cell r="K274">
            <v>38.524500000000003</v>
          </cell>
          <cell r="M274">
            <v>110</v>
          </cell>
          <cell r="N274">
            <v>48</v>
          </cell>
          <cell r="P274">
            <v>33</v>
          </cell>
          <cell r="Q274">
            <v>79</v>
          </cell>
          <cell r="R274">
            <v>4.4000000000000004</v>
          </cell>
          <cell r="T274">
            <v>139.16896551724136</v>
          </cell>
          <cell r="U274">
            <v>32.287199999999999</v>
          </cell>
          <cell r="V274">
            <v>134.71176310344828</v>
          </cell>
          <cell r="W274">
            <v>38.524500000000003</v>
          </cell>
        </row>
        <row r="275">
          <cell r="B275" t="str">
            <v>Mar-2012</v>
          </cell>
          <cell r="C275">
            <v>107.29900000000001</v>
          </cell>
          <cell r="D275">
            <v>147.005</v>
          </cell>
          <cell r="E275">
            <v>66.174000000000007</v>
          </cell>
          <cell r="F275">
            <v>4.95</v>
          </cell>
          <cell r="H275">
            <v>135.75173482758623</v>
          </cell>
          <cell r="I275">
            <v>36.323100000000004</v>
          </cell>
          <cell r="J275">
            <v>135.75173482758623</v>
          </cell>
          <cell r="K275">
            <v>36.323100000000004</v>
          </cell>
          <cell r="M275">
            <v>110</v>
          </cell>
          <cell r="N275">
            <v>48</v>
          </cell>
          <cell r="P275">
            <v>33</v>
          </cell>
          <cell r="Q275">
            <v>79</v>
          </cell>
          <cell r="R275">
            <v>4.4000000000000004</v>
          </cell>
          <cell r="T275">
            <v>139.16896551724136</v>
          </cell>
          <cell r="U275">
            <v>32.287199999999999</v>
          </cell>
          <cell r="V275">
            <v>135.75173482758623</v>
          </cell>
          <cell r="W275">
            <v>36.323100000000004</v>
          </cell>
        </row>
        <row r="276">
          <cell r="B276" t="str">
            <v>Apr-2012</v>
          </cell>
          <cell r="C276">
            <v>108.535</v>
          </cell>
          <cell r="D276">
            <v>144</v>
          </cell>
          <cell r="E276">
            <v>62.86</v>
          </cell>
          <cell r="F276">
            <v>4.75</v>
          </cell>
          <cell r="H276">
            <v>137.31548793103448</v>
          </cell>
          <cell r="I276">
            <v>34.855499999999999</v>
          </cell>
          <cell r="J276">
            <v>137.31548793103448</v>
          </cell>
          <cell r="K276">
            <v>34.855499999999999</v>
          </cell>
          <cell r="M276">
            <v>110</v>
          </cell>
          <cell r="N276">
            <v>48</v>
          </cell>
          <cell r="P276">
            <v>33</v>
          </cell>
          <cell r="Q276">
            <v>79</v>
          </cell>
          <cell r="R276">
            <v>4.4000000000000004</v>
          </cell>
          <cell r="T276">
            <v>139.16896551724136</v>
          </cell>
          <cell r="U276">
            <v>32.287199999999999</v>
          </cell>
          <cell r="V276">
            <v>137.31548793103448</v>
          </cell>
          <cell r="W276">
            <v>34.855499999999999</v>
          </cell>
        </row>
        <row r="277">
          <cell r="B277" t="str">
            <v>May-2012</v>
          </cell>
          <cell r="C277">
            <v>110.384</v>
          </cell>
          <cell r="D277">
            <v>145</v>
          </cell>
          <cell r="E277">
            <v>60.652000000000001</v>
          </cell>
          <cell r="F277">
            <v>4.8499999999999996</v>
          </cell>
          <cell r="H277">
            <v>139.65479172413794</v>
          </cell>
          <cell r="I277">
            <v>35.589299999999994</v>
          </cell>
          <cell r="J277">
            <v>139.65479172413794</v>
          </cell>
          <cell r="K277">
            <v>35.589299999999994</v>
          </cell>
          <cell r="M277">
            <v>110</v>
          </cell>
          <cell r="N277">
            <v>48</v>
          </cell>
          <cell r="P277">
            <v>33</v>
          </cell>
          <cell r="Q277">
            <v>79</v>
          </cell>
          <cell r="R277">
            <v>4.4000000000000004</v>
          </cell>
          <cell r="T277">
            <v>139.16896551724136</v>
          </cell>
          <cell r="U277">
            <v>32.287199999999999</v>
          </cell>
          <cell r="V277">
            <v>139.65479172413794</v>
          </cell>
          <cell r="W277">
            <v>35.589299999999994</v>
          </cell>
        </row>
        <row r="278">
          <cell r="B278" t="str">
            <v>Jun-2012</v>
          </cell>
          <cell r="C278">
            <v>109.81100000000001</v>
          </cell>
          <cell r="D278">
            <v>145.999</v>
          </cell>
          <cell r="E278">
            <v>58.66</v>
          </cell>
          <cell r="F278">
            <v>4.9000000000000004</v>
          </cell>
          <cell r="H278">
            <v>138.92984793103449</v>
          </cell>
          <cell r="I278">
            <v>35.956200000000003</v>
          </cell>
          <cell r="J278">
            <v>138.92984793103449</v>
          </cell>
          <cell r="K278">
            <v>35.956200000000003</v>
          </cell>
          <cell r="M278">
            <v>110</v>
          </cell>
          <cell r="N278">
            <v>48</v>
          </cell>
          <cell r="P278">
            <v>33</v>
          </cell>
          <cell r="Q278">
            <v>79</v>
          </cell>
          <cell r="R278">
            <v>4.4000000000000004</v>
          </cell>
          <cell r="T278">
            <v>139.16896551724136</v>
          </cell>
          <cell r="U278">
            <v>32.287199999999999</v>
          </cell>
          <cell r="V278">
            <v>138.92984793103449</v>
          </cell>
          <cell r="W278">
            <v>35.956200000000003</v>
          </cell>
        </row>
        <row r="279">
          <cell r="B279" t="str">
            <v>Jul-2012</v>
          </cell>
          <cell r="C279">
            <v>111.01600000000001</v>
          </cell>
          <cell r="D279">
            <v>149.99700000000001</v>
          </cell>
          <cell r="E279">
            <v>61.280999999999999</v>
          </cell>
          <cell r="F279">
            <v>4.6500000000000004</v>
          </cell>
          <cell r="H279">
            <v>140.45438068965518</v>
          </cell>
          <cell r="I279">
            <v>34.121700000000004</v>
          </cell>
          <cell r="J279">
            <v>140.45438068965518</v>
          </cell>
          <cell r="K279">
            <v>34.121700000000004</v>
          </cell>
          <cell r="M279">
            <v>110</v>
          </cell>
          <cell r="N279">
            <v>48</v>
          </cell>
          <cell r="P279">
            <v>33</v>
          </cell>
          <cell r="Q279">
            <v>79</v>
          </cell>
          <cell r="R279">
            <v>4.4000000000000004</v>
          </cell>
          <cell r="T279">
            <v>139.16896551724136</v>
          </cell>
          <cell r="U279">
            <v>32.287199999999999</v>
          </cell>
          <cell r="V279">
            <v>140.45438068965518</v>
          </cell>
          <cell r="W279">
            <v>34.121700000000004</v>
          </cell>
        </row>
        <row r="280">
          <cell r="B280" t="str">
            <v>Aug-2012</v>
          </cell>
          <cell r="C280">
            <v>111.973</v>
          </cell>
          <cell r="D280">
            <v>157.99600000000001</v>
          </cell>
          <cell r="E280">
            <v>66.287999999999997</v>
          </cell>
          <cell r="F280">
            <v>4.5</v>
          </cell>
          <cell r="H280">
            <v>141.66515068965521</v>
          </cell>
          <cell r="I280">
            <v>33.021000000000001</v>
          </cell>
          <cell r="J280">
            <v>141.66515068965521</v>
          </cell>
          <cell r="K280">
            <v>33.021000000000001</v>
          </cell>
          <cell r="M280">
            <v>110</v>
          </cell>
          <cell r="N280">
            <v>48</v>
          </cell>
          <cell r="P280">
            <v>33</v>
          </cell>
          <cell r="Q280">
            <v>79</v>
          </cell>
          <cell r="R280">
            <v>4.4000000000000004</v>
          </cell>
          <cell r="T280">
            <v>139.16896551724136</v>
          </cell>
          <cell r="U280">
            <v>32.287199999999999</v>
          </cell>
          <cell r="V280">
            <v>141.66515068965521</v>
          </cell>
          <cell r="W280">
            <v>33.021000000000001</v>
          </cell>
        </row>
        <row r="281">
          <cell r="B281" t="str">
            <v>Sep-2012</v>
          </cell>
          <cell r="C281">
            <v>110.167</v>
          </cell>
          <cell r="D281">
            <v>161.99700000000001</v>
          </cell>
          <cell r="E281">
            <v>69.882000000000005</v>
          </cell>
          <cell r="F281">
            <v>4.3</v>
          </cell>
          <cell r="H281">
            <v>139.38024931034482</v>
          </cell>
          <cell r="I281">
            <v>31.553399999999996</v>
          </cell>
          <cell r="J281">
            <v>139.38024931034482</v>
          </cell>
          <cell r="K281">
            <v>31.553399999999996</v>
          </cell>
          <cell r="M281">
            <v>110</v>
          </cell>
          <cell r="N281">
            <v>48</v>
          </cell>
          <cell r="P281">
            <v>33</v>
          </cell>
          <cell r="Q281">
            <v>79</v>
          </cell>
          <cell r="R281">
            <v>4.4000000000000004</v>
          </cell>
          <cell r="T281">
            <v>139.16896551724136</v>
          </cell>
          <cell r="U281">
            <v>32.287199999999999</v>
          </cell>
          <cell r="V281">
            <v>139.38024931034482</v>
          </cell>
          <cell r="W281">
            <v>31.553399999999996</v>
          </cell>
        </row>
        <row r="282">
          <cell r="B282" t="str">
            <v>Oct-2012</v>
          </cell>
          <cell r="C282">
            <v>109.581</v>
          </cell>
          <cell r="D282">
            <v>164.99700000000001</v>
          </cell>
          <cell r="E282">
            <v>74.337999999999994</v>
          </cell>
          <cell r="F282">
            <v>4.8</v>
          </cell>
          <cell r="H282">
            <v>138.63885827586208</v>
          </cell>
          <cell r="I282">
            <v>35.2224</v>
          </cell>
          <cell r="J282">
            <v>138.63885827586208</v>
          </cell>
          <cell r="K282">
            <v>35.2224</v>
          </cell>
          <cell r="M282">
            <v>110</v>
          </cell>
          <cell r="N282">
            <v>48</v>
          </cell>
          <cell r="P282">
            <v>33</v>
          </cell>
          <cell r="Q282">
            <v>79</v>
          </cell>
          <cell r="R282">
            <v>4.4000000000000004</v>
          </cell>
          <cell r="T282">
            <v>139.16896551724136</v>
          </cell>
          <cell r="U282">
            <v>32.287199999999999</v>
          </cell>
          <cell r="V282">
            <v>138.63885827586208</v>
          </cell>
          <cell r="W282">
            <v>35.2224</v>
          </cell>
        </row>
        <row r="283">
          <cell r="B283" t="str">
            <v>Nov-2012</v>
          </cell>
          <cell r="C283">
            <v>108.84</v>
          </cell>
          <cell r="D283">
            <v>165.99799999999999</v>
          </cell>
          <cell r="E283">
            <v>77.566000000000003</v>
          </cell>
          <cell r="F283">
            <v>4.95</v>
          </cell>
          <cell r="H283">
            <v>137.70136551724136</v>
          </cell>
          <cell r="I283">
            <v>36.323100000000004</v>
          </cell>
          <cell r="J283">
            <v>137.70136551724136</v>
          </cell>
          <cell r="K283">
            <v>36.323100000000004</v>
          </cell>
          <cell r="M283">
            <v>110</v>
          </cell>
          <cell r="N283">
            <v>48</v>
          </cell>
          <cell r="P283">
            <v>33</v>
          </cell>
          <cell r="Q283">
            <v>79</v>
          </cell>
          <cell r="R283">
            <v>4.4000000000000004</v>
          </cell>
          <cell r="T283">
            <v>139.16896551724136</v>
          </cell>
          <cell r="U283">
            <v>32.287199999999999</v>
          </cell>
          <cell r="V283">
            <v>137.70136551724136</v>
          </cell>
          <cell r="W283">
            <v>36.323100000000004</v>
          </cell>
        </row>
        <row r="284">
          <cell r="B284" t="str">
            <v>Dec-2012</v>
          </cell>
          <cell r="C284">
            <v>108.676</v>
          </cell>
          <cell r="D284">
            <v>166.99700000000001</v>
          </cell>
          <cell r="E284">
            <v>82.308999999999997</v>
          </cell>
          <cell r="F284">
            <v>5.5</v>
          </cell>
          <cell r="H284">
            <v>137.49387724137929</v>
          </cell>
          <cell r="I284">
            <v>40.359000000000002</v>
          </cell>
          <cell r="J284">
            <v>137.49387724137929</v>
          </cell>
          <cell r="K284">
            <v>40.359000000000002</v>
          </cell>
          <cell r="M284">
            <v>110</v>
          </cell>
          <cell r="N284">
            <v>48</v>
          </cell>
          <cell r="P284">
            <v>33</v>
          </cell>
          <cell r="Q284">
            <v>79</v>
          </cell>
          <cell r="R284">
            <v>4.4000000000000004</v>
          </cell>
          <cell r="T284">
            <v>139.16896551724136</v>
          </cell>
          <cell r="U284">
            <v>32.287199999999999</v>
          </cell>
          <cell r="V284">
            <v>137.49387724137929</v>
          </cell>
          <cell r="W284">
            <v>40.359000000000002</v>
          </cell>
        </row>
        <row r="285">
          <cell r="M285">
            <v>110</v>
          </cell>
          <cell r="N285">
            <v>60</v>
          </cell>
          <cell r="P285">
            <v>33</v>
          </cell>
          <cell r="Q285">
            <v>79</v>
          </cell>
          <cell r="R285">
            <v>4.4000000000000004</v>
          </cell>
          <cell r="T285">
            <v>139.16896551724136</v>
          </cell>
          <cell r="U285">
            <v>32.287199999999999</v>
          </cell>
          <cell r="V285">
            <v>139.16896551724136</v>
          </cell>
          <cell r="W285">
            <v>32.287199999999999</v>
          </cell>
        </row>
        <row r="286">
          <cell r="M286">
            <v>110</v>
          </cell>
          <cell r="N286">
            <v>60</v>
          </cell>
          <cell r="P286">
            <v>33</v>
          </cell>
          <cell r="Q286">
            <v>79</v>
          </cell>
          <cell r="R286">
            <v>4.4000000000000004</v>
          </cell>
          <cell r="T286">
            <v>139.16896551724136</v>
          </cell>
          <cell r="U286">
            <v>32.287199999999999</v>
          </cell>
          <cell r="V286">
            <v>139.16896551724136</v>
          </cell>
          <cell r="W286">
            <v>32.287199999999999</v>
          </cell>
        </row>
        <row r="287">
          <cell r="M287">
            <v>110</v>
          </cell>
          <cell r="N287">
            <v>60</v>
          </cell>
          <cell r="P287">
            <v>33</v>
          </cell>
          <cell r="Q287">
            <v>79</v>
          </cell>
          <cell r="R287">
            <v>4.4000000000000004</v>
          </cell>
          <cell r="T287">
            <v>139.16896551724136</v>
          </cell>
          <cell r="U287">
            <v>32.287199999999999</v>
          </cell>
          <cell r="V287">
            <v>139.16896551724136</v>
          </cell>
          <cell r="W287">
            <v>32.287199999999999</v>
          </cell>
        </row>
        <row r="288">
          <cell r="M288">
            <v>110</v>
          </cell>
          <cell r="N288">
            <v>60</v>
          </cell>
          <cell r="P288">
            <v>33</v>
          </cell>
          <cell r="Q288">
            <v>79</v>
          </cell>
          <cell r="R288">
            <v>4.4000000000000004</v>
          </cell>
          <cell r="T288">
            <v>139.16896551724136</v>
          </cell>
          <cell r="U288">
            <v>32.287199999999999</v>
          </cell>
          <cell r="V288">
            <v>139.16896551724136</v>
          </cell>
          <cell r="W288">
            <v>32.287199999999999</v>
          </cell>
        </row>
        <row r="289">
          <cell r="M289">
            <v>110</v>
          </cell>
          <cell r="N289">
            <v>60</v>
          </cell>
          <cell r="P289">
            <v>33</v>
          </cell>
          <cell r="Q289">
            <v>79</v>
          </cell>
          <cell r="R289">
            <v>4.4000000000000004</v>
          </cell>
          <cell r="T289">
            <v>139.16896551724136</v>
          </cell>
          <cell r="U289">
            <v>32.287199999999999</v>
          </cell>
          <cell r="V289">
            <v>139.16896551724136</v>
          </cell>
          <cell r="W289">
            <v>32.287199999999999</v>
          </cell>
        </row>
        <row r="290">
          <cell r="M290">
            <v>110</v>
          </cell>
          <cell r="N290">
            <v>60</v>
          </cell>
          <cell r="P290">
            <v>33</v>
          </cell>
          <cell r="Q290">
            <v>79</v>
          </cell>
          <cell r="R290">
            <v>4.4000000000000004</v>
          </cell>
          <cell r="T290">
            <v>139.16896551724136</v>
          </cell>
          <cell r="U290">
            <v>32.287199999999999</v>
          </cell>
          <cell r="V290">
            <v>139.16896551724136</v>
          </cell>
          <cell r="W290">
            <v>32.287199999999999</v>
          </cell>
        </row>
        <row r="291">
          <cell r="M291">
            <v>110</v>
          </cell>
          <cell r="N291">
            <v>60</v>
          </cell>
          <cell r="P291">
            <v>33</v>
          </cell>
          <cell r="Q291">
            <v>79</v>
          </cell>
          <cell r="R291">
            <v>4.4000000000000004</v>
          </cell>
          <cell r="T291">
            <v>139.16896551724136</v>
          </cell>
          <cell r="U291">
            <v>32.287199999999999</v>
          </cell>
          <cell r="V291">
            <v>139.16896551724136</v>
          </cell>
          <cell r="W291">
            <v>32.287199999999999</v>
          </cell>
        </row>
        <row r="292">
          <cell r="M292">
            <v>110</v>
          </cell>
          <cell r="N292">
            <v>60</v>
          </cell>
          <cell r="P292">
            <v>33</v>
          </cell>
          <cell r="Q292">
            <v>79</v>
          </cell>
          <cell r="R292">
            <v>4.4000000000000004</v>
          </cell>
          <cell r="T292">
            <v>139.16896551724136</v>
          </cell>
          <cell r="U292">
            <v>32.287199999999999</v>
          </cell>
          <cell r="V292">
            <v>139.16896551724136</v>
          </cell>
          <cell r="W292">
            <v>32.287199999999999</v>
          </cell>
        </row>
        <row r="293">
          <cell r="M293">
            <v>110</v>
          </cell>
          <cell r="N293">
            <v>60</v>
          </cell>
          <cell r="P293">
            <v>33</v>
          </cell>
          <cell r="Q293">
            <v>79</v>
          </cell>
          <cell r="R293">
            <v>4.4000000000000004</v>
          </cell>
          <cell r="T293">
            <v>139.16896551724136</v>
          </cell>
          <cell r="U293">
            <v>32.287199999999999</v>
          </cell>
          <cell r="V293">
            <v>139.16896551724136</v>
          </cell>
          <cell r="W293">
            <v>32.287199999999999</v>
          </cell>
        </row>
        <row r="294">
          <cell r="M294">
            <v>110</v>
          </cell>
          <cell r="N294">
            <v>60</v>
          </cell>
          <cell r="P294">
            <v>33</v>
          </cell>
          <cell r="Q294">
            <v>79</v>
          </cell>
          <cell r="R294">
            <v>4.4000000000000004</v>
          </cell>
          <cell r="T294">
            <v>139.16896551724136</v>
          </cell>
          <cell r="U294">
            <v>32.287199999999999</v>
          </cell>
          <cell r="V294">
            <v>139.16896551724136</v>
          </cell>
          <cell r="W294">
            <v>32.287199999999999</v>
          </cell>
        </row>
        <row r="295">
          <cell r="M295">
            <v>110</v>
          </cell>
          <cell r="N295">
            <v>60</v>
          </cell>
          <cell r="P295">
            <v>33</v>
          </cell>
          <cell r="Q295">
            <v>79</v>
          </cell>
          <cell r="R295">
            <v>4.4000000000000004</v>
          </cell>
          <cell r="T295">
            <v>139.16896551724136</v>
          </cell>
          <cell r="U295">
            <v>32.287199999999999</v>
          </cell>
          <cell r="V295">
            <v>139.16896551724136</v>
          </cell>
          <cell r="W295">
            <v>32.287199999999999</v>
          </cell>
        </row>
        <row r="296">
          <cell r="M296">
            <v>110</v>
          </cell>
          <cell r="N296">
            <v>60</v>
          </cell>
          <cell r="P296">
            <v>33</v>
          </cell>
          <cell r="Q296">
            <v>79</v>
          </cell>
          <cell r="R296">
            <v>4.4000000000000004</v>
          </cell>
          <cell r="T296">
            <v>139.16896551724136</v>
          </cell>
          <cell r="U296">
            <v>32.287199999999999</v>
          </cell>
          <cell r="V296">
            <v>139.16896551724136</v>
          </cell>
          <cell r="W296">
            <v>32.287199999999999</v>
          </cell>
        </row>
        <row r="297">
          <cell r="M297">
            <v>110</v>
          </cell>
          <cell r="N297">
            <v>65</v>
          </cell>
          <cell r="P297">
            <v>33</v>
          </cell>
          <cell r="Q297">
            <v>79</v>
          </cell>
          <cell r="R297">
            <v>4.4000000000000004</v>
          </cell>
          <cell r="T297">
            <v>139.16896551724136</v>
          </cell>
          <cell r="U297">
            <v>32.287199999999999</v>
          </cell>
          <cell r="V297">
            <v>139.16896551724136</v>
          </cell>
          <cell r="W297">
            <v>32.287199999999999</v>
          </cell>
        </row>
        <row r="298">
          <cell r="M298">
            <v>110</v>
          </cell>
          <cell r="N298">
            <v>65</v>
          </cell>
          <cell r="P298">
            <v>33</v>
          </cell>
          <cell r="Q298">
            <v>79</v>
          </cell>
          <cell r="R298">
            <v>4.4000000000000004</v>
          </cell>
          <cell r="T298">
            <v>139.16896551724136</v>
          </cell>
          <cell r="U298">
            <v>32.287199999999999</v>
          </cell>
          <cell r="V298">
            <v>139.16896551724136</v>
          </cell>
          <cell r="W298">
            <v>32.287199999999999</v>
          </cell>
        </row>
        <row r="299">
          <cell r="M299">
            <v>110</v>
          </cell>
          <cell r="N299">
            <v>65</v>
          </cell>
          <cell r="P299">
            <v>33</v>
          </cell>
          <cell r="Q299">
            <v>79</v>
          </cell>
          <cell r="R299">
            <v>4.4000000000000004</v>
          </cell>
          <cell r="T299">
            <v>139.16896551724136</v>
          </cell>
          <cell r="U299">
            <v>32.287199999999999</v>
          </cell>
          <cell r="V299">
            <v>139.16896551724136</v>
          </cell>
          <cell r="W299">
            <v>32.287199999999999</v>
          </cell>
        </row>
        <row r="300">
          <cell r="M300">
            <v>110</v>
          </cell>
          <cell r="N300">
            <v>65</v>
          </cell>
          <cell r="P300">
            <v>33</v>
          </cell>
          <cell r="Q300">
            <v>79</v>
          </cell>
          <cell r="R300">
            <v>4.4000000000000004</v>
          </cell>
          <cell r="T300">
            <v>139.16896551724136</v>
          </cell>
          <cell r="U300">
            <v>32.287199999999999</v>
          </cell>
          <cell r="V300">
            <v>139.16896551724136</v>
          </cell>
          <cell r="W300">
            <v>32.287199999999999</v>
          </cell>
        </row>
        <row r="301">
          <cell r="M301">
            <v>110</v>
          </cell>
          <cell r="N301">
            <v>65</v>
          </cell>
          <cell r="P301">
            <v>33</v>
          </cell>
          <cell r="Q301">
            <v>79</v>
          </cell>
          <cell r="R301">
            <v>4.4000000000000004</v>
          </cell>
          <cell r="T301">
            <v>139.16896551724136</v>
          </cell>
          <cell r="U301">
            <v>32.287199999999999</v>
          </cell>
          <cell r="V301">
            <v>139.16896551724136</v>
          </cell>
          <cell r="W301">
            <v>32.287199999999999</v>
          </cell>
        </row>
        <row r="302">
          <cell r="M302">
            <v>110</v>
          </cell>
          <cell r="N302">
            <v>65</v>
          </cell>
          <cell r="P302">
            <v>33</v>
          </cell>
          <cell r="Q302">
            <v>79</v>
          </cell>
          <cell r="R302">
            <v>4.4000000000000004</v>
          </cell>
          <cell r="T302">
            <v>139.16896551724136</v>
          </cell>
          <cell r="U302">
            <v>32.287199999999999</v>
          </cell>
          <cell r="V302">
            <v>139.16896551724136</v>
          </cell>
          <cell r="W302">
            <v>32.287199999999999</v>
          </cell>
        </row>
        <row r="303">
          <cell r="M303">
            <v>110</v>
          </cell>
          <cell r="N303">
            <v>65</v>
          </cell>
          <cell r="P303">
            <v>33</v>
          </cell>
          <cell r="Q303">
            <v>79</v>
          </cell>
          <cell r="R303">
            <v>4.4000000000000004</v>
          </cell>
          <cell r="T303">
            <v>139.16896551724136</v>
          </cell>
          <cell r="U303">
            <v>32.287199999999999</v>
          </cell>
          <cell r="V303">
            <v>139.16896551724136</v>
          </cell>
          <cell r="W303">
            <v>32.287199999999999</v>
          </cell>
        </row>
        <row r="304">
          <cell r="M304">
            <v>110</v>
          </cell>
          <cell r="N304">
            <v>65</v>
          </cell>
          <cell r="P304">
            <v>33</v>
          </cell>
          <cell r="Q304">
            <v>79</v>
          </cell>
          <cell r="R304">
            <v>4.4000000000000004</v>
          </cell>
          <cell r="T304">
            <v>139.16896551724136</v>
          </cell>
          <cell r="U304">
            <v>32.287199999999999</v>
          </cell>
          <cell r="V304">
            <v>139.16896551724136</v>
          </cell>
          <cell r="W304">
            <v>32.287199999999999</v>
          </cell>
        </row>
        <row r="305">
          <cell r="M305">
            <v>110</v>
          </cell>
          <cell r="N305">
            <v>65</v>
          </cell>
          <cell r="P305">
            <v>33</v>
          </cell>
          <cell r="Q305">
            <v>79</v>
          </cell>
          <cell r="R305">
            <v>4.4000000000000004</v>
          </cell>
          <cell r="T305">
            <v>139.16896551724136</v>
          </cell>
          <cell r="U305">
            <v>32.287199999999999</v>
          </cell>
          <cell r="V305">
            <v>139.16896551724136</v>
          </cell>
          <cell r="W305">
            <v>32.287199999999999</v>
          </cell>
        </row>
        <row r="306">
          <cell r="M306">
            <v>110</v>
          </cell>
          <cell r="N306">
            <v>65</v>
          </cell>
          <cell r="P306">
            <v>33</v>
          </cell>
          <cell r="Q306">
            <v>79</v>
          </cell>
          <cell r="R306">
            <v>4.4000000000000004</v>
          </cell>
          <cell r="T306">
            <v>139.16896551724136</v>
          </cell>
          <cell r="U306">
            <v>32.287199999999999</v>
          </cell>
          <cell r="V306">
            <v>139.16896551724136</v>
          </cell>
          <cell r="W306">
            <v>32.287199999999999</v>
          </cell>
        </row>
        <row r="307">
          <cell r="M307">
            <v>110</v>
          </cell>
          <cell r="N307">
            <v>65</v>
          </cell>
          <cell r="P307">
            <v>33</v>
          </cell>
          <cell r="Q307">
            <v>79</v>
          </cell>
          <cell r="R307">
            <v>4.4000000000000004</v>
          </cell>
          <cell r="T307">
            <v>139.16896551724136</v>
          </cell>
          <cell r="U307">
            <v>32.287199999999999</v>
          </cell>
          <cell r="V307">
            <v>139.16896551724136</v>
          </cell>
          <cell r="W307">
            <v>32.287199999999999</v>
          </cell>
        </row>
        <row r="308">
          <cell r="M308">
            <v>110</v>
          </cell>
          <cell r="N308">
            <v>65</v>
          </cell>
          <cell r="P308">
            <v>33</v>
          </cell>
          <cell r="Q308">
            <v>79</v>
          </cell>
          <cell r="R308">
            <v>4.4000000000000004</v>
          </cell>
          <cell r="T308">
            <v>139.16896551724136</v>
          </cell>
          <cell r="U308">
            <v>32.287199999999999</v>
          </cell>
          <cell r="V308">
            <v>139.16896551724136</v>
          </cell>
          <cell r="W308">
            <v>32.287199999999999</v>
          </cell>
          <cell r="X308">
            <v>139.16896551724133</v>
          </cell>
          <cell r="Y308">
            <v>32.287199999999991</v>
          </cell>
          <cell r="Z308">
            <v>57.666666666666664</v>
          </cell>
          <cell r="AA308">
            <v>68.811499999999981</v>
          </cell>
          <cell r="AB308">
            <v>4.4000000000000021</v>
          </cell>
        </row>
        <row r="309">
          <cell r="Z309">
            <v>0.41436441272908986</v>
          </cell>
          <cell r="AA309">
            <v>0.49444572462152186</v>
          </cell>
        </row>
        <row r="310">
          <cell r="Z310">
            <v>1.7860535031426286</v>
          </cell>
          <cell r="AA310">
            <v>2.1312315716444905</v>
          </cell>
        </row>
      </sheetData>
      <sheetData sheetId="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ensus Snapshot table_old"/>
      <sheetName val="Relative Valuation table_OLD"/>
      <sheetName val="#REF"/>
      <sheetName val="NOPAT"/>
      <sheetName val="ROE"/>
    </sheetNames>
    <sheetDataSet>
      <sheetData sheetId="0" refreshError="1"/>
      <sheetData sheetId="1" refreshError="1">
        <row r="1">
          <cell r="C1">
            <v>8</v>
          </cell>
          <cell r="D1">
            <v>10</v>
          </cell>
          <cell r="F1">
            <v>10</v>
          </cell>
          <cell r="H1">
            <v>10</v>
          </cell>
          <cell r="I1">
            <v>13</v>
          </cell>
          <cell r="J1">
            <v>10</v>
          </cell>
          <cell r="L1">
            <v>10</v>
          </cell>
          <cell r="Q1" t="str">
            <v>{CMicroBar}</v>
          </cell>
        </row>
        <row r="4">
          <cell r="C4" t="str">
            <v xml:space="preserve"> P/E (FY1)</v>
          </cell>
          <cell r="E4" t="str">
            <v xml:space="preserve"> P/Book</v>
          </cell>
          <cell r="G4" t="str">
            <v xml:space="preserve"> EV/Ebitda</v>
          </cell>
          <cell r="I4" t="str">
            <v xml:space="preserve"> EPS growth
 (2-yr fwd)</v>
          </cell>
          <cell r="K4" t="str">
            <v xml:space="preserve"> Upside to
 Price Target</v>
          </cell>
          <cell r="N4" t="str">
            <v xml:space="preserve">
Ratings</v>
          </cell>
        </row>
        <row r="6">
          <cell r="D6" t="str">
            <v></v>
          </cell>
          <cell r="F6" t="str">
            <v></v>
          </cell>
          <cell r="H6" t="str">
            <v></v>
          </cell>
          <cell r="J6" t="str">
            <v></v>
          </cell>
          <cell r="L6" t="str">
            <v>串懶</v>
          </cell>
          <cell r="N6" t="str">
            <v>Buy</v>
          </cell>
          <cell r="O6" t="str">
            <v>Hold</v>
          </cell>
          <cell r="P6" t="str">
            <v>Sell</v>
          </cell>
        </row>
        <row r="8">
          <cell r="B8" t="str">
            <v xml:space="preserve">Infosys Technologies </v>
          </cell>
          <cell r="C8">
            <v>23.165303750274681</v>
          </cell>
          <cell r="D8" t="str">
            <v></v>
          </cell>
          <cell r="E8">
            <v>5.92997</v>
          </cell>
          <cell r="F8" t="str">
            <v></v>
          </cell>
          <cell r="G8">
            <v>16.697620329855269</v>
          </cell>
          <cell r="H8" t="str">
            <v></v>
          </cell>
          <cell r="I8">
            <v>0.44916684604475132</v>
          </cell>
          <cell r="J8" t="str">
            <v></v>
          </cell>
          <cell r="K8">
            <v>-2.9398993640009172E-2</v>
          </cell>
          <cell r="L8" t="str">
            <v></v>
          </cell>
          <cell r="N8">
            <v>21</v>
          </cell>
          <cell r="O8">
            <v>13</v>
          </cell>
          <cell r="P8" t="str">
            <v/>
          </cell>
          <cell r="Q8" t="str">
            <v></v>
          </cell>
        </row>
        <row r="9">
          <cell r="B9" t="str">
            <v xml:space="preserve">Rolta India </v>
          </cell>
          <cell r="C9">
            <v>20.694458166823328</v>
          </cell>
          <cell r="D9" t="str">
            <v></v>
          </cell>
          <cell r="E9">
            <v>3.5718800000000002</v>
          </cell>
          <cell r="F9" t="str">
            <v></v>
          </cell>
          <cell r="G9">
            <v>16.154547701816412</v>
          </cell>
          <cell r="H9" t="str">
            <v></v>
          </cell>
          <cell r="I9">
            <v>0.79090585867912133</v>
          </cell>
          <cell r="J9" t="str">
            <v></v>
          </cell>
          <cell r="K9">
            <v>0.32728771640560594</v>
          </cell>
          <cell r="L9" t="str">
            <v></v>
          </cell>
          <cell r="N9">
            <v>4</v>
          </cell>
          <cell r="O9" t="str">
            <v/>
          </cell>
          <cell r="P9" t="str">
            <v/>
          </cell>
          <cell r="Q9" t="str">
            <v></v>
          </cell>
        </row>
        <row r="10">
          <cell r="B10" t="str">
            <v xml:space="preserve">Vakrangee Softwares </v>
          </cell>
          <cell r="C10">
            <v>20.301251956181531</v>
          </cell>
          <cell r="D10" t="str">
            <v></v>
          </cell>
          <cell r="E10">
            <v>1.46147</v>
          </cell>
          <cell r="F10" t="str">
            <v></v>
          </cell>
          <cell r="G10">
            <v>9.5269519425732483</v>
          </cell>
          <cell r="H10" t="str">
            <v></v>
          </cell>
          <cell r="I10">
            <v>1.333836098541981</v>
          </cell>
          <cell r="J10" t="str">
            <v></v>
          </cell>
          <cell r="K10">
            <v>0.70221091762864407</v>
          </cell>
          <cell r="L10" t="str">
            <v></v>
          </cell>
          <cell r="N10">
            <v>2</v>
          </cell>
          <cell r="O10" t="str">
            <v/>
          </cell>
          <cell r="P10" t="str">
            <v/>
          </cell>
          <cell r="Q10" t="str">
            <v></v>
          </cell>
        </row>
        <row r="11">
          <cell r="B11" t="str">
            <v xml:space="preserve">Satyam Computer Services </v>
          </cell>
          <cell r="C11">
            <v>19.718643799889353</v>
          </cell>
          <cell r="D11" t="str">
            <v></v>
          </cell>
          <cell r="E11">
            <v>5.4957700000000003</v>
          </cell>
          <cell r="F11" t="str">
            <v></v>
          </cell>
          <cell r="G11">
            <v>17.078127744277268</v>
          </cell>
          <cell r="H11" t="str">
            <v></v>
          </cell>
          <cell r="I11">
            <v>0.53100814894033643</v>
          </cell>
          <cell r="J11" t="str">
            <v></v>
          </cell>
          <cell r="K11">
            <v>-2.1479713603818614E-2</v>
          </cell>
          <cell r="L11" t="str">
            <v></v>
          </cell>
          <cell r="N11">
            <v>18</v>
          </cell>
          <cell r="O11">
            <v>7</v>
          </cell>
          <cell r="P11" t="str">
            <v/>
          </cell>
          <cell r="Q11" t="str">
            <v></v>
          </cell>
        </row>
        <row r="12">
          <cell r="B12" t="str">
            <v xml:space="preserve">Tata Consultancy Services </v>
          </cell>
          <cell r="C12">
            <v>18.737467646561658</v>
          </cell>
          <cell r="D12" t="str">
            <v></v>
          </cell>
          <cell r="E12">
            <v>13.614140000000001</v>
          </cell>
          <cell r="F12" t="str">
            <v></v>
          </cell>
          <cell r="G12">
            <v>17.602119655051197</v>
          </cell>
          <cell r="H12" t="str">
            <v></v>
          </cell>
          <cell r="I12">
            <v>0.38530689443930721</v>
          </cell>
          <cell r="J12" t="str">
            <v></v>
          </cell>
          <cell r="K12">
            <v>5.2222492105902359E-2</v>
          </cell>
          <cell r="L12" t="str">
            <v></v>
          </cell>
          <cell r="N12">
            <v>16</v>
          </cell>
          <cell r="O12">
            <v>10</v>
          </cell>
          <cell r="P12" t="str">
            <v/>
          </cell>
          <cell r="Q12" t="str">
            <v></v>
          </cell>
        </row>
        <row r="13">
          <cell r="B13" t="str">
            <v xml:space="preserve">Mphasis </v>
          </cell>
          <cell r="C13">
            <v>18.603477724334482</v>
          </cell>
          <cell r="D13" t="str">
            <v></v>
          </cell>
          <cell r="E13">
            <v>4.5919100000000004</v>
          </cell>
          <cell r="F13" t="str">
            <v></v>
          </cell>
          <cell r="G13" t="str">
            <v>NA</v>
          </cell>
          <cell r="H13" t="str">
            <v></v>
          </cell>
          <cell r="I13">
            <v>0.84296926496494584</v>
          </cell>
          <cell r="J13" t="str">
            <v></v>
          </cell>
          <cell r="K13">
            <v>0.1143818334735071</v>
          </cell>
          <cell r="L13" t="str">
            <v></v>
          </cell>
          <cell r="N13">
            <v>8</v>
          </cell>
          <cell r="O13">
            <v>5</v>
          </cell>
          <cell r="P13">
            <v>1</v>
          </cell>
          <cell r="Q13" t="str">
            <v></v>
          </cell>
        </row>
        <row r="14">
          <cell r="B14" t="str">
            <v xml:space="preserve">Wipro </v>
          </cell>
          <cell r="C14">
            <v>18.503024055060422</v>
          </cell>
          <cell r="D14" t="str">
            <v></v>
          </cell>
          <cell r="E14">
            <v>8.4862000000000002</v>
          </cell>
          <cell r="F14" t="str">
            <v></v>
          </cell>
          <cell r="G14">
            <v>19.653327362535961</v>
          </cell>
          <cell r="H14" t="str">
            <v></v>
          </cell>
          <cell r="I14">
            <v>0.419577732468563</v>
          </cell>
          <cell r="J14" t="str">
            <v></v>
          </cell>
          <cell r="K14">
            <v>-1.5748031496062992E-2</v>
          </cell>
          <cell r="L14" t="str">
            <v></v>
          </cell>
          <cell r="N14">
            <v>12</v>
          </cell>
          <cell r="O14">
            <v>11</v>
          </cell>
          <cell r="P14">
            <v>2</v>
          </cell>
          <cell r="Q14" t="str">
            <v></v>
          </cell>
        </row>
        <row r="15">
          <cell r="B15" t="str">
            <v xml:space="preserve">Mindtree </v>
          </cell>
          <cell r="C15">
            <v>17.848498130011894</v>
          </cell>
          <cell r="D15" t="str">
            <v></v>
          </cell>
          <cell r="E15">
            <v>7.19984</v>
          </cell>
          <cell r="F15" t="str">
            <v></v>
          </cell>
          <cell r="G15">
            <v>14.698193597463257</v>
          </cell>
          <cell r="H15" t="str">
            <v></v>
          </cell>
          <cell r="I15">
            <v>9.8563448275862164E-2</v>
          </cell>
          <cell r="J15" t="str">
            <v></v>
          </cell>
          <cell r="K15">
            <v>1.0371003955949889E-2</v>
          </cell>
          <cell r="L15" t="str">
            <v></v>
          </cell>
          <cell r="N15">
            <v>1</v>
          </cell>
          <cell r="O15">
            <v>4</v>
          </cell>
          <cell r="P15">
            <v>2</v>
          </cell>
          <cell r="Q15" t="str">
            <v></v>
          </cell>
        </row>
        <row r="16">
          <cell r="B16" t="str">
            <v xml:space="preserve">GTL </v>
          </cell>
          <cell r="C16">
            <v>17.231316725978647</v>
          </cell>
          <cell r="D16" t="str">
            <v></v>
          </cell>
          <cell r="E16">
            <v>1.1864600000000001</v>
          </cell>
          <cell r="F16" t="str">
            <v></v>
          </cell>
          <cell r="G16">
            <v>11.655135676588008</v>
          </cell>
          <cell r="H16" t="str">
            <v></v>
          </cell>
          <cell r="I16">
            <v>2.8995284599323448</v>
          </cell>
          <cell r="J16" t="str">
            <v></v>
          </cell>
          <cell r="K16">
            <v>1.175</v>
          </cell>
          <cell r="L16" t="str">
            <v></v>
          </cell>
          <cell r="N16">
            <v>1</v>
          </cell>
          <cell r="O16" t="str">
            <v/>
          </cell>
          <cell r="P16" t="str">
            <v/>
          </cell>
          <cell r="Q16" t="str">
            <v></v>
          </cell>
        </row>
        <row r="17">
          <cell r="B17" t="str">
            <v xml:space="preserve">Tanla Solutions </v>
          </cell>
          <cell r="C17">
            <v>16.367534456355283</v>
          </cell>
          <cell r="D17" t="str">
            <v></v>
          </cell>
          <cell r="E17">
            <v>3.17971</v>
          </cell>
          <cell r="F17" t="str">
            <v></v>
          </cell>
          <cell r="G17">
            <v>21.602059422204459</v>
          </cell>
          <cell r="H17" t="str">
            <v></v>
          </cell>
          <cell r="I17">
            <v>1.4369973190348526</v>
          </cell>
          <cell r="J17" t="str">
            <v></v>
          </cell>
          <cell r="K17">
            <v>0.53099730458221028</v>
          </cell>
          <cell r="L17" t="str">
            <v></v>
          </cell>
          <cell r="N17">
            <v>3</v>
          </cell>
          <cell r="O17" t="str">
            <v/>
          </cell>
          <cell r="P17" t="str">
            <v/>
          </cell>
          <cell r="Q17" t="str">
            <v></v>
          </cell>
        </row>
        <row r="18">
          <cell r="B18" t="str">
            <v xml:space="preserve">HCL Technologies </v>
          </cell>
          <cell r="C18">
            <v>15.459382224372732</v>
          </cell>
          <cell r="D18" t="str">
            <v></v>
          </cell>
          <cell r="E18">
            <v>4.0106999999999999</v>
          </cell>
          <cell r="F18" t="str">
            <v></v>
          </cell>
          <cell r="G18">
            <v>19.440219078390026</v>
          </cell>
          <cell r="H18" t="str">
            <v></v>
          </cell>
          <cell r="I18">
            <v>5.6880861844350816E-2</v>
          </cell>
          <cell r="J18" t="str">
            <v></v>
          </cell>
          <cell r="K18">
            <v>-3.4835410674336952E-2</v>
          </cell>
          <cell r="L18" t="str">
            <v></v>
          </cell>
          <cell r="N18">
            <v>8</v>
          </cell>
          <cell r="O18">
            <v>7</v>
          </cell>
          <cell r="P18" t="str">
            <v/>
          </cell>
          <cell r="Q18" t="str">
            <v></v>
          </cell>
        </row>
        <row r="19">
          <cell r="B19" t="str">
            <v xml:space="preserve">KLG Systel </v>
          </cell>
          <cell r="C19">
            <v>14.288883411387726</v>
          </cell>
          <cell r="D19" t="str">
            <v></v>
          </cell>
          <cell r="E19">
            <v>2.9124500000000002</v>
          </cell>
          <cell r="F19" t="str">
            <v></v>
          </cell>
          <cell r="G19">
            <v>17.296609791008098</v>
          </cell>
          <cell r="H19" t="str">
            <v></v>
          </cell>
          <cell r="I19">
            <v>0.90131578947368407</v>
          </cell>
          <cell r="J19" t="str">
            <v></v>
          </cell>
          <cell r="K19" t="str">
            <v>NA</v>
          </cell>
          <cell r="L19" t="str">
            <v></v>
          </cell>
          <cell r="N19">
            <v>1</v>
          </cell>
          <cell r="O19" t="str">
            <v/>
          </cell>
          <cell r="P19" t="str">
            <v/>
          </cell>
          <cell r="Q19" t="str">
            <v></v>
          </cell>
        </row>
        <row r="20">
          <cell r="B20" t="str">
            <v xml:space="preserve">Nucleus Software Exports </v>
          </cell>
          <cell r="C20">
            <v>13.882666666666667</v>
          </cell>
          <cell r="D20" t="str">
            <v></v>
          </cell>
          <cell r="E20">
            <v>9.3110999999999997</v>
          </cell>
          <cell r="F20" t="str">
            <v></v>
          </cell>
          <cell r="G20">
            <v>12.824442830371405</v>
          </cell>
          <cell r="H20" t="str">
            <v></v>
          </cell>
          <cell r="I20">
            <v>4.7441656623205875E-2</v>
          </cell>
          <cell r="J20" t="str">
            <v></v>
          </cell>
          <cell r="K20" t="str">
            <v>NA</v>
          </cell>
          <cell r="L20" t="str">
            <v></v>
          </cell>
          <cell r="N20">
            <v>2</v>
          </cell>
          <cell r="O20" t="str">
            <v/>
          </cell>
          <cell r="P20" t="str">
            <v/>
          </cell>
          <cell r="Q20" t="str">
            <v></v>
          </cell>
        </row>
        <row r="21">
          <cell r="B21" t="str">
            <v xml:space="preserve">Tech Mahindra </v>
          </cell>
          <cell r="C21">
            <v>13.812760765034616</v>
          </cell>
          <cell r="D21" t="str">
            <v></v>
          </cell>
          <cell r="E21">
            <v>18.844529999999999</v>
          </cell>
          <cell r="F21" t="str">
            <v></v>
          </cell>
          <cell r="G21">
            <v>13.450951219941436</v>
          </cell>
          <cell r="H21" t="str">
            <v></v>
          </cell>
          <cell r="I21">
            <v>0.58809925979642186</v>
          </cell>
          <cell r="J21" t="str">
            <v></v>
          </cell>
          <cell r="K21">
            <v>7.7456647398843934E-2</v>
          </cell>
          <cell r="L21" t="str">
            <v></v>
          </cell>
          <cell r="N21">
            <v>1</v>
          </cell>
          <cell r="O21">
            <v>6</v>
          </cell>
          <cell r="P21">
            <v>2</v>
          </cell>
          <cell r="Q21" t="str">
            <v></v>
          </cell>
        </row>
        <row r="22">
          <cell r="B22" t="str">
            <v xml:space="preserve">Polaris Software Laboratory </v>
          </cell>
          <cell r="C22">
            <v>12.618838282867314</v>
          </cell>
          <cell r="D22" t="str">
            <v></v>
          </cell>
          <cell r="E22">
            <v>2.9498799999999998</v>
          </cell>
          <cell r="F22" t="str">
            <v></v>
          </cell>
          <cell r="G22">
            <v>5.5999741994251204</v>
          </cell>
          <cell r="H22" t="str">
            <v></v>
          </cell>
          <cell r="I22">
            <v>-0.12422553463471286</v>
          </cell>
          <cell r="J22" t="str">
            <v></v>
          </cell>
          <cell r="K22">
            <v>-0.14853358561967836</v>
          </cell>
          <cell r="L22" t="str">
            <v></v>
          </cell>
          <cell r="N22">
            <v>1</v>
          </cell>
          <cell r="O22" t="str">
            <v/>
          </cell>
          <cell r="P22">
            <v>2</v>
          </cell>
          <cell r="Q22" t="str">
            <v></v>
          </cell>
        </row>
        <row r="23">
          <cell r="B23" t="str">
            <v xml:space="preserve">3I Infotech </v>
          </cell>
          <cell r="C23">
            <v>12.503755125606487</v>
          </cell>
          <cell r="D23" t="str">
            <v></v>
          </cell>
          <cell r="E23">
            <v>3.4301499999999998</v>
          </cell>
          <cell r="F23" t="str">
            <v></v>
          </cell>
          <cell r="G23">
            <v>14.896769610153628</v>
          </cell>
          <cell r="H23" t="str">
            <v></v>
          </cell>
          <cell r="I23">
            <v>0.76978386717628511</v>
          </cell>
          <cell r="J23" t="str">
            <v></v>
          </cell>
          <cell r="K23">
            <v>0.42259414225941422</v>
          </cell>
          <cell r="L23" t="str">
            <v></v>
          </cell>
          <cell r="N23">
            <v>6</v>
          </cell>
          <cell r="O23" t="str">
            <v/>
          </cell>
          <cell r="P23" t="str">
            <v/>
          </cell>
          <cell r="Q23" t="str">
            <v></v>
          </cell>
        </row>
        <row r="24">
          <cell r="B24" t="str">
            <v xml:space="preserve">Tata Elxsi (India) </v>
          </cell>
          <cell r="C24">
            <v>11.864705882352942</v>
          </cell>
          <cell r="D24" t="str">
            <v></v>
          </cell>
          <cell r="E24">
            <v>9.6974499999999999</v>
          </cell>
          <cell r="F24" t="str">
            <v></v>
          </cell>
          <cell r="G24">
            <v>8.8415433659000549</v>
          </cell>
          <cell r="H24" t="str">
            <v></v>
          </cell>
          <cell r="I24" t="str">
            <v/>
          </cell>
          <cell r="J24" t="str">
            <v></v>
          </cell>
          <cell r="K24" t="str">
            <v>NA</v>
          </cell>
          <cell r="L24" t="str">
            <v></v>
          </cell>
          <cell r="N24" t="str">
            <v/>
          </cell>
          <cell r="O24" t="str">
            <v/>
          </cell>
          <cell r="P24" t="str">
            <v/>
          </cell>
          <cell r="Q24" t="str">
            <v></v>
          </cell>
        </row>
        <row r="25">
          <cell r="B25" t="str">
            <v xml:space="preserve">HCL Infosystems </v>
          </cell>
          <cell r="C25">
            <v>9.6874321462188036</v>
          </cell>
          <cell r="D25" t="str">
            <v></v>
          </cell>
          <cell r="E25">
            <v>3.7365200000000001</v>
          </cell>
          <cell r="F25" t="str">
            <v></v>
          </cell>
          <cell r="G25">
            <v>6.7567410975847926</v>
          </cell>
          <cell r="H25" t="str">
            <v></v>
          </cell>
          <cell r="I25">
            <v>0.19007635509268694</v>
          </cell>
          <cell r="J25" t="str">
            <v></v>
          </cell>
          <cell r="K25">
            <v>0.38345864661654133</v>
          </cell>
          <cell r="L25" t="str">
            <v></v>
          </cell>
          <cell r="N25">
            <v>1</v>
          </cell>
          <cell r="O25" t="str">
            <v/>
          </cell>
          <cell r="P25" t="str">
            <v/>
          </cell>
          <cell r="Q25" t="str">
            <v></v>
          </cell>
        </row>
        <row r="26">
          <cell r="B26" t="str">
            <v xml:space="preserve">Mastek </v>
          </cell>
          <cell r="C26">
            <v>9.5661768158129501</v>
          </cell>
          <cell r="D26" t="str">
            <v></v>
          </cell>
          <cell r="E26">
            <v>2.3425400000000001</v>
          </cell>
          <cell r="F26" t="str">
            <v></v>
          </cell>
          <cell r="G26">
            <v>7.0488494478281964</v>
          </cell>
          <cell r="H26" t="str">
            <v></v>
          </cell>
          <cell r="I26">
            <v>0.31713018710809826</v>
          </cell>
          <cell r="J26" t="str">
            <v></v>
          </cell>
          <cell r="K26">
            <v>2.9871266091738503E-2</v>
          </cell>
          <cell r="L26" t="str">
            <v></v>
          </cell>
          <cell r="N26">
            <v>1</v>
          </cell>
          <cell r="O26" t="str">
            <v/>
          </cell>
          <cell r="P26">
            <v>1</v>
          </cell>
          <cell r="Q26" t="str">
            <v></v>
          </cell>
        </row>
        <row r="27">
          <cell r="B27" t="str">
            <v xml:space="preserve">Spanco Telesystems &amp; Solutions </v>
          </cell>
          <cell r="C27">
            <v>4.7904941434474635</v>
          </cell>
          <cell r="D27" t="str">
            <v></v>
          </cell>
          <cell r="E27">
            <v>1.5045599999999999</v>
          </cell>
          <cell r="F27" t="str">
            <v></v>
          </cell>
          <cell r="G27">
            <v>5.5710768818103258</v>
          </cell>
          <cell r="H27" t="str">
            <v></v>
          </cell>
          <cell r="I27">
            <v>0.96948557633904464</v>
          </cell>
          <cell r="J27" t="str">
            <v></v>
          </cell>
          <cell r="K27" t="str">
            <v>NA</v>
          </cell>
          <cell r="L27" t="str">
            <v></v>
          </cell>
          <cell r="N27" t="str">
            <v/>
          </cell>
          <cell r="O27" t="str">
            <v/>
          </cell>
          <cell r="P27" t="str">
            <v/>
          </cell>
          <cell r="Q27" t="str">
            <v></v>
          </cell>
        </row>
        <row r="28">
          <cell r="B28" t="str">
            <v xml:space="preserve">Prithvi Information Solutions </v>
          </cell>
          <cell r="C28">
            <v>2.7297297297297298</v>
          </cell>
          <cell r="D28" t="str">
            <v></v>
          </cell>
          <cell r="E28">
            <v>1.2845500000000001</v>
          </cell>
          <cell r="F28" t="str">
            <v></v>
          </cell>
          <cell r="G28">
            <v>3.5454691520084012</v>
          </cell>
          <cell r="H28" t="str">
            <v></v>
          </cell>
          <cell r="I28">
            <v>0.95210946408209818</v>
          </cell>
          <cell r="J28" t="str">
            <v></v>
          </cell>
          <cell r="K28">
            <v>1.7300995024875621</v>
          </cell>
          <cell r="L28" t="str">
            <v></v>
          </cell>
          <cell r="N28" t="str">
            <v/>
          </cell>
          <cell r="O28" t="str">
            <v/>
          </cell>
          <cell r="P28" t="str">
            <v/>
          </cell>
          <cell r="Q28" t="str">
            <v></v>
          </cell>
        </row>
        <row r="29">
          <cell r="B29" t="str">
            <v xml:space="preserve">FiNAncial Technologies (India) </v>
          </cell>
          <cell r="D29" t="str">
            <v></v>
          </cell>
          <cell r="E29">
            <v>25.72418</v>
          </cell>
          <cell r="F29" t="str">
            <v></v>
          </cell>
          <cell r="G29">
            <v>46.536364834406065</v>
          </cell>
          <cell r="H29" t="str">
            <v></v>
          </cell>
          <cell r="I29" t="str">
            <v/>
          </cell>
          <cell r="J29" t="str">
            <v></v>
          </cell>
          <cell r="K29" t="str">
            <v>NA</v>
          </cell>
          <cell r="L29" t="str">
            <v></v>
          </cell>
          <cell r="N29" t="str">
            <v/>
          </cell>
          <cell r="O29" t="str">
            <v/>
          </cell>
          <cell r="P29" t="str">
            <v/>
          </cell>
          <cell r="Q29" t="str">
            <v></v>
          </cell>
        </row>
        <row r="30">
          <cell r="B30" t="str">
            <v xml:space="preserve">GTL Infrastructure </v>
          </cell>
          <cell r="D30" t="str">
            <v></v>
          </cell>
          <cell r="E30">
            <v>3.6036899999999998</v>
          </cell>
          <cell r="F30" t="str">
            <v></v>
          </cell>
          <cell r="G30">
            <v>91.648456727018555</v>
          </cell>
          <cell r="H30" t="str">
            <v></v>
          </cell>
          <cell r="I30">
            <v>0.5</v>
          </cell>
          <cell r="J30" t="str">
            <v></v>
          </cell>
          <cell r="K30">
            <v>0.35942327497425325</v>
          </cell>
          <cell r="L30" t="str">
            <v></v>
          </cell>
          <cell r="N30">
            <v>1</v>
          </cell>
          <cell r="O30" t="str">
            <v/>
          </cell>
          <cell r="P30" t="str">
            <v/>
          </cell>
          <cell r="Q30" t="str">
            <v></v>
          </cell>
        </row>
        <row r="31">
          <cell r="B31" t="str">
            <v xml:space="preserve">Hinduja Ventures </v>
          </cell>
          <cell r="D31" t="str">
            <v></v>
          </cell>
          <cell r="E31">
            <v>4.6322599999999996</v>
          </cell>
          <cell r="F31" t="str">
            <v></v>
          </cell>
          <cell r="G31">
            <v>0.50858046224124609</v>
          </cell>
          <cell r="H31" t="str">
            <v></v>
          </cell>
          <cell r="I31" t="str">
            <v/>
          </cell>
          <cell r="J31" t="str">
            <v></v>
          </cell>
          <cell r="K31" t="str">
            <v>NA</v>
          </cell>
          <cell r="L31" t="str">
            <v></v>
          </cell>
          <cell r="N31" t="str">
            <v/>
          </cell>
          <cell r="O31" t="str">
            <v/>
          </cell>
          <cell r="P31" t="str">
            <v/>
          </cell>
          <cell r="Q31" t="str">
            <v></v>
          </cell>
        </row>
        <row r="32">
          <cell r="B32" t="str">
            <v xml:space="preserve">Core Projects &amp; Technologies </v>
          </cell>
          <cell r="D32" t="str">
            <v></v>
          </cell>
          <cell r="E32">
            <v>8.1354799999999994</v>
          </cell>
          <cell r="F32" t="str">
            <v></v>
          </cell>
          <cell r="G32">
            <v>37.672830380277055</v>
          </cell>
          <cell r="H32" t="str">
            <v></v>
          </cell>
          <cell r="I32" t="str">
            <v/>
          </cell>
          <cell r="J32" t="str">
            <v></v>
          </cell>
          <cell r="K32" t="str">
            <v>NA</v>
          </cell>
          <cell r="L32" t="str">
            <v></v>
          </cell>
          <cell r="N32" t="str">
            <v/>
          </cell>
          <cell r="O32" t="str">
            <v/>
          </cell>
          <cell r="P32" t="str">
            <v/>
          </cell>
          <cell r="Q32" t="str">
            <v></v>
          </cell>
        </row>
        <row r="33">
          <cell r="B33" t="str">
            <v xml:space="preserve">Aftek </v>
          </cell>
          <cell r="D33" t="str">
            <v></v>
          </cell>
          <cell r="E33">
            <v>1.3754599999999999</v>
          </cell>
          <cell r="F33" t="str">
            <v></v>
          </cell>
          <cell r="G33">
            <v>1.589551028872529</v>
          </cell>
          <cell r="H33" t="str">
            <v></v>
          </cell>
          <cell r="I33" t="str">
            <v/>
          </cell>
          <cell r="J33" t="str">
            <v></v>
          </cell>
          <cell r="K33" t="str">
            <v>NA</v>
          </cell>
          <cell r="L33" t="str">
            <v></v>
          </cell>
          <cell r="N33" t="str">
            <v/>
          </cell>
          <cell r="O33" t="str">
            <v/>
          </cell>
          <cell r="P33" t="str">
            <v/>
          </cell>
          <cell r="Q33" t="str">
            <v></v>
          </cell>
        </row>
        <row r="34">
          <cell r="B34" t="str">
            <v xml:space="preserve">I.C.S.A. (India) </v>
          </cell>
          <cell r="D34" t="str">
            <v></v>
          </cell>
          <cell r="E34">
            <v>6.55213</v>
          </cell>
          <cell r="F34" t="str">
            <v></v>
          </cell>
          <cell r="G34">
            <v>17.375668041441394</v>
          </cell>
          <cell r="H34" t="str">
            <v></v>
          </cell>
          <cell r="I34" t="str">
            <v/>
          </cell>
          <cell r="J34" t="str">
            <v></v>
          </cell>
          <cell r="K34">
            <v>0.34087833681879692</v>
          </cell>
          <cell r="L34" t="str">
            <v></v>
          </cell>
          <cell r="N34">
            <v>1</v>
          </cell>
          <cell r="O34" t="str">
            <v/>
          </cell>
          <cell r="P34" t="str">
            <v/>
          </cell>
          <cell r="Q34" t="str">
            <v></v>
          </cell>
        </row>
        <row r="35">
          <cell r="B35" t="str">
            <v xml:space="preserve">Vindhya Telelinks </v>
          </cell>
          <cell r="D35" t="str">
            <v></v>
          </cell>
          <cell r="E35">
            <v>0.51188</v>
          </cell>
          <cell r="F35" t="str">
            <v></v>
          </cell>
          <cell r="G35">
            <v>8.3445728765316378</v>
          </cell>
          <cell r="H35" t="str">
            <v></v>
          </cell>
          <cell r="I35" t="str">
            <v/>
          </cell>
          <cell r="J35" t="str">
            <v></v>
          </cell>
          <cell r="K35" t="str">
            <v>NA</v>
          </cell>
          <cell r="L35" t="str">
            <v></v>
          </cell>
          <cell r="Q35" t="str">
            <v></v>
          </cell>
        </row>
        <row r="36">
          <cell r="B36" t="str">
            <v xml:space="preserve">CMC </v>
          </cell>
          <cell r="D36" t="str">
            <v></v>
          </cell>
          <cell r="E36">
            <v>7.6935200000000004</v>
          </cell>
          <cell r="F36" t="str">
            <v></v>
          </cell>
          <cell r="G36">
            <v>10.860213886009559</v>
          </cell>
          <cell r="H36" t="str">
            <v></v>
          </cell>
          <cell r="I36" t="str">
            <v/>
          </cell>
          <cell r="J36" t="str">
            <v></v>
          </cell>
          <cell r="K36" t="str">
            <v>NA</v>
          </cell>
          <cell r="L36" t="str">
            <v></v>
          </cell>
          <cell r="N36" t="str">
            <v/>
          </cell>
          <cell r="O36" t="str">
            <v/>
          </cell>
          <cell r="P36" t="str">
            <v/>
          </cell>
          <cell r="Q36" t="str">
            <v></v>
          </cell>
        </row>
        <row r="37">
          <cell r="B37" t="str">
            <v xml:space="preserve">Mascon Global </v>
          </cell>
          <cell r="D37" t="str">
            <v></v>
          </cell>
          <cell r="E37">
            <v>0.48300999999999999</v>
          </cell>
          <cell r="F37" t="str">
            <v></v>
          </cell>
          <cell r="G37">
            <v>13.109146135295031</v>
          </cell>
          <cell r="H37" t="str">
            <v></v>
          </cell>
          <cell r="I37" t="str">
            <v/>
          </cell>
          <cell r="J37" t="str">
            <v></v>
          </cell>
          <cell r="K37" t="str">
            <v>NA</v>
          </cell>
          <cell r="L37" t="str">
            <v></v>
          </cell>
          <cell r="N37" t="str">
            <v/>
          </cell>
          <cell r="O37" t="str">
            <v/>
          </cell>
          <cell r="P37" t="str">
            <v/>
          </cell>
          <cell r="Q37" t="str">
            <v></v>
          </cell>
        </row>
      </sheetData>
      <sheetData sheetId="2" refreshError="1"/>
      <sheetData sheetId="3" refreshError="1"/>
      <sheetData sheetId="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Corn"/>
      <sheetName val="Graphs"/>
    </sheetNames>
    <sheetDataSet>
      <sheetData sheetId="0" refreshError="1"/>
      <sheetData sheetId="1" refreshError="1">
        <row r="2">
          <cell r="C2">
            <v>2005</v>
          </cell>
          <cell r="D2">
            <v>2006</v>
          </cell>
          <cell r="E2">
            <v>2007</v>
          </cell>
          <cell r="F2">
            <v>2008</v>
          </cell>
          <cell r="G2">
            <v>2009</v>
          </cell>
          <cell r="H2">
            <v>2010</v>
          </cell>
          <cell r="I2">
            <v>2011</v>
          </cell>
          <cell r="J2">
            <v>2012</v>
          </cell>
          <cell r="K2">
            <v>2013</v>
          </cell>
          <cell r="L2">
            <v>2014</v>
          </cell>
          <cell r="M2">
            <v>2015</v>
          </cell>
          <cell r="N2">
            <v>2016</v>
          </cell>
          <cell r="O2">
            <v>2017</v>
          </cell>
          <cell r="P2">
            <v>2018</v>
          </cell>
          <cell r="Q2">
            <v>2019</v>
          </cell>
          <cell r="R2">
            <v>2020</v>
          </cell>
        </row>
        <row r="3">
          <cell r="B3" t="str">
            <v>Argentina</v>
          </cell>
        </row>
        <row r="4">
          <cell r="B4" t="str">
            <v>YG Corn Borer</v>
          </cell>
          <cell r="C4">
            <v>4.2</v>
          </cell>
          <cell r="D4">
            <v>4.2</v>
          </cell>
          <cell r="E4">
            <v>4.2</v>
          </cell>
          <cell r="F4">
            <v>6</v>
          </cell>
          <cell r="G4">
            <v>5.2</v>
          </cell>
          <cell r="H4">
            <v>3</v>
          </cell>
          <cell r="I4">
            <v>1</v>
          </cell>
          <cell r="J4">
            <v>0</v>
          </cell>
          <cell r="K4">
            <v>0</v>
          </cell>
        </row>
        <row r="5">
          <cell r="B5" t="str">
            <v>Roundup Ready</v>
          </cell>
          <cell r="C5">
            <v>0.7</v>
          </cell>
          <cell r="D5">
            <v>0.7</v>
          </cell>
          <cell r="E5">
            <v>0.7</v>
          </cell>
          <cell r="F5">
            <v>0.7</v>
          </cell>
          <cell r="G5">
            <v>0.2</v>
          </cell>
          <cell r="H5">
            <v>0</v>
          </cell>
          <cell r="I5">
            <v>0</v>
          </cell>
          <cell r="J5">
            <v>0</v>
          </cell>
          <cell r="K5">
            <v>0</v>
          </cell>
        </row>
        <row r="6">
          <cell r="B6" t="str">
            <v>Roundup/Corn Borer</v>
          </cell>
          <cell r="C6">
            <v>0</v>
          </cell>
          <cell r="D6">
            <v>0</v>
          </cell>
          <cell r="E6">
            <v>0</v>
          </cell>
          <cell r="F6">
            <v>0.15</v>
          </cell>
          <cell r="G6">
            <v>1.6</v>
          </cell>
          <cell r="H6">
            <v>4</v>
          </cell>
          <cell r="I6">
            <v>6</v>
          </cell>
          <cell r="J6">
            <v>7</v>
          </cell>
          <cell r="K6">
            <v>6.7</v>
          </cell>
          <cell r="L6">
            <v>5</v>
          </cell>
          <cell r="M6">
            <v>5</v>
          </cell>
          <cell r="N6">
            <v>5</v>
          </cell>
          <cell r="O6">
            <v>5</v>
          </cell>
          <cell r="P6">
            <v>5</v>
          </cell>
          <cell r="Q6">
            <v>5</v>
          </cell>
          <cell r="R6">
            <v>5</v>
          </cell>
        </row>
        <row r="7">
          <cell r="B7" t="str">
            <v>SmartStax</v>
          </cell>
          <cell r="C7" t="str">
            <v>-</v>
          </cell>
          <cell r="D7" t="str">
            <v>-</v>
          </cell>
          <cell r="E7" t="str">
            <v>-</v>
          </cell>
          <cell r="F7" t="str">
            <v>-</v>
          </cell>
          <cell r="G7" t="str">
            <v>-</v>
          </cell>
          <cell r="H7" t="str">
            <v>-</v>
          </cell>
          <cell r="I7" t="str">
            <v>-</v>
          </cell>
          <cell r="J7" t="str">
            <v>-</v>
          </cell>
          <cell r="K7">
            <v>0.3</v>
          </cell>
        </row>
        <row r="9">
          <cell r="B9" t="str">
            <v>Brazil</v>
          </cell>
        </row>
        <row r="10">
          <cell r="B10" t="str">
            <v>YG Corn Borer</v>
          </cell>
          <cell r="C10" t="str">
            <v>-</v>
          </cell>
          <cell r="D10" t="str">
            <v>-</v>
          </cell>
          <cell r="E10" t="str">
            <v>-</v>
          </cell>
          <cell r="F10" t="str">
            <v>-</v>
          </cell>
          <cell r="G10">
            <v>0.15</v>
          </cell>
          <cell r="H10">
            <v>4</v>
          </cell>
          <cell r="I10">
            <v>6.7</v>
          </cell>
          <cell r="J10">
            <v>8</v>
          </cell>
          <cell r="K10">
            <v>5</v>
          </cell>
          <cell r="L10">
            <v>15</v>
          </cell>
          <cell r="M10">
            <v>15</v>
          </cell>
          <cell r="N10">
            <v>15</v>
          </cell>
          <cell r="O10">
            <v>15</v>
          </cell>
          <cell r="P10">
            <v>15</v>
          </cell>
          <cell r="Q10">
            <v>15</v>
          </cell>
          <cell r="R10">
            <v>15</v>
          </cell>
        </row>
        <row r="11">
          <cell r="B11" t="str">
            <v>Roundup Ready</v>
          </cell>
          <cell r="C11" t="str">
            <v>-</v>
          </cell>
          <cell r="D11" t="str">
            <v>-</v>
          </cell>
          <cell r="E11" t="str">
            <v>-</v>
          </cell>
          <cell r="F11" t="str">
            <v>-</v>
          </cell>
          <cell r="G11" t="str">
            <v>-</v>
          </cell>
          <cell r="H11" t="str">
            <v>-</v>
          </cell>
          <cell r="I11" t="str">
            <v>-</v>
          </cell>
          <cell r="J11" t="str">
            <v>-</v>
          </cell>
          <cell r="K11" t="str">
            <v>-</v>
          </cell>
        </row>
        <row r="12">
          <cell r="B12" t="str">
            <v>Roundup/Corn Borer</v>
          </cell>
          <cell r="C12" t="str">
            <v>-</v>
          </cell>
          <cell r="D12" t="str">
            <v>-</v>
          </cell>
          <cell r="E12" t="str">
            <v>-</v>
          </cell>
          <cell r="F12" t="str">
            <v>-</v>
          </cell>
          <cell r="G12" t="str">
            <v>-</v>
          </cell>
          <cell r="H12" t="str">
            <v>-</v>
          </cell>
          <cell r="I12">
            <v>0.3</v>
          </cell>
          <cell r="J12">
            <v>4</v>
          </cell>
          <cell r="K12">
            <v>6.5</v>
          </cell>
        </row>
        <row r="13">
          <cell r="B13" t="str">
            <v>SmartStax</v>
          </cell>
          <cell r="C13" t="str">
            <v>-</v>
          </cell>
          <cell r="D13" t="str">
            <v>-</v>
          </cell>
          <cell r="E13" t="str">
            <v>-</v>
          </cell>
          <cell r="F13" t="str">
            <v>-</v>
          </cell>
          <cell r="G13" t="str">
            <v>-</v>
          </cell>
          <cell r="H13" t="str">
            <v>-</v>
          </cell>
          <cell r="I13" t="str">
            <v>-</v>
          </cell>
          <cell r="J13" t="str">
            <v>-</v>
          </cell>
          <cell r="K13">
            <v>0.5</v>
          </cell>
        </row>
        <row r="15">
          <cell r="B15" t="str">
            <v>Pricing</v>
          </cell>
        </row>
        <row r="17">
          <cell r="C17" t="str">
            <v>Argentina</v>
          </cell>
          <cell r="D17" t="str">
            <v>Brazil</v>
          </cell>
          <cell r="M17" t="str">
            <v>Roundup Ready</v>
          </cell>
          <cell r="N17" t="str">
            <v>YG Corn Borer</v>
          </cell>
          <cell r="O17" t="str">
            <v>YG Rootworm</v>
          </cell>
          <cell r="P17" t="str">
            <v>SmartStax</v>
          </cell>
        </row>
        <row r="18">
          <cell r="B18" t="str">
            <v>Dekalb Market Share*</v>
          </cell>
          <cell r="C18">
            <v>0.45</v>
          </cell>
          <cell r="D18">
            <v>0.4</v>
          </cell>
          <cell r="L18" t="str">
            <v>Argentina</v>
          </cell>
          <cell r="M18" t="str">
            <v>9M</v>
          </cell>
          <cell r="N18" t="str">
            <v>7M</v>
          </cell>
          <cell r="O18" t="str">
            <v>5M</v>
          </cell>
          <cell r="P18" t="str">
            <v>8M</v>
          </cell>
        </row>
        <row r="19">
          <cell r="B19" t="str">
            <v>Hybrid Market Size*</v>
          </cell>
          <cell r="C19" t="str">
            <v>10M</v>
          </cell>
          <cell r="D19" t="str">
            <v>26M</v>
          </cell>
          <cell r="L19" t="str">
            <v>Brazil</v>
          </cell>
          <cell r="M19" t="str">
            <v>15-20M</v>
          </cell>
          <cell r="N19" t="str">
            <v>15-20M</v>
          </cell>
          <cell r="O19" t="str">
            <v>5M</v>
          </cell>
          <cell r="P19" t="str">
            <v>15-20M</v>
          </cell>
        </row>
        <row r="20">
          <cell r="B20" t="str">
            <v>Value of Corn Seed Market (US $B)</v>
          </cell>
          <cell r="C20" t="str">
            <v>$0.2B</v>
          </cell>
          <cell r="D20" t="str">
            <v>$0.7B</v>
          </cell>
        </row>
        <row r="21">
          <cell r="B21" t="str">
            <v>Avg. Retail Price for Dekalb Hybrid Corn Seed</v>
          </cell>
          <cell r="C21" t="str">
            <v>$29 per Acre</v>
          </cell>
          <cell r="D21" t="str">
            <v>$34 per Acre</v>
          </cell>
        </row>
        <row r="22">
          <cell r="B22" t="str">
            <v>Biotech Opportunity</v>
          </cell>
          <cell r="C22" t="str">
            <v>7-9M acres</v>
          </cell>
          <cell r="D22" t="str">
            <v>15-20M acres</v>
          </cell>
        </row>
        <row r="25">
          <cell r="M25" t="str">
            <v>Revenue ($M)</v>
          </cell>
          <cell r="N25" t="str">
            <v>Gross Profit ($M)</v>
          </cell>
          <cell r="O25" t="str">
            <v>EPS</v>
          </cell>
        </row>
        <row r="26">
          <cell r="C26" t="str">
            <v>Dekalb</v>
          </cell>
          <cell r="D26">
            <v>0.45</v>
          </cell>
          <cell r="H26" t="str">
            <v>Dekalb</v>
          </cell>
          <cell r="I26">
            <v>0.4</v>
          </cell>
          <cell r="L26" t="str">
            <v>Roundup Ready</v>
          </cell>
          <cell r="M26">
            <v>12.75</v>
          </cell>
          <cell r="N26">
            <v>10.5825</v>
          </cell>
          <cell r="O26">
            <v>8.5236398812744973E-3</v>
          </cell>
        </row>
        <row r="27">
          <cell r="C27" t="str">
            <v>Nidera</v>
          </cell>
          <cell r="D27">
            <v>0.15</v>
          </cell>
          <cell r="H27" t="str">
            <v>Pioneer</v>
          </cell>
          <cell r="I27">
            <v>0.22</v>
          </cell>
          <cell r="L27" t="str">
            <v>Corn Borer</v>
          </cell>
          <cell r="M27">
            <v>8.25</v>
          </cell>
          <cell r="N27">
            <v>6.8474999999999993</v>
          </cell>
          <cell r="O27">
            <v>5.5152963937658518E-3</v>
          </cell>
        </row>
        <row r="28">
          <cell r="C28" t="str">
            <v>Syngenta</v>
          </cell>
          <cell r="D28">
            <v>0.12</v>
          </cell>
          <cell r="H28" t="str">
            <v>Dow/ Agromen</v>
          </cell>
          <cell r="I28">
            <v>0.15</v>
          </cell>
          <cell r="L28" t="str">
            <v>Roundup &amp; Corn Borer Double Stack</v>
          </cell>
          <cell r="M28">
            <v>18.75</v>
          </cell>
          <cell r="N28">
            <v>15.9375</v>
          </cell>
          <cell r="O28">
            <v>1.3010467170044513E-2</v>
          </cell>
        </row>
        <row r="29">
          <cell r="C29" t="str">
            <v>Pioneer</v>
          </cell>
          <cell r="D29">
            <v>0.09</v>
          </cell>
          <cell r="H29" t="str">
            <v>Snygenta</v>
          </cell>
          <cell r="I29">
            <v>0.12</v>
          </cell>
          <cell r="L29" t="str">
            <v>SmartStax</v>
          </cell>
          <cell r="M29">
            <v>37.183818504366812</v>
          </cell>
          <cell r="N29">
            <v>33.093598468886462</v>
          </cell>
          <cell r="O29">
            <v>2.7688305657133098E-2</v>
          </cell>
        </row>
        <row r="30">
          <cell r="C30" t="str">
            <v>Dow</v>
          </cell>
          <cell r="D30">
            <v>0.04</v>
          </cell>
          <cell r="H30" t="str">
            <v>Other</v>
          </cell>
          <cell r="I30">
            <v>0.11</v>
          </cell>
        </row>
        <row r="31">
          <cell r="C31" t="str">
            <v>Others</v>
          </cell>
          <cell r="D31">
            <v>0.15</v>
          </cell>
          <cell r="L31" t="str">
            <v>sga</v>
          </cell>
          <cell r="M31">
            <v>0.20399999999999999</v>
          </cell>
        </row>
        <row r="32">
          <cell r="L32" t="str">
            <v>rd</v>
          </cell>
          <cell r="M32">
            <v>9.9000000000000005E-2</v>
          </cell>
        </row>
        <row r="33">
          <cell r="L33" t="str">
            <v>taxes</v>
          </cell>
          <cell r="M33">
            <v>0.29799999999999999</v>
          </cell>
        </row>
        <row r="34">
          <cell r="L34" t="str">
            <v>shares</v>
          </cell>
          <cell r="M34">
            <v>553.39192712288809</v>
          </cell>
        </row>
        <row r="40">
          <cell r="M40" t="str">
            <v>US</v>
          </cell>
          <cell r="N40" t="str">
            <v>Argentina</v>
          </cell>
          <cell r="O40" t="str">
            <v>Brazil</v>
          </cell>
        </row>
        <row r="41">
          <cell r="L41" t="str">
            <v>Biotech Penetration</v>
          </cell>
          <cell r="M41">
            <v>0.67317073170731712</v>
          </cell>
          <cell r="N41">
            <v>0.4375</v>
          </cell>
          <cell r="O41">
            <v>0</v>
          </cell>
        </row>
        <row r="42">
          <cell r="L42" t="str">
            <v>Penetration opportunity</v>
          </cell>
          <cell r="M42">
            <v>0.32682926829268288</v>
          </cell>
          <cell r="N42">
            <v>0.5625</v>
          </cell>
          <cell r="O42">
            <v>1</v>
          </cell>
        </row>
        <row r="43">
          <cell r="L43" t="str">
            <v>2007 Planted Biotech Corn Acres</v>
          </cell>
          <cell r="M43">
            <v>138</v>
          </cell>
          <cell r="N43">
            <v>7</v>
          </cell>
          <cell r="O43">
            <v>0</v>
          </cell>
        </row>
        <row r="44">
          <cell r="L44" t="str">
            <v>Non-biotech opportunity</v>
          </cell>
          <cell r="M44">
            <v>67</v>
          </cell>
          <cell r="N44">
            <v>9</v>
          </cell>
          <cell r="O44">
            <v>35</v>
          </cell>
        </row>
        <row r="45">
          <cell r="L45" t="str">
            <v>Opportunity at 100% Penetration</v>
          </cell>
          <cell r="M45">
            <v>205</v>
          </cell>
          <cell r="N45">
            <v>16</v>
          </cell>
          <cell r="O45">
            <v>35</v>
          </cell>
        </row>
        <row r="50">
          <cell r="C50" t="str">
            <v>Corn Borer</v>
          </cell>
          <cell r="D50" t="str">
            <v>Roundup Ready</v>
          </cell>
          <cell r="E50" t="str">
            <v>Double Stack</v>
          </cell>
        </row>
        <row r="51">
          <cell r="B51">
            <v>1</v>
          </cell>
          <cell r="C51">
            <v>0.7</v>
          </cell>
          <cell r="D51">
            <v>0.09</v>
          </cell>
          <cell r="E51">
            <v>0.35</v>
          </cell>
          <cell r="F51">
            <v>7</v>
          </cell>
        </row>
        <row r="52">
          <cell r="B52">
            <v>2</v>
          </cell>
          <cell r="C52">
            <v>1.19</v>
          </cell>
          <cell r="D52">
            <v>0.27</v>
          </cell>
          <cell r="E52">
            <v>1.75</v>
          </cell>
          <cell r="F52">
            <v>9</v>
          </cell>
        </row>
        <row r="53">
          <cell r="B53">
            <v>3</v>
          </cell>
          <cell r="C53">
            <v>2.1</v>
          </cell>
          <cell r="D53">
            <v>0.45</v>
          </cell>
          <cell r="E53">
            <v>4.2</v>
          </cell>
        </row>
        <row r="54">
          <cell r="B54">
            <v>4</v>
          </cell>
          <cell r="C54">
            <v>3.15</v>
          </cell>
          <cell r="D54">
            <v>0.45</v>
          </cell>
          <cell r="E54">
            <v>5.95</v>
          </cell>
        </row>
        <row r="55">
          <cell r="B55">
            <v>5</v>
          </cell>
          <cell r="C55">
            <v>3.85</v>
          </cell>
          <cell r="D55">
            <v>0.45</v>
          </cell>
          <cell r="E55">
            <v>7</v>
          </cell>
        </row>
        <row r="56">
          <cell r="B56">
            <v>6</v>
          </cell>
          <cell r="C56">
            <v>4.2</v>
          </cell>
          <cell r="D56">
            <v>0.45</v>
          </cell>
          <cell r="E56">
            <v>7</v>
          </cell>
        </row>
        <row r="68">
          <cell r="I68" t="str">
            <v>Argentina Corn Seed</v>
          </cell>
          <cell r="L68" t="str">
            <v>Brazil</v>
          </cell>
        </row>
        <row r="69">
          <cell r="I69" t="str">
            <v>Hybrid Market (acres)</v>
          </cell>
          <cell r="J69" t="str">
            <v>10 million</v>
          </cell>
          <cell r="L69" t="str">
            <v>Hybrid Market (acres)</v>
          </cell>
          <cell r="M69" t="str">
            <v>26 million</v>
          </cell>
        </row>
        <row r="70">
          <cell r="I70" t="str">
            <v>Dekalb market share</v>
          </cell>
          <cell r="J70">
            <v>0.45</v>
          </cell>
          <cell r="L70" t="str">
            <v>Dekalb market share</v>
          </cell>
          <cell r="M70">
            <v>0.4</v>
          </cell>
        </row>
        <row r="71">
          <cell r="I71" t="str">
            <v>Average retail price per bag</v>
          </cell>
          <cell r="J71">
            <v>28</v>
          </cell>
          <cell r="L71" t="str">
            <v>Average retail price per bag</v>
          </cell>
          <cell r="M71">
            <v>29</v>
          </cell>
        </row>
        <row r="72">
          <cell r="I72" t="str">
            <v>Gross margin</v>
          </cell>
          <cell r="J72">
            <v>0.45</v>
          </cell>
          <cell r="L72" t="str">
            <v>Gross margin</v>
          </cell>
          <cell r="M72">
            <v>0.45</v>
          </cell>
        </row>
        <row r="73">
          <cell r="I73" t="str">
            <v>Average yield per acre (bushels)</v>
          </cell>
          <cell r="J73">
            <v>120</v>
          </cell>
          <cell r="L73" t="str">
            <v>Average yield per acre (bushels)</v>
          </cell>
          <cell r="M73">
            <v>57</v>
          </cell>
        </row>
        <row r="82">
          <cell r="E82" t="str">
            <v>Hybrid Acres applicable for BT</v>
          </cell>
        </row>
        <row r="83">
          <cell r="E83">
            <v>2007</v>
          </cell>
          <cell r="F83">
            <v>2008</v>
          </cell>
        </row>
        <row r="84">
          <cell r="D84" t="str">
            <v>US</v>
          </cell>
          <cell r="E84">
            <v>92</v>
          </cell>
          <cell r="F84">
            <v>92</v>
          </cell>
        </row>
        <row r="85">
          <cell r="D85" t="str">
            <v>Argentina</v>
          </cell>
          <cell r="E85">
            <v>8</v>
          </cell>
          <cell r="F85">
            <v>8</v>
          </cell>
        </row>
        <row r="86">
          <cell r="D86" t="str">
            <v>India</v>
          </cell>
          <cell r="E86">
            <v>7</v>
          </cell>
          <cell r="F86">
            <v>7</v>
          </cell>
        </row>
        <row r="87">
          <cell r="D87" t="str">
            <v>Brazil</v>
          </cell>
          <cell r="E87">
            <v>0</v>
          </cell>
          <cell r="F87">
            <v>23</v>
          </cell>
        </row>
        <row r="99">
          <cell r="E99">
            <v>2008</v>
          </cell>
          <cell r="F99">
            <v>2009</v>
          </cell>
          <cell r="G99">
            <v>2010</v>
          </cell>
          <cell r="H99">
            <v>2011</v>
          </cell>
          <cell r="I99">
            <v>2012</v>
          </cell>
          <cell r="J99">
            <v>2013</v>
          </cell>
          <cell r="K99">
            <v>2014</v>
          </cell>
          <cell r="L99">
            <v>2015</v>
          </cell>
          <cell r="M99">
            <v>2016</v>
          </cell>
          <cell r="N99">
            <v>2017</v>
          </cell>
        </row>
        <row r="100">
          <cell r="D100" t="str">
            <v>Brazil</v>
          </cell>
          <cell r="F100" t="str">
            <v>Corn Borer</v>
          </cell>
          <cell r="H100" t="str">
            <v>Double Stack</v>
          </cell>
          <cell r="J100" t="str">
            <v>SmartStax</v>
          </cell>
          <cell r="K100" t="str">
            <v>Drought Tolerant Corn</v>
          </cell>
          <cell r="L100" t="str">
            <v>Higher Yielding Corn</v>
          </cell>
          <cell r="N100" t="str">
            <v>Nitrogen Utilization Corn</v>
          </cell>
        </row>
        <row r="101">
          <cell r="D101" t="str">
            <v>Argentina</v>
          </cell>
          <cell r="E101" t="str">
            <v>Double Stack</v>
          </cell>
          <cell r="I101" t="str">
            <v>SmartStax</v>
          </cell>
          <cell r="K101" t="str">
            <v>Drought Tolerant Corn</v>
          </cell>
          <cell r="L101" t="str">
            <v>Higher Yielding Corn</v>
          </cell>
          <cell r="N101" t="str">
            <v>Nitrogen Utilization Corn</v>
          </cell>
        </row>
        <row r="103">
          <cell r="E103">
            <v>2008</v>
          </cell>
          <cell r="F103">
            <v>2009</v>
          </cell>
          <cell r="G103">
            <v>2010</v>
          </cell>
          <cell r="H103">
            <v>2011</v>
          </cell>
          <cell r="I103">
            <v>2012</v>
          </cell>
          <cell r="J103">
            <v>2013</v>
          </cell>
          <cell r="K103">
            <v>2014</v>
          </cell>
          <cell r="L103">
            <v>2015</v>
          </cell>
          <cell r="M103">
            <v>2016</v>
          </cell>
          <cell r="N103">
            <v>2017</v>
          </cell>
        </row>
        <row r="104">
          <cell r="D104" t="str">
            <v>Brazil</v>
          </cell>
          <cell r="E104">
            <v>1</v>
          </cell>
          <cell r="F104">
            <v>1</v>
          </cell>
          <cell r="G104">
            <v>1</v>
          </cell>
          <cell r="H104">
            <v>1</v>
          </cell>
          <cell r="I104">
            <v>1</v>
          </cell>
          <cell r="J104">
            <v>1</v>
          </cell>
          <cell r="K104">
            <v>1</v>
          </cell>
          <cell r="L104">
            <v>1</v>
          </cell>
          <cell r="M104">
            <v>1</v>
          </cell>
          <cell r="N104">
            <v>1</v>
          </cell>
        </row>
        <row r="105">
          <cell r="D105" t="str">
            <v>Argentina</v>
          </cell>
          <cell r="E105">
            <v>1</v>
          </cell>
          <cell r="F105">
            <v>1</v>
          </cell>
          <cell r="G105">
            <v>1</v>
          </cell>
          <cell r="H105">
            <v>1</v>
          </cell>
          <cell r="I105">
            <v>1</v>
          </cell>
          <cell r="J105">
            <v>1</v>
          </cell>
          <cell r="K105">
            <v>1</v>
          </cell>
          <cell r="L105">
            <v>1</v>
          </cell>
          <cell r="M105">
            <v>1</v>
          </cell>
          <cell r="N105">
            <v>1</v>
          </cell>
        </row>
        <row r="108">
          <cell r="E108">
            <v>2008</v>
          </cell>
          <cell r="F108">
            <v>2008</v>
          </cell>
        </row>
        <row r="109">
          <cell r="E109">
            <v>1</v>
          </cell>
          <cell r="F109">
            <v>1</v>
          </cell>
        </row>
        <row r="110">
          <cell r="E110">
            <v>1</v>
          </cell>
          <cell r="F110">
            <v>1</v>
          </cell>
        </row>
        <row r="111">
          <cell r="E111">
            <v>1</v>
          </cell>
          <cell r="F111">
            <v>1</v>
          </cell>
        </row>
        <row r="112">
          <cell r="E112">
            <v>1</v>
          </cell>
          <cell r="F112">
            <v>1</v>
          </cell>
        </row>
        <row r="113">
          <cell r="E113">
            <v>1</v>
          </cell>
          <cell r="F113">
            <v>1</v>
          </cell>
        </row>
        <row r="114">
          <cell r="E114">
            <v>1</v>
          </cell>
          <cell r="F114">
            <v>1</v>
          </cell>
        </row>
        <row r="115">
          <cell r="E115">
            <v>1</v>
          </cell>
          <cell r="F115">
            <v>1</v>
          </cell>
        </row>
        <row r="116">
          <cell r="E116">
            <v>1</v>
          </cell>
          <cell r="F116">
            <v>1</v>
          </cell>
        </row>
        <row r="117">
          <cell r="E117">
            <v>1</v>
          </cell>
          <cell r="F117">
            <v>1</v>
          </cell>
        </row>
        <row r="120">
          <cell r="E120" t="str">
            <v>Brazil</v>
          </cell>
          <cell r="F120" t="str">
            <v>Argentina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Operating Leases tagged"/>
      <sheetName val="WACC"/>
      <sheetName val="Sheet1"/>
      <sheetName val="Fixed Line Mkt"/>
      <sheetName val="Cash Flow"/>
      <sheetName val="upside_downside"/>
      <sheetName val="Income Statement"/>
      <sheetName val="Balance Sheet"/>
      <sheetName val="Valsum"/>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DCF"/>
      <sheetName val="OP"/>
      <sheetName val="Inputs"/>
      <sheetName val="MWA RR"/>
      <sheetName val="Summary"/>
      <sheetName val="IS"/>
      <sheetName val="IS Quarterly"/>
      <sheetName val="Sheet1 (2)"/>
      <sheetName val="1Q11 Preview"/>
      <sheetName val="2Q11 Preview"/>
      <sheetName val="Risk-Reward_View_Chart"/>
      <sheetName val="variables"/>
      <sheetName val="Model"/>
      <sheetName val="Intrinsic Value"/>
      <sheetName val="Rev by Geo"/>
      <sheetName val="fin"/>
      <sheetName val="Exclusion List"/>
      <sheetName val="Report template"/>
      <sheetName val="Model (WIP)"/>
      <sheetName val="sales bkd"/>
      <sheetName val="Presentation"/>
      <sheetName val="Valuation"/>
      <sheetName val="Relative Valuation table_OLD"/>
      <sheetName val="Report (2)"/>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LYOLEFINS"/>
      <sheetName val="Coverter data"/>
      <sheetName val="Plastics update 3'01"/>
      <sheetName val="Converters update 3'01"/>
      <sheetName val="Poly Inventory"/>
      <sheetName val="PVC Inventory"/>
      <sheetName val="pse inv"/>
      <sheetName val="VINYLS"/>
    </sheetNames>
    <sheetDataSet>
      <sheetData sheetId="0" refreshError="1">
        <row r="8">
          <cell r="AG8">
            <v>33</v>
          </cell>
        </row>
        <row r="9">
          <cell r="AG9">
            <v>32.5</v>
          </cell>
        </row>
        <row r="10">
          <cell r="AG10">
            <v>32</v>
          </cell>
        </row>
        <row r="11">
          <cell r="AG11">
            <v>32</v>
          </cell>
        </row>
        <row r="12">
          <cell r="AG12">
            <v>32</v>
          </cell>
        </row>
        <row r="13">
          <cell r="AG13">
            <v>33</v>
          </cell>
        </row>
        <row r="14">
          <cell r="AG14">
            <v>33</v>
          </cell>
        </row>
        <row r="15">
          <cell r="AG15">
            <v>32.5</v>
          </cell>
        </row>
        <row r="16">
          <cell r="AG16">
            <v>31.5</v>
          </cell>
        </row>
        <row r="17">
          <cell r="AG17">
            <v>30.5</v>
          </cell>
        </row>
        <row r="18">
          <cell r="AG18">
            <v>28</v>
          </cell>
        </row>
        <row r="19">
          <cell r="AG19">
            <v>27.5</v>
          </cell>
        </row>
        <row r="20">
          <cell r="AG20">
            <v>27</v>
          </cell>
        </row>
        <row r="21">
          <cell r="AG21">
            <v>26.5</v>
          </cell>
        </row>
        <row r="22">
          <cell r="AG22">
            <v>26</v>
          </cell>
        </row>
        <row r="23">
          <cell r="AG23">
            <v>26</v>
          </cell>
        </row>
        <row r="24">
          <cell r="AG24">
            <v>26</v>
          </cell>
        </row>
        <row r="25">
          <cell r="AG25">
            <v>26.5</v>
          </cell>
        </row>
        <row r="26">
          <cell r="AG26">
            <v>27</v>
          </cell>
        </row>
        <row r="27">
          <cell r="AG27">
            <v>27</v>
          </cell>
        </row>
        <row r="28">
          <cell r="AG28">
            <v>27</v>
          </cell>
        </row>
        <row r="29">
          <cell r="AG29">
            <v>27</v>
          </cell>
        </row>
        <row r="30">
          <cell r="AG30">
            <v>27</v>
          </cell>
        </row>
        <row r="31">
          <cell r="AG31">
            <v>27</v>
          </cell>
        </row>
      </sheetData>
      <sheetData sheetId="1"/>
      <sheetData sheetId="2"/>
      <sheetData sheetId="3"/>
      <sheetData sheetId="4"/>
      <sheetData sheetId="5"/>
      <sheetData sheetId="6"/>
      <sheetData sheetId="7" refreshError="1">
        <row r="7">
          <cell r="A7">
            <v>33604</v>
          </cell>
          <cell r="B7">
            <v>1992</v>
          </cell>
        </row>
        <row r="8">
          <cell r="A8">
            <v>33635</v>
          </cell>
        </row>
        <row r="9">
          <cell r="A9">
            <v>33664</v>
          </cell>
        </row>
        <row r="10">
          <cell r="A10">
            <v>33695</v>
          </cell>
        </row>
        <row r="11">
          <cell r="A11">
            <v>33725</v>
          </cell>
        </row>
        <row r="12">
          <cell r="A12">
            <v>33756</v>
          </cell>
        </row>
        <row r="13">
          <cell r="A13">
            <v>33786</v>
          </cell>
        </row>
        <row r="14">
          <cell r="A14">
            <v>33817</v>
          </cell>
        </row>
        <row r="15">
          <cell r="A15">
            <v>33848</v>
          </cell>
        </row>
        <row r="16">
          <cell r="A16">
            <v>33878</v>
          </cell>
        </row>
        <row r="17">
          <cell r="A17">
            <v>33909</v>
          </cell>
        </row>
        <row r="18">
          <cell r="A18">
            <v>33939</v>
          </cell>
        </row>
        <row r="19">
          <cell r="A19">
            <v>33970</v>
          </cell>
          <cell r="B19">
            <v>1993</v>
          </cell>
        </row>
        <row r="20">
          <cell r="A20">
            <v>34001</v>
          </cell>
        </row>
        <row r="21">
          <cell r="A21">
            <v>34029</v>
          </cell>
        </row>
        <row r="22">
          <cell r="A22">
            <v>34060</v>
          </cell>
        </row>
        <row r="23">
          <cell r="A23">
            <v>34090</v>
          </cell>
        </row>
        <row r="24">
          <cell r="A24">
            <v>34121</v>
          </cell>
        </row>
        <row r="25">
          <cell r="A25">
            <v>34151</v>
          </cell>
        </row>
        <row r="26">
          <cell r="A26">
            <v>34182</v>
          </cell>
        </row>
        <row r="27">
          <cell r="A27">
            <v>34213</v>
          </cell>
        </row>
        <row r="28">
          <cell r="A28">
            <v>34243</v>
          </cell>
        </row>
        <row r="29">
          <cell r="A29">
            <v>34274</v>
          </cell>
        </row>
        <row r="30">
          <cell r="A30">
            <v>34304</v>
          </cell>
        </row>
        <row r="31">
          <cell r="A31">
            <v>34335</v>
          </cell>
          <cell r="B31">
            <v>1994</v>
          </cell>
        </row>
        <row r="32">
          <cell r="A32">
            <v>34366</v>
          </cell>
        </row>
        <row r="33">
          <cell r="A33">
            <v>34394</v>
          </cell>
        </row>
        <row r="34">
          <cell r="A34">
            <v>34425</v>
          </cell>
        </row>
        <row r="35">
          <cell r="A35">
            <v>34455</v>
          </cell>
        </row>
        <row r="36">
          <cell r="A36">
            <v>34486</v>
          </cell>
        </row>
        <row r="37">
          <cell r="A37">
            <v>34516</v>
          </cell>
        </row>
        <row r="38">
          <cell r="A38">
            <v>34547</v>
          </cell>
        </row>
        <row r="39">
          <cell r="A39">
            <v>34578</v>
          </cell>
        </row>
        <row r="40">
          <cell r="A40">
            <v>34608</v>
          </cell>
        </row>
        <row r="41">
          <cell r="A41">
            <v>34639</v>
          </cell>
        </row>
        <row r="42">
          <cell r="A42">
            <v>34669</v>
          </cell>
        </row>
        <row r="43">
          <cell r="A43">
            <v>34700</v>
          </cell>
          <cell r="B43">
            <v>1995</v>
          </cell>
        </row>
        <row r="44">
          <cell r="A44">
            <v>34731</v>
          </cell>
        </row>
        <row r="45">
          <cell r="A45">
            <v>34759</v>
          </cell>
        </row>
        <row r="46">
          <cell r="A46">
            <v>34790</v>
          </cell>
        </row>
        <row r="47">
          <cell r="A47">
            <v>34820</v>
          </cell>
        </row>
        <row r="48">
          <cell r="A48">
            <v>34851</v>
          </cell>
        </row>
        <row r="49">
          <cell r="A49">
            <v>34881</v>
          </cell>
        </row>
        <row r="50">
          <cell r="A50">
            <v>34912</v>
          </cell>
        </row>
        <row r="51">
          <cell r="A51">
            <v>34943</v>
          </cell>
        </row>
        <row r="52">
          <cell r="A52">
            <v>34973</v>
          </cell>
        </row>
        <row r="53">
          <cell r="A53">
            <v>35004</v>
          </cell>
        </row>
        <row r="54">
          <cell r="A54">
            <v>35034</v>
          </cell>
        </row>
        <row r="55">
          <cell r="A55">
            <v>35065</v>
          </cell>
          <cell r="B55">
            <v>1996</v>
          </cell>
        </row>
        <row r="56">
          <cell r="A56">
            <v>35096</v>
          </cell>
        </row>
        <row r="57">
          <cell r="A57">
            <v>35125</v>
          </cell>
        </row>
        <row r="58">
          <cell r="A58">
            <v>35156</v>
          </cell>
        </row>
        <row r="59">
          <cell r="A59">
            <v>35186</v>
          </cell>
        </row>
        <row r="60">
          <cell r="A60">
            <v>35217</v>
          </cell>
        </row>
        <row r="61">
          <cell r="A61">
            <v>35247</v>
          </cell>
        </row>
        <row r="62">
          <cell r="A62">
            <v>35278</v>
          </cell>
        </row>
        <row r="63">
          <cell r="A63">
            <v>35309</v>
          </cell>
        </row>
        <row r="64">
          <cell r="A64">
            <v>35339</v>
          </cell>
        </row>
        <row r="65">
          <cell r="A65">
            <v>35370</v>
          </cell>
        </row>
        <row r="66">
          <cell r="A66">
            <v>35400</v>
          </cell>
        </row>
        <row r="67">
          <cell r="A67">
            <v>35431</v>
          </cell>
          <cell r="B67">
            <v>1997</v>
          </cell>
        </row>
        <row r="68">
          <cell r="A68">
            <v>35462</v>
          </cell>
        </row>
        <row r="69">
          <cell r="A69">
            <v>35490</v>
          </cell>
        </row>
        <row r="70">
          <cell r="A70">
            <v>35521</v>
          </cell>
        </row>
        <row r="71">
          <cell r="A71">
            <v>35551</v>
          </cell>
        </row>
        <row r="72">
          <cell r="A72">
            <v>35582</v>
          </cell>
        </row>
        <row r="73">
          <cell r="A73">
            <v>35612</v>
          </cell>
        </row>
        <row r="74">
          <cell r="A74">
            <v>35643</v>
          </cell>
        </row>
        <row r="75">
          <cell r="A75">
            <v>35674</v>
          </cell>
        </row>
        <row r="76">
          <cell r="A76">
            <v>35704</v>
          </cell>
        </row>
        <row r="77">
          <cell r="A77">
            <v>35735</v>
          </cell>
        </row>
        <row r="78">
          <cell r="A78">
            <v>35765</v>
          </cell>
        </row>
        <row r="79">
          <cell r="A79">
            <v>35796</v>
          </cell>
          <cell r="B79">
            <v>1998</v>
          </cell>
        </row>
        <row r="80">
          <cell r="A80">
            <v>35827</v>
          </cell>
        </row>
        <row r="81">
          <cell r="A81">
            <v>35855</v>
          </cell>
        </row>
        <row r="82">
          <cell r="A82">
            <v>35886</v>
          </cell>
        </row>
        <row r="83">
          <cell r="A83">
            <v>35916</v>
          </cell>
        </row>
        <row r="84">
          <cell r="A84">
            <v>35947</v>
          </cell>
        </row>
        <row r="85">
          <cell r="A85">
            <v>35977</v>
          </cell>
        </row>
        <row r="86">
          <cell r="A86">
            <v>36008</v>
          </cell>
        </row>
        <row r="87">
          <cell r="A87">
            <v>36039</v>
          </cell>
        </row>
        <row r="88">
          <cell r="A88">
            <v>36069</v>
          </cell>
        </row>
        <row r="89">
          <cell r="A89">
            <v>36100</v>
          </cell>
        </row>
        <row r="90">
          <cell r="A90">
            <v>36130</v>
          </cell>
        </row>
        <row r="91">
          <cell r="A91">
            <v>36161</v>
          </cell>
          <cell r="B91">
            <v>1999</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
      <sheetName val="**02"/>
      <sheetName val="Product Familiy IS"/>
      <sheetName val="Income Statement"/>
      <sheetName val="Area Budget"/>
      <sheetName val="Trade Summary"/>
      <sheetName val="Technology Trade"/>
      <sheetName val="Seed Summary"/>
      <sheetName val="Chem Portfolio"/>
      <sheetName val="Chem Regional Summary"/>
      <sheetName val="Chem Sku"/>
      <sheetName val="Soy Tech"/>
      <sheetName val="Soy Trait GP"/>
      <sheetName val="Corn Tech"/>
      <sheetName val="Corn Trait GP"/>
      <sheetName val="MAT"/>
      <sheetName val="Traits By Region"/>
      <sheetName val="Market Funds"/>
      <sheetName val="TVP"/>
      <sheetName val="Rup Mkts by Region"/>
      <sheetName val="Corn States"/>
      <sheetName val="NSTD"/>
      <sheetName val="Complaints"/>
      <sheetName val="Balance Sheet"/>
      <sheetName val="Seed Channel Program"/>
      <sheetName val="What-if"/>
      <sheetName val="Inventory Protection"/>
      <sheetName val="Credit Discount"/>
      <sheetName val="Price Reserve"/>
      <sheetName val="Cotton"/>
      <sheetName val="Flex_Funds"/>
      <sheetName val="02 LCR Budget"/>
      <sheetName val="Sugarbeets Tech"/>
      <sheetName val="Canola Tech"/>
      <sheetName val="Corn_DO NOT USE"/>
      <sheetName val="Seed Breakdowns_DO NOT USE"/>
      <sheetName val="Soy_Canola_SB_DO NOT USE"/>
    </sheetNames>
    <sheetDataSet>
      <sheetData sheetId="0"/>
      <sheetData sheetId="1"/>
      <sheetData sheetId="2"/>
      <sheetData sheetId="3"/>
      <sheetData sheetId="4" refreshError="1">
        <row r="508">
          <cell r="D508">
            <v>340648.23734078184</v>
          </cell>
          <cell r="E508">
            <v>323513.75376973645</v>
          </cell>
          <cell r="F508">
            <v>271478.94124684</v>
          </cell>
          <cell r="G508">
            <v>369686.05417533842</v>
          </cell>
          <cell r="H508">
            <v>95847.187757488238</v>
          </cell>
          <cell r="I508">
            <v>65750.409513785547</v>
          </cell>
          <cell r="K508">
            <v>48630</v>
          </cell>
        </row>
        <row r="509">
          <cell r="D509">
            <v>174250.73140999998</v>
          </cell>
          <cell r="E509">
            <v>135643.07112000001</v>
          </cell>
          <cell r="F509">
            <v>37384.178939999998</v>
          </cell>
          <cell r="G509">
            <v>9409.7481699999989</v>
          </cell>
          <cell r="H509">
            <v>274.01130000000001</v>
          </cell>
          <cell r="I509">
            <v>0</v>
          </cell>
          <cell r="K509">
            <v>0</v>
          </cell>
        </row>
        <row r="510">
          <cell r="D510">
            <v>0</v>
          </cell>
          <cell r="E510">
            <v>0</v>
          </cell>
          <cell r="F510">
            <v>18207.708000000002</v>
          </cell>
          <cell r="G510">
            <v>0</v>
          </cell>
          <cell r="H510">
            <v>0</v>
          </cell>
          <cell r="I510">
            <v>0</v>
          </cell>
          <cell r="K510">
            <v>0</v>
          </cell>
        </row>
        <row r="511">
          <cell r="D511">
            <v>7187.25</v>
          </cell>
          <cell r="E511">
            <v>4403</v>
          </cell>
          <cell r="F511">
            <v>323.75</v>
          </cell>
          <cell r="G511">
            <v>10360</v>
          </cell>
          <cell r="H511">
            <v>2457.08</v>
          </cell>
          <cell r="I511">
            <v>3112.8</v>
          </cell>
          <cell r="K511">
            <v>0</v>
          </cell>
        </row>
        <row r="512">
          <cell r="D512">
            <v>0</v>
          </cell>
          <cell r="E512">
            <v>0</v>
          </cell>
          <cell r="F512">
            <v>10995</v>
          </cell>
          <cell r="G512">
            <v>0</v>
          </cell>
          <cell r="H512">
            <v>0</v>
          </cell>
          <cell r="I512">
            <v>2270</v>
          </cell>
          <cell r="K512">
            <v>0</v>
          </cell>
        </row>
        <row r="515">
          <cell r="D515">
            <v>145838.82683277421</v>
          </cell>
          <cell r="E515">
            <v>116054.84107115131</v>
          </cell>
          <cell r="F515">
            <v>37315.568368010303</v>
          </cell>
          <cell r="G515">
            <v>43135.4276547642</v>
          </cell>
          <cell r="H515">
            <v>0</v>
          </cell>
          <cell r="I515">
            <v>0</v>
          </cell>
          <cell r="K515">
            <v>0</v>
          </cell>
        </row>
        <row r="516">
          <cell r="D516">
            <v>36965.691284306522</v>
          </cell>
          <cell r="E516">
            <v>13063.375721952929</v>
          </cell>
          <cell r="F516">
            <v>20215.899459817876</v>
          </cell>
          <cell r="G516">
            <v>3957.0922860437104</v>
          </cell>
          <cell r="H516">
            <v>267.85253675539366</v>
          </cell>
          <cell r="I516">
            <v>0</v>
          </cell>
          <cell r="K516">
            <v>0</v>
          </cell>
        </row>
        <row r="517">
          <cell r="D517">
            <v>0</v>
          </cell>
          <cell r="E517">
            <v>0</v>
          </cell>
          <cell r="F517">
            <v>8190</v>
          </cell>
          <cell r="G517">
            <v>0</v>
          </cell>
          <cell r="H517">
            <v>0</v>
          </cell>
          <cell r="I517">
            <v>0</v>
          </cell>
          <cell r="K517">
            <v>0</v>
          </cell>
        </row>
        <row r="518">
          <cell r="D518">
            <v>0</v>
          </cell>
          <cell r="E518">
            <v>0</v>
          </cell>
          <cell r="F518">
            <v>0</v>
          </cell>
          <cell r="G518">
            <v>0</v>
          </cell>
          <cell r="H518">
            <v>0</v>
          </cell>
          <cell r="I518">
            <v>0</v>
          </cell>
          <cell r="K518">
            <v>0</v>
          </cell>
        </row>
        <row r="519">
          <cell r="D519">
            <v>0</v>
          </cell>
          <cell r="E519">
            <v>0</v>
          </cell>
          <cell r="F519">
            <v>391.86001338071748</v>
          </cell>
          <cell r="G519">
            <v>172447.27384315192</v>
          </cell>
          <cell r="H519">
            <v>12213.185729359624</v>
          </cell>
          <cell r="I519">
            <v>0</v>
          </cell>
          <cell r="K519">
            <v>0</v>
          </cell>
        </row>
        <row r="522">
          <cell r="D522">
            <v>120894.07696600001</v>
          </cell>
          <cell r="E522">
            <v>101731.54917999999</v>
          </cell>
          <cell r="F522">
            <v>28902.103292000003</v>
          </cell>
          <cell r="G522">
            <v>31036.313708000005</v>
          </cell>
          <cell r="I522">
            <v>0</v>
          </cell>
        </row>
        <row r="523">
          <cell r="D523">
            <v>125852.52000000002</v>
          </cell>
          <cell r="E523">
            <v>67422.429999999993</v>
          </cell>
          <cell r="F523">
            <v>40531.43</v>
          </cell>
          <cell r="G523">
            <v>20247.46</v>
          </cell>
          <cell r="H523">
            <v>3566.7700000000004</v>
          </cell>
          <cell r="I523">
            <v>0</v>
          </cell>
          <cell r="K523">
            <v>3212</v>
          </cell>
        </row>
        <row r="524">
          <cell r="D524">
            <v>2037.4250000000002</v>
          </cell>
          <cell r="E524">
            <v>626.90000000000009</v>
          </cell>
          <cell r="F524">
            <v>4545.0249999999996</v>
          </cell>
          <cell r="G524">
            <v>8306.4250000000011</v>
          </cell>
          <cell r="H524">
            <v>156.72500000000002</v>
          </cell>
          <cell r="I524">
            <v>0</v>
          </cell>
          <cell r="K524">
            <v>0</v>
          </cell>
        </row>
        <row r="525">
          <cell r="D525">
            <v>2955.4560000000001</v>
          </cell>
          <cell r="E525">
            <v>1192.4880000000001</v>
          </cell>
          <cell r="F525">
            <v>2910.68</v>
          </cell>
          <cell r="G525">
            <v>979.03199999999981</v>
          </cell>
          <cell r="H525">
            <v>383.084</v>
          </cell>
          <cell r="I525">
            <v>0</v>
          </cell>
          <cell r="K525">
            <v>0</v>
          </cell>
        </row>
        <row r="526">
          <cell r="D526">
            <v>114.17</v>
          </cell>
          <cell r="E526">
            <v>114.17</v>
          </cell>
          <cell r="F526">
            <v>2854.25</v>
          </cell>
          <cell r="G526">
            <v>114.17</v>
          </cell>
          <cell r="H526">
            <v>0</v>
          </cell>
          <cell r="I526">
            <v>0</v>
          </cell>
          <cell r="K526">
            <v>0</v>
          </cell>
        </row>
        <row r="527">
          <cell r="E527">
            <v>0</v>
          </cell>
          <cell r="F527">
            <v>0</v>
          </cell>
          <cell r="H527">
            <v>0</v>
          </cell>
          <cell r="I527">
            <v>0</v>
          </cell>
          <cell r="K527">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 Sector P&amp;L 01F"/>
    </sheetNames>
    <sheetDataSet>
      <sheetData sheetId="0" refreshError="1">
        <row r="1">
          <cell r="A1" t="str">
            <v>Total Forecast</v>
          </cell>
        </row>
        <row r="2">
          <cell r="A2" t="str">
            <v>LAN</v>
          </cell>
        </row>
        <row r="4">
          <cell r="C4" t="str">
            <v>Jan</v>
          </cell>
          <cell r="H4" t="str">
            <v>Feb</v>
          </cell>
          <cell r="M4" t="str">
            <v>Mar</v>
          </cell>
          <cell r="R4" t="str">
            <v>1st Quarter</v>
          </cell>
        </row>
        <row r="5">
          <cell r="C5" t="str">
            <v>Rup</v>
          </cell>
          <cell r="D5" t="str">
            <v>Sel Chem</v>
          </cell>
          <cell r="E5" t="str">
            <v>Traits</v>
          </cell>
          <cell r="F5" t="str">
            <v>Seed</v>
          </cell>
          <cell r="G5" t="str">
            <v>Total</v>
          </cell>
          <cell r="H5" t="str">
            <v>Rup</v>
          </cell>
          <cell r="I5" t="str">
            <v>Sel Chem</v>
          </cell>
          <cell r="J5" t="str">
            <v>Traits</v>
          </cell>
          <cell r="K5" t="str">
            <v>Seed</v>
          </cell>
          <cell r="L5" t="str">
            <v>Total</v>
          </cell>
          <cell r="M5" t="str">
            <v>Rup</v>
          </cell>
          <cell r="N5" t="str">
            <v>Sel Chem</v>
          </cell>
          <cell r="P5" t="str">
            <v>Seed</v>
          </cell>
          <cell r="Q5" t="str">
            <v>Total</v>
          </cell>
          <cell r="R5" t="str">
            <v>Rup</v>
          </cell>
          <cell r="S5" t="str">
            <v>Sel Chem</v>
          </cell>
          <cell r="T5" t="str">
            <v>Traits</v>
          </cell>
          <cell r="U5" t="str">
            <v>Seed</v>
          </cell>
          <cell r="V5" t="str">
            <v>Total</v>
          </cell>
        </row>
        <row r="6">
          <cell r="A6" t="str">
            <v>Sales</v>
          </cell>
          <cell r="C6">
            <v>9299</v>
          </cell>
          <cell r="D6">
            <v>1124</v>
          </cell>
          <cell r="E6">
            <v>79</v>
          </cell>
          <cell r="F6">
            <v>3946</v>
          </cell>
          <cell r="G6">
            <v>14448</v>
          </cell>
          <cell r="H6">
            <v>-1027</v>
          </cell>
          <cell r="I6">
            <v>-877</v>
          </cell>
          <cell r="J6">
            <v>114</v>
          </cell>
          <cell r="K6">
            <v>2878</v>
          </cell>
          <cell r="L6">
            <v>1088</v>
          </cell>
          <cell r="M6">
            <v>8436</v>
          </cell>
          <cell r="N6">
            <v>1585</v>
          </cell>
          <cell r="P6">
            <v>8178</v>
          </cell>
          <cell r="Q6">
            <v>18242</v>
          </cell>
          <cell r="R6">
            <v>16708</v>
          </cell>
          <cell r="S6">
            <v>1832</v>
          </cell>
          <cell r="T6">
            <v>236</v>
          </cell>
          <cell r="U6">
            <v>15002</v>
          </cell>
          <cell r="V6">
            <v>33778</v>
          </cell>
        </row>
        <row r="7">
          <cell r="A7" t="str">
            <v>Inventory Cost</v>
          </cell>
          <cell r="C7">
            <v>7414</v>
          </cell>
          <cell r="D7">
            <v>725</v>
          </cell>
          <cell r="E7">
            <v>98</v>
          </cell>
          <cell r="F7">
            <v>1400</v>
          </cell>
          <cell r="G7">
            <v>9637</v>
          </cell>
          <cell r="H7">
            <v>-3986</v>
          </cell>
          <cell r="I7">
            <v>-1037</v>
          </cell>
          <cell r="J7">
            <v>100</v>
          </cell>
          <cell r="K7">
            <v>1344</v>
          </cell>
          <cell r="L7">
            <v>-3579</v>
          </cell>
          <cell r="M7">
            <v>5929</v>
          </cell>
          <cell r="N7">
            <v>841</v>
          </cell>
          <cell r="P7">
            <v>2412</v>
          </cell>
          <cell r="Q7">
            <v>9226</v>
          </cell>
          <cell r="R7">
            <v>9357</v>
          </cell>
          <cell r="S7">
            <v>529</v>
          </cell>
          <cell r="T7">
            <v>242</v>
          </cell>
          <cell r="U7">
            <v>5156</v>
          </cell>
          <cell r="V7">
            <v>15284</v>
          </cell>
        </row>
        <row r="8">
          <cell r="A8" t="str">
            <v xml:space="preserve">  Gross Margin</v>
          </cell>
          <cell r="C8">
            <v>1885</v>
          </cell>
          <cell r="D8">
            <v>399</v>
          </cell>
          <cell r="E8">
            <v>-19</v>
          </cell>
          <cell r="F8">
            <v>2546</v>
          </cell>
          <cell r="G8">
            <v>4811</v>
          </cell>
          <cell r="H8">
            <v>2959</v>
          </cell>
          <cell r="I8">
            <v>160</v>
          </cell>
          <cell r="J8">
            <v>14</v>
          </cell>
          <cell r="K8">
            <v>1534</v>
          </cell>
          <cell r="L8">
            <v>4667</v>
          </cell>
          <cell r="M8">
            <v>2507</v>
          </cell>
          <cell r="N8">
            <v>744</v>
          </cell>
          <cell r="P8">
            <v>5766</v>
          </cell>
          <cell r="Q8">
            <v>9016</v>
          </cell>
          <cell r="R8">
            <v>7351</v>
          </cell>
          <cell r="S8">
            <v>1303</v>
          </cell>
          <cell r="T8">
            <v>-6</v>
          </cell>
          <cell r="U8">
            <v>9846</v>
          </cell>
          <cell r="V8">
            <v>18494</v>
          </cell>
        </row>
        <row r="9">
          <cell r="A9" t="str">
            <v>Local NSC</v>
          </cell>
          <cell r="C9">
            <v>42</v>
          </cell>
          <cell r="D9">
            <v>151</v>
          </cell>
          <cell r="E9">
            <v>0</v>
          </cell>
          <cell r="F9">
            <v>255</v>
          </cell>
          <cell r="G9">
            <v>448</v>
          </cell>
          <cell r="H9">
            <v>158</v>
          </cell>
          <cell r="I9">
            <v>19</v>
          </cell>
          <cell r="J9">
            <v>0</v>
          </cell>
          <cell r="K9">
            <v>600</v>
          </cell>
          <cell r="L9">
            <v>777</v>
          </cell>
          <cell r="M9">
            <v>-27</v>
          </cell>
          <cell r="N9">
            <v>-152</v>
          </cell>
          <cell r="P9">
            <v>1158</v>
          </cell>
          <cell r="Q9">
            <v>979</v>
          </cell>
          <cell r="R9">
            <v>173</v>
          </cell>
          <cell r="S9">
            <v>18</v>
          </cell>
          <cell r="T9">
            <v>0</v>
          </cell>
          <cell r="U9">
            <v>2013</v>
          </cell>
          <cell r="V9">
            <v>2204</v>
          </cell>
        </row>
        <row r="10">
          <cell r="A10" t="str">
            <v>Allocated NSC</v>
          </cell>
          <cell r="C10">
            <v>216</v>
          </cell>
          <cell r="D10">
            <v>17</v>
          </cell>
          <cell r="E10">
            <v>0</v>
          </cell>
          <cell r="F10">
            <v>0</v>
          </cell>
          <cell r="G10">
            <v>233</v>
          </cell>
          <cell r="H10">
            <v>192</v>
          </cell>
          <cell r="I10">
            <v>16</v>
          </cell>
          <cell r="J10">
            <v>0</v>
          </cell>
          <cell r="K10">
            <v>0</v>
          </cell>
          <cell r="L10">
            <v>208</v>
          </cell>
          <cell r="M10">
            <v>128</v>
          </cell>
          <cell r="N10">
            <v>3</v>
          </cell>
          <cell r="P10">
            <v>0</v>
          </cell>
          <cell r="Q10">
            <v>131</v>
          </cell>
          <cell r="R10">
            <v>536</v>
          </cell>
          <cell r="S10">
            <v>36</v>
          </cell>
          <cell r="T10">
            <v>0</v>
          </cell>
          <cell r="U10">
            <v>0</v>
          </cell>
          <cell r="V10">
            <v>572</v>
          </cell>
        </row>
        <row r="11">
          <cell r="A11" t="str">
            <v>Total NSC</v>
          </cell>
          <cell r="C11">
            <v>258</v>
          </cell>
          <cell r="D11">
            <v>168</v>
          </cell>
          <cell r="E11">
            <v>0</v>
          </cell>
          <cell r="F11">
            <v>255</v>
          </cell>
          <cell r="G11">
            <v>681</v>
          </cell>
          <cell r="H11">
            <v>350</v>
          </cell>
          <cell r="I11">
            <v>35</v>
          </cell>
          <cell r="J11">
            <v>0</v>
          </cell>
          <cell r="K11">
            <v>600</v>
          </cell>
          <cell r="L11">
            <v>985</v>
          </cell>
          <cell r="M11">
            <v>101</v>
          </cell>
          <cell r="N11">
            <v>-149</v>
          </cell>
          <cell r="P11">
            <v>1158</v>
          </cell>
          <cell r="Q11">
            <v>1110</v>
          </cell>
          <cell r="R11">
            <v>709</v>
          </cell>
          <cell r="S11">
            <v>54</v>
          </cell>
          <cell r="T11">
            <v>0</v>
          </cell>
          <cell r="U11">
            <v>2013</v>
          </cell>
          <cell r="V11">
            <v>2776</v>
          </cell>
        </row>
        <row r="12">
          <cell r="A12" t="str">
            <v xml:space="preserve">  Gross Profit</v>
          </cell>
          <cell r="C12">
            <v>1627</v>
          </cell>
          <cell r="D12">
            <v>231</v>
          </cell>
          <cell r="E12">
            <v>-19</v>
          </cell>
          <cell r="F12">
            <v>2291</v>
          </cell>
          <cell r="G12">
            <v>4130</v>
          </cell>
          <cell r="H12">
            <v>2609</v>
          </cell>
          <cell r="I12">
            <v>125</v>
          </cell>
          <cell r="J12">
            <v>14</v>
          </cell>
          <cell r="K12">
            <v>934</v>
          </cell>
          <cell r="L12">
            <v>3682</v>
          </cell>
          <cell r="M12">
            <v>2406</v>
          </cell>
          <cell r="N12">
            <v>893</v>
          </cell>
          <cell r="P12">
            <v>4608</v>
          </cell>
          <cell r="Q12">
            <v>7906</v>
          </cell>
          <cell r="R12">
            <v>6642</v>
          </cell>
          <cell r="S12">
            <v>1249</v>
          </cell>
          <cell r="T12">
            <v>-6</v>
          </cell>
          <cell r="U12">
            <v>7833</v>
          </cell>
          <cell r="V12">
            <v>15718</v>
          </cell>
        </row>
        <row r="13">
          <cell r="A13" t="str">
            <v>R&amp;D</v>
          </cell>
          <cell r="C13">
            <v>18</v>
          </cell>
          <cell r="D13">
            <v>0</v>
          </cell>
          <cell r="E13">
            <v>0</v>
          </cell>
          <cell r="F13">
            <v>15</v>
          </cell>
          <cell r="G13">
            <v>33</v>
          </cell>
          <cell r="H13">
            <v>26</v>
          </cell>
          <cell r="I13">
            <v>0</v>
          </cell>
          <cell r="J13">
            <v>0</v>
          </cell>
          <cell r="K13">
            <v>24</v>
          </cell>
          <cell r="L13">
            <v>50</v>
          </cell>
          <cell r="M13">
            <v>35</v>
          </cell>
          <cell r="N13">
            <v>0</v>
          </cell>
          <cell r="P13">
            <v>32</v>
          </cell>
          <cell r="Q13">
            <v>67</v>
          </cell>
          <cell r="R13">
            <v>79</v>
          </cell>
          <cell r="S13">
            <v>0</v>
          </cell>
          <cell r="T13">
            <v>0</v>
          </cell>
          <cell r="U13">
            <v>71</v>
          </cell>
          <cell r="V13">
            <v>150</v>
          </cell>
        </row>
        <row r="14">
          <cell r="A14" t="str">
            <v>SG&amp;A</v>
          </cell>
          <cell r="C14">
            <v>787</v>
          </cell>
          <cell r="D14">
            <v>28</v>
          </cell>
          <cell r="E14">
            <v>83</v>
          </cell>
          <cell r="F14">
            <v>630</v>
          </cell>
          <cell r="G14">
            <v>1528</v>
          </cell>
          <cell r="H14">
            <v>863</v>
          </cell>
          <cell r="I14">
            <v>38</v>
          </cell>
          <cell r="J14">
            <v>69</v>
          </cell>
          <cell r="K14">
            <v>851</v>
          </cell>
          <cell r="L14">
            <v>1821</v>
          </cell>
          <cell r="M14">
            <v>955</v>
          </cell>
          <cell r="N14">
            <v>52</v>
          </cell>
          <cell r="P14">
            <v>1199</v>
          </cell>
          <cell r="Q14">
            <v>2262</v>
          </cell>
          <cell r="R14">
            <v>2605</v>
          </cell>
          <cell r="S14">
            <v>118</v>
          </cell>
          <cell r="T14">
            <v>208</v>
          </cell>
          <cell r="U14">
            <v>2680</v>
          </cell>
          <cell r="V14">
            <v>5611</v>
          </cell>
        </row>
        <row r="15">
          <cell r="A15" t="str">
            <v>Total R&amp;D/SG&amp;A</v>
          </cell>
          <cell r="C15">
            <v>805</v>
          </cell>
          <cell r="D15">
            <v>28</v>
          </cell>
          <cell r="E15">
            <v>83</v>
          </cell>
          <cell r="F15">
            <v>645</v>
          </cell>
          <cell r="G15">
            <v>1561</v>
          </cell>
          <cell r="H15">
            <v>889</v>
          </cell>
          <cell r="I15">
            <v>38</v>
          </cell>
          <cell r="J15">
            <v>69</v>
          </cell>
          <cell r="K15">
            <v>875</v>
          </cell>
          <cell r="L15">
            <v>1871</v>
          </cell>
          <cell r="M15">
            <v>990</v>
          </cell>
          <cell r="N15">
            <v>52</v>
          </cell>
          <cell r="P15">
            <v>1231</v>
          </cell>
          <cell r="Q15">
            <v>2329</v>
          </cell>
          <cell r="R15">
            <v>2684</v>
          </cell>
          <cell r="S15">
            <v>118</v>
          </cell>
          <cell r="T15">
            <v>208</v>
          </cell>
          <cell r="U15">
            <v>2751</v>
          </cell>
          <cell r="V15">
            <v>5761</v>
          </cell>
        </row>
        <row r="16">
          <cell r="A16" t="str">
            <v>Amortization</v>
          </cell>
          <cell r="C16">
            <v>0</v>
          </cell>
          <cell r="D16">
            <v>0</v>
          </cell>
          <cell r="E16">
            <v>0</v>
          </cell>
          <cell r="F16">
            <v>0</v>
          </cell>
          <cell r="G16">
            <v>0</v>
          </cell>
          <cell r="H16">
            <v>0</v>
          </cell>
          <cell r="I16">
            <v>0</v>
          </cell>
          <cell r="J16">
            <v>0</v>
          </cell>
          <cell r="K16">
            <v>0</v>
          </cell>
          <cell r="L16">
            <v>0</v>
          </cell>
          <cell r="M16">
            <v>0</v>
          </cell>
          <cell r="N16">
            <v>0</v>
          </cell>
          <cell r="P16">
            <v>0</v>
          </cell>
          <cell r="Q16">
            <v>0</v>
          </cell>
          <cell r="R16">
            <v>0</v>
          </cell>
          <cell r="S16">
            <v>0</v>
          </cell>
          <cell r="T16">
            <v>0</v>
          </cell>
          <cell r="U16">
            <v>0</v>
          </cell>
          <cell r="V16">
            <v>0</v>
          </cell>
        </row>
        <row r="17">
          <cell r="A17" t="str">
            <v>Restruct/Merg</v>
          </cell>
          <cell r="C17">
            <v>0</v>
          </cell>
          <cell r="D17">
            <v>0</v>
          </cell>
          <cell r="E17">
            <v>0</v>
          </cell>
          <cell r="F17">
            <v>0</v>
          </cell>
          <cell r="G17">
            <v>0</v>
          </cell>
          <cell r="H17">
            <v>0</v>
          </cell>
          <cell r="I17">
            <v>0</v>
          </cell>
          <cell r="J17">
            <v>0</v>
          </cell>
          <cell r="K17">
            <v>0</v>
          </cell>
          <cell r="L17">
            <v>0</v>
          </cell>
          <cell r="M17">
            <v>0</v>
          </cell>
          <cell r="N17">
            <v>0</v>
          </cell>
          <cell r="P17">
            <v>0</v>
          </cell>
          <cell r="Q17">
            <v>0</v>
          </cell>
          <cell r="R17">
            <v>0</v>
          </cell>
          <cell r="S17">
            <v>0</v>
          </cell>
          <cell r="T17">
            <v>0</v>
          </cell>
          <cell r="U17">
            <v>0</v>
          </cell>
          <cell r="V17">
            <v>0</v>
          </cell>
        </row>
        <row r="18">
          <cell r="A18" t="str">
            <v>Other Income</v>
          </cell>
          <cell r="C18">
            <v>-758</v>
          </cell>
          <cell r="D18">
            <v>0</v>
          </cell>
          <cell r="E18">
            <v>0</v>
          </cell>
          <cell r="F18">
            <v>-25</v>
          </cell>
          <cell r="G18">
            <v>-783</v>
          </cell>
          <cell r="H18">
            <v>3</v>
          </cell>
          <cell r="I18">
            <v>3</v>
          </cell>
          <cell r="J18">
            <v>0</v>
          </cell>
          <cell r="K18">
            <v>69</v>
          </cell>
          <cell r="L18">
            <v>75</v>
          </cell>
          <cell r="M18">
            <v>-197</v>
          </cell>
          <cell r="N18">
            <v>0</v>
          </cell>
          <cell r="P18">
            <v>-153</v>
          </cell>
          <cell r="Q18">
            <v>-350</v>
          </cell>
          <cell r="R18">
            <v>-952</v>
          </cell>
          <cell r="S18">
            <v>3</v>
          </cell>
          <cell r="T18">
            <v>0</v>
          </cell>
          <cell r="U18">
            <v>-109</v>
          </cell>
          <cell r="V18">
            <v>-1058</v>
          </cell>
        </row>
        <row r="19">
          <cell r="A19" t="str">
            <v xml:space="preserve">  EBIT</v>
          </cell>
          <cell r="C19">
            <v>64</v>
          </cell>
          <cell r="D19">
            <v>203</v>
          </cell>
          <cell r="E19">
            <v>-102</v>
          </cell>
          <cell r="F19">
            <v>1621</v>
          </cell>
          <cell r="G19">
            <v>1786</v>
          </cell>
          <cell r="H19">
            <v>1723</v>
          </cell>
          <cell r="I19">
            <v>90</v>
          </cell>
          <cell r="J19">
            <v>-55</v>
          </cell>
          <cell r="K19">
            <v>128</v>
          </cell>
          <cell r="L19">
            <v>1886</v>
          </cell>
          <cell r="M19">
            <v>1219</v>
          </cell>
          <cell r="N19">
            <v>841</v>
          </cell>
          <cell r="P19">
            <v>3224</v>
          </cell>
          <cell r="Q19">
            <v>5227</v>
          </cell>
          <cell r="R19">
            <v>3006</v>
          </cell>
          <cell r="S19">
            <v>1134</v>
          </cell>
          <cell r="T19">
            <v>-214</v>
          </cell>
          <cell r="U19">
            <v>4973</v>
          </cell>
          <cell r="V19">
            <v>8899</v>
          </cell>
        </row>
        <row r="20">
          <cell r="A20" t="str">
            <v>Interest Income</v>
          </cell>
          <cell r="C20">
            <v>0</v>
          </cell>
          <cell r="D20">
            <v>0</v>
          </cell>
          <cell r="E20">
            <v>0</v>
          </cell>
          <cell r="F20">
            <v>0</v>
          </cell>
          <cell r="G20">
            <v>0</v>
          </cell>
          <cell r="H20">
            <v>0</v>
          </cell>
          <cell r="I20">
            <v>0</v>
          </cell>
          <cell r="J20">
            <v>0</v>
          </cell>
          <cell r="K20">
            <v>0</v>
          </cell>
          <cell r="L20">
            <v>0</v>
          </cell>
          <cell r="M20">
            <v>0</v>
          </cell>
          <cell r="N20">
            <v>0</v>
          </cell>
          <cell r="P20">
            <v>0</v>
          </cell>
          <cell r="Q20">
            <v>0</v>
          </cell>
          <cell r="R20">
            <v>0</v>
          </cell>
          <cell r="S20">
            <v>0</v>
          </cell>
          <cell r="T20">
            <v>0</v>
          </cell>
          <cell r="U20">
            <v>0</v>
          </cell>
          <cell r="V20">
            <v>0</v>
          </cell>
        </row>
        <row r="21">
          <cell r="A21" t="str">
            <v>Interest Expense</v>
          </cell>
          <cell r="C21">
            <v>0</v>
          </cell>
          <cell r="D21">
            <v>0</v>
          </cell>
          <cell r="E21">
            <v>0</v>
          </cell>
          <cell r="F21">
            <v>0</v>
          </cell>
          <cell r="G21">
            <v>0</v>
          </cell>
          <cell r="H21">
            <v>1</v>
          </cell>
          <cell r="I21">
            <v>0</v>
          </cell>
          <cell r="J21">
            <v>0</v>
          </cell>
          <cell r="K21">
            <v>0</v>
          </cell>
          <cell r="L21">
            <v>1</v>
          </cell>
          <cell r="M21">
            <v>-1</v>
          </cell>
          <cell r="N21">
            <v>0</v>
          </cell>
          <cell r="P21">
            <v>0</v>
          </cell>
          <cell r="Q21">
            <v>-1</v>
          </cell>
          <cell r="R21">
            <v>0</v>
          </cell>
          <cell r="S21">
            <v>0</v>
          </cell>
          <cell r="T21">
            <v>0</v>
          </cell>
          <cell r="U21">
            <v>0</v>
          </cell>
          <cell r="V21">
            <v>0</v>
          </cell>
        </row>
        <row r="22">
          <cell r="A22" t="str">
            <v xml:space="preserve">  EBT</v>
          </cell>
          <cell r="C22">
            <v>64</v>
          </cell>
          <cell r="D22">
            <v>203</v>
          </cell>
          <cell r="E22">
            <v>-102</v>
          </cell>
          <cell r="F22">
            <v>1621</v>
          </cell>
          <cell r="G22">
            <v>1786</v>
          </cell>
          <cell r="H22">
            <v>1722</v>
          </cell>
          <cell r="I22">
            <v>90</v>
          </cell>
          <cell r="J22">
            <v>-55</v>
          </cell>
          <cell r="K22">
            <v>128</v>
          </cell>
          <cell r="L22">
            <v>1885</v>
          </cell>
          <cell r="M22">
            <v>1220</v>
          </cell>
          <cell r="N22">
            <v>841</v>
          </cell>
          <cell r="P22">
            <v>3224</v>
          </cell>
          <cell r="Q22">
            <v>5228</v>
          </cell>
          <cell r="R22">
            <v>3006</v>
          </cell>
          <cell r="S22">
            <v>1134</v>
          </cell>
          <cell r="T22">
            <v>-214</v>
          </cell>
          <cell r="U22">
            <v>4973</v>
          </cell>
          <cell r="V22">
            <v>8899</v>
          </cell>
        </row>
        <row r="23">
          <cell r="A23" t="str">
            <v>Taxes</v>
          </cell>
          <cell r="C23">
            <v>0</v>
          </cell>
          <cell r="D23">
            <v>0</v>
          </cell>
          <cell r="E23">
            <v>0</v>
          </cell>
          <cell r="F23">
            <v>0</v>
          </cell>
          <cell r="G23">
            <v>0</v>
          </cell>
          <cell r="H23">
            <v>0</v>
          </cell>
          <cell r="I23">
            <v>0</v>
          </cell>
          <cell r="J23">
            <v>0</v>
          </cell>
          <cell r="K23">
            <v>0</v>
          </cell>
          <cell r="L23">
            <v>0</v>
          </cell>
          <cell r="M23">
            <v>0</v>
          </cell>
          <cell r="N23">
            <v>0</v>
          </cell>
          <cell r="P23">
            <v>0</v>
          </cell>
          <cell r="Q23">
            <v>0</v>
          </cell>
          <cell r="R23">
            <v>0</v>
          </cell>
          <cell r="S23">
            <v>0</v>
          </cell>
          <cell r="T23">
            <v>0</v>
          </cell>
          <cell r="U23">
            <v>0</v>
          </cell>
          <cell r="V23">
            <v>0</v>
          </cell>
        </row>
        <row r="24">
          <cell r="A24" t="str">
            <v xml:space="preserve">  Net Income</v>
          </cell>
          <cell r="C24">
            <v>64</v>
          </cell>
          <cell r="D24">
            <v>203</v>
          </cell>
          <cell r="E24">
            <v>-102</v>
          </cell>
          <cell r="F24">
            <v>1621</v>
          </cell>
          <cell r="G24">
            <v>1786</v>
          </cell>
          <cell r="H24">
            <v>1722</v>
          </cell>
          <cell r="I24">
            <v>90</v>
          </cell>
          <cell r="J24">
            <v>-55</v>
          </cell>
          <cell r="K24">
            <v>128</v>
          </cell>
          <cell r="L24">
            <v>1885</v>
          </cell>
          <cell r="M24">
            <v>1220</v>
          </cell>
          <cell r="N24">
            <v>841</v>
          </cell>
          <cell r="P24">
            <v>3224</v>
          </cell>
          <cell r="Q24">
            <v>5228</v>
          </cell>
          <cell r="R24">
            <v>3006</v>
          </cell>
          <cell r="S24">
            <v>1134</v>
          </cell>
          <cell r="T24">
            <v>-214</v>
          </cell>
          <cell r="U24">
            <v>4973</v>
          </cell>
          <cell r="V24">
            <v>8899</v>
          </cell>
        </row>
        <row r="27">
          <cell r="C27" t="str">
            <v>Apr</v>
          </cell>
          <cell r="H27" t="str">
            <v>May</v>
          </cell>
          <cell r="M27" t="str">
            <v>June</v>
          </cell>
          <cell r="R27" t="str">
            <v>2nd Quarter</v>
          </cell>
        </row>
        <row r="28">
          <cell r="C28" t="str">
            <v>Rup</v>
          </cell>
          <cell r="D28" t="str">
            <v>Sel Chem</v>
          </cell>
          <cell r="E28" t="str">
            <v>Traits</v>
          </cell>
          <cell r="F28" t="str">
            <v>Seed</v>
          </cell>
          <cell r="G28" t="str">
            <v>Total</v>
          </cell>
          <cell r="H28" t="str">
            <v>Rup</v>
          </cell>
          <cell r="I28" t="str">
            <v>Sel Chem</v>
          </cell>
          <cell r="J28" t="str">
            <v>Traits</v>
          </cell>
          <cell r="K28" t="str">
            <v>Seed</v>
          </cell>
          <cell r="L28" t="str">
            <v>Total</v>
          </cell>
          <cell r="M28" t="str">
            <v>Rup</v>
          </cell>
          <cell r="N28" t="str">
            <v>Sel Chem</v>
          </cell>
          <cell r="P28" t="str">
            <v>Seed</v>
          </cell>
          <cell r="Q28" t="str">
            <v>Total</v>
          </cell>
          <cell r="R28" t="str">
            <v>Rup</v>
          </cell>
          <cell r="S28" t="str">
            <v>Sel Chem</v>
          </cell>
          <cell r="T28" t="str">
            <v>Traits</v>
          </cell>
          <cell r="U28" t="str">
            <v>Seed</v>
          </cell>
          <cell r="V28" t="str">
            <v>Total</v>
          </cell>
        </row>
        <row r="29">
          <cell r="A29" t="str">
            <v>Sales</v>
          </cell>
          <cell r="C29">
            <v>3058</v>
          </cell>
          <cell r="D29">
            <v>483</v>
          </cell>
          <cell r="E29">
            <v>24</v>
          </cell>
          <cell r="F29">
            <v>3309</v>
          </cell>
          <cell r="G29">
            <v>6874</v>
          </cell>
          <cell r="H29">
            <v>10890</v>
          </cell>
          <cell r="I29">
            <v>2191</v>
          </cell>
          <cell r="J29">
            <v>425</v>
          </cell>
          <cell r="K29">
            <v>12091</v>
          </cell>
          <cell r="L29">
            <v>25597</v>
          </cell>
          <cell r="M29">
            <v>18618</v>
          </cell>
          <cell r="N29">
            <v>1054</v>
          </cell>
          <cell r="P29">
            <v>30773</v>
          </cell>
          <cell r="Q29">
            <v>50775</v>
          </cell>
          <cell r="R29">
            <v>32566</v>
          </cell>
          <cell r="S29">
            <v>3728</v>
          </cell>
          <cell r="T29">
            <v>779</v>
          </cell>
          <cell r="U29">
            <v>46173</v>
          </cell>
          <cell r="V29">
            <v>83246</v>
          </cell>
        </row>
        <row r="30">
          <cell r="A30" t="str">
            <v>Inventory Cost</v>
          </cell>
          <cell r="C30">
            <v>510</v>
          </cell>
          <cell r="D30">
            <v>252</v>
          </cell>
          <cell r="E30">
            <v>41</v>
          </cell>
          <cell r="F30">
            <v>1495</v>
          </cell>
          <cell r="G30">
            <v>2298</v>
          </cell>
          <cell r="H30">
            <v>4404</v>
          </cell>
          <cell r="I30">
            <v>1006</v>
          </cell>
          <cell r="J30">
            <v>337</v>
          </cell>
          <cell r="K30">
            <v>4361</v>
          </cell>
          <cell r="L30">
            <v>10108</v>
          </cell>
          <cell r="M30">
            <v>8108</v>
          </cell>
          <cell r="N30">
            <v>565</v>
          </cell>
          <cell r="P30">
            <v>10908</v>
          </cell>
          <cell r="Q30">
            <v>19979</v>
          </cell>
          <cell r="R30">
            <v>13022</v>
          </cell>
          <cell r="S30">
            <v>1823</v>
          </cell>
          <cell r="T30">
            <v>776</v>
          </cell>
          <cell r="U30">
            <v>16764</v>
          </cell>
          <cell r="V30">
            <v>32385</v>
          </cell>
        </row>
        <row r="31">
          <cell r="A31" t="str">
            <v xml:space="preserve">  Gross Margin</v>
          </cell>
          <cell r="C31">
            <v>2548</v>
          </cell>
          <cell r="D31">
            <v>231</v>
          </cell>
          <cell r="E31">
            <v>-17</v>
          </cell>
          <cell r="F31">
            <v>1814</v>
          </cell>
          <cell r="G31">
            <v>4576</v>
          </cell>
          <cell r="H31">
            <v>6486</v>
          </cell>
          <cell r="I31">
            <v>1185</v>
          </cell>
          <cell r="J31">
            <v>88</v>
          </cell>
          <cell r="K31">
            <v>7730</v>
          </cell>
          <cell r="L31">
            <v>15489</v>
          </cell>
          <cell r="M31">
            <v>10510</v>
          </cell>
          <cell r="N31">
            <v>489</v>
          </cell>
          <cell r="P31">
            <v>19865</v>
          </cell>
          <cell r="Q31">
            <v>30796</v>
          </cell>
          <cell r="R31">
            <v>19544</v>
          </cell>
          <cell r="S31">
            <v>1905</v>
          </cell>
          <cell r="T31">
            <v>3</v>
          </cell>
          <cell r="U31">
            <v>29409</v>
          </cell>
          <cell r="V31">
            <v>50861</v>
          </cell>
        </row>
        <row r="32">
          <cell r="A32" t="str">
            <v>Local NSC</v>
          </cell>
          <cell r="C32">
            <v>535</v>
          </cell>
          <cell r="D32">
            <v>6</v>
          </cell>
          <cell r="E32">
            <v>0</v>
          </cell>
          <cell r="F32">
            <v>361</v>
          </cell>
          <cell r="G32">
            <v>902</v>
          </cell>
          <cell r="H32">
            <v>-17</v>
          </cell>
          <cell r="I32">
            <v>193</v>
          </cell>
          <cell r="J32">
            <v>0</v>
          </cell>
          <cell r="K32">
            <v>992</v>
          </cell>
          <cell r="L32">
            <v>1168</v>
          </cell>
          <cell r="M32">
            <v>437</v>
          </cell>
          <cell r="N32">
            <v>-151</v>
          </cell>
          <cell r="P32">
            <v>286</v>
          </cell>
          <cell r="Q32">
            <v>572</v>
          </cell>
          <cell r="R32">
            <v>955</v>
          </cell>
          <cell r="S32">
            <v>48</v>
          </cell>
          <cell r="T32">
            <v>0</v>
          </cell>
          <cell r="U32">
            <v>1639</v>
          </cell>
          <cell r="V32">
            <v>2642</v>
          </cell>
        </row>
        <row r="33">
          <cell r="A33" t="str">
            <v>Allocated NSC</v>
          </cell>
          <cell r="C33">
            <v>209</v>
          </cell>
          <cell r="D33">
            <v>54</v>
          </cell>
          <cell r="E33">
            <v>0</v>
          </cell>
          <cell r="F33">
            <v>0</v>
          </cell>
          <cell r="G33">
            <v>263</v>
          </cell>
          <cell r="H33">
            <v>109</v>
          </cell>
          <cell r="I33">
            <v>52</v>
          </cell>
          <cell r="J33">
            <v>0</v>
          </cell>
          <cell r="K33">
            <v>0</v>
          </cell>
          <cell r="L33">
            <v>161</v>
          </cell>
          <cell r="M33">
            <v>105</v>
          </cell>
          <cell r="N33">
            <v>49</v>
          </cell>
          <cell r="P33">
            <v>0</v>
          </cell>
          <cell r="Q33">
            <v>154</v>
          </cell>
          <cell r="R33">
            <v>423</v>
          </cell>
          <cell r="S33">
            <v>155</v>
          </cell>
          <cell r="T33">
            <v>0</v>
          </cell>
          <cell r="U33">
            <v>0</v>
          </cell>
          <cell r="V33">
            <v>578</v>
          </cell>
        </row>
        <row r="34">
          <cell r="A34" t="str">
            <v>Total NSC</v>
          </cell>
          <cell r="C34">
            <v>744</v>
          </cell>
          <cell r="D34">
            <v>60</v>
          </cell>
          <cell r="E34">
            <v>0</v>
          </cell>
          <cell r="F34">
            <v>361</v>
          </cell>
          <cell r="G34">
            <v>1165</v>
          </cell>
          <cell r="H34">
            <v>92</v>
          </cell>
          <cell r="I34">
            <v>245</v>
          </cell>
          <cell r="J34">
            <v>0</v>
          </cell>
          <cell r="K34">
            <v>992</v>
          </cell>
          <cell r="L34">
            <v>1329</v>
          </cell>
          <cell r="M34">
            <v>542</v>
          </cell>
          <cell r="N34">
            <v>-102</v>
          </cell>
          <cell r="P34">
            <v>286</v>
          </cell>
          <cell r="Q34">
            <v>726</v>
          </cell>
          <cell r="R34">
            <v>1378</v>
          </cell>
          <cell r="S34">
            <v>203</v>
          </cell>
          <cell r="T34">
            <v>0</v>
          </cell>
          <cell r="U34">
            <v>1639</v>
          </cell>
          <cell r="V34">
            <v>3220</v>
          </cell>
        </row>
        <row r="35">
          <cell r="A35" t="str">
            <v xml:space="preserve">  Gross Profit</v>
          </cell>
          <cell r="C35">
            <v>1804</v>
          </cell>
          <cell r="D35">
            <v>171</v>
          </cell>
          <cell r="E35">
            <v>-17</v>
          </cell>
          <cell r="F35">
            <v>1453</v>
          </cell>
          <cell r="G35">
            <v>3411</v>
          </cell>
          <cell r="H35">
            <v>6394</v>
          </cell>
          <cell r="I35">
            <v>940</v>
          </cell>
          <cell r="J35">
            <v>88</v>
          </cell>
          <cell r="K35">
            <v>6738</v>
          </cell>
          <cell r="L35">
            <v>14160</v>
          </cell>
          <cell r="M35">
            <v>9968</v>
          </cell>
          <cell r="N35">
            <v>591</v>
          </cell>
          <cell r="P35">
            <v>19579</v>
          </cell>
          <cell r="Q35">
            <v>30070</v>
          </cell>
          <cell r="R35">
            <v>18166</v>
          </cell>
          <cell r="S35">
            <v>1702</v>
          </cell>
          <cell r="T35">
            <v>3</v>
          </cell>
          <cell r="U35">
            <v>27770</v>
          </cell>
          <cell r="V35">
            <v>47641</v>
          </cell>
        </row>
        <row r="36">
          <cell r="A36" t="str">
            <v>R&amp;D</v>
          </cell>
          <cell r="C36">
            <v>40</v>
          </cell>
          <cell r="D36">
            <v>0</v>
          </cell>
          <cell r="E36">
            <v>0</v>
          </cell>
          <cell r="F36">
            <v>34</v>
          </cell>
          <cell r="G36">
            <v>74</v>
          </cell>
          <cell r="H36">
            <v>41</v>
          </cell>
          <cell r="I36">
            <v>0</v>
          </cell>
          <cell r="J36">
            <v>0</v>
          </cell>
          <cell r="K36">
            <v>36</v>
          </cell>
          <cell r="L36">
            <v>77</v>
          </cell>
          <cell r="M36">
            <v>55</v>
          </cell>
          <cell r="N36">
            <v>0</v>
          </cell>
          <cell r="P36">
            <v>50</v>
          </cell>
          <cell r="Q36">
            <v>105</v>
          </cell>
          <cell r="R36">
            <v>136</v>
          </cell>
          <cell r="S36">
            <v>0</v>
          </cell>
          <cell r="T36">
            <v>0</v>
          </cell>
          <cell r="U36">
            <v>120</v>
          </cell>
          <cell r="V36">
            <v>256</v>
          </cell>
        </row>
        <row r="37">
          <cell r="A37" t="str">
            <v>SG&amp;A</v>
          </cell>
          <cell r="C37">
            <v>1065</v>
          </cell>
          <cell r="D37">
            <v>45</v>
          </cell>
          <cell r="E37">
            <v>80</v>
          </cell>
          <cell r="F37">
            <v>1059</v>
          </cell>
          <cell r="G37">
            <v>2249</v>
          </cell>
          <cell r="H37">
            <v>1546</v>
          </cell>
          <cell r="I37">
            <v>65</v>
          </cell>
          <cell r="J37">
            <v>95</v>
          </cell>
          <cell r="K37">
            <v>952</v>
          </cell>
          <cell r="L37">
            <v>2658</v>
          </cell>
          <cell r="M37">
            <v>1180</v>
          </cell>
          <cell r="N37">
            <v>57</v>
          </cell>
          <cell r="P37">
            <v>1020</v>
          </cell>
          <cell r="Q37">
            <v>2334</v>
          </cell>
          <cell r="R37">
            <v>3791</v>
          </cell>
          <cell r="S37">
            <v>167</v>
          </cell>
          <cell r="T37">
            <v>252</v>
          </cell>
          <cell r="U37">
            <v>3031</v>
          </cell>
          <cell r="V37">
            <v>7241</v>
          </cell>
        </row>
        <row r="38">
          <cell r="A38" t="str">
            <v>Total R&amp;D/SG&amp;A</v>
          </cell>
          <cell r="C38">
            <v>1105</v>
          </cell>
          <cell r="D38">
            <v>45</v>
          </cell>
          <cell r="E38">
            <v>80</v>
          </cell>
          <cell r="F38">
            <v>1093</v>
          </cell>
          <cell r="G38">
            <v>2323</v>
          </cell>
          <cell r="H38">
            <v>1587</v>
          </cell>
          <cell r="I38">
            <v>65</v>
          </cell>
          <cell r="J38">
            <v>95</v>
          </cell>
          <cell r="K38">
            <v>988</v>
          </cell>
          <cell r="L38">
            <v>2735</v>
          </cell>
          <cell r="M38">
            <v>1235</v>
          </cell>
          <cell r="N38">
            <v>57</v>
          </cell>
          <cell r="P38">
            <v>1070</v>
          </cell>
          <cell r="Q38">
            <v>2439</v>
          </cell>
          <cell r="R38">
            <v>3927</v>
          </cell>
          <cell r="S38">
            <v>167</v>
          </cell>
          <cell r="T38">
            <v>252</v>
          </cell>
          <cell r="U38">
            <v>3151</v>
          </cell>
          <cell r="V38">
            <v>7497</v>
          </cell>
        </row>
        <row r="39">
          <cell r="A39" t="str">
            <v>Amortization</v>
          </cell>
          <cell r="C39">
            <v>0</v>
          </cell>
          <cell r="D39">
            <v>0</v>
          </cell>
          <cell r="E39">
            <v>0</v>
          </cell>
          <cell r="F39">
            <v>2</v>
          </cell>
          <cell r="G39">
            <v>2</v>
          </cell>
          <cell r="H39">
            <v>0</v>
          </cell>
          <cell r="I39">
            <v>0</v>
          </cell>
          <cell r="J39">
            <v>0</v>
          </cell>
          <cell r="K39">
            <v>0</v>
          </cell>
          <cell r="L39">
            <v>0</v>
          </cell>
          <cell r="M39">
            <v>0</v>
          </cell>
          <cell r="N39">
            <v>0</v>
          </cell>
          <cell r="P39">
            <v>0</v>
          </cell>
          <cell r="Q39">
            <v>0</v>
          </cell>
          <cell r="R39">
            <v>0</v>
          </cell>
          <cell r="S39">
            <v>0</v>
          </cell>
          <cell r="T39">
            <v>0</v>
          </cell>
          <cell r="U39">
            <v>2</v>
          </cell>
          <cell r="V39">
            <v>2</v>
          </cell>
        </row>
        <row r="40">
          <cell r="A40" t="str">
            <v>Restruct/Merg</v>
          </cell>
          <cell r="C40">
            <v>0</v>
          </cell>
          <cell r="D40">
            <v>0</v>
          </cell>
          <cell r="E40">
            <v>0</v>
          </cell>
          <cell r="F40">
            <v>0</v>
          </cell>
          <cell r="G40">
            <v>0</v>
          </cell>
          <cell r="H40">
            <v>4</v>
          </cell>
          <cell r="I40">
            <v>0</v>
          </cell>
          <cell r="J40">
            <v>0</v>
          </cell>
          <cell r="K40">
            <v>1</v>
          </cell>
          <cell r="L40">
            <v>5</v>
          </cell>
          <cell r="M40">
            <v>0</v>
          </cell>
          <cell r="N40">
            <v>0</v>
          </cell>
          <cell r="P40">
            <v>0</v>
          </cell>
          <cell r="Q40">
            <v>0</v>
          </cell>
          <cell r="R40">
            <v>4</v>
          </cell>
          <cell r="S40">
            <v>0</v>
          </cell>
          <cell r="T40">
            <v>0</v>
          </cell>
          <cell r="U40">
            <v>1</v>
          </cell>
          <cell r="V40">
            <v>5</v>
          </cell>
        </row>
        <row r="41">
          <cell r="A41" t="str">
            <v>Other Income</v>
          </cell>
          <cell r="C41">
            <v>1092</v>
          </cell>
          <cell r="D41">
            <v>0</v>
          </cell>
          <cell r="E41">
            <v>0</v>
          </cell>
          <cell r="F41">
            <v>-287</v>
          </cell>
          <cell r="G41">
            <v>805</v>
          </cell>
          <cell r="H41">
            <v>288</v>
          </cell>
          <cell r="I41">
            <v>4</v>
          </cell>
          <cell r="J41">
            <v>0</v>
          </cell>
          <cell r="K41">
            <v>-315</v>
          </cell>
          <cell r="L41">
            <v>-23</v>
          </cell>
          <cell r="M41">
            <v>91</v>
          </cell>
          <cell r="N41">
            <v>10</v>
          </cell>
          <cell r="P41">
            <v>-96</v>
          </cell>
          <cell r="Q41">
            <v>5</v>
          </cell>
          <cell r="R41">
            <v>1471</v>
          </cell>
          <cell r="S41">
            <v>14</v>
          </cell>
          <cell r="T41">
            <v>0</v>
          </cell>
          <cell r="U41">
            <v>-698</v>
          </cell>
          <cell r="V41">
            <v>787</v>
          </cell>
        </row>
        <row r="42">
          <cell r="A42" t="str">
            <v xml:space="preserve">  EBIT</v>
          </cell>
          <cell r="C42">
            <v>1791</v>
          </cell>
          <cell r="D42">
            <v>126</v>
          </cell>
          <cell r="E42">
            <v>-97</v>
          </cell>
          <cell r="F42">
            <v>71</v>
          </cell>
          <cell r="G42">
            <v>1891</v>
          </cell>
          <cell r="H42">
            <v>5091</v>
          </cell>
          <cell r="I42">
            <v>879</v>
          </cell>
          <cell r="J42">
            <v>-7</v>
          </cell>
          <cell r="K42">
            <v>5434</v>
          </cell>
          <cell r="L42">
            <v>11397</v>
          </cell>
          <cell r="M42">
            <v>8824</v>
          </cell>
          <cell r="N42">
            <v>544</v>
          </cell>
          <cell r="P42">
            <v>18413</v>
          </cell>
          <cell r="Q42">
            <v>27636</v>
          </cell>
          <cell r="R42">
            <v>15706</v>
          </cell>
          <cell r="S42">
            <v>1549</v>
          </cell>
          <cell r="T42">
            <v>-249</v>
          </cell>
          <cell r="U42">
            <v>23918</v>
          </cell>
          <cell r="V42">
            <v>40924</v>
          </cell>
        </row>
        <row r="43">
          <cell r="A43" t="str">
            <v>Interest Income</v>
          </cell>
          <cell r="C43">
            <v>0</v>
          </cell>
          <cell r="D43">
            <v>0</v>
          </cell>
          <cell r="E43">
            <v>0</v>
          </cell>
          <cell r="F43">
            <v>0</v>
          </cell>
          <cell r="G43">
            <v>0</v>
          </cell>
          <cell r="H43">
            <v>0</v>
          </cell>
          <cell r="I43">
            <v>0</v>
          </cell>
          <cell r="J43">
            <v>0</v>
          </cell>
          <cell r="K43">
            <v>0</v>
          </cell>
          <cell r="L43">
            <v>0</v>
          </cell>
          <cell r="M43">
            <v>0</v>
          </cell>
          <cell r="N43">
            <v>0</v>
          </cell>
          <cell r="P43">
            <v>0</v>
          </cell>
          <cell r="Q43">
            <v>0</v>
          </cell>
          <cell r="R43">
            <v>0</v>
          </cell>
          <cell r="S43">
            <v>0</v>
          </cell>
          <cell r="T43">
            <v>0</v>
          </cell>
          <cell r="U43">
            <v>0</v>
          </cell>
          <cell r="V43">
            <v>0</v>
          </cell>
        </row>
        <row r="44">
          <cell r="A44" t="str">
            <v>Interest Expense</v>
          </cell>
          <cell r="C44">
            <v>0</v>
          </cell>
          <cell r="D44">
            <v>0</v>
          </cell>
          <cell r="E44">
            <v>0</v>
          </cell>
          <cell r="F44">
            <v>0</v>
          </cell>
          <cell r="G44">
            <v>0</v>
          </cell>
          <cell r="H44">
            <v>0</v>
          </cell>
          <cell r="I44">
            <v>0</v>
          </cell>
          <cell r="J44">
            <v>0</v>
          </cell>
          <cell r="K44">
            <v>0</v>
          </cell>
          <cell r="L44">
            <v>0</v>
          </cell>
          <cell r="M44">
            <v>0</v>
          </cell>
          <cell r="N44">
            <v>0</v>
          </cell>
          <cell r="P44">
            <v>0</v>
          </cell>
          <cell r="Q44">
            <v>0</v>
          </cell>
          <cell r="R44">
            <v>0</v>
          </cell>
          <cell r="S44">
            <v>0</v>
          </cell>
          <cell r="T44">
            <v>0</v>
          </cell>
          <cell r="U44">
            <v>0</v>
          </cell>
          <cell r="V44">
            <v>0</v>
          </cell>
        </row>
        <row r="45">
          <cell r="A45" t="str">
            <v xml:space="preserve">  EBT</v>
          </cell>
          <cell r="C45">
            <v>1791</v>
          </cell>
          <cell r="D45">
            <v>126</v>
          </cell>
          <cell r="E45">
            <v>-97</v>
          </cell>
          <cell r="F45">
            <v>71</v>
          </cell>
          <cell r="G45">
            <v>1891</v>
          </cell>
          <cell r="H45">
            <v>5091</v>
          </cell>
          <cell r="I45">
            <v>879</v>
          </cell>
          <cell r="J45">
            <v>-7</v>
          </cell>
          <cell r="K45">
            <v>5434</v>
          </cell>
          <cell r="L45">
            <v>11397</v>
          </cell>
          <cell r="M45">
            <v>8824</v>
          </cell>
          <cell r="N45">
            <v>544</v>
          </cell>
          <cell r="P45">
            <v>18413</v>
          </cell>
          <cell r="Q45">
            <v>27636</v>
          </cell>
          <cell r="R45">
            <v>15706</v>
          </cell>
          <cell r="S45">
            <v>1549</v>
          </cell>
          <cell r="T45">
            <v>-249</v>
          </cell>
          <cell r="U45">
            <v>23918</v>
          </cell>
          <cell r="V45">
            <v>40924</v>
          </cell>
        </row>
        <row r="46">
          <cell r="A46" t="str">
            <v>Taxes</v>
          </cell>
          <cell r="C46">
            <v>0</v>
          </cell>
          <cell r="D46">
            <v>0</v>
          </cell>
          <cell r="E46">
            <v>0</v>
          </cell>
          <cell r="F46">
            <v>0</v>
          </cell>
          <cell r="G46">
            <v>0</v>
          </cell>
          <cell r="H46">
            <v>0</v>
          </cell>
          <cell r="I46">
            <v>0</v>
          </cell>
          <cell r="J46">
            <v>0</v>
          </cell>
          <cell r="K46">
            <v>0</v>
          </cell>
          <cell r="L46">
            <v>0</v>
          </cell>
          <cell r="M46">
            <v>0</v>
          </cell>
          <cell r="N46">
            <v>0</v>
          </cell>
          <cell r="P46">
            <v>0</v>
          </cell>
          <cell r="Q46">
            <v>0</v>
          </cell>
          <cell r="R46">
            <v>0</v>
          </cell>
          <cell r="S46">
            <v>0</v>
          </cell>
          <cell r="T46">
            <v>0</v>
          </cell>
          <cell r="U46">
            <v>0</v>
          </cell>
          <cell r="V46">
            <v>0</v>
          </cell>
        </row>
        <row r="47">
          <cell r="A47" t="str">
            <v xml:space="preserve">  Net Income</v>
          </cell>
          <cell r="C47">
            <v>1791</v>
          </cell>
          <cell r="D47">
            <v>126</v>
          </cell>
          <cell r="E47">
            <v>-97</v>
          </cell>
          <cell r="F47">
            <v>71</v>
          </cell>
          <cell r="G47">
            <v>1891</v>
          </cell>
          <cell r="H47">
            <v>5091</v>
          </cell>
          <cell r="I47">
            <v>879</v>
          </cell>
          <cell r="J47">
            <v>-7</v>
          </cell>
          <cell r="K47">
            <v>5434</v>
          </cell>
          <cell r="L47">
            <v>11397</v>
          </cell>
          <cell r="M47">
            <v>8824</v>
          </cell>
          <cell r="N47">
            <v>544</v>
          </cell>
          <cell r="P47">
            <v>18413</v>
          </cell>
          <cell r="Q47">
            <v>27636</v>
          </cell>
          <cell r="R47">
            <v>15706</v>
          </cell>
          <cell r="S47">
            <v>1549</v>
          </cell>
          <cell r="T47">
            <v>-249</v>
          </cell>
          <cell r="U47">
            <v>23918</v>
          </cell>
          <cell r="V47">
            <v>40924</v>
          </cell>
        </row>
        <row r="50">
          <cell r="C50" t="str">
            <v>Jul</v>
          </cell>
          <cell r="H50" t="str">
            <v>Aug</v>
          </cell>
          <cell r="M50" t="str">
            <v>Sep</v>
          </cell>
          <cell r="R50" t="str">
            <v>3rd Quarter</v>
          </cell>
        </row>
        <row r="51">
          <cell r="C51" t="str">
            <v>Rup</v>
          </cell>
          <cell r="D51" t="str">
            <v>Sel Chem</v>
          </cell>
          <cell r="E51" t="str">
            <v>Traits</v>
          </cell>
          <cell r="F51" t="str">
            <v>Seed</v>
          </cell>
          <cell r="G51" t="str">
            <v>Total</v>
          </cell>
          <cell r="H51" t="str">
            <v>Rup</v>
          </cell>
          <cell r="I51" t="str">
            <v>Sel Chem</v>
          </cell>
          <cell r="J51" t="str">
            <v>Traits</v>
          </cell>
          <cell r="K51" t="str">
            <v>Seed</v>
          </cell>
          <cell r="L51" t="str">
            <v>Total</v>
          </cell>
          <cell r="M51" t="str">
            <v>Rup</v>
          </cell>
          <cell r="N51" t="str">
            <v>Sel Chem</v>
          </cell>
          <cell r="P51" t="str">
            <v>Seed</v>
          </cell>
          <cell r="Q51" t="str">
            <v>Total</v>
          </cell>
          <cell r="R51" t="str">
            <v>Rup</v>
          </cell>
          <cell r="S51" t="str">
            <v>Sel Chem</v>
          </cell>
          <cell r="T51" t="str">
            <v>Traits</v>
          </cell>
          <cell r="U51" t="str">
            <v>Seed</v>
          </cell>
          <cell r="V51" t="str">
            <v>Total</v>
          </cell>
        </row>
        <row r="52">
          <cell r="A52" t="str">
            <v>Sales</v>
          </cell>
          <cell r="C52">
            <v>3550</v>
          </cell>
          <cell r="D52">
            <v>293</v>
          </cell>
          <cell r="E52">
            <v>299</v>
          </cell>
          <cell r="F52">
            <v>1546</v>
          </cell>
          <cell r="G52">
            <v>5688</v>
          </cell>
          <cell r="H52">
            <v>2261</v>
          </cell>
          <cell r="I52">
            <v>273</v>
          </cell>
          <cell r="J52">
            <v>21</v>
          </cell>
          <cell r="K52">
            <v>-1423</v>
          </cell>
          <cell r="L52">
            <v>1132</v>
          </cell>
          <cell r="M52">
            <v>15195</v>
          </cell>
          <cell r="N52">
            <v>715</v>
          </cell>
          <cell r="P52">
            <v>9749</v>
          </cell>
          <cell r="Q52">
            <v>25660</v>
          </cell>
          <cell r="R52">
            <v>21006</v>
          </cell>
          <cell r="S52">
            <v>1281</v>
          </cell>
          <cell r="T52">
            <v>321</v>
          </cell>
          <cell r="U52">
            <v>9872</v>
          </cell>
          <cell r="V52">
            <v>32480</v>
          </cell>
        </row>
        <row r="53">
          <cell r="A53" t="str">
            <v>Inventory Cost</v>
          </cell>
          <cell r="C53">
            <v>1283</v>
          </cell>
          <cell r="D53">
            <v>108</v>
          </cell>
          <cell r="E53">
            <v>392</v>
          </cell>
          <cell r="F53">
            <v>1639</v>
          </cell>
          <cell r="G53">
            <v>3422</v>
          </cell>
          <cell r="H53">
            <v>800</v>
          </cell>
          <cell r="I53">
            <v>201</v>
          </cell>
          <cell r="J53">
            <v>1</v>
          </cell>
          <cell r="K53">
            <v>-164</v>
          </cell>
          <cell r="L53">
            <v>838</v>
          </cell>
          <cell r="M53">
            <v>7238</v>
          </cell>
          <cell r="N53">
            <v>415</v>
          </cell>
          <cell r="P53">
            <v>2522</v>
          </cell>
          <cell r="Q53">
            <v>10184</v>
          </cell>
          <cell r="R53">
            <v>9321</v>
          </cell>
          <cell r="S53">
            <v>724</v>
          </cell>
          <cell r="T53">
            <v>402</v>
          </cell>
          <cell r="U53">
            <v>3997</v>
          </cell>
          <cell r="V53">
            <v>14444</v>
          </cell>
        </row>
        <row r="54">
          <cell r="A54" t="str">
            <v xml:space="preserve">  Gross Margin</v>
          </cell>
          <cell r="C54">
            <v>2267</v>
          </cell>
          <cell r="D54">
            <v>185</v>
          </cell>
          <cell r="E54">
            <v>-93</v>
          </cell>
          <cell r="F54">
            <v>-93</v>
          </cell>
          <cell r="G54">
            <v>2266</v>
          </cell>
          <cell r="H54">
            <v>1461</v>
          </cell>
          <cell r="I54">
            <v>72</v>
          </cell>
          <cell r="J54">
            <v>20</v>
          </cell>
          <cell r="K54">
            <v>-1259</v>
          </cell>
          <cell r="L54">
            <v>294</v>
          </cell>
          <cell r="M54">
            <v>7957</v>
          </cell>
          <cell r="N54">
            <v>300</v>
          </cell>
          <cell r="P54">
            <v>7227</v>
          </cell>
          <cell r="Q54">
            <v>15476</v>
          </cell>
          <cell r="R54">
            <v>11685</v>
          </cell>
          <cell r="S54">
            <v>557</v>
          </cell>
          <cell r="T54">
            <v>-81</v>
          </cell>
          <cell r="U54">
            <v>5875</v>
          </cell>
          <cell r="V54">
            <v>18036</v>
          </cell>
        </row>
        <row r="55">
          <cell r="A55" t="str">
            <v>Local NSC</v>
          </cell>
          <cell r="C55">
            <v>308</v>
          </cell>
          <cell r="D55">
            <v>-13</v>
          </cell>
          <cell r="E55">
            <v>0</v>
          </cell>
          <cell r="F55">
            <v>494</v>
          </cell>
          <cell r="G55">
            <v>789</v>
          </cell>
          <cell r="H55">
            <v>564</v>
          </cell>
          <cell r="I55">
            <v>14</v>
          </cell>
          <cell r="J55">
            <v>0</v>
          </cell>
          <cell r="K55">
            <v>218</v>
          </cell>
          <cell r="L55">
            <v>796</v>
          </cell>
          <cell r="M55">
            <v>222</v>
          </cell>
          <cell r="N55">
            <v>-1</v>
          </cell>
          <cell r="P55">
            <v>476</v>
          </cell>
          <cell r="Q55">
            <v>697</v>
          </cell>
          <cell r="R55">
            <v>1094</v>
          </cell>
          <cell r="S55">
            <v>0</v>
          </cell>
          <cell r="T55">
            <v>0</v>
          </cell>
          <cell r="U55">
            <v>1188</v>
          </cell>
          <cell r="V55">
            <v>2282</v>
          </cell>
        </row>
        <row r="56">
          <cell r="A56" t="str">
            <v>Allocated NSC</v>
          </cell>
          <cell r="C56">
            <v>214</v>
          </cell>
          <cell r="D56">
            <v>58</v>
          </cell>
          <cell r="E56">
            <v>0</v>
          </cell>
          <cell r="F56">
            <v>0</v>
          </cell>
          <cell r="G56">
            <v>272</v>
          </cell>
          <cell r="H56">
            <v>245</v>
          </cell>
          <cell r="I56">
            <v>51</v>
          </cell>
          <cell r="J56">
            <v>0</v>
          </cell>
          <cell r="K56">
            <v>0</v>
          </cell>
          <cell r="L56">
            <v>296</v>
          </cell>
          <cell r="M56">
            <v>189</v>
          </cell>
          <cell r="N56">
            <v>53</v>
          </cell>
          <cell r="P56">
            <v>0</v>
          </cell>
          <cell r="Q56">
            <v>242</v>
          </cell>
          <cell r="R56">
            <v>648</v>
          </cell>
          <cell r="S56">
            <v>162</v>
          </cell>
          <cell r="T56">
            <v>0</v>
          </cell>
          <cell r="U56">
            <v>0</v>
          </cell>
          <cell r="V56">
            <v>810</v>
          </cell>
        </row>
        <row r="57">
          <cell r="A57" t="str">
            <v>Total NSC</v>
          </cell>
          <cell r="C57">
            <v>522</v>
          </cell>
          <cell r="D57">
            <v>45</v>
          </cell>
          <cell r="E57">
            <v>0</v>
          </cell>
          <cell r="F57">
            <v>494</v>
          </cell>
          <cell r="G57">
            <v>1061</v>
          </cell>
          <cell r="H57">
            <v>809</v>
          </cell>
          <cell r="I57">
            <v>65</v>
          </cell>
          <cell r="J57">
            <v>0</v>
          </cell>
          <cell r="K57">
            <v>218</v>
          </cell>
          <cell r="L57">
            <v>1092</v>
          </cell>
          <cell r="M57">
            <v>411</v>
          </cell>
          <cell r="N57">
            <v>52</v>
          </cell>
          <cell r="P57">
            <v>476</v>
          </cell>
          <cell r="Q57">
            <v>939</v>
          </cell>
          <cell r="R57">
            <v>1742</v>
          </cell>
          <cell r="S57">
            <v>162</v>
          </cell>
          <cell r="T57">
            <v>0</v>
          </cell>
          <cell r="U57">
            <v>1188</v>
          </cell>
          <cell r="V57">
            <v>3092</v>
          </cell>
        </row>
        <row r="58">
          <cell r="A58" t="str">
            <v xml:space="preserve">  Gross Profit</v>
          </cell>
          <cell r="C58">
            <v>1745</v>
          </cell>
          <cell r="D58">
            <v>140</v>
          </cell>
          <cell r="E58">
            <v>-93</v>
          </cell>
          <cell r="F58">
            <v>-587</v>
          </cell>
          <cell r="G58">
            <v>1205</v>
          </cell>
          <cell r="H58">
            <v>652</v>
          </cell>
          <cell r="I58">
            <v>7</v>
          </cell>
          <cell r="J58">
            <v>20</v>
          </cell>
          <cell r="K58">
            <v>-1477</v>
          </cell>
          <cell r="L58">
            <v>-798</v>
          </cell>
          <cell r="M58">
            <v>7546</v>
          </cell>
          <cell r="N58">
            <v>248</v>
          </cell>
          <cell r="P58">
            <v>6751</v>
          </cell>
          <cell r="Q58">
            <v>14537</v>
          </cell>
          <cell r="R58">
            <v>9943</v>
          </cell>
          <cell r="S58">
            <v>395</v>
          </cell>
          <cell r="T58">
            <v>-81</v>
          </cell>
          <cell r="U58">
            <v>4687</v>
          </cell>
          <cell r="V58">
            <v>14944</v>
          </cell>
        </row>
        <row r="59">
          <cell r="A59" t="str">
            <v>R&amp;D</v>
          </cell>
          <cell r="C59">
            <v>68</v>
          </cell>
          <cell r="D59">
            <v>0</v>
          </cell>
          <cell r="E59">
            <v>0</v>
          </cell>
          <cell r="F59">
            <v>57</v>
          </cell>
          <cell r="G59">
            <v>125</v>
          </cell>
          <cell r="H59">
            <v>34</v>
          </cell>
          <cell r="I59">
            <v>0</v>
          </cell>
          <cell r="J59">
            <v>0</v>
          </cell>
          <cell r="K59">
            <v>33</v>
          </cell>
          <cell r="L59">
            <v>67</v>
          </cell>
          <cell r="M59">
            <v>28</v>
          </cell>
          <cell r="N59">
            <v>0</v>
          </cell>
          <cell r="P59">
            <v>23</v>
          </cell>
          <cell r="Q59">
            <v>51</v>
          </cell>
          <cell r="R59">
            <v>130</v>
          </cell>
          <cell r="S59">
            <v>0</v>
          </cell>
          <cell r="T59">
            <v>0</v>
          </cell>
          <cell r="U59">
            <v>113</v>
          </cell>
          <cell r="V59">
            <v>243</v>
          </cell>
        </row>
        <row r="60">
          <cell r="A60" t="str">
            <v>SG&amp;A</v>
          </cell>
          <cell r="C60">
            <v>1100</v>
          </cell>
          <cell r="D60">
            <v>49</v>
          </cell>
          <cell r="E60">
            <v>87</v>
          </cell>
          <cell r="F60">
            <v>1022</v>
          </cell>
          <cell r="G60">
            <v>2258</v>
          </cell>
          <cell r="H60">
            <v>943</v>
          </cell>
          <cell r="I60">
            <v>49</v>
          </cell>
          <cell r="J60">
            <v>99</v>
          </cell>
          <cell r="K60">
            <v>983</v>
          </cell>
          <cell r="L60">
            <v>2074</v>
          </cell>
          <cell r="M60">
            <v>1416</v>
          </cell>
          <cell r="N60">
            <v>41</v>
          </cell>
          <cell r="P60">
            <v>1013</v>
          </cell>
          <cell r="Q60">
            <v>2565</v>
          </cell>
          <cell r="R60">
            <v>3459</v>
          </cell>
          <cell r="S60">
            <v>139</v>
          </cell>
          <cell r="T60">
            <v>281</v>
          </cell>
          <cell r="U60">
            <v>3018</v>
          </cell>
          <cell r="V60">
            <v>6897</v>
          </cell>
        </row>
        <row r="61">
          <cell r="A61" t="str">
            <v>Total R&amp;D/SG&amp;A</v>
          </cell>
          <cell r="C61">
            <v>1168</v>
          </cell>
          <cell r="D61">
            <v>49</v>
          </cell>
          <cell r="E61">
            <v>87</v>
          </cell>
          <cell r="F61">
            <v>1079</v>
          </cell>
          <cell r="G61">
            <v>2383</v>
          </cell>
          <cell r="H61">
            <v>977</v>
          </cell>
          <cell r="I61">
            <v>49</v>
          </cell>
          <cell r="J61">
            <v>99</v>
          </cell>
          <cell r="K61">
            <v>1016</v>
          </cell>
          <cell r="L61">
            <v>2141</v>
          </cell>
          <cell r="M61">
            <v>1444</v>
          </cell>
          <cell r="N61">
            <v>41</v>
          </cell>
          <cell r="P61">
            <v>1036</v>
          </cell>
          <cell r="Q61">
            <v>2616</v>
          </cell>
          <cell r="R61">
            <v>3589</v>
          </cell>
          <cell r="S61">
            <v>139</v>
          </cell>
          <cell r="T61">
            <v>281</v>
          </cell>
          <cell r="U61">
            <v>3131</v>
          </cell>
          <cell r="V61">
            <v>7140</v>
          </cell>
        </row>
        <row r="62">
          <cell r="A62" t="str">
            <v>Amortization</v>
          </cell>
          <cell r="C62">
            <v>0</v>
          </cell>
          <cell r="D62">
            <v>0</v>
          </cell>
          <cell r="E62">
            <v>0</v>
          </cell>
          <cell r="F62">
            <v>0</v>
          </cell>
          <cell r="G62">
            <v>0</v>
          </cell>
          <cell r="H62">
            <v>0</v>
          </cell>
          <cell r="I62">
            <v>0</v>
          </cell>
          <cell r="J62">
            <v>0</v>
          </cell>
          <cell r="K62">
            <v>0</v>
          </cell>
          <cell r="L62">
            <v>0</v>
          </cell>
          <cell r="M62">
            <v>0</v>
          </cell>
          <cell r="N62">
            <v>0</v>
          </cell>
          <cell r="P62">
            <v>0</v>
          </cell>
          <cell r="Q62">
            <v>0</v>
          </cell>
          <cell r="R62">
            <v>0</v>
          </cell>
          <cell r="S62">
            <v>0</v>
          </cell>
          <cell r="T62">
            <v>0</v>
          </cell>
          <cell r="U62">
            <v>0</v>
          </cell>
          <cell r="V62">
            <v>0</v>
          </cell>
        </row>
        <row r="63">
          <cell r="A63" t="str">
            <v>Restruct/Merg</v>
          </cell>
          <cell r="C63">
            <v>0</v>
          </cell>
          <cell r="D63">
            <v>0</v>
          </cell>
          <cell r="E63">
            <v>0</v>
          </cell>
          <cell r="F63">
            <v>-12</v>
          </cell>
          <cell r="G63">
            <v>-12</v>
          </cell>
          <cell r="H63">
            <v>0</v>
          </cell>
          <cell r="I63">
            <v>0</v>
          </cell>
          <cell r="J63">
            <v>0</v>
          </cell>
          <cell r="K63">
            <v>0</v>
          </cell>
          <cell r="L63">
            <v>0</v>
          </cell>
          <cell r="M63">
            <v>1</v>
          </cell>
          <cell r="N63">
            <v>0</v>
          </cell>
          <cell r="P63">
            <v>0</v>
          </cell>
          <cell r="Q63">
            <v>1</v>
          </cell>
          <cell r="R63">
            <v>1</v>
          </cell>
          <cell r="S63">
            <v>0</v>
          </cell>
          <cell r="T63">
            <v>0</v>
          </cell>
          <cell r="U63">
            <v>-12</v>
          </cell>
          <cell r="V63">
            <v>-11</v>
          </cell>
        </row>
        <row r="64">
          <cell r="A64" t="str">
            <v>Other Income</v>
          </cell>
          <cell r="C64">
            <v>-34</v>
          </cell>
          <cell r="D64">
            <v>4</v>
          </cell>
          <cell r="E64">
            <v>0</v>
          </cell>
          <cell r="F64">
            <v>222</v>
          </cell>
          <cell r="G64">
            <v>192</v>
          </cell>
          <cell r="H64">
            <v>108</v>
          </cell>
          <cell r="I64">
            <v>5</v>
          </cell>
          <cell r="J64">
            <v>0</v>
          </cell>
          <cell r="K64">
            <v>-68</v>
          </cell>
          <cell r="L64">
            <v>45</v>
          </cell>
          <cell r="M64">
            <v>-25</v>
          </cell>
          <cell r="N64">
            <v>3</v>
          </cell>
          <cell r="P64">
            <v>1009</v>
          </cell>
          <cell r="Q64">
            <v>987</v>
          </cell>
          <cell r="R64">
            <v>49</v>
          </cell>
          <cell r="S64">
            <v>12</v>
          </cell>
          <cell r="T64">
            <v>0</v>
          </cell>
          <cell r="U64">
            <v>1163</v>
          </cell>
          <cell r="V64">
            <v>1224</v>
          </cell>
        </row>
        <row r="65">
          <cell r="A65" t="str">
            <v>EBIT</v>
          </cell>
          <cell r="C65">
            <v>543</v>
          </cell>
          <cell r="D65">
            <v>95</v>
          </cell>
          <cell r="E65">
            <v>-180</v>
          </cell>
          <cell r="F65">
            <v>-1432</v>
          </cell>
          <cell r="G65">
            <v>-974</v>
          </cell>
          <cell r="H65">
            <v>-217</v>
          </cell>
          <cell r="I65">
            <v>-37</v>
          </cell>
          <cell r="J65">
            <v>-79</v>
          </cell>
          <cell r="K65">
            <v>-2561</v>
          </cell>
          <cell r="L65">
            <v>-2894</v>
          </cell>
          <cell r="M65">
            <v>6076</v>
          </cell>
          <cell r="N65">
            <v>210</v>
          </cell>
          <cell r="P65">
            <v>6724</v>
          </cell>
          <cell r="Q65">
            <v>12907</v>
          </cell>
          <cell r="R65">
            <v>6402</v>
          </cell>
          <cell r="S65">
            <v>268</v>
          </cell>
          <cell r="T65">
            <v>-362</v>
          </cell>
          <cell r="U65">
            <v>2731</v>
          </cell>
          <cell r="V65">
            <v>9039</v>
          </cell>
        </row>
        <row r="66">
          <cell r="A66" t="str">
            <v>Interest Income</v>
          </cell>
          <cell r="C66">
            <v>0</v>
          </cell>
          <cell r="D66">
            <v>0</v>
          </cell>
          <cell r="E66">
            <v>0</v>
          </cell>
          <cell r="F66">
            <v>0</v>
          </cell>
          <cell r="G66">
            <v>0</v>
          </cell>
          <cell r="H66">
            <v>0</v>
          </cell>
          <cell r="I66">
            <v>0</v>
          </cell>
          <cell r="J66">
            <v>0</v>
          </cell>
          <cell r="K66">
            <v>0</v>
          </cell>
          <cell r="L66">
            <v>0</v>
          </cell>
          <cell r="M66">
            <v>0</v>
          </cell>
          <cell r="N66">
            <v>0</v>
          </cell>
          <cell r="P66">
            <v>0</v>
          </cell>
          <cell r="Q66">
            <v>0</v>
          </cell>
          <cell r="R66">
            <v>0</v>
          </cell>
          <cell r="S66">
            <v>0</v>
          </cell>
          <cell r="T66">
            <v>0</v>
          </cell>
          <cell r="U66">
            <v>0</v>
          </cell>
          <cell r="V66">
            <v>0</v>
          </cell>
        </row>
        <row r="67">
          <cell r="A67" t="str">
            <v>Interest Expense</v>
          </cell>
          <cell r="C67">
            <v>0</v>
          </cell>
          <cell r="D67">
            <v>0</v>
          </cell>
          <cell r="E67">
            <v>0</v>
          </cell>
          <cell r="F67">
            <v>0</v>
          </cell>
          <cell r="G67">
            <v>0</v>
          </cell>
          <cell r="H67">
            <v>-1</v>
          </cell>
          <cell r="I67">
            <v>0</v>
          </cell>
          <cell r="J67">
            <v>0</v>
          </cell>
          <cell r="K67">
            <v>0</v>
          </cell>
          <cell r="L67">
            <v>-1</v>
          </cell>
          <cell r="M67">
            <v>0</v>
          </cell>
          <cell r="N67">
            <v>0</v>
          </cell>
          <cell r="P67">
            <v>0</v>
          </cell>
          <cell r="Q67">
            <v>0</v>
          </cell>
          <cell r="R67">
            <v>-1</v>
          </cell>
          <cell r="S67">
            <v>0</v>
          </cell>
          <cell r="T67">
            <v>0</v>
          </cell>
          <cell r="U67">
            <v>0</v>
          </cell>
          <cell r="V67">
            <v>-1</v>
          </cell>
        </row>
        <row r="68">
          <cell r="A68" t="str">
            <v xml:space="preserve">  EBT</v>
          </cell>
          <cell r="C68">
            <v>543</v>
          </cell>
          <cell r="D68">
            <v>95</v>
          </cell>
          <cell r="E68">
            <v>-180</v>
          </cell>
          <cell r="F68">
            <v>-1432</v>
          </cell>
          <cell r="G68">
            <v>-974</v>
          </cell>
          <cell r="H68">
            <v>-216</v>
          </cell>
          <cell r="I68">
            <v>-37</v>
          </cell>
          <cell r="J68">
            <v>-79</v>
          </cell>
          <cell r="K68">
            <v>-2561</v>
          </cell>
          <cell r="L68">
            <v>-2893</v>
          </cell>
          <cell r="M68">
            <v>6076</v>
          </cell>
          <cell r="N68">
            <v>210</v>
          </cell>
          <cell r="P68">
            <v>6724</v>
          </cell>
          <cell r="Q68">
            <v>12907</v>
          </cell>
          <cell r="R68">
            <v>6403</v>
          </cell>
          <cell r="S68">
            <v>268</v>
          </cell>
          <cell r="T68">
            <v>-362</v>
          </cell>
          <cell r="U68">
            <v>2731</v>
          </cell>
          <cell r="V68">
            <v>9040</v>
          </cell>
        </row>
        <row r="69">
          <cell r="A69" t="str">
            <v>Taxes</v>
          </cell>
          <cell r="C69">
            <v>0</v>
          </cell>
          <cell r="D69">
            <v>0</v>
          </cell>
          <cell r="E69">
            <v>0</v>
          </cell>
          <cell r="F69">
            <v>0</v>
          </cell>
          <cell r="G69">
            <v>0</v>
          </cell>
          <cell r="H69">
            <v>0</v>
          </cell>
          <cell r="I69">
            <v>0</v>
          </cell>
          <cell r="J69">
            <v>0</v>
          </cell>
          <cell r="K69">
            <v>0</v>
          </cell>
          <cell r="L69">
            <v>0</v>
          </cell>
          <cell r="M69">
            <v>0</v>
          </cell>
          <cell r="N69">
            <v>0</v>
          </cell>
          <cell r="P69">
            <v>0</v>
          </cell>
          <cell r="Q69">
            <v>0</v>
          </cell>
          <cell r="R69">
            <v>0</v>
          </cell>
          <cell r="S69">
            <v>0</v>
          </cell>
          <cell r="T69">
            <v>0</v>
          </cell>
          <cell r="U69">
            <v>0</v>
          </cell>
          <cell r="V69">
            <v>0</v>
          </cell>
        </row>
        <row r="70">
          <cell r="A70" t="str">
            <v xml:space="preserve">  Net Income</v>
          </cell>
          <cell r="C70">
            <v>543</v>
          </cell>
          <cell r="D70">
            <v>95</v>
          </cell>
          <cell r="E70">
            <v>-180</v>
          </cell>
          <cell r="F70">
            <v>-1432</v>
          </cell>
          <cell r="G70">
            <v>-974</v>
          </cell>
          <cell r="H70">
            <v>-216</v>
          </cell>
          <cell r="I70">
            <v>-37</v>
          </cell>
          <cell r="J70">
            <v>-79</v>
          </cell>
          <cell r="K70">
            <v>-2561</v>
          </cell>
          <cell r="L70">
            <v>-2893</v>
          </cell>
          <cell r="M70">
            <v>6076</v>
          </cell>
          <cell r="N70">
            <v>210</v>
          </cell>
          <cell r="P70">
            <v>6724</v>
          </cell>
          <cell r="Q70">
            <v>12907</v>
          </cell>
          <cell r="R70">
            <v>6403</v>
          </cell>
          <cell r="S70">
            <v>268</v>
          </cell>
          <cell r="T70">
            <v>-362</v>
          </cell>
          <cell r="U70">
            <v>2731</v>
          </cell>
          <cell r="V70">
            <v>9040</v>
          </cell>
        </row>
        <row r="73">
          <cell r="C73" t="str">
            <v>Oct</v>
          </cell>
          <cell r="H73" t="str">
            <v>Nov</v>
          </cell>
          <cell r="M73" t="str">
            <v>Dec</v>
          </cell>
          <cell r="R73" t="str">
            <v>4th Quarter</v>
          </cell>
          <cell r="W73" t="str">
            <v>FULL YEAR</v>
          </cell>
        </row>
        <row r="74">
          <cell r="C74" t="str">
            <v>Rup</v>
          </cell>
          <cell r="D74" t="str">
            <v>Sel Chem</v>
          </cell>
          <cell r="E74" t="str">
            <v>Traits</v>
          </cell>
          <cell r="F74" t="str">
            <v>Seed</v>
          </cell>
          <cell r="G74" t="str">
            <v>Total</v>
          </cell>
          <cell r="H74" t="str">
            <v>Rup</v>
          </cell>
          <cell r="I74" t="str">
            <v>Sel Chem</v>
          </cell>
          <cell r="J74" t="str">
            <v>Traits</v>
          </cell>
          <cell r="K74" t="str">
            <v>Seed</v>
          </cell>
          <cell r="L74" t="str">
            <v>Total</v>
          </cell>
          <cell r="M74" t="str">
            <v>Rup</v>
          </cell>
          <cell r="N74" t="str">
            <v>Sel Chem</v>
          </cell>
          <cell r="P74" t="str">
            <v>Seed</v>
          </cell>
          <cell r="Q74" t="str">
            <v>Total</v>
          </cell>
          <cell r="R74" t="str">
            <v>Rup</v>
          </cell>
          <cell r="S74" t="str">
            <v>Sel Chem</v>
          </cell>
          <cell r="T74" t="str">
            <v>Traits</v>
          </cell>
          <cell r="U74" t="str">
            <v>Seed</v>
          </cell>
          <cell r="V74" t="str">
            <v>Total</v>
          </cell>
          <cell r="W74" t="str">
            <v>Rup</v>
          </cell>
          <cell r="X74" t="str">
            <v>Sel Chem</v>
          </cell>
          <cell r="Y74" t="str">
            <v>Traits</v>
          </cell>
          <cell r="Z74" t="str">
            <v>Seed</v>
          </cell>
          <cell r="AA74" t="str">
            <v>Total</v>
          </cell>
        </row>
        <row r="75">
          <cell r="A75" t="str">
            <v>Sales</v>
          </cell>
          <cell r="C75">
            <v>648</v>
          </cell>
          <cell r="D75">
            <v>721</v>
          </cell>
          <cell r="E75">
            <v>-5</v>
          </cell>
          <cell r="F75">
            <v>1537</v>
          </cell>
          <cell r="G75">
            <v>2901</v>
          </cell>
          <cell r="H75">
            <v>11115.315774389797</v>
          </cell>
          <cell r="I75">
            <v>381.55309999999997</v>
          </cell>
          <cell r="J75">
            <v>0</v>
          </cell>
          <cell r="K75">
            <v>9187.3190601297065</v>
          </cell>
          <cell r="L75">
            <v>20684.187934519505</v>
          </cell>
          <cell r="M75">
            <v>9149.4697405760307</v>
          </cell>
          <cell r="N75">
            <v>-803.5550595627526</v>
          </cell>
          <cell r="P75">
            <v>12085.939058193999</v>
          </cell>
          <cell r="Q75">
            <v>22438.859049560953</v>
          </cell>
          <cell r="R75">
            <v>20912.785514965828</v>
          </cell>
          <cell r="S75">
            <v>298.99804043724748</v>
          </cell>
          <cell r="T75">
            <v>2002.0053103536736</v>
          </cell>
          <cell r="U75">
            <v>22810.258118323705</v>
          </cell>
          <cell r="V75">
            <v>46024.046984080458</v>
          </cell>
          <cell r="W75">
            <v>91192.785514965828</v>
          </cell>
          <cell r="X75">
            <v>7139.9980404372473</v>
          </cell>
          <cell r="Y75">
            <v>3338.0053103536738</v>
          </cell>
          <cell r="Z75">
            <v>93857.258118323705</v>
          </cell>
          <cell r="AA75">
            <v>195528.04698408046</v>
          </cell>
        </row>
        <row r="76">
          <cell r="A76" t="str">
            <v>Inventory Cost</v>
          </cell>
          <cell r="C76">
            <v>1924</v>
          </cell>
          <cell r="D76">
            <v>494</v>
          </cell>
          <cell r="E76">
            <v>-3</v>
          </cell>
          <cell r="F76">
            <v>331</v>
          </cell>
          <cell r="G76">
            <v>2746</v>
          </cell>
          <cell r="H76">
            <v>5454.7423494289042</v>
          </cell>
          <cell r="I76">
            <v>192.93754287513514</v>
          </cell>
          <cell r="J76">
            <v>0</v>
          </cell>
          <cell r="K76">
            <v>5097.4898456417641</v>
          </cell>
          <cell r="L76">
            <v>10745.169737945804</v>
          </cell>
          <cell r="M76">
            <v>3351.9551086175416</v>
          </cell>
          <cell r="N76">
            <v>-548.85933205823676</v>
          </cell>
          <cell r="P76">
            <v>5602.1134074899483</v>
          </cell>
          <cell r="Q76">
            <v>8455.4328384105156</v>
          </cell>
          <cell r="R76">
            <v>10730.697458046445</v>
          </cell>
          <cell r="S76">
            <v>138.07821081689838</v>
          </cell>
          <cell r="T76">
            <v>47.223654361262867</v>
          </cell>
          <cell r="U76">
            <v>11030.603253131712</v>
          </cell>
          <cell r="V76">
            <v>21946.602576356319</v>
          </cell>
          <cell r="W76">
            <v>42430.697458046445</v>
          </cell>
          <cell r="X76">
            <v>3214.0782108168983</v>
          </cell>
          <cell r="Y76">
            <v>1467.2236543612628</v>
          </cell>
          <cell r="Z76">
            <v>36947.603253131711</v>
          </cell>
          <cell r="AA76">
            <v>84059.602576356323</v>
          </cell>
        </row>
        <row r="77">
          <cell r="A77" t="str">
            <v xml:space="preserve">  Gross Margin</v>
          </cell>
          <cell r="C77">
            <v>-1276</v>
          </cell>
          <cell r="D77">
            <v>227</v>
          </cell>
          <cell r="E77">
            <v>-2</v>
          </cell>
          <cell r="F77">
            <v>1206</v>
          </cell>
          <cell r="G77">
            <v>155</v>
          </cell>
          <cell r="H77">
            <v>5660.5734249608931</v>
          </cell>
          <cell r="I77">
            <v>188.61555712486484</v>
          </cell>
          <cell r="J77">
            <v>0</v>
          </cell>
          <cell r="K77">
            <v>4089.8292144879424</v>
          </cell>
          <cell r="L77">
            <v>9939.0181965737011</v>
          </cell>
          <cell r="M77">
            <v>5797.5146319584892</v>
          </cell>
          <cell r="N77">
            <v>-254.69572750451584</v>
          </cell>
          <cell r="P77">
            <v>6483.8256507040505</v>
          </cell>
          <cell r="Q77">
            <v>13983.426211150438</v>
          </cell>
          <cell r="R77">
            <v>10182.088056919383</v>
          </cell>
          <cell r="S77">
            <v>160.91982962034911</v>
          </cell>
          <cell r="T77">
            <v>1954.7816559924108</v>
          </cell>
          <cell r="U77">
            <v>11779.654865191993</v>
          </cell>
          <cell r="V77">
            <v>24077.444407724139</v>
          </cell>
          <cell r="W77">
            <v>48762.088056919383</v>
          </cell>
          <cell r="X77">
            <v>3925.919829620349</v>
          </cell>
          <cell r="Y77">
            <v>1870.7816559924111</v>
          </cell>
          <cell r="Z77">
            <v>56909.654865191995</v>
          </cell>
          <cell r="AA77">
            <v>111468.44440772414</v>
          </cell>
        </row>
        <row r="78">
          <cell r="A78" t="str">
            <v>Local NSC</v>
          </cell>
          <cell r="C78">
            <v>747</v>
          </cell>
          <cell r="D78">
            <v>32</v>
          </cell>
          <cell r="E78">
            <v>0</v>
          </cell>
          <cell r="F78">
            <v>501</v>
          </cell>
          <cell r="G78">
            <v>1280</v>
          </cell>
          <cell r="H78">
            <v>239.70288481293113</v>
          </cell>
          <cell r="I78">
            <v>0</v>
          </cell>
          <cell r="J78">
            <v>0</v>
          </cell>
          <cell r="K78">
            <v>0</v>
          </cell>
          <cell r="L78">
            <v>239.70288481293113</v>
          </cell>
          <cell r="M78">
            <v>-107.27555232613005</v>
          </cell>
          <cell r="N78">
            <v>-32</v>
          </cell>
          <cell r="P78">
            <v>-501</v>
          </cell>
          <cell r="Q78">
            <v>-640.27555232613008</v>
          </cell>
          <cell r="R78">
            <v>879.42733248680111</v>
          </cell>
          <cell r="S78">
            <v>0</v>
          </cell>
          <cell r="T78">
            <v>0</v>
          </cell>
          <cell r="U78">
            <v>0</v>
          </cell>
          <cell r="V78">
            <v>879.42733248680111</v>
          </cell>
          <cell r="W78">
            <v>3101.4273324868009</v>
          </cell>
          <cell r="X78">
            <v>66</v>
          </cell>
          <cell r="Y78">
            <v>0</v>
          </cell>
          <cell r="Z78">
            <v>4840</v>
          </cell>
          <cell r="AA78">
            <v>8007.4273324868009</v>
          </cell>
        </row>
        <row r="79">
          <cell r="A79" t="str">
            <v>Allocated NSC</v>
          </cell>
          <cell r="C79">
            <v>371</v>
          </cell>
          <cell r="D79">
            <v>106</v>
          </cell>
          <cell r="E79">
            <v>0</v>
          </cell>
          <cell r="F79">
            <v>0</v>
          </cell>
          <cell r="G79">
            <v>477</v>
          </cell>
          <cell r="H79">
            <v>361.58514978666665</v>
          </cell>
          <cell r="I79">
            <v>0</v>
          </cell>
          <cell r="J79">
            <v>0</v>
          </cell>
          <cell r="K79">
            <v>0</v>
          </cell>
          <cell r="L79">
            <v>361.58514978666665</v>
          </cell>
          <cell r="M79">
            <v>260.14118621333319</v>
          </cell>
          <cell r="N79">
            <v>-106</v>
          </cell>
          <cell r="P79">
            <v>0</v>
          </cell>
          <cell r="Q79">
            <v>154.14118621333319</v>
          </cell>
          <cell r="R79">
            <v>992.72633599999983</v>
          </cell>
          <cell r="S79">
            <v>0</v>
          </cell>
          <cell r="T79">
            <v>0</v>
          </cell>
          <cell r="U79">
            <v>0</v>
          </cell>
          <cell r="V79">
            <v>992.72633599999983</v>
          </cell>
          <cell r="W79">
            <v>2599.7263359999997</v>
          </cell>
          <cell r="X79">
            <v>353</v>
          </cell>
          <cell r="Y79">
            <v>0</v>
          </cell>
          <cell r="Z79">
            <v>0</v>
          </cell>
          <cell r="AA79">
            <v>2952.7263359999997</v>
          </cell>
        </row>
        <row r="80">
          <cell r="A80" t="str">
            <v>Total NSC</v>
          </cell>
          <cell r="C80">
            <v>1118</v>
          </cell>
          <cell r="D80">
            <v>138</v>
          </cell>
          <cell r="E80">
            <v>0</v>
          </cell>
          <cell r="F80">
            <v>501</v>
          </cell>
          <cell r="G80">
            <v>1757</v>
          </cell>
          <cell r="H80">
            <v>601.28803459959772</v>
          </cell>
          <cell r="I80">
            <v>0</v>
          </cell>
          <cell r="J80">
            <v>0</v>
          </cell>
          <cell r="K80">
            <v>0</v>
          </cell>
          <cell r="L80">
            <v>601.28803459959772</v>
          </cell>
          <cell r="M80">
            <v>152.86563388720313</v>
          </cell>
          <cell r="N80">
            <v>-138</v>
          </cell>
          <cell r="P80">
            <v>-501</v>
          </cell>
          <cell r="Q80">
            <v>-486.1343661127969</v>
          </cell>
          <cell r="R80">
            <v>1872.1536684868011</v>
          </cell>
          <cell r="S80">
            <v>0</v>
          </cell>
          <cell r="T80">
            <v>0</v>
          </cell>
          <cell r="U80">
            <v>0</v>
          </cell>
          <cell r="V80">
            <v>1872.1536684868011</v>
          </cell>
          <cell r="W80">
            <v>5701.1536684868006</v>
          </cell>
          <cell r="X80">
            <v>419</v>
          </cell>
          <cell r="Y80">
            <v>0</v>
          </cell>
          <cell r="Z80">
            <v>4840</v>
          </cell>
          <cell r="AA80">
            <v>10960.153668486801</v>
          </cell>
        </row>
        <row r="81">
          <cell r="A81" t="str">
            <v xml:space="preserve">  Gross Profit</v>
          </cell>
          <cell r="C81">
            <v>-2394</v>
          </cell>
          <cell r="D81">
            <v>89</v>
          </cell>
          <cell r="E81">
            <v>-2</v>
          </cell>
          <cell r="F81">
            <v>705</v>
          </cell>
          <cell r="G81">
            <v>-1602</v>
          </cell>
          <cell r="H81">
            <v>5059.2853903612959</v>
          </cell>
          <cell r="I81">
            <v>188.61555712486484</v>
          </cell>
          <cell r="J81">
            <v>0</v>
          </cell>
          <cell r="K81">
            <v>4089.8292144879424</v>
          </cell>
          <cell r="L81">
            <v>9337.7301619741029</v>
          </cell>
          <cell r="M81">
            <v>5644.6489980712859</v>
          </cell>
          <cell r="N81">
            <v>-116.69572750451584</v>
          </cell>
          <cell r="P81">
            <v>6984.8256507040505</v>
          </cell>
          <cell r="Q81">
            <v>14469.560577263235</v>
          </cell>
          <cell r="R81">
            <v>8309.9343884325826</v>
          </cell>
          <cell r="S81">
            <v>160.91982962034911</v>
          </cell>
          <cell r="T81">
            <v>1954.7816559924108</v>
          </cell>
          <cell r="U81">
            <v>11779.654865191993</v>
          </cell>
          <cell r="V81">
            <v>22205.290739237338</v>
          </cell>
          <cell r="W81">
            <v>43060.934388432579</v>
          </cell>
          <cell r="X81">
            <v>3506.919829620349</v>
          </cell>
          <cell r="Y81">
            <v>1870.7816559924111</v>
          </cell>
          <cell r="Z81">
            <v>52069.654865191995</v>
          </cell>
          <cell r="AA81">
            <v>100508.29073923733</v>
          </cell>
        </row>
        <row r="82">
          <cell r="A82" t="str">
            <v>R&amp;D</v>
          </cell>
          <cell r="C82">
            <v>21</v>
          </cell>
          <cell r="D82">
            <v>0</v>
          </cell>
          <cell r="E82">
            <v>0</v>
          </cell>
          <cell r="F82">
            <v>22</v>
          </cell>
          <cell r="G82">
            <v>43</v>
          </cell>
          <cell r="H82">
            <v>0</v>
          </cell>
          <cell r="I82">
            <v>0</v>
          </cell>
          <cell r="J82">
            <v>0</v>
          </cell>
          <cell r="K82">
            <v>-297.59754726054484</v>
          </cell>
          <cell r="L82">
            <v>-297.59754726054484</v>
          </cell>
          <cell r="M82">
            <v>-21</v>
          </cell>
          <cell r="N82">
            <v>0</v>
          </cell>
          <cell r="P82">
            <v>-115.02007137536543</v>
          </cell>
          <cell r="Q82">
            <v>-136.02007137536543</v>
          </cell>
          <cell r="R82">
            <v>0</v>
          </cell>
          <cell r="S82">
            <v>0</v>
          </cell>
          <cell r="T82">
            <v>0</v>
          </cell>
          <cell r="U82">
            <v>-390.61761863591028</v>
          </cell>
          <cell r="V82">
            <v>-390.61761863591028</v>
          </cell>
          <cell r="W82">
            <v>345</v>
          </cell>
          <cell r="X82">
            <v>0</v>
          </cell>
          <cell r="Y82">
            <v>0</v>
          </cell>
          <cell r="Z82">
            <v>-86.617618635910276</v>
          </cell>
          <cell r="AA82">
            <v>258.38238136408972</v>
          </cell>
        </row>
        <row r="83">
          <cell r="A83" t="str">
            <v>SG&amp;A</v>
          </cell>
          <cell r="C83">
            <v>687</v>
          </cell>
          <cell r="D83">
            <v>47</v>
          </cell>
          <cell r="E83">
            <v>92</v>
          </cell>
          <cell r="F83">
            <v>1006</v>
          </cell>
          <cell r="G83">
            <v>1832</v>
          </cell>
          <cell r="H83">
            <v>844.2567260391354</v>
          </cell>
          <cell r="I83">
            <v>25.991324460653082</v>
          </cell>
          <cell r="J83">
            <v>20.999999999999996</v>
          </cell>
          <cell r="K83">
            <v>1211.2751901247248</v>
          </cell>
          <cell r="L83">
            <v>2102.5232406245132</v>
          </cell>
          <cell r="M83">
            <v>619.29214061592643</v>
          </cell>
          <cell r="N83">
            <v>-174.37729371586127</v>
          </cell>
          <cell r="P83">
            <v>661.46484831715225</v>
          </cell>
          <cell r="Q83">
            <v>1427.9179151971273</v>
          </cell>
          <cell r="R83">
            <v>2150.5488666550618</v>
          </cell>
          <cell r="S83">
            <v>-101.38596925520818</v>
          </cell>
          <cell r="T83">
            <v>434.53821997990985</v>
          </cell>
          <cell r="U83">
            <v>2878.740038441877</v>
          </cell>
          <cell r="V83">
            <v>5362.4411558216407</v>
          </cell>
          <cell r="W83">
            <v>12005.548866655063</v>
          </cell>
          <cell r="X83">
            <v>322.61403074479182</v>
          </cell>
          <cell r="Y83">
            <v>1175.5382199799099</v>
          </cell>
          <cell r="Z83">
            <v>11607.740038441876</v>
          </cell>
          <cell r="AA83">
            <v>25111.441155821638</v>
          </cell>
        </row>
        <row r="84">
          <cell r="A84" t="str">
            <v>Total R&amp;D/SG&amp;A</v>
          </cell>
          <cell r="C84">
            <v>708</v>
          </cell>
          <cell r="D84">
            <v>47</v>
          </cell>
          <cell r="E84">
            <v>92</v>
          </cell>
          <cell r="F84">
            <v>1028</v>
          </cell>
          <cell r="G84">
            <v>1875</v>
          </cell>
          <cell r="H84">
            <v>844.2567260391354</v>
          </cell>
          <cell r="I84">
            <v>25.991324460653082</v>
          </cell>
          <cell r="J84">
            <v>20.999999999999996</v>
          </cell>
          <cell r="K84">
            <v>913.67764286417992</v>
          </cell>
          <cell r="L84">
            <v>1804.9256933639683</v>
          </cell>
          <cell r="M84">
            <v>598.29214061592643</v>
          </cell>
          <cell r="N84">
            <v>-174.37729371586127</v>
          </cell>
          <cell r="P84">
            <v>546.44477694178681</v>
          </cell>
          <cell r="Q84">
            <v>1291.8978438217619</v>
          </cell>
          <cell r="R84">
            <v>2150.5488666550618</v>
          </cell>
          <cell r="S84">
            <v>-101.38596925520818</v>
          </cell>
          <cell r="T84">
            <v>434.53821997990985</v>
          </cell>
          <cell r="U84">
            <v>2488.1224198059667</v>
          </cell>
          <cell r="V84">
            <v>4971.8235371857299</v>
          </cell>
          <cell r="W84">
            <v>12350.548866655063</v>
          </cell>
          <cell r="X84">
            <v>322.61403074479182</v>
          </cell>
          <cell r="Y84">
            <v>1175.5382199799099</v>
          </cell>
          <cell r="Z84">
            <v>11521.122419805966</v>
          </cell>
          <cell r="AA84">
            <v>25369.82353718573</v>
          </cell>
        </row>
        <row r="85">
          <cell r="A85" t="str">
            <v>Amortization</v>
          </cell>
          <cell r="C85">
            <v>0</v>
          </cell>
          <cell r="D85">
            <v>0</v>
          </cell>
          <cell r="E85">
            <v>0</v>
          </cell>
          <cell r="F85">
            <v>1</v>
          </cell>
          <cell r="G85">
            <v>1</v>
          </cell>
          <cell r="H85">
            <v>0</v>
          </cell>
          <cell r="I85">
            <v>0</v>
          </cell>
          <cell r="J85">
            <v>0</v>
          </cell>
          <cell r="K85">
            <v>0</v>
          </cell>
          <cell r="L85">
            <v>0</v>
          </cell>
          <cell r="M85">
            <v>0</v>
          </cell>
          <cell r="N85">
            <v>0</v>
          </cell>
          <cell r="P85">
            <v>0</v>
          </cell>
          <cell r="Q85">
            <v>0</v>
          </cell>
          <cell r="R85">
            <v>0</v>
          </cell>
          <cell r="S85">
            <v>0</v>
          </cell>
          <cell r="T85">
            <v>0</v>
          </cell>
          <cell r="U85">
            <v>1</v>
          </cell>
          <cell r="V85">
            <v>1</v>
          </cell>
          <cell r="W85">
            <v>0</v>
          </cell>
          <cell r="X85">
            <v>0</v>
          </cell>
          <cell r="Y85">
            <v>0</v>
          </cell>
          <cell r="Z85">
            <v>3</v>
          </cell>
          <cell r="AA85">
            <v>3</v>
          </cell>
        </row>
        <row r="86">
          <cell r="A86" t="str">
            <v>Restruct/Merg</v>
          </cell>
          <cell r="C86">
            <v>0</v>
          </cell>
          <cell r="D86">
            <v>0</v>
          </cell>
          <cell r="E86">
            <v>0</v>
          </cell>
          <cell r="F86">
            <v>0</v>
          </cell>
          <cell r="G86">
            <v>0</v>
          </cell>
          <cell r="H86">
            <v>0</v>
          </cell>
          <cell r="I86">
            <v>0</v>
          </cell>
          <cell r="J86">
            <v>0</v>
          </cell>
          <cell r="K86">
            <v>0</v>
          </cell>
          <cell r="L86">
            <v>0</v>
          </cell>
          <cell r="M86">
            <v>0</v>
          </cell>
          <cell r="N86">
            <v>0</v>
          </cell>
          <cell r="P86">
            <v>0</v>
          </cell>
          <cell r="Q86">
            <v>0</v>
          </cell>
          <cell r="R86">
            <v>0</v>
          </cell>
          <cell r="S86">
            <v>0</v>
          </cell>
          <cell r="T86">
            <v>0</v>
          </cell>
          <cell r="U86">
            <v>0</v>
          </cell>
          <cell r="V86">
            <v>0</v>
          </cell>
          <cell r="W86">
            <v>5</v>
          </cell>
          <cell r="X86">
            <v>0</v>
          </cell>
          <cell r="Y86">
            <v>0</v>
          </cell>
          <cell r="Z86">
            <v>-11</v>
          </cell>
          <cell r="AA86">
            <v>-6</v>
          </cell>
        </row>
        <row r="87">
          <cell r="A87" t="str">
            <v>Other Income</v>
          </cell>
          <cell r="C87">
            <v>-49</v>
          </cell>
          <cell r="D87">
            <v>6</v>
          </cell>
          <cell r="E87">
            <v>0</v>
          </cell>
          <cell r="F87">
            <v>-998</v>
          </cell>
          <cell r="G87">
            <v>-1041</v>
          </cell>
          <cell r="H87">
            <v>0</v>
          </cell>
          <cell r="I87">
            <v>0</v>
          </cell>
          <cell r="J87">
            <v>0</v>
          </cell>
          <cell r="K87">
            <v>-294.55411051861034</v>
          </cell>
          <cell r="L87">
            <v>-294.55411051861034</v>
          </cell>
          <cell r="M87">
            <v>727.85983098579266</v>
          </cell>
          <cell r="N87">
            <v>-6</v>
          </cell>
          <cell r="P87">
            <v>1192.4659882602666</v>
          </cell>
          <cell r="Q87">
            <v>1914.3258192460594</v>
          </cell>
          <cell r="R87">
            <v>678.85983098579266</v>
          </cell>
          <cell r="S87">
            <v>0</v>
          </cell>
          <cell r="T87">
            <v>0</v>
          </cell>
          <cell r="U87">
            <v>-100.08812225834367</v>
          </cell>
          <cell r="V87">
            <v>578.77170872744898</v>
          </cell>
          <cell r="W87">
            <v>1246.8598309857925</v>
          </cell>
          <cell r="X87">
            <v>29</v>
          </cell>
          <cell r="Y87">
            <v>0</v>
          </cell>
          <cell r="Z87">
            <v>255.91187774165633</v>
          </cell>
          <cell r="AA87">
            <v>1531.7717087274489</v>
          </cell>
        </row>
        <row r="88">
          <cell r="A88" t="str">
            <v>EBIT</v>
          </cell>
          <cell r="C88">
            <v>-3151</v>
          </cell>
          <cell r="D88">
            <v>48</v>
          </cell>
          <cell r="E88">
            <v>-94</v>
          </cell>
          <cell r="F88">
            <v>-1322</v>
          </cell>
          <cell r="G88">
            <v>-4519</v>
          </cell>
          <cell r="H88">
            <v>4215.0286643221607</v>
          </cell>
          <cell r="I88">
            <v>162.62423266421175</v>
          </cell>
          <cell r="J88">
            <v>-20.999999999999996</v>
          </cell>
          <cell r="K88">
            <v>2881.5974611051524</v>
          </cell>
          <cell r="L88">
            <v>7238.2503580915245</v>
          </cell>
          <cell r="M88">
            <v>5774.2166884411517</v>
          </cell>
          <cell r="N88">
            <v>51.681566211345427</v>
          </cell>
          <cell r="P88">
            <v>7630.8468620225303</v>
          </cell>
          <cell r="Q88">
            <v>15091.988552687533</v>
          </cell>
          <cell r="R88">
            <v>6838.2453527633133</v>
          </cell>
          <cell r="S88">
            <v>262.30579887555729</v>
          </cell>
          <cell r="T88">
            <v>1520.243436012501</v>
          </cell>
          <cell r="U88">
            <v>9190.4443231276837</v>
          </cell>
          <cell r="V88">
            <v>17811.238910779059</v>
          </cell>
          <cell r="W88">
            <v>31952.245352763308</v>
          </cell>
          <cell r="X88">
            <v>3213.3057988755572</v>
          </cell>
          <cell r="Y88">
            <v>695.24343601250121</v>
          </cell>
          <cell r="Z88">
            <v>40812.444323127689</v>
          </cell>
          <cell r="AA88">
            <v>76673.238910779051</v>
          </cell>
        </row>
        <row r="89">
          <cell r="A89" t="str">
            <v>Interest Income</v>
          </cell>
          <cell r="C89">
            <v>0</v>
          </cell>
          <cell r="D89">
            <v>0</v>
          </cell>
          <cell r="E89">
            <v>0</v>
          </cell>
          <cell r="F89">
            <v>0</v>
          </cell>
          <cell r="G89">
            <v>0</v>
          </cell>
          <cell r="H89">
            <v>0</v>
          </cell>
          <cell r="I89">
            <v>0</v>
          </cell>
          <cell r="J89">
            <v>0</v>
          </cell>
          <cell r="K89">
            <v>0</v>
          </cell>
          <cell r="L89">
            <v>0</v>
          </cell>
          <cell r="M89">
            <v>0</v>
          </cell>
          <cell r="N89">
            <v>0</v>
          </cell>
          <cell r="P89">
            <v>0</v>
          </cell>
          <cell r="Q89">
            <v>0</v>
          </cell>
          <cell r="R89">
            <v>0</v>
          </cell>
          <cell r="S89">
            <v>0</v>
          </cell>
          <cell r="T89">
            <v>0</v>
          </cell>
          <cell r="U89">
            <v>0</v>
          </cell>
          <cell r="V89">
            <v>0</v>
          </cell>
          <cell r="W89">
            <v>0</v>
          </cell>
          <cell r="X89">
            <v>0</v>
          </cell>
          <cell r="Y89">
            <v>0</v>
          </cell>
          <cell r="Z89">
            <v>0</v>
          </cell>
          <cell r="AA89">
            <v>0</v>
          </cell>
        </row>
        <row r="90">
          <cell r="A90" t="str">
            <v>Interest Expense</v>
          </cell>
          <cell r="C90">
            <v>0</v>
          </cell>
          <cell r="D90">
            <v>0</v>
          </cell>
          <cell r="E90">
            <v>0</v>
          </cell>
          <cell r="F90">
            <v>0</v>
          </cell>
          <cell r="G90">
            <v>0</v>
          </cell>
          <cell r="H90">
            <v>0</v>
          </cell>
          <cell r="I90">
            <v>0</v>
          </cell>
          <cell r="J90">
            <v>0</v>
          </cell>
          <cell r="K90">
            <v>0</v>
          </cell>
          <cell r="L90">
            <v>0</v>
          </cell>
          <cell r="M90">
            <v>0</v>
          </cell>
          <cell r="N90">
            <v>0</v>
          </cell>
          <cell r="P90">
            <v>0</v>
          </cell>
          <cell r="Q90">
            <v>0</v>
          </cell>
          <cell r="R90">
            <v>0</v>
          </cell>
          <cell r="S90">
            <v>0</v>
          </cell>
          <cell r="T90">
            <v>0</v>
          </cell>
          <cell r="U90">
            <v>0</v>
          </cell>
          <cell r="V90">
            <v>0</v>
          </cell>
          <cell r="W90">
            <v>-1</v>
          </cell>
          <cell r="X90">
            <v>0</v>
          </cell>
          <cell r="Y90">
            <v>0</v>
          </cell>
          <cell r="Z90">
            <v>0</v>
          </cell>
          <cell r="AA90">
            <v>-1</v>
          </cell>
        </row>
        <row r="91">
          <cell r="A91" t="str">
            <v xml:space="preserve">  EBT</v>
          </cell>
          <cell r="C91">
            <v>-3151</v>
          </cell>
          <cell r="D91">
            <v>48</v>
          </cell>
          <cell r="E91">
            <v>-94</v>
          </cell>
          <cell r="F91">
            <v>-1322</v>
          </cell>
          <cell r="G91">
            <v>-4519</v>
          </cell>
          <cell r="H91">
            <v>4215.0286643221607</v>
          </cell>
          <cell r="I91">
            <v>162.62423266421175</v>
          </cell>
          <cell r="J91">
            <v>-20.999999999999996</v>
          </cell>
          <cell r="K91">
            <v>2881.5974611051524</v>
          </cell>
          <cell r="L91">
            <v>7238.2503580915245</v>
          </cell>
          <cell r="M91">
            <v>5774.2166884411517</v>
          </cell>
          <cell r="N91">
            <v>51.681566211345427</v>
          </cell>
          <cell r="P91">
            <v>7630.8468620225303</v>
          </cell>
          <cell r="Q91">
            <v>15091.988552687533</v>
          </cell>
          <cell r="R91">
            <v>6838.2453527633133</v>
          </cell>
          <cell r="S91">
            <v>262.30579887555729</v>
          </cell>
          <cell r="T91">
            <v>1520.243436012501</v>
          </cell>
          <cell r="U91">
            <v>9190.4443231276837</v>
          </cell>
          <cell r="V91">
            <v>17811.238910779059</v>
          </cell>
          <cell r="W91">
            <v>31953.245352763308</v>
          </cell>
          <cell r="X91">
            <v>3213.3057988755572</v>
          </cell>
          <cell r="Y91">
            <v>695.24343601250121</v>
          </cell>
          <cell r="Z91">
            <v>40812.444323127689</v>
          </cell>
          <cell r="AA91">
            <v>76674.238910779051</v>
          </cell>
        </row>
        <row r="92">
          <cell r="A92" t="str">
            <v>Taxes</v>
          </cell>
          <cell r="C92">
            <v>0</v>
          </cell>
          <cell r="D92">
            <v>0</v>
          </cell>
          <cell r="E92">
            <v>0</v>
          </cell>
          <cell r="F92">
            <v>0</v>
          </cell>
          <cell r="G92">
            <v>0</v>
          </cell>
          <cell r="H92">
            <v>0</v>
          </cell>
          <cell r="I92">
            <v>0</v>
          </cell>
          <cell r="J92">
            <v>0</v>
          </cell>
          <cell r="K92">
            <v>0</v>
          </cell>
          <cell r="L92">
            <v>0</v>
          </cell>
          <cell r="M92">
            <v>0</v>
          </cell>
          <cell r="N92">
            <v>0</v>
          </cell>
          <cell r="P92">
            <v>0</v>
          </cell>
          <cell r="Q92">
            <v>0</v>
          </cell>
          <cell r="R92">
            <v>0</v>
          </cell>
          <cell r="S92">
            <v>0</v>
          </cell>
          <cell r="T92">
            <v>0</v>
          </cell>
          <cell r="U92">
            <v>0</v>
          </cell>
          <cell r="V92">
            <v>0</v>
          </cell>
          <cell r="W92">
            <v>0</v>
          </cell>
          <cell r="X92">
            <v>0</v>
          </cell>
          <cell r="Y92">
            <v>0</v>
          </cell>
          <cell r="Z92">
            <v>0</v>
          </cell>
          <cell r="AA92">
            <v>0</v>
          </cell>
        </row>
        <row r="93">
          <cell r="A93" t="str">
            <v xml:space="preserve">  Net Income</v>
          </cell>
          <cell r="C93">
            <v>-3151</v>
          </cell>
          <cell r="D93">
            <v>48</v>
          </cell>
          <cell r="E93">
            <v>-94</v>
          </cell>
          <cell r="F93">
            <v>-1322</v>
          </cell>
          <cell r="G93">
            <v>-4519</v>
          </cell>
          <cell r="H93">
            <v>4215.0286643221607</v>
          </cell>
          <cell r="I93">
            <v>162.62423266421175</v>
          </cell>
          <cell r="J93">
            <v>-20.999999999999996</v>
          </cell>
          <cell r="K93">
            <v>2881.5974611051524</v>
          </cell>
          <cell r="L93">
            <v>7238.2503580915245</v>
          </cell>
          <cell r="M93">
            <v>5774.2166884411517</v>
          </cell>
          <cell r="N93">
            <v>51.681566211345427</v>
          </cell>
          <cell r="P93">
            <v>7630.8468620225303</v>
          </cell>
          <cell r="Q93">
            <v>15091.988552687533</v>
          </cell>
          <cell r="R93">
            <v>6838.2453527633133</v>
          </cell>
          <cell r="S93">
            <v>262.30579887555729</v>
          </cell>
          <cell r="T93">
            <v>1520.243436012501</v>
          </cell>
          <cell r="U93">
            <v>9190.4443231276837</v>
          </cell>
          <cell r="V93">
            <v>17811.238910779059</v>
          </cell>
          <cell r="W93">
            <v>31953.245352763308</v>
          </cell>
          <cell r="X93">
            <v>3213.3057988755572</v>
          </cell>
          <cell r="Y93">
            <v>695.24343601250121</v>
          </cell>
          <cell r="Z93">
            <v>40812.444323127689</v>
          </cell>
          <cell r="AA93">
            <v>76674.238910779051</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E SET"/>
      <sheetName val="REGIONAV"/>
      <sheetName val="REGRANGE"/>
      <sheetName val="Chart1"/>
      <sheetName val="OLEFIN UNITS"/>
      <sheetName val="OLEFIN UNITS1990"/>
      <sheetName val="FACTORS"/>
      <sheetName val="WORLD"/>
      <sheetName val="WORLD1990"/>
      <sheetName val="WORLD1990(lbs)"/>
      <sheetName val="WORLDCASH"/>
      <sheetName val="WORLDCASH1990"/>
      <sheetName val="WORLDCASHlbs"/>
      <sheetName val="WORLDCASH1990lbs"/>
      <sheetName val="WEUROPE"/>
      <sheetName val="WE DATA"/>
      <sheetName val="NAM GRAPH"/>
      <sheetName val="USA GRAPH"/>
      <sheetName val="Chart2"/>
      <sheetName val="NAM DATA"/>
      <sheetName val="Sheet7"/>
      <sheetName val="Sheet8"/>
      <sheetName val="Sheet9"/>
      <sheetName val="Sheet10"/>
      <sheetName val="Sheet11"/>
      <sheetName val="Sheet12"/>
      <sheetName val="Sheet13"/>
      <sheetName val="Sheet14"/>
      <sheetName val="Sheet15"/>
      <sheetName val="Sheet16"/>
    </sheetNames>
    <sheetDataSet>
      <sheetData sheetId="0" refreshError="1">
        <row r="5">
          <cell r="E5">
            <v>1.94</v>
          </cell>
          <cell r="F5">
            <v>1.99</v>
          </cell>
          <cell r="G5">
            <v>1.3399999999999999</v>
          </cell>
          <cell r="H5">
            <v>1.64</v>
          </cell>
          <cell r="I5">
            <v>1.64</v>
          </cell>
          <cell r="J5">
            <v>2.4249999999999998</v>
          </cell>
          <cell r="K5">
            <v>1.94</v>
          </cell>
          <cell r="L5">
            <v>1.94</v>
          </cell>
          <cell r="M5">
            <v>1.64</v>
          </cell>
          <cell r="N5">
            <v>1.3399999999999999</v>
          </cell>
          <cell r="O5">
            <v>1.3399999999999999</v>
          </cell>
          <cell r="P5">
            <v>1.3399999999999999</v>
          </cell>
          <cell r="Q5">
            <v>2.2309999999999999</v>
          </cell>
          <cell r="R5">
            <v>2.5656499999999998</v>
          </cell>
          <cell r="S5">
            <v>1.54</v>
          </cell>
          <cell r="T5">
            <v>0.77</v>
          </cell>
          <cell r="U5">
            <v>0.5</v>
          </cell>
          <cell r="V5">
            <v>0.75</v>
          </cell>
          <cell r="W5">
            <v>1.54</v>
          </cell>
          <cell r="X5">
            <v>2.5</v>
          </cell>
          <cell r="Y5">
            <v>3</v>
          </cell>
          <cell r="Z5">
            <v>3</v>
          </cell>
          <cell r="AA5">
            <v>3</v>
          </cell>
          <cell r="AB5">
            <v>2.5</v>
          </cell>
          <cell r="AC5">
            <v>2.5</v>
          </cell>
          <cell r="AD5">
            <v>3</v>
          </cell>
          <cell r="AE5">
            <v>1.94</v>
          </cell>
          <cell r="AF5">
            <v>1.2</v>
          </cell>
        </row>
        <row r="6">
          <cell r="E6">
            <v>114.16413468013467</v>
          </cell>
          <cell r="F6">
            <v>117.10650928529277</v>
          </cell>
          <cell r="G6">
            <v>78.855639418237345</v>
          </cell>
          <cell r="H6">
            <v>96.509887049186005</v>
          </cell>
          <cell r="I6">
            <v>96.509887049186005</v>
          </cell>
          <cell r="J6">
            <v>142.70516835016832</v>
          </cell>
          <cell r="K6">
            <v>114.16413468013467</v>
          </cell>
          <cell r="L6">
            <v>114.16413468013467</v>
          </cell>
          <cell r="M6">
            <v>96.509887049186005</v>
          </cell>
          <cell r="N6">
            <v>78.855639418237345</v>
          </cell>
          <cell r="O6">
            <v>78.855639418237345</v>
          </cell>
          <cell r="P6">
            <v>78.855639418237345</v>
          </cell>
          <cell r="Q6">
            <v>131.28875488215485</v>
          </cell>
          <cell r="R6">
            <v>150.98206811447807</v>
          </cell>
          <cell r="S6">
            <v>90.62513783886979</v>
          </cell>
          <cell r="T6">
            <v>45.312568919434895</v>
          </cell>
          <cell r="U6">
            <v>29.423746051581102</v>
          </cell>
          <cell r="V6">
            <v>44.135619077371651</v>
          </cell>
          <cell r="W6">
            <v>90.62513783886979</v>
          </cell>
          <cell r="X6">
            <v>147.1187302579055</v>
          </cell>
          <cell r="Y6">
            <v>176.5424763094866</v>
          </cell>
          <cell r="Z6">
            <v>176.5424763094866</v>
          </cell>
          <cell r="AA6">
            <v>176.5424763094866</v>
          </cell>
          <cell r="AB6">
            <v>147.1187302579055</v>
          </cell>
          <cell r="AC6">
            <v>147.1187302579055</v>
          </cell>
          <cell r="AD6">
            <v>176.5424763094866</v>
          </cell>
          <cell r="AE6">
            <v>114.16413468013467</v>
          </cell>
          <cell r="AF6">
            <v>70.616990523794641</v>
          </cell>
        </row>
        <row r="7">
          <cell r="E7">
            <v>168.42726066350713</v>
          </cell>
          <cell r="F7">
            <v>172.76816944349443</v>
          </cell>
          <cell r="G7">
            <v>132.76816944349443</v>
          </cell>
          <cell r="H7">
            <v>177.76816944349443</v>
          </cell>
          <cell r="I7">
            <v>142.38180798358334</v>
          </cell>
          <cell r="J7">
            <v>183.42726066350713</v>
          </cell>
          <cell r="K7">
            <v>183.42726066350713</v>
          </cell>
          <cell r="L7">
            <v>168.42726066350713</v>
          </cell>
          <cell r="M7">
            <v>85</v>
          </cell>
          <cell r="N7">
            <v>90</v>
          </cell>
          <cell r="O7">
            <v>95</v>
          </cell>
          <cell r="P7">
            <v>105</v>
          </cell>
          <cell r="Q7">
            <v>140</v>
          </cell>
          <cell r="R7">
            <v>155</v>
          </cell>
          <cell r="S7">
            <v>115</v>
          </cell>
          <cell r="T7">
            <v>100</v>
          </cell>
          <cell r="U7">
            <v>98</v>
          </cell>
          <cell r="V7">
            <v>98</v>
          </cell>
          <cell r="W7">
            <v>133.69999042360877</v>
          </cell>
          <cell r="X7">
            <v>140</v>
          </cell>
          <cell r="Y7">
            <v>140</v>
          </cell>
          <cell r="Z7">
            <v>140</v>
          </cell>
          <cell r="AA7">
            <v>140</v>
          </cell>
          <cell r="AB7">
            <v>170</v>
          </cell>
          <cell r="AC7">
            <v>170</v>
          </cell>
          <cell r="AD7">
            <v>170</v>
          </cell>
          <cell r="AE7">
            <v>168.42726066350713</v>
          </cell>
          <cell r="AF7">
            <v>104.18181071969512</v>
          </cell>
        </row>
        <row r="8">
          <cell r="E8">
            <v>167.80336690647482</v>
          </cell>
          <cell r="F8">
            <v>172.12819595045613</v>
          </cell>
          <cell r="G8">
            <v>132.12819595045613</v>
          </cell>
          <cell r="H8">
            <v>177.12819595045613</v>
          </cell>
          <cell r="I8">
            <v>141.85439264258696</v>
          </cell>
          <cell r="J8">
            <v>209.75420863309353</v>
          </cell>
          <cell r="K8">
            <v>167.80336690647482</v>
          </cell>
          <cell r="L8">
            <v>167.80336690647482</v>
          </cell>
          <cell r="M8">
            <v>102</v>
          </cell>
          <cell r="N8">
            <v>102</v>
          </cell>
          <cell r="O8">
            <v>107</v>
          </cell>
          <cell r="P8">
            <v>112</v>
          </cell>
          <cell r="Q8">
            <v>142</v>
          </cell>
          <cell r="R8">
            <v>157</v>
          </cell>
          <cell r="S8">
            <v>117</v>
          </cell>
          <cell r="T8">
            <v>102</v>
          </cell>
          <cell r="U8">
            <v>99.399999999999991</v>
          </cell>
          <cell r="V8">
            <v>99.399999999999991</v>
          </cell>
          <cell r="W8">
            <v>133.20473455462434</v>
          </cell>
          <cell r="X8">
            <v>142</v>
          </cell>
          <cell r="Y8">
            <v>142</v>
          </cell>
          <cell r="Z8">
            <v>142</v>
          </cell>
          <cell r="AA8">
            <v>142</v>
          </cell>
          <cell r="AB8">
            <v>167</v>
          </cell>
          <cell r="AC8">
            <v>167</v>
          </cell>
          <cell r="AD8">
            <v>167</v>
          </cell>
          <cell r="AE8">
            <v>167.80336690647482</v>
          </cell>
          <cell r="AF8">
            <v>103.79589705555144</v>
          </cell>
        </row>
        <row r="9">
          <cell r="E9">
            <v>177.80336690647482</v>
          </cell>
          <cell r="F9">
            <v>182.38592790921902</v>
          </cell>
          <cell r="G9">
            <v>122.81263487354445</v>
          </cell>
          <cell r="H9">
            <v>150.30800089000965</v>
          </cell>
          <cell r="I9">
            <v>150.30800089000965</v>
          </cell>
          <cell r="J9">
            <v>222.25420863309353</v>
          </cell>
          <cell r="K9">
            <v>177.80336690647482</v>
          </cell>
          <cell r="L9">
            <v>177.80336690647482</v>
          </cell>
          <cell r="M9">
            <v>115</v>
          </cell>
          <cell r="N9">
            <v>110</v>
          </cell>
          <cell r="O9">
            <v>115</v>
          </cell>
          <cell r="P9">
            <v>125</v>
          </cell>
          <cell r="Q9">
            <v>155</v>
          </cell>
          <cell r="R9">
            <v>165</v>
          </cell>
          <cell r="S9">
            <v>145</v>
          </cell>
          <cell r="T9">
            <v>140</v>
          </cell>
          <cell r="U9">
            <v>108.5</v>
          </cell>
          <cell r="W9">
            <v>141.14287888452125</v>
          </cell>
          <cell r="Z9">
            <v>155</v>
          </cell>
          <cell r="AA9">
            <v>155</v>
          </cell>
          <cell r="AB9">
            <v>180</v>
          </cell>
          <cell r="AC9">
            <v>180</v>
          </cell>
          <cell r="AD9">
            <v>180</v>
          </cell>
          <cell r="AE9">
            <v>177.80336690647482</v>
          </cell>
          <cell r="AF9">
            <v>109.98146406586071</v>
          </cell>
        </row>
        <row r="10">
          <cell r="E10">
            <v>153.02964827586206</v>
          </cell>
          <cell r="F10">
            <v>156.97371137575541</v>
          </cell>
          <cell r="G10">
            <v>131.97371137575541</v>
          </cell>
          <cell r="H10">
            <v>156.97371137575541</v>
          </cell>
          <cell r="I10">
            <v>129.36526967650195</v>
          </cell>
          <cell r="J10">
            <v>191.28706034482755</v>
          </cell>
          <cell r="K10">
            <v>153.02964827586206</v>
          </cell>
          <cell r="L10">
            <v>153.02964827586206</v>
          </cell>
          <cell r="M10">
            <v>116</v>
          </cell>
          <cell r="N10">
            <v>116</v>
          </cell>
          <cell r="O10">
            <v>116</v>
          </cell>
          <cell r="P10">
            <v>121</v>
          </cell>
          <cell r="Q10">
            <v>136</v>
          </cell>
          <cell r="R10">
            <v>146</v>
          </cell>
          <cell r="S10">
            <v>126</v>
          </cell>
          <cell r="T10">
            <v>111</v>
          </cell>
          <cell r="U10">
            <v>95.199999999999989</v>
          </cell>
          <cell r="V10">
            <v>95.199999999999989</v>
          </cell>
          <cell r="W10">
            <v>121.47714347671524</v>
          </cell>
          <cell r="X10">
            <v>136</v>
          </cell>
          <cell r="Y10">
            <v>136</v>
          </cell>
          <cell r="Z10">
            <v>136</v>
          </cell>
          <cell r="AA10">
            <v>136</v>
          </cell>
          <cell r="AB10">
            <v>146</v>
          </cell>
          <cell r="AC10">
            <v>146</v>
          </cell>
          <cell r="AD10">
            <v>146</v>
          </cell>
          <cell r="AE10">
            <v>153.02964827586206</v>
          </cell>
          <cell r="AF10">
            <v>101</v>
          </cell>
        </row>
        <row r="11">
          <cell r="E11">
            <v>163.02964827586206</v>
          </cell>
          <cell r="F11">
            <v>166.97371137575541</v>
          </cell>
          <cell r="G11">
            <v>141.97371137575541</v>
          </cell>
          <cell r="H11">
            <v>166.97371137575541</v>
          </cell>
          <cell r="I11">
            <v>139.36526967650195</v>
          </cell>
          <cell r="J11">
            <v>201.28706034482755</v>
          </cell>
          <cell r="K11">
            <v>163.02964827586206</v>
          </cell>
          <cell r="L11">
            <v>163.02964827586206</v>
          </cell>
          <cell r="M11">
            <v>146</v>
          </cell>
          <cell r="N11">
            <v>146</v>
          </cell>
          <cell r="O11">
            <v>146</v>
          </cell>
          <cell r="P11">
            <v>156</v>
          </cell>
          <cell r="Q11">
            <v>151</v>
          </cell>
          <cell r="R11">
            <v>156</v>
          </cell>
          <cell r="S11">
            <v>141</v>
          </cell>
          <cell r="T11">
            <v>136</v>
          </cell>
          <cell r="U11">
            <v>105.69999999999999</v>
          </cell>
          <cell r="V11">
            <v>105.69999999999999</v>
          </cell>
          <cell r="W11">
            <v>131.47714347671524</v>
          </cell>
          <cell r="X11">
            <v>151</v>
          </cell>
          <cell r="Y11">
            <v>151</v>
          </cell>
          <cell r="Z11">
            <v>151</v>
          </cell>
          <cell r="AA11">
            <v>151</v>
          </cell>
          <cell r="AB11">
            <v>161</v>
          </cell>
          <cell r="AC11">
            <v>161</v>
          </cell>
          <cell r="AD11">
            <v>161</v>
          </cell>
          <cell r="AE11">
            <v>163.02964827586206</v>
          </cell>
          <cell r="AF11">
            <v>111</v>
          </cell>
        </row>
        <row r="12">
          <cell r="E12">
            <v>152.30111666666667</v>
          </cell>
          <cell r="F12">
            <v>152.30111666666667</v>
          </cell>
          <cell r="G12">
            <v>152.30111666666667</v>
          </cell>
          <cell r="H12">
            <v>152.30111666666667</v>
          </cell>
          <cell r="I12">
            <v>152.30111666666667</v>
          </cell>
          <cell r="J12">
            <v>152.30111666666667</v>
          </cell>
          <cell r="K12">
            <v>152.30111666666667</v>
          </cell>
          <cell r="L12">
            <v>152.30111666666667</v>
          </cell>
          <cell r="M12">
            <v>152.30111666666667</v>
          </cell>
          <cell r="N12">
            <v>152.30111666666667</v>
          </cell>
          <cell r="O12">
            <v>152.30111666666667</v>
          </cell>
          <cell r="P12">
            <v>152.30111666666667</v>
          </cell>
          <cell r="Q12">
            <v>152.30111666666667</v>
          </cell>
          <cell r="R12">
            <v>157.30111666666667</v>
          </cell>
          <cell r="S12">
            <v>152.30111666666667</v>
          </cell>
          <cell r="T12">
            <v>152.30111666666667</v>
          </cell>
          <cell r="U12">
            <v>106.61078166666667</v>
          </cell>
          <cell r="V12">
            <v>106.61078166666667</v>
          </cell>
          <cell r="W12">
            <v>152.30111666666667</v>
          </cell>
          <cell r="X12">
            <v>152.30111666666667</v>
          </cell>
          <cell r="Y12">
            <v>152.30111666666667</v>
          </cell>
          <cell r="Z12">
            <v>152.30111666666667</v>
          </cell>
          <cell r="AA12">
            <v>152.30111666666667</v>
          </cell>
          <cell r="AB12">
            <v>160.30111666666667</v>
          </cell>
          <cell r="AC12">
            <v>160.30111666666667</v>
          </cell>
          <cell r="AD12">
            <v>160.30111666666667</v>
          </cell>
          <cell r="AE12">
            <v>152.30111666666667</v>
          </cell>
          <cell r="AF12">
            <v>152.30111666666667</v>
          </cell>
        </row>
        <row r="13">
          <cell r="E13">
            <v>94.899999999999991</v>
          </cell>
          <cell r="F13">
            <v>94.899999999999991</v>
          </cell>
          <cell r="G13">
            <v>94.899999999999991</v>
          </cell>
          <cell r="H13">
            <v>94.899999999999991</v>
          </cell>
          <cell r="I13">
            <v>94.899999999999991</v>
          </cell>
          <cell r="J13">
            <v>94.899999999999991</v>
          </cell>
          <cell r="K13">
            <v>94.899999999999991</v>
          </cell>
          <cell r="L13">
            <v>94.899999999999991</v>
          </cell>
          <cell r="M13">
            <v>89</v>
          </cell>
          <cell r="N13">
            <v>89</v>
          </cell>
          <cell r="O13">
            <v>89</v>
          </cell>
          <cell r="P13">
            <v>89</v>
          </cell>
          <cell r="Q13">
            <v>89</v>
          </cell>
          <cell r="R13">
            <v>94.899999999999991</v>
          </cell>
          <cell r="S13">
            <v>94.899999999999991</v>
          </cell>
          <cell r="T13">
            <v>94.899999999999991</v>
          </cell>
          <cell r="U13">
            <v>89.899999999999991</v>
          </cell>
          <cell r="W13">
            <v>94.899999999999991</v>
          </cell>
          <cell r="Z13">
            <v>89</v>
          </cell>
          <cell r="AA13">
            <v>89</v>
          </cell>
          <cell r="AB13">
            <v>94</v>
          </cell>
          <cell r="AC13">
            <v>94</v>
          </cell>
          <cell r="AD13">
            <v>94</v>
          </cell>
          <cell r="AE13">
            <v>94.899999999999991</v>
          </cell>
          <cell r="AF13">
            <v>94.899999999999991</v>
          </cell>
        </row>
        <row r="14">
          <cell r="E14">
            <v>430.77883999999995</v>
          </cell>
          <cell r="F14">
            <v>430.77883999999995</v>
          </cell>
          <cell r="G14">
            <v>330.77883999999995</v>
          </cell>
          <cell r="H14">
            <v>365.77883999999995</v>
          </cell>
          <cell r="I14">
            <v>330.77883999999995</v>
          </cell>
          <cell r="J14">
            <v>405.77883999999995</v>
          </cell>
          <cell r="K14">
            <v>405.77883999999995</v>
          </cell>
          <cell r="L14">
            <v>330.77883999999995</v>
          </cell>
          <cell r="M14">
            <v>492.95774647887328</v>
          </cell>
          <cell r="N14">
            <v>492.95774647887328</v>
          </cell>
          <cell r="O14">
            <v>492.95774647887328</v>
          </cell>
          <cell r="P14">
            <v>517.95774647887333</v>
          </cell>
          <cell r="Q14">
            <v>517.95774647887333</v>
          </cell>
          <cell r="R14">
            <v>522.95774647887333</v>
          </cell>
          <cell r="S14">
            <v>442.95774647887333</v>
          </cell>
          <cell r="T14">
            <v>330</v>
          </cell>
          <cell r="U14">
            <v>330</v>
          </cell>
          <cell r="W14">
            <v>440</v>
          </cell>
          <cell r="Z14">
            <v>410</v>
          </cell>
          <cell r="AA14">
            <v>410</v>
          </cell>
          <cell r="AB14">
            <v>410</v>
          </cell>
          <cell r="AC14">
            <v>385</v>
          </cell>
          <cell r="AD14">
            <v>430.77883999999995</v>
          </cell>
          <cell r="AE14">
            <v>430.77883999999995</v>
          </cell>
          <cell r="AF14">
            <v>517.95774647887333</v>
          </cell>
        </row>
        <row r="15">
          <cell r="E15">
            <v>384.04132000000004</v>
          </cell>
          <cell r="F15">
            <v>384.04132000000004</v>
          </cell>
          <cell r="G15">
            <v>324.04132000000004</v>
          </cell>
          <cell r="H15">
            <v>340.04132000000004</v>
          </cell>
          <cell r="I15">
            <v>384.04132000000004</v>
          </cell>
          <cell r="J15">
            <v>384.04132000000004</v>
          </cell>
          <cell r="K15">
            <v>384.04132000000004</v>
          </cell>
          <cell r="L15">
            <v>409.04132000000004</v>
          </cell>
          <cell r="M15">
            <v>344.22535211267603</v>
          </cell>
          <cell r="N15">
            <v>344.22535211267603</v>
          </cell>
          <cell r="O15">
            <v>344.22535211267603</v>
          </cell>
          <cell r="P15">
            <v>344.22535211267603</v>
          </cell>
          <cell r="Q15">
            <v>344.22535211267603</v>
          </cell>
          <cell r="R15">
            <v>354.22535211267603</v>
          </cell>
          <cell r="S15">
            <v>319.22535211267603</v>
          </cell>
          <cell r="T15">
            <v>269.22535211267603</v>
          </cell>
          <cell r="U15">
            <v>269.22535211267603</v>
          </cell>
          <cell r="V15">
            <v>269.22535211267603</v>
          </cell>
          <cell r="W15">
            <v>269.22535211267603</v>
          </cell>
          <cell r="X15">
            <v>369.22535211267603</v>
          </cell>
          <cell r="Y15">
            <v>369.22535211267603</v>
          </cell>
          <cell r="Z15">
            <v>369.22535211267603</v>
          </cell>
          <cell r="AA15">
            <v>369.22535211267603</v>
          </cell>
          <cell r="AB15">
            <v>379.22535211267603</v>
          </cell>
          <cell r="AC15">
            <v>354.22535211267603</v>
          </cell>
          <cell r="AD15">
            <v>379.22535211267603</v>
          </cell>
          <cell r="AE15">
            <v>354.22535211267603</v>
          </cell>
          <cell r="AF15">
            <v>279.22535211267603</v>
          </cell>
        </row>
        <row r="16">
          <cell r="E16">
            <v>270.801366122449</v>
          </cell>
          <cell r="F16">
            <v>272.9525910969013</v>
          </cell>
          <cell r="G16">
            <v>259.31674831265127</v>
          </cell>
          <cell r="H16">
            <v>272.9525910969013</v>
          </cell>
          <cell r="I16">
            <v>252.39401627573523</v>
          </cell>
          <cell r="J16">
            <v>280.66824837463622</v>
          </cell>
          <cell r="K16">
            <v>270.801366122449</v>
          </cell>
          <cell r="L16">
            <v>259.801366122449</v>
          </cell>
          <cell r="M16">
            <v>165.801366122449</v>
          </cell>
          <cell r="N16">
            <v>165.801366122449</v>
          </cell>
          <cell r="O16">
            <v>165.801366122449</v>
          </cell>
          <cell r="P16">
            <v>165.801366122449</v>
          </cell>
          <cell r="Q16">
            <v>165.801366122449</v>
          </cell>
          <cell r="R16">
            <v>165.801366122449</v>
          </cell>
          <cell r="S16">
            <v>165.801366122449</v>
          </cell>
          <cell r="T16">
            <v>165.801366122449</v>
          </cell>
          <cell r="U16">
            <v>169.9354063380282</v>
          </cell>
          <cell r="V16">
            <v>169.9354063380282</v>
          </cell>
          <cell r="W16">
            <v>199.11302670884228</v>
          </cell>
          <cell r="X16">
            <v>115.95290000000004</v>
          </cell>
          <cell r="Y16">
            <v>115.95290000000004</v>
          </cell>
          <cell r="Z16">
            <v>115.95290000000004</v>
          </cell>
          <cell r="AA16">
            <v>210.79745633802821</v>
          </cell>
          <cell r="AB16">
            <v>241.53245633802823</v>
          </cell>
          <cell r="AC16">
            <v>227.7824563380282</v>
          </cell>
          <cell r="AD16">
            <v>241.53245633802823</v>
          </cell>
          <cell r="AE16">
            <v>242.74720083113169</v>
          </cell>
          <cell r="AF16">
            <v>186.85745633802821</v>
          </cell>
        </row>
        <row r="17">
          <cell r="E17">
            <v>485.012</v>
          </cell>
          <cell r="F17">
            <v>485.012</v>
          </cell>
          <cell r="G17">
            <v>485.012</v>
          </cell>
          <cell r="H17">
            <v>485.012</v>
          </cell>
          <cell r="I17">
            <v>475.012</v>
          </cell>
          <cell r="J17">
            <v>465.012</v>
          </cell>
          <cell r="K17">
            <v>485.012</v>
          </cell>
          <cell r="L17">
            <v>465.012</v>
          </cell>
          <cell r="M17">
            <v>458.27464788732397</v>
          </cell>
          <cell r="N17">
            <v>458.27464788732397</v>
          </cell>
          <cell r="O17">
            <v>458.27464788732397</v>
          </cell>
          <cell r="P17">
            <v>458.27464788732397</v>
          </cell>
          <cell r="Q17">
            <v>458.27464788732397</v>
          </cell>
          <cell r="R17">
            <v>458.27464788732397</v>
          </cell>
          <cell r="S17">
            <v>433.27464788732397</v>
          </cell>
          <cell r="T17">
            <v>348.27464788732397</v>
          </cell>
          <cell r="U17">
            <v>348.27464788732397</v>
          </cell>
          <cell r="W17">
            <v>373.27464788732397</v>
          </cell>
          <cell r="Z17">
            <v>200.83000000000004</v>
          </cell>
          <cell r="AA17">
            <v>373.27464788732397</v>
          </cell>
          <cell r="AB17">
            <v>418.27464788732397</v>
          </cell>
          <cell r="AC17">
            <v>393.27464788732397</v>
          </cell>
          <cell r="AD17">
            <v>418.27464788732397</v>
          </cell>
          <cell r="AE17">
            <v>418.27464788732397</v>
          </cell>
          <cell r="AF17">
            <v>373.27464788732397</v>
          </cell>
        </row>
        <row r="18">
          <cell r="E18">
            <v>197.6041469387755</v>
          </cell>
          <cell r="F18">
            <v>202.38464688200281</v>
          </cell>
          <cell r="G18">
            <v>172.08277402811399</v>
          </cell>
          <cell r="H18">
            <v>202.38464688200281</v>
          </cell>
          <cell r="I18">
            <v>168.9211472794116</v>
          </cell>
          <cell r="J18">
            <v>243.97499638808046</v>
          </cell>
          <cell r="K18">
            <v>197.6041469387755</v>
          </cell>
          <cell r="L18">
            <v>197.6041469387755</v>
          </cell>
          <cell r="M18">
            <v>194.18</v>
          </cell>
          <cell r="N18">
            <v>194.18</v>
          </cell>
          <cell r="O18">
            <v>194.18</v>
          </cell>
          <cell r="P18">
            <v>207.48000000000002</v>
          </cell>
          <cell r="Q18">
            <v>200.83</v>
          </cell>
          <cell r="R18">
            <v>207.48000000000002</v>
          </cell>
          <cell r="S18">
            <v>187.53000000000003</v>
          </cell>
          <cell r="T18">
            <v>180.88000000000005</v>
          </cell>
          <cell r="U18">
            <v>140.58100000000002</v>
          </cell>
          <cell r="W18">
            <v>174.8646008240313</v>
          </cell>
          <cell r="Z18">
            <v>200.83000000000004</v>
          </cell>
          <cell r="AA18">
            <v>200.83000000000004</v>
          </cell>
          <cell r="AB18">
            <v>214.13000000000005</v>
          </cell>
          <cell r="AC18">
            <v>214.13000000000005</v>
          </cell>
          <cell r="AD18">
            <v>214.13000000000005</v>
          </cell>
          <cell r="AE18">
            <v>216.8294322068966</v>
          </cell>
          <cell r="AF18">
            <v>147.63000000000002</v>
          </cell>
        </row>
        <row r="19">
          <cell r="E19">
            <v>167.80336690647482</v>
          </cell>
          <cell r="F19">
            <v>172.12819595045613</v>
          </cell>
          <cell r="G19">
            <v>132.12819595045613</v>
          </cell>
          <cell r="H19">
            <v>177.12819595045613</v>
          </cell>
          <cell r="I19">
            <v>141.85439264258696</v>
          </cell>
          <cell r="J19">
            <v>209.75420863309353</v>
          </cell>
          <cell r="K19">
            <v>167.80336690647482</v>
          </cell>
          <cell r="L19">
            <v>167.80336690647482</v>
          </cell>
          <cell r="M19">
            <v>102</v>
          </cell>
          <cell r="N19">
            <v>102</v>
          </cell>
          <cell r="O19">
            <v>107</v>
          </cell>
          <cell r="P19">
            <v>112</v>
          </cell>
          <cell r="Q19">
            <v>142</v>
          </cell>
          <cell r="R19">
            <v>157</v>
          </cell>
          <cell r="S19">
            <v>117</v>
          </cell>
          <cell r="T19">
            <v>102</v>
          </cell>
          <cell r="U19">
            <v>99.399999999999991</v>
          </cell>
          <cell r="W19">
            <v>133.20473455462434</v>
          </cell>
          <cell r="Z19">
            <v>142</v>
          </cell>
          <cell r="AA19">
            <v>142</v>
          </cell>
          <cell r="AB19">
            <v>167</v>
          </cell>
          <cell r="AC19">
            <v>167</v>
          </cell>
          <cell r="AD19">
            <v>167</v>
          </cell>
          <cell r="AE19">
            <v>167.80336690647482</v>
          </cell>
          <cell r="AF19">
            <v>103.79589705555144</v>
          </cell>
        </row>
        <row r="20">
          <cell r="E20">
            <v>163.02964827586206</v>
          </cell>
          <cell r="F20">
            <v>166.97371137575541</v>
          </cell>
          <cell r="G20">
            <v>141.97371137575541</v>
          </cell>
          <cell r="H20">
            <v>166.97371137575541</v>
          </cell>
          <cell r="I20">
            <v>139.36526967650195</v>
          </cell>
          <cell r="J20">
            <v>201.28706034482755</v>
          </cell>
          <cell r="K20">
            <v>163.02964827586206</v>
          </cell>
          <cell r="L20">
            <v>163.02964827586206</v>
          </cell>
          <cell r="M20">
            <v>146</v>
          </cell>
          <cell r="N20">
            <v>146</v>
          </cell>
          <cell r="O20">
            <v>146</v>
          </cell>
          <cell r="P20">
            <v>156</v>
          </cell>
          <cell r="Q20">
            <v>151</v>
          </cell>
          <cell r="R20">
            <v>156</v>
          </cell>
          <cell r="S20">
            <v>141</v>
          </cell>
          <cell r="T20">
            <v>136</v>
          </cell>
          <cell r="U20">
            <v>105.69999999999999</v>
          </cell>
          <cell r="V20">
            <v>105.69999999999999</v>
          </cell>
          <cell r="W20">
            <v>131.47714347671524</v>
          </cell>
          <cell r="X20">
            <v>151</v>
          </cell>
          <cell r="Y20">
            <v>151</v>
          </cell>
          <cell r="Z20">
            <v>151</v>
          </cell>
          <cell r="AA20">
            <v>151</v>
          </cell>
          <cell r="AB20">
            <v>161</v>
          </cell>
          <cell r="AC20">
            <v>161</v>
          </cell>
          <cell r="AD20">
            <v>161</v>
          </cell>
          <cell r="AE20">
            <v>163.02964827586206</v>
          </cell>
          <cell r="AF20">
            <v>111</v>
          </cell>
        </row>
        <row r="21">
          <cell r="E21">
            <v>148.02964827586206</v>
          </cell>
          <cell r="F21">
            <v>151.97371137575541</v>
          </cell>
          <cell r="G21">
            <v>126.97371137575541</v>
          </cell>
          <cell r="H21">
            <v>151.97371137575541</v>
          </cell>
          <cell r="I21">
            <v>124.36526967650195</v>
          </cell>
          <cell r="J21">
            <v>186.28706034482755</v>
          </cell>
          <cell r="K21">
            <v>148.02964827586206</v>
          </cell>
          <cell r="L21">
            <v>148.02964827586206</v>
          </cell>
          <cell r="M21">
            <v>131</v>
          </cell>
          <cell r="N21">
            <v>131</v>
          </cell>
          <cell r="O21">
            <v>131</v>
          </cell>
          <cell r="P21">
            <v>141</v>
          </cell>
          <cell r="Q21">
            <v>136</v>
          </cell>
          <cell r="R21">
            <v>141</v>
          </cell>
          <cell r="S21">
            <v>126</v>
          </cell>
          <cell r="T21">
            <v>121</v>
          </cell>
          <cell r="U21">
            <v>90.699999999999989</v>
          </cell>
          <cell r="W21">
            <v>116.47714347671524</v>
          </cell>
          <cell r="Z21">
            <v>136</v>
          </cell>
          <cell r="AA21">
            <v>136</v>
          </cell>
          <cell r="AB21">
            <v>146</v>
          </cell>
          <cell r="AC21">
            <v>146</v>
          </cell>
          <cell r="AD21">
            <v>146</v>
          </cell>
          <cell r="AE21">
            <v>148.02964827586206</v>
          </cell>
          <cell r="AF21">
            <v>96</v>
          </cell>
        </row>
        <row r="22">
          <cell r="E22">
            <v>225</v>
          </cell>
          <cell r="F22">
            <v>225</v>
          </cell>
          <cell r="G22">
            <v>230</v>
          </cell>
          <cell r="H22">
            <v>215</v>
          </cell>
          <cell r="I22">
            <v>215</v>
          </cell>
          <cell r="J22">
            <v>225</v>
          </cell>
          <cell r="K22">
            <v>225</v>
          </cell>
          <cell r="L22">
            <v>225</v>
          </cell>
          <cell r="M22">
            <v>257.04225352112678</v>
          </cell>
          <cell r="N22">
            <v>257.04225352112678</v>
          </cell>
          <cell r="O22">
            <v>257.04225352112678</v>
          </cell>
          <cell r="P22">
            <v>257.04225352112678</v>
          </cell>
          <cell r="Q22">
            <v>249.04225352112678</v>
          </cell>
          <cell r="R22">
            <v>259.04225352112678</v>
          </cell>
          <cell r="S22">
            <v>239.04225352112678</v>
          </cell>
          <cell r="T22">
            <v>189.04225352112678</v>
          </cell>
          <cell r="U22">
            <v>254.04225352112678</v>
          </cell>
          <cell r="W22">
            <v>225</v>
          </cell>
          <cell r="Z22">
            <v>225</v>
          </cell>
          <cell r="AA22">
            <v>225</v>
          </cell>
          <cell r="AB22">
            <v>225</v>
          </cell>
          <cell r="AC22">
            <v>225</v>
          </cell>
          <cell r="AD22">
            <v>225</v>
          </cell>
          <cell r="AE22">
            <v>225</v>
          </cell>
          <cell r="AF22">
            <v>200</v>
          </cell>
        </row>
        <row r="23">
          <cell r="E23">
            <v>199.86</v>
          </cell>
          <cell r="F23">
            <v>199.86</v>
          </cell>
          <cell r="G23">
            <v>204.86</v>
          </cell>
          <cell r="H23">
            <v>204.86</v>
          </cell>
          <cell r="I23">
            <v>189.86</v>
          </cell>
          <cell r="J23">
            <v>199.86</v>
          </cell>
          <cell r="K23">
            <v>199.86</v>
          </cell>
          <cell r="L23">
            <v>199.86</v>
          </cell>
          <cell r="M23">
            <v>231.9022535211268</v>
          </cell>
          <cell r="N23">
            <v>231.9022535211268</v>
          </cell>
          <cell r="O23">
            <v>231.9022535211268</v>
          </cell>
          <cell r="P23">
            <v>231.9022535211268</v>
          </cell>
          <cell r="Q23">
            <v>223.9022535211268</v>
          </cell>
          <cell r="R23">
            <v>233.9022535211268</v>
          </cell>
          <cell r="S23">
            <v>213.9022535211268</v>
          </cell>
          <cell r="T23">
            <v>163.9022535211268</v>
          </cell>
          <cell r="U23">
            <v>228.9022535211268</v>
          </cell>
          <cell r="W23">
            <v>199.86</v>
          </cell>
          <cell r="Z23">
            <v>199.86</v>
          </cell>
          <cell r="AA23">
            <v>199.86</v>
          </cell>
          <cell r="AB23">
            <v>199.86</v>
          </cell>
          <cell r="AC23">
            <v>199.86</v>
          </cell>
          <cell r="AD23">
            <v>199.86</v>
          </cell>
          <cell r="AE23">
            <v>199.86</v>
          </cell>
          <cell r="AF23">
            <v>174.86</v>
          </cell>
        </row>
        <row r="24">
          <cell r="E24">
            <v>199.86</v>
          </cell>
          <cell r="F24">
            <v>199.86</v>
          </cell>
          <cell r="G24">
            <v>204.86</v>
          </cell>
          <cell r="H24">
            <v>204.86</v>
          </cell>
          <cell r="I24">
            <v>189.86</v>
          </cell>
          <cell r="J24">
            <v>199.86</v>
          </cell>
          <cell r="K24">
            <v>199.86</v>
          </cell>
          <cell r="L24">
            <v>199.86</v>
          </cell>
          <cell r="M24">
            <v>231.9022535211268</v>
          </cell>
          <cell r="N24">
            <v>231.9022535211268</v>
          </cell>
          <cell r="O24">
            <v>231.9022535211268</v>
          </cell>
          <cell r="P24">
            <v>231.9022535211268</v>
          </cell>
          <cell r="Q24">
            <v>223.9022535211268</v>
          </cell>
          <cell r="R24">
            <v>233.9022535211268</v>
          </cell>
          <cell r="S24">
            <v>213.9022535211268</v>
          </cell>
          <cell r="T24">
            <v>163.9022535211268</v>
          </cell>
          <cell r="U24">
            <v>228.9022535211268</v>
          </cell>
          <cell r="W24">
            <v>199.86</v>
          </cell>
          <cell r="Z24">
            <v>199.86</v>
          </cell>
          <cell r="AA24">
            <v>199.86</v>
          </cell>
          <cell r="AB24">
            <v>199.86</v>
          </cell>
          <cell r="AC24">
            <v>199.86</v>
          </cell>
          <cell r="AD24">
            <v>199.86</v>
          </cell>
          <cell r="AE24">
            <v>199.86</v>
          </cell>
          <cell r="AF24">
            <v>174.86</v>
          </cell>
        </row>
        <row r="25">
          <cell r="E25">
            <v>2.91</v>
          </cell>
          <cell r="F25">
            <v>2.9849999999999999</v>
          </cell>
          <cell r="G25">
            <v>2.0099999999999998</v>
          </cell>
          <cell r="H25">
            <v>2.46</v>
          </cell>
          <cell r="I25">
            <v>2.46</v>
          </cell>
          <cell r="J25">
            <v>3.6374999999999997</v>
          </cell>
          <cell r="K25">
            <v>2.91</v>
          </cell>
          <cell r="L25">
            <v>2.91</v>
          </cell>
          <cell r="M25">
            <v>2.46</v>
          </cell>
          <cell r="N25">
            <v>2.0099999999999998</v>
          </cell>
          <cell r="O25">
            <v>2.0099999999999998</v>
          </cell>
          <cell r="P25">
            <v>2.0099999999999998</v>
          </cell>
          <cell r="Q25">
            <v>3.3464999999999998</v>
          </cell>
          <cell r="R25">
            <v>3.8484749999999996</v>
          </cell>
          <cell r="S25">
            <v>2.31</v>
          </cell>
          <cell r="T25">
            <v>1.155</v>
          </cell>
          <cell r="U25">
            <v>0.75</v>
          </cell>
          <cell r="W25">
            <v>2.31</v>
          </cell>
          <cell r="Z25">
            <v>4.5</v>
          </cell>
          <cell r="AA25">
            <v>4.5</v>
          </cell>
          <cell r="AB25">
            <v>3.75</v>
          </cell>
          <cell r="AC25">
            <v>3.75</v>
          </cell>
          <cell r="AD25">
            <v>4.5</v>
          </cell>
          <cell r="AE25">
            <v>2.91</v>
          </cell>
          <cell r="AF25">
            <v>1.7999999999999998</v>
          </cell>
        </row>
        <row r="27">
          <cell r="E27">
            <v>0.04</v>
          </cell>
          <cell r="F27">
            <v>4.1030927835051544E-2</v>
          </cell>
          <cell r="G27">
            <v>2.762886597938144E-2</v>
          </cell>
          <cell r="H27">
            <v>3.3814432989690717E-2</v>
          </cell>
          <cell r="I27">
            <v>3.3814432989690717E-2</v>
          </cell>
          <cell r="J27">
            <v>4.9999999999999989E-2</v>
          </cell>
          <cell r="K27">
            <v>3.9999999999999994E-2</v>
          </cell>
          <cell r="L27">
            <v>3.9999999999999994E-2</v>
          </cell>
          <cell r="M27">
            <v>3.3814432989690717E-2</v>
          </cell>
          <cell r="N27">
            <v>3.5000000000000003E-2</v>
          </cell>
          <cell r="O27">
            <v>3.5000000000000003E-2</v>
          </cell>
          <cell r="P27">
            <v>4.4999999999999998E-2</v>
          </cell>
          <cell r="Q27">
            <v>7.4921641791044782E-2</v>
          </cell>
          <cell r="R27">
            <v>8.6159888059701484E-2</v>
          </cell>
          <cell r="S27">
            <v>5.1716417910447759E-2</v>
          </cell>
          <cell r="T27">
            <v>2.585820895522388E-2</v>
          </cell>
          <cell r="U27">
            <v>1.6791044776119403E-2</v>
          </cell>
          <cell r="V27">
            <v>2.5186567164179104E-2</v>
          </cell>
          <cell r="W27">
            <v>5.1716417910447759E-2</v>
          </cell>
          <cell r="X27">
            <v>0.06</v>
          </cell>
          <cell r="Y27">
            <v>7.2000000000000008E-2</v>
          </cell>
          <cell r="Z27">
            <v>7.2000000000000008E-2</v>
          </cell>
          <cell r="AA27">
            <v>7.2000000000000008E-2</v>
          </cell>
          <cell r="AB27">
            <v>6.0000000000000005E-2</v>
          </cell>
          <cell r="AC27">
            <v>6.0000000000000005E-2</v>
          </cell>
          <cell r="AD27">
            <v>7.2000000000000008E-2</v>
          </cell>
          <cell r="AE27">
            <v>4.6560000000000011E-2</v>
          </cell>
          <cell r="AF27">
            <v>2.8800000000000003E-2</v>
          </cell>
        </row>
        <row r="28">
          <cell r="E28">
            <v>2.5000000000000001E-2</v>
          </cell>
          <cell r="F28">
            <v>2.5644329896907216E-2</v>
          </cell>
          <cell r="G28">
            <v>1.72680412371134E-2</v>
          </cell>
          <cell r="H28">
            <v>2.1134020618556702E-2</v>
          </cell>
          <cell r="I28">
            <v>2.1134020618556702E-2</v>
          </cell>
          <cell r="J28">
            <v>3.125E-2</v>
          </cell>
          <cell r="K28">
            <v>2.5000000000000001E-2</v>
          </cell>
          <cell r="L28">
            <v>2.5000000000000001E-2</v>
          </cell>
          <cell r="M28">
            <v>2.1134020618556699E-2</v>
          </cell>
          <cell r="N28">
            <v>1.7268041237113396E-2</v>
          </cell>
          <cell r="O28">
            <v>1.7268041237113396E-2</v>
          </cell>
          <cell r="P28">
            <v>1.7268041237113396E-2</v>
          </cell>
          <cell r="Q28">
            <v>2.8749999999999991E-2</v>
          </cell>
          <cell r="R28">
            <v>3.3062499999999988E-2</v>
          </cell>
          <cell r="S28">
            <v>1.984536082474226E-2</v>
          </cell>
          <cell r="T28">
            <v>9.92268041237113E-3</v>
          </cell>
          <cell r="U28">
            <v>6.443298969072162E-3</v>
          </cell>
          <cell r="V28">
            <v>9.6649484536082426E-3</v>
          </cell>
          <cell r="W28">
            <v>1.984536082474226E-2</v>
          </cell>
          <cell r="X28">
            <v>3.2216494845360814E-2</v>
          </cell>
          <cell r="Y28">
            <v>3.8659793814432977E-2</v>
          </cell>
          <cell r="Z28">
            <v>3.8659793814432977E-2</v>
          </cell>
          <cell r="AA28">
            <v>3.8659793814432977E-2</v>
          </cell>
          <cell r="AB28">
            <v>3.2216494845360814E-2</v>
          </cell>
          <cell r="AC28">
            <v>3.2216494845360814E-2</v>
          </cell>
          <cell r="AD28">
            <v>3.8659793814432977E-2</v>
          </cell>
          <cell r="AE28">
            <v>2.4999999999999994E-2</v>
          </cell>
          <cell r="AF28">
            <v>1.546391752577319E-2</v>
          </cell>
        </row>
        <row r="29">
          <cell r="E29">
            <v>6</v>
          </cell>
          <cell r="F29">
            <v>6</v>
          </cell>
          <cell r="G29">
            <v>6</v>
          </cell>
          <cell r="H29">
            <v>6</v>
          </cell>
          <cell r="I29">
            <v>8</v>
          </cell>
          <cell r="J29">
            <v>8</v>
          </cell>
          <cell r="K29">
            <v>7</v>
          </cell>
          <cell r="L29">
            <v>7</v>
          </cell>
          <cell r="M29">
            <v>7</v>
          </cell>
          <cell r="N29">
            <v>7</v>
          </cell>
          <cell r="O29">
            <v>7</v>
          </cell>
          <cell r="P29">
            <v>7</v>
          </cell>
          <cell r="Q29">
            <v>7</v>
          </cell>
          <cell r="R29">
            <v>7</v>
          </cell>
          <cell r="S29">
            <v>7</v>
          </cell>
          <cell r="T29">
            <v>9</v>
          </cell>
          <cell r="U29">
            <v>8</v>
          </cell>
          <cell r="V29">
            <v>7</v>
          </cell>
          <cell r="W29">
            <v>10</v>
          </cell>
          <cell r="X29">
            <v>10</v>
          </cell>
          <cell r="Y29">
            <v>9</v>
          </cell>
          <cell r="Z29">
            <v>9</v>
          </cell>
          <cell r="AA29">
            <v>7</v>
          </cell>
          <cell r="AB29">
            <v>7</v>
          </cell>
          <cell r="AC29">
            <v>7</v>
          </cell>
          <cell r="AD29">
            <v>6</v>
          </cell>
          <cell r="AE29">
            <v>6</v>
          </cell>
          <cell r="AF29">
            <v>12</v>
          </cell>
        </row>
        <row r="30">
          <cell r="E30">
            <v>21.75</v>
          </cell>
          <cell r="F30">
            <v>21.75</v>
          </cell>
          <cell r="G30">
            <v>22.75</v>
          </cell>
          <cell r="H30">
            <v>22.75</v>
          </cell>
          <cell r="I30">
            <v>6.5</v>
          </cell>
          <cell r="J30">
            <v>7.5</v>
          </cell>
          <cell r="K30">
            <v>9</v>
          </cell>
          <cell r="L30">
            <v>9</v>
          </cell>
          <cell r="M30">
            <v>30</v>
          </cell>
          <cell r="N30">
            <v>30</v>
          </cell>
          <cell r="O30">
            <v>30</v>
          </cell>
          <cell r="P30">
            <v>27</v>
          </cell>
          <cell r="Q30">
            <v>30</v>
          </cell>
          <cell r="R30">
            <v>30</v>
          </cell>
          <cell r="S30">
            <v>21</v>
          </cell>
          <cell r="T30">
            <v>10</v>
          </cell>
          <cell r="U30">
            <v>15</v>
          </cell>
          <cell r="V30">
            <v>15</v>
          </cell>
          <cell r="W30">
            <v>5</v>
          </cell>
          <cell r="X30">
            <v>6</v>
          </cell>
          <cell r="Y30">
            <v>10</v>
          </cell>
          <cell r="Z30">
            <v>11</v>
          </cell>
          <cell r="AA30">
            <v>25</v>
          </cell>
          <cell r="AB30">
            <v>22</v>
          </cell>
          <cell r="AC30">
            <v>20</v>
          </cell>
          <cell r="AD30">
            <v>25</v>
          </cell>
          <cell r="AE30">
            <v>18</v>
          </cell>
          <cell r="AF30">
            <v>3</v>
          </cell>
        </row>
        <row r="31">
          <cell r="E31">
            <v>7.5</v>
          </cell>
          <cell r="F31">
            <v>7.5</v>
          </cell>
          <cell r="G31">
            <v>7.5</v>
          </cell>
          <cell r="H31">
            <v>7.5</v>
          </cell>
          <cell r="I31">
            <v>7.5</v>
          </cell>
          <cell r="J31">
            <v>7.5</v>
          </cell>
          <cell r="K31">
            <v>7.5</v>
          </cell>
          <cell r="L31">
            <v>7.5</v>
          </cell>
          <cell r="M31">
            <v>7.5</v>
          </cell>
          <cell r="N31">
            <v>7.5</v>
          </cell>
          <cell r="O31">
            <v>7.5</v>
          </cell>
          <cell r="P31">
            <v>7.5</v>
          </cell>
          <cell r="Q31">
            <v>7.5</v>
          </cell>
          <cell r="R31">
            <v>7.5</v>
          </cell>
          <cell r="S31">
            <v>7.5</v>
          </cell>
          <cell r="T31">
            <v>7.5</v>
          </cell>
          <cell r="U31">
            <v>7.5</v>
          </cell>
          <cell r="V31">
            <v>7.5</v>
          </cell>
          <cell r="W31">
            <v>7.5</v>
          </cell>
          <cell r="X31">
            <v>7.5</v>
          </cell>
          <cell r="Y31">
            <v>7.5</v>
          </cell>
          <cell r="Z31">
            <v>7.5</v>
          </cell>
          <cell r="AA31">
            <v>7.5</v>
          </cell>
          <cell r="AB31">
            <v>7.5</v>
          </cell>
          <cell r="AC31">
            <v>7.5</v>
          </cell>
          <cell r="AD31">
            <v>7.5</v>
          </cell>
          <cell r="AE31">
            <v>7.5</v>
          </cell>
          <cell r="AF31">
            <v>7.5</v>
          </cell>
        </row>
        <row r="32">
          <cell r="E32">
            <v>3</v>
          </cell>
          <cell r="F32">
            <v>3</v>
          </cell>
          <cell r="G32">
            <v>3</v>
          </cell>
          <cell r="H32">
            <v>3</v>
          </cell>
          <cell r="I32">
            <v>3</v>
          </cell>
          <cell r="J32">
            <v>3</v>
          </cell>
          <cell r="K32">
            <v>3</v>
          </cell>
          <cell r="L32">
            <v>3</v>
          </cell>
          <cell r="M32">
            <v>3</v>
          </cell>
          <cell r="N32">
            <v>3</v>
          </cell>
          <cell r="O32">
            <v>3</v>
          </cell>
          <cell r="P32">
            <v>3</v>
          </cell>
          <cell r="Q32">
            <v>3</v>
          </cell>
          <cell r="R32">
            <v>3</v>
          </cell>
          <cell r="S32">
            <v>3</v>
          </cell>
          <cell r="T32">
            <v>3</v>
          </cell>
          <cell r="U32">
            <v>3</v>
          </cell>
          <cell r="W32">
            <v>3</v>
          </cell>
          <cell r="Z32">
            <v>3</v>
          </cell>
          <cell r="AA32">
            <v>3</v>
          </cell>
          <cell r="AB32">
            <v>3</v>
          </cell>
          <cell r="AC32">
            <v>3</v>
          </cell>
          <cell r="AD32">
            <v>3</v>
          </cell>
          <cell r="AE32">
            <v>3</v>
          </cell>
          <cell r="AF32">
            <v>1</v>
          </cell>
        </row>
        <row r="33">
          <cell r="E33">
            <v>6</v>
          </cell>
          <cell r="F33">
            <v>6</v>
          </cell>
          <cell r="G33">
            <v>6</v>
          </cell>
          <cell r="H33">
            <v>6</v>
          </cell>
          <cell r="I33">
            <v>4</v>
          </cell>
          <cell r="J33">
            <v>4</v>
          </cell>
          <cell r="K33">
            <v>4</v>
          </cell>
          <cell r="L33">
            <v>5</v>
          </cell>
          <cell r="M33">
            <v>6</v>
          </cell>
          <cell r="N33">
            <v>6</v>
          </cell>
          <cell r="O33">
            <v>6</v>
          </cell>
          <cell r="P33">
            <v>6</v>
          </cell>
          <cell r="Q33">
            <v>6</v>
          </cell>
          <cell r="R33">
            <v>6</v>
          </cell>
          <cell r="S33">
            <v>6</v>
          </cell>
          <cell r="T33">
            <v>4</v>
          </cell>
          <cell r="U33">
            <v>5</v>
          </cell>
          <cell r="V33">
            <v>5</v>
          </cell>
          <cell r="W33">
            <v>4</v>
          </cell>
          <cell r="X33">
            <v>4</v>
          </cell>
          <cell r="Y33">
            <v>4</v>
          </cell>
          <cell r="Z33">
            <v>4</v>
          </cell>
          <cell r="AA33">
            <v>6</v>
          </cell>
          <cell r="AB33">
            <v>5</v>
          </cell>
          <cell r="AC33">
            <v>5</v>
          </cell>
          <cell r="AD33">
            <v>6</v>
          </cell>
          <cell r="AE33">
            <v>5</v>
          </cell>
          <cell r="AF33">
            <v>3</v>
          </cell>
        </row>
        <row r="34">
          <cell r="E34">
            <v>20</v>
          </cell>
          <cell r="F34">
            <v>20</v>
          </cell>
          <cell r="G34">
            <v>20</v>
          </cell>
          <cell r="H34">
            <v>20</v>
          </cell>
          <cell r="I34">
            <v>20</v>
          </cell>
          <cell r="J34">
            <v>20</v>
          </cell>
          <cell r="K34">
            <v>20</v>
          </cell>
          <cell r="L34">
            <v>20</v>
          </cell>
          <cell r="M34">
            <v>20</v>
          </cell>
          <cell r="N34">
            <v>20</v>
          </cell>
          <cell r="O34">
            <v>20</v>
          </cell>
          <cell r="P34">
            <v>20</v>
          </cell>
          <cell r="Q34">
            <v>20</v>
          </cell>
          <cell r="R34">
            <v>20</v>
          </cell>
          <cell r="S34">
            <v>20</v>
          </cell>
          <cell r="T34">
            <v>20</v>
          </cell>
          <cell r="U34">
            <v>20</v>
          </cell>
          <cell r="W34">
            <v>20</v>
          </cell>
          <cell r="Z34">
            <v>20</v>
          </cell>
          <cell r="AA34">
            <v>20</v>
          </cell>
          <cell r="AB34">
            <v>20</v>
          </cell>
          <cell r="AC34">
            <v>20</v>
          </cell>
          <cell r="AD34">
            <v>20</v>
          </cell>
          <cell r="AE34">
            <v>20</v>
          </cell>
          <cell r="AF34">
            <v>20</v>
          </cell>
        </row>
        <row r="35">
          <cell r="E35">
            <v>20</v>
          </cell>
          <cell r="F35">
            <v>20</v>
          </cell>
          <cell r="G35">
            <v>20</v>
          </cell>
          <cell r="H35">
            <v>20</v>
          </cell>
          <cell r="I35">
            <v>20</v>
          </cell>
          <cell r="J35">
            <v>20</v>
          </cell>
          <cell r="K35">
            <v>20</v>
          </cell>
          <cell r="L35">
            <v>20</v>
          </cell>
          <cell r="M35">
            <v>20</v>
          </cell>
          <cell r="N35">
            <v>20</v>
          </cell>
          <cell r="O35">
            <v>20</v>
          </cell>
          <cell r="P35">
            <v>20</v>
          </cell>
          <cell r="Q35">
            <v>20</v>
          </cell>
          <cell r="R35">
            <v>20</v>
          </cell>
          <cell r="S35">
            <v>20</v>
          </cell>
          <cell r="T35">
            <v>20</v>
          </cell>
          <cell r="U35">
            <v>20</v>
          </cell>
          <cell r="W35">
            <v>20</v>
          </cell>
          <cell r="Z35">
            <v>20</v>
          </cell>
          <cell r="AA35">
            <v>20</v>
          </cell>
          <cell r="AB35">
            <v>20</v>
          </cell>
          <cell r="AC35">
            <v>20</v>
          </cell>
          <cell r="AD35">
            <v>20</v>
          </cell>
          <cell r="AE35">
            <v>20</v>
          </cell>
          <cell r="AF35">
            <v>20</v>
          </cell>
        </row>
        <row r="36">
          <cell r="E36">
            <v>150</v>
          </cell>
          <cell r="F36">
            <v>150</v>
          </cell>
          <cell r="G36">
            <v>150</v>
          </cell>
          <cell r="H36">
            <v>150</v>
          </cell>
          <cell r="I36">
            <v>150</v>
          </cell>
          <cell r="J36">
            <v>150</v>
          </cell>
          <cell r="K36">
            <v>150</v>
          </cell>
          <cell r="L36">
            <v>150</v>
          </cell>
          <cell r="M36">
            <v>150</v>
          </cell>
          <cell r="N36">
            <v>150</v>
          </cell>
          <cell r="O36">
            <v>150</v>
          </cell>
          <cell r="P36">
            <v>150</v>
          </cell>
          <cell r="Q36">
            <v>150</v>
          </cell>
          <cell r="R36">
            <v>150</v>
          </cell>
          <cell r="S36">
            <v>150</v>
          </cell>
          <cell r="T36">
            <v>150</v>
          </cell>
          <cell r="U36">
            <v>150</v>
          </cell>
          <cell r="W36">
            <v>150</v>
          </cell>
          <cell r="Z36">
            <v>150</v>
          </cell>
          <cell r="AA36">
            <v>150</v>
          </cell>
          <cell r="AB36">
            <v>150</v>
          </cell>
          <cell r="AC36">
            <v>150</v>
          </cell>
          <cell r="AD36">
            <v>150</v>
          </cell>
          <cell r="AE36">
            <v>150</v>
          </cell>
          <cell r="AF36">
            <v>150</v>
          </cell>
        </row>
        <row r="37">
          <cell r="E37">
            <v>150</v>
          </cell>
          <cell r="F37">
            <v>150</v>
          </cell>
          <cell r="G37">
            <v>150</v>
          </cell>
          <cell r="H37">
            <v>150</v>
          </cell>
          <cell r="I37">
            <v>150</v>
          </cell>
          <cell r="J37">
            <v>150</v>
          </cell>
          <cell r="K37">
            <v>150</v>
          </cell>
          <cell r="L37">
            <v>150</v>
          </cell>
          <cell r="M37">
            <v>150</v>
          </cell>
          <cell r="N37">
            <v>150</v>
          </cell>
          <cell r="O37">
            <v>150</v>
          </cell>
          <cell r="P37">
            <v>150</v>
          </cell>
          <cell r="Q37">
            <v>150</v>
          </cell>
          <cell r="R37">
            <v>150</v>
          </cell>
          <cell r="S37">
            <v>150</v>
          </cell>
          <cell r="T37">
            <v>150</v>
          </cell>
          <cell r="U37">
            <v>150</v>
          </cell>
          <cell r="W37">
            <v>150</v>
          </cell>
          <cell r="Z37">
            <v>150</v>
          </cell>
          <cell r="AA37">
            <v>150</v>
          </cell>
          <cell r="AB37">
            <v>150</v>
          </cell>
          <cell r="AC37">
            <v>150</v>
          </cell>
          <cell r="AD37">
            <v>150</v>
          </cell>
          <cell r="AE37">
            <v>150</v>
          </cell>
          <cell r="AF37">
            <v>150</v>
          </cell>
        </row>
        <row r="38">
          <cell r="E38">
            <v>110</v>
          </cell>
          <cell r="F38">
            <v>110</v>
          </cell>
          <cell r="G38">
            <v>110</v>
          </cell>
          <cell r="H38">
            <v>110</v>
          </cell>
          <cell r="I38">
            <v>110</v>
          </cell>
          <cell r="J38">
            <v>110</v>
          </cell>
          <cell r="K38">
            <v>110</v>
          </cell>
          <cell r="L38">
            <v>110</v>
          </cell>
          <cell r="M38">
            <v>110</v>
          </cell>
          <cell r="N38">
            <v>110</v>
          </cell>
          <cell r="O38">
            <v>110</v>
          </cell>
          <cell r="P38">
            <v>110</v>
          </cell>
          <cell r="Q38">
            <v>110</v>
          </cell>
          <cell r="R38">
            <v>110</v>
          </cell>
          <cell r="S38">
            <v>110</v>
          </cell>
          <cell r="T38">
            <v>110</v>
          </cell>
          <cell r="U38">
            <v>110</v>
          </cell>
          <cell r="W38">
            <v>110</v>
          </cell>
          <cell r="Z38">
            <v>110</v>
          </cell>
          <cell r="AA38">
            <v>110</v>
          </cell>
          <cell r="AB38">
            <v>110</v>
          </cell>
          <cell r="AC38">
            <v>110</v>
          </cell>
          <cell r="AD38">
            <v>110</v>
          </cell>
          <cell r="AE38">
            <v>110</v>
          </cell>
          <cell r="AF38">
            <v>110</v>
          </cell>
        </row>
        <row r="39">
          <cell r="E39">
            <v>200</v>
          </cell>
          <cell r="F39">
            <v>200</v>
          </cell>
          <cell r="G39">
            <v>200</v>
          </cell>
          <cell r="H39">
            <v>200</v>
          </cell>
          <cell r="I39">
            <v>200</v>
          </cell>
          <cell r="J39">
            <v>200</v>
          </cell>
          <cell r="K39">
            <v>200</v>
          </cell>
          <cell r="L39">
            <v>200</v>
          </cell>
          <cell r="M39">
            <v>200</v>
          </cell>
          <cell r="N39">
            <v>200</v>
          </cell>
          <cell r="O39">
            <v>200</v>
          </cell>
          <cell r="P39">
            <v>200</v>
          </cell>
          <cell r="Q39">
            <v>200</v>
          </cell>
          <cell r="R39">
            <v>200</v>
          </cell>
          <cell r="S39">
            <v>200</v>
          </cell>
          <cell r="T39">
            <v>200</v>
          </cell>
          <cell r="U39">
            <v>200</v>
          </cell>
          <cell r="W39">
            <v>200</v>
          </cell>
          <cell r="Z39">
            <v>200</v>
          </cell>
          <cell r="AA39">
            <v>200</v>
          </cell>
          <cell r="AB39">
            <v>200</v>
          </cell>
          <cell r="AC39">
            <v>200</v>
          </cell>
          <cell r="AD39">
            <v>200</v>
          </cell>
          <cell r="AE39">
            <v>200</v>
          </cell>
          <cell r="AF39">
            <v>200</v>
          </cell>
        </row>
        <row r="40">
          <cell r="E40">
            <v>180</v>
          </cell>
          <cell r="F40">
            <v>180</v>
          </cell>
          <cell r="G40">
            <v>180</v>
          </cell>
          <cell r="H40">
            <v>180</v>
          </cell>
          <cell r="I40">
            <v>180</v>
          </cell>
          <cell r="J40">
            <v>180</v>
          </cell>
          <cell r="K40">
            <v>180</v>
          </cell>
          <cell r="L40">
            <v>180</v>
          </cell>
          <cell r="M40">
            <v>180</v>
          </cell>
          <cell r="N40">
            <v>180</v>
          </cell>
          <cell r="O40">
            <v>180</v>
          </cell>
          <cell r="P40">
            <v>180</v>
          </cell>
          <cell r="Q40">
            <v>180</v>
          </cell>
          <cell r="R40">
            <v>180</v>
          </cell>
          <cell r="S40">
            <v>180</v>
          </cell>
          <cell r="T40">
            <v>180</v>
          </cell>
          <cell r="U40">
            <v>180</v>
          </cell>
          <cell r="W40">
            <v>180</v>
          </cell>
          <cell r="Z40">
            <v>180</v>
          </cell>
          <cell r="AA40">
            <v>180</v>
          </cell>
          <cell r="AB40">
            <v>180</v>
          </cell>
          <cell r="AC40">
            <v>180</v>
          </cell>
          <cell r="AD40">
            <v>180</v>
          </cell>
          <cell r="AE40">
            <v>180</v>
          </cell>
          <cell r="AF40">
            <v>180</v>
          </cell>
        </row>
        <row r="41">
          <cell r="E41">
            <v>180</v>
          </cell>
          <cell r="F41">
            <v>180</v>
          </cell>
          <cell r="G41">
            <v>180</v>
          </cell>
          <cell r="H41">
            <v>180</v>
          </cell>
          <cell r="I41">
            <v>180</v>
          </cell>
          <cell r="J41">
            <v>180</v>
          </cell>
          <cell r="K41">
            <v>180</v>
          </cell>
          <cell r="L41">
            <v>180</v>
          </cell>
          <cell r="M41">
            <v>180</v>
          </cell>
          <cell r="N41">
            <v>180</v>
          </cell>
          <cell r="O41">
            <v>180</v>
          </cell>
          <cell r="P41">
            <v>180</v>
          </cell>
          <cell r="Q41">
            <v>180</v>
          </cell>
          <cell r="R41">
            <v>180</v>
          </cell>
          <cell r="S41">
            <v>180</v>
          </cell>
          <cell r="T41">
            <v>180</v>
          </cell>
          <cell r="U41">
            <v>180</v>
          </cell>
          <cell r="W41">
            <v>180</v>
          </cell>
          <cell r="Z41">
            <v>180</v>
          </cell>
          <cell r="AA41">
            <v>180</v>
          </cell>
          <cell r="AB41">
            <v>180</v>
          </cell>
          <cell r="AC41">
            <v>180</v>
          </cell>
          <cell r="AD41">
            <v>180</v>
          </cell>
          <cell r="AE41">
            <v>180</v>
          </cell>
          <cell r="AF41">
            <v>180</v>
          </cell>
        </row>
        <row r="42">
          <cell r="E42">
            <v>100</v>
          </cell>
          <cell r="F42">
            <v>100</v>
          </cell>
          <cell r="G42">
            <v>100</v>
          </cell>
          <cell r="H42">
            <v>100</v>
          </cell>
          <cell r="I42">
            <v>100</v>
          </cell>
          <cell r="J42">
            <v>100</v>
          </cell>
          <cell r="K42">
            <v>100</v>
          </cell>
          <cell r="L42">
            <v>100</v>
          </cell>
          <cell r="M42">
            <v>100</v>
          </cell>
          <cell r="N42">
            <v>100</v>
          </cell>
          <cell r="O42">
            <v>100</v>
          </cell>
          <cell r="P42">
            <v>100</v>
          </cell>
          <cell r="Q42">
            <v>100</v>
          </cell>
          <cell r="R42">
            <v>100</v>
          </cell>
          <cell r="S42">
            <v>100</v>
          </cell>
          <cell r="T42">
            <v>100</v>
          </cell>
          <cell r="U42">
            <v>100</v>
          </cell>
          <cell r="W42">
            <v>100</v>
          </cell>
          <cell r="Z42">
            <v>100</v>
          </cell>
          <cell r="AA42">
            <v>100</v>
          </cell>
          <cell r="AB42">
            <v>100</v>
          </cell>
          <cell r="AC42">
            <v>100</v>
          </cell>
          <cell r="AD42">
            <v>100</v>
          </cell>
          <cell r="AE42">
            <v>100</v>
          </cell>
          <cell r="AF42">
            <v>100</v>
          </cell>
        </row>
        <row r="43">
          <cell r="E43">
            <v>100</v>
          </cell>
          <cell r="F43">
            <v>100</v>
          </cell>
          <cell r="G43">
            <v>100</v>
          </cell>
          <cell r="H43">
            <v>100</v>
          </cell>
          <cell r="I43">
            <v>100</v>
          </cell>
          <cell r="J43">
            <v>100</v>
          </cell>
          <cell r="K43">
            <v>100</v>
          </cell>
          <cell r="L43">
            <v>100</v>
          </cell>
          <cell r="M43">
            <v>100</v>
          </cell>
          <cell r="N43">
            <v>100</v>
          </cell>
          <cell r="O43">
            <v>100</v>
          </cell>
          <cell r="P43">
            <v>100</v>
          </cell>
          <cell r="Q43">
            <v>100</v>
          </cell>
          <cell r="R43">
            <v>100</v>
          </cell>
          <cell r="S43">
            <v>100</v>
          </cell>
          <cell r="T43">
            <v>100</v>
          </cell>
          <cell r="U43">
            <v>100</v>
          </cell>
          <cell r="W43">
            <v>100</v>
          </cell>
          <cell r="Z43">
            <v>100</v>
          </cell>
          <cell r="AA43">
            <v>100</v>
          </cell>
          <cell r="AB43">
            <v>100</v>
          </cell>
          <cell r="AC43">
            <v>100</v>
          </cell>
          <cell r="AD43">
            <v>100</v>
          </cell>
          <cell r="AE43">
            <v>100</v>
          </cell>
          <cell r="AF43">
            <v>100</v>
          </cell>
        </row>
        <row r="45">
          <cell r="E45">
            <v>1</v>
          </cell>
          <cell r="F45">
            <v>1</v>
          </cell>
          <cell r="G45">
            <v>1.2</v>
          </cell>
          <cell r="H45">
            <v>1.1499999999999999</v>
          </cell>
          <cell r="I45">
            <v>1.05</v>
          </cell>
          <cell r="J45">
            <v>1.1000000000000001</v>
          </cell>
          <cell r="K45">
            <v>1.05</v>
          </cell>
          <cell r="L45">
            <v>1.1000000000000001</v>
          </cell>
          <cell r="M45">
            <v>1.2</v>
          </cell>
          <cell r="N45">
            <v>1.2</v>
          </cell>
          <cell r="O45">
            <v>1.2</v>
          </cell>
          <cell r="P45">
            <v>1</v>
          </cell>
          <cell r="Q45">
            <v>1.05</v>
          </cell>
          <cell r="R45">
            <v>1.1000000000000001</v>
          </cell>
          <cell r="S45">
            <v>1</v>
          </cell>
          <cell r="T45">
            <v>1.1000000000000001</v>
          </cell>
          <cell r="U45">
            <v>1.1000000000000001</v>
          </cell>
          <cell r="V45">
            <v>1.1000000000000001</v>
          </cell>
          <cell r="W45">
            <v>1.2</v>
          </cell>
          <cell r="X45">
            <v>1.2</v>
          </cell>
          <cell r="Y45">
            <v>1.1000000000000001</v>
          </cell>
          <cell r="Z45">
            <v>1</v>
          </cell>
          <cell r="AA45">
            <v>1</v>
          </cell>
          <cell r="AB45">
            <v>1</v>
          </cell>
          <cell r="AC45">
            <v>1</v>
          </cell>
          <cell r="AD45">
            <v>1.1000000000000001</v>
          </cell>
          <cell r="AE45">
            <v>1.1000000000000001</v>
          </cell>
          <cell r="AF45">
            <v>1.25</v>
          </cell>
        </row>
      </sheetData>
      <sheetData sheetId="1" refreshError="1"/>
      <sheetData sheetId="2" refreshError="1"/>
      <sheetData sheetId="3" refreshError="1"/>
      <sheetData sheetId="4"/>
      <sheetData sheetId="5"/>
      <sheetData sheetId="6" refreshError="1">
        <row r="6">
          <cell r="C6">
            <v>3.5999999999999997E-2</v>
          </cell>
          <cell r="D6">
            <v>3.5999999999999997E-2</v>
          </cell>
          <cell r="E6">
            <v>2.5000000000000001E-2</v>
          </cell>
          <cell r="F6">
            <v>1.0999999999999996E-2</v>
          </cell>
          <cell r="G6">
            <v>2.1999999999999999E-2</v>
          </cell>
          <cell r="H6">
            <v>1.0999999999999999E-2</v>
          </cell>
          <cell r="I6">
            <v>2E-3</v>
          </cell>
          <cell r="J6">
            <v>0</v>
          </cell>
          <cell r="K6">
            <v>8.9999999999999993E-3</v>
          </cell>
          <cell r="L6">
            <v>0.114</v>
          </cell>
          <cell r="M6">
            <v>8.1000000000000003E-2</v>
          </cell>
          <cell r="N6">
            <v>0</v>
          </cell>
          <cell r="O6">
            <v>1E-3</v>
          </cell>
          <cell r="P6">
            <v>1.29</v>
          </cell>
          <cell r="Q6">
            <v>0.77519379844961234</v>
          </cell>
          <cell r="R6">
            <v>19.841399999999997</v>
          </cell>
          <cell r="S6">
            <v>30.8644</v>
          </cell>
          <cell r="T6">
            <v>0.85</v>
          </cell>
          <cell r="U6">
            <v>63.933399999999999</v>
          </cell>
          <cell r="W6">
            <v>400</v>
          </cell>
        </row>
        <row r="7">
          <cell r="C7">
            <v>0.4</v>
          </cell>
          <cell r="D7">
            <v>0.10299999999999999</v>
          </cell>
          <cell r="E7">
            <v>7.1999999999999995E-2</v>
          </cell>
          <cell r="F7">
            <v>3.1E-2</v>
          </cell>
          <cell r="G7">
            <v>0.158</v>
          </cell>
          <cell r="H7">
            <v>5.8999999999999997E-2</v>
          </cell>
          <cell r="I7">
            <v>1.2999999999999999E-2</v>
          </cell>
          <cell r="J7">
            <v>0</v>
          </cell>
          <cell r="K7">
            <v>8.6000000000000007E-2</v>
          </cell>
          <cell r="L7">
            <v>5.3999999999999999E-2</v>
          </cell>
          <cell r="M7">
            <v>0.65300000000000002</v>
          </cell>
          <cell r="N7">
            <v>1.2999999999999999E-2</v>
          </cell>
          <cell r="O7">
            <v>1E-3</v>
          </cell>
          <cell r="P7">
            <v>2.3820000000000001</v>
          </cell>
          <cell r="Q7">
            <v>0.41981528127623846</v>
          </cell>
          <cell r="R7">
            <v>24.250599999999999</v>
          </cell>
          <cell r="S7">
            <v>30.8644</v>
          </cell>
          <cell r="T7">
            <v>0.85</v>
          </cell>
          <cell r="U7">
            <v>63.933399999999999</v>
          </cell>
          <cell r="W7">
            <v>445</v>
          </cell>
        </row>
        <row r="8">
          <cell r="C8">
            <v>0.432</v>
          </cell>
          <cell r="D8">
            <v>0.255</v>
          </cell>
          <cell r="E8">
            <v>8.6999999999999994E-2</v>
          </cell>
          <cell r="F8">
            <v>0.16800000000000001</v>
          </cell>
          <cell r="G8">
            <v>0.17899999999999999</v>
          </cell>
          <cell r="H8">
            <v>7.5999999999999998E-2</v>
          </cell>
          <cell r="I8">
            <v>2.1000000000000001E-2</v>
          </cell>
          <cell r="J8">
            <v>8.9999999999999993E-3</v>
          </cell>
          <cell r="K8">
            <v>7.2999999999999995E-2</v>
          </cell>
          <cell r="L8">
            <v>3.9E-2</v>
          </cell>
          <cell r="M8">
            <v>0.55600000000000005</v>
          </cell>
          <cell r="N8">
            <v>4.2999999999999997E-2</v>
          </cell>
          <cell r="O8">
            <v>1E-3</v>
          </cell>
          <cell r="P8">
            <v>2.5049999999999999</v>
          </cell>
          <cell r="Q8">
            <v>0.39920159680638723</v>
          </cell>
          <cell r="R8">
            <v>24.250599999999999</v>
          </cell>
          <cell r="S8">
            <v>33.068999999999996</v>
          </cell>
          <cell r="T8">
            <v>0.9</v>
          </cell>
          <cell r="U8">
            <v>68.34259999999999</v>
          </cell>
          <cell r="W8">
            <v>455</v>
          </cell>
        </row>
        <row r="9">
          <cell r="C9">
            <v>0.46200000000000002</v>
          </cell>
          <cell r="D9">
            <v>0.26100000000000001</v>
          </cell>
          <cell r="E9">
            <v>0.13600000000000001</v>
          </cell>
          <cell r="F9">
            <v>0.125</v>
          </cell>
          <cell r="G9">
            <v>0.55300000000000005</v>
          </cell>
          <cell r="H9">
            <v>0.2</v>
          </cell>
          <cell r="I9">
            <v>9.9000000000000005E-2</v>
          </cell>
          <cell r="J9">
            <v>5.1999999999999998E-2</v>
          </cell>
          <cell r="K9">
            <v>0.20200000000000001</v>
          </cell>
          <cell r="L9">
            <v>4.5999999999999999E-2</v>
          </cell>
          <cell r="M9">
            <v>0.51200000000000001</v>
          </cell>
          <cell r="N9">
            <v>0.14000000000000001</v>
          </cell>
          <cell r="O9">
            <v>2E-3</v>
          </cell>
          <cell r="P9">
            <v>2.976</v>
          </cell>
          <cell r="Q9">
            <v>0.33602150537634407</v>
          </cell>
          <cell r="R9">
            <v>24.250599999999999</v>
          </cell>
          <cell r="S9">
            <v>55.115000000000002</v>
          </cell>
          <cell r="T9">
            <v>0.95</v>
          </cell>
          <cell r="U9">
            <v>72.751800000000003</v>
          </cell>
          <cell r="W9">
            <v>520</v>
          </cell>
        </row>
        <row r="10">
          <cell r="C10">
            <v>0.53</v>
          </cell>
          <cell r="D10">
            <v>0.30499999999999999</v>
          </cell>
          <cell r="E10">
            <v>0.14799999999999999</v>
          </cell>
          <cell r="F10">
            <v>0.157</v>
          </cell>
          <cell r="G10">
            <v>0.65</v>
          </cell>
          <cell r="H10">
            <v>0.21</v>
          </cell>
          <cell r="I10">
            <v>0.12</v>
          </cell>
          <cell r="J10">
            <v>0.06</v>
          </cell>
          <cell r="K10">
            <v>0.26000000000000006</v>
          </cell>
          <cell r="L10">
            <v>0.04</v>
          </cell>
          <cell r="M10">
            <v>0.48</v>
          </cell>
          <cell r="N10">
            <v>0.2</v>
          </cell>
          <cell r="O10">
            <v>2E-3</v>
          </cell>
          <cell r="P10">
            <v>3.2069999999999999</v>
          </cell>
          <cell r="Q10">
            <v>0.31181789834736517</v>
          </cell>
          <cell r="R10">
            <v>28.659799999999997</v>
          </cell>
          <cell r="S10">
            <v>55.115000000000002</v>
          </cell>
          <cell r="T10">
            <v>0.95</v>
          </cell>
          <cell r="U10">
            <v>72.751800000000003</v>
          </cell>
          <cell r="W10">
            <v>535</v>
          </cell>
        </row>
        <row r="11">
          <cell r="C11">
            <v>0.623</v>
          </cell>
          <cell r="D11">
            <v>0.36299999999999999</v>
          </cell>
          <cell r="E11">
            <v>0.17599999999999999</v>
          </cell>
          <cell r="F11">
            <v>0.187</v>
          </cell>
          <cell r="G11">
            <v>0.71099999999999997</v>
          </cell>
          <cell r="H11">
            <v>0.23300000000000001</v>
          </cell>
          <cell r="I11">
            <v>0.112</v>
          </cell>
          <cell r="J11">
            <v>8.4000000000000005E-2</v>
          </cell>
          <cell r="K11">
            <v>0.28199999999999997</v>
          </cell>
          <cell r="L11">
            <v>3.7999999999999999E-2</v>
          </cell>
          <cell r="M11">
            <v>0.432</v>
          </cell>
          <cell r="N11">
            <v>0.69499999999999995</v>
          </cell>
          <cell r="O11">
            <v>2E-3</v>
          </cell>
          <cell r="P11">
            <v>3.8639999999999999</v>
          </cell>
          <cell r="Q11">
            <v>0.25879917184265011</v>
          </cell>
          <cell r="R11">
            <v>33.068999999999996</v>
          </cell>
          <cell r="S11">
            <v>66.137999999999991</v>
          </cell>
          <cell r="T11">
            <v>1</v>
          </cell>
          <cell r="U11">
            <v>88.183999999999997</v>
          </cell>
          <cell r="W11">
            <v>600</v>
          </cell>
        </row>
      </sheetData>
      <sheetData sheetId="7" refreshError="1"/>
      <sheetData sheetId="8" refreshError="1"/>
      <sheetData sheetId="9" refreshError="1"/>
      <sheetData sheetId="10"/>
      <sheetData sheetId="11"/>
      <sheetData sheetId="12"/>
      <sheetData sheetId="13"/>
      <sheetData sheetId="14" refreshError="1"/>
      <sheetData sheetId="15"/>
      <sheetData sheetId="16" refreshError="1"/>
      <sheetData sheetId="17" refreshError="1"/>
      <sheetData sheetId="18" refreshError="1"/>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ZE_Main"/>
      <sheetName val="World_Total"/>
      <sheetName val="New_Form"/>
      <sheetName val="WorkData"/>
      <sheetName val="PrintForm1"/>
      <sheetName val="PrintForm2"/>
      <sheetName val="NewData"/>
      <sheetName val="modQuestionBox"/>
      <sheetName val="modPickCountry"/>
      <sheetName val="New_Zeros"/>
      <sheetName val="Blank_New_Form"/>
      <sheetName val="Region_NAM"/>
      <sheetName val="Region_SAM"/>
      <sheetName val="Region_WEP"/>
      <sheetName val="Region_AFR"/>
      <sheetName val="Region_MDE"/>
      <sheetName val="Region_FSU"/>
      <sheetName val="Region_EEP"/>
      <sheetName val="Region_SEA"/>
      <sheetName val="Region_NEA"/>
      <sheetName val="Region_ISC"/>
    </sheetNames>
    <sheetDataSet>
      <sheetData sheetId="0"/>
      <sheetData sheetId="1"/>
      <sheetData sheetId="2"/>
      <sheetData sheetId="3" refreshError="1">
        <row r="19">
          <cell r="AM19" t="str">
            <v>PrintForm1</v>
          </cell>
        </row>
      </sheetData>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2001 F (input)"/>
      <sheetName val="2002 B (input)"/>
    </sheetNames>
    <sheetDataSet>
      <sheetData sheetId="0" refreshError="1">
        <row r="1">
          <cell r="A1" t="str">
            <v>Monsanto</v>
          </cell>
        </row>
        <row r="2">
          <cell r="A2" t="str">
            <v>Mexico</v>
          </cell>
        </row>
        <row r="3">
          <cell r="A3" t="str">
            <v>2002 Budget</v>
          </cell>
        </row>
        <row r="5">
          <cell r="A5" t="str">
            <v>P/L CROP CHEMICALS</v>
          </cell>
        </row>
        <row r="6">
          <cell r="A6" t="str">
            <v>(USD  $k)</v>
          </cell>
        </row>
        <row r="9">
          <cell r="M9" t="str">
            <v>Ch 1</v>
          </cell>
          <cell r="O9" t="str">
            <v>Ch 2</v>
          </cell>
          <cell r="Q9" t="str">
            <v xml:space="preserve"> '02 B vs</v>
          </cell>
          <cell r="S9" t="str">
            <v xml:space="preserve"> '02 B vs</v>
          </cell>
          <cell r="Y9" t="str">
            <v>CAGR</v>
          </cell>
        </row>
        <row r="10">
          <cell r="C10" t="str">
            <v>1997 A</v>
          </cell>
          <cell r="E10" t="str">
            <v>1998 A</v>
          </cell>
          <cell r="G10" t="str">
            <v>1999 A</v>
          </cell>
          <cell r="I10" t="str">
            <v>2000 A</v>
          </cell>
          <cell r="K10" t="str">
            <v>2001 F</v>
          </cell>
          <cell r="M10">
            <v>2002</v>
          </cell>
          <cell r="O10">
            <v>2002</v>
          </cell>
          <cell r="Q10" t="str">
            <v xml:space="preserve"> '01 F</v>
          </cell>
          <cell r="S10" t="str">
            <v>00 A</v>
          </cell>
          <cell r="U10">
            <v>2002</v>
          </cell>
          <cell r="W10">
            <v>2003</v>
          </cell>
          <cell r="Y10" t="str">
            <v>99-03</v>
          </cell>
        </row>
        <row r="12">
          <cell r="A12" t="str">
            <v>Glyphosate Volume</v>
          </cell>
          <cell r="C12">
            <v>1007</v>
          </cell>
          <cell r="E12">
            <v>999</v>
          </cell>
          <cell r="G12">
            <v>1014.46</v>
          </cell>
          <cell r="I12">
            <v>1341.0509275959951</v>
          </cell>
          <cell r="K12">
            <v>0</v>
          </cell>
          <cell r="M12">
            <v>1510.6871054540493</v>
          </cell>
          <cell r="O12">
            <v>1510.6871054540495</v>
          </cell>
          <cell r="Q12" t="str">
            <v>N/A</v>
          </cell>
          <cell r="S12">
            <v>1.4891539394890381</v>
          </cell>
          <cell r="U12">
            <v>1510.6871054540495</v>
          </cell>
          <cell r="W12">
            <v>0</v>
          </cell>
          <cell r="Y12">
            <v>0</v>
          </cell>
        </row>
        <row r="13">
          <cell r="A13" t="str">
            <v>Glyphosate Netback</v>
          </cell>
          <cell r="C13">
            <v>25.3</v>
          </cell>
          <cell r="E13">
            <v>24.25</v>
          </cell>
          <cell r="G13">
            <v>21.67</v>
          </cell>
          <cell r="I13">
            <v>20.283178608110639</v>
          </cell>
          <cell r="K13">
            <v>0</v>
          </cell>
          <cell r="M13">
            <v>19.090271263818821</v>
          </cell>
          <cell r="O13">
            <v>19.090271263818821</v>
          </cell>
          <cell r="Q13" t="str">
            <v>N/A</v>
          </cell>
          <cell r="S13">
            <v>0.88095391157447245</v>
          </cell>
          <cell r="U13">
            <v>19.090271263818821</v>
          </cell>
          <cell r="W13">
            <v>0</v>
          </cell>
          <cell r="Y13">
            <v>0</v>
          </cell>
        </row>
        <row r="14">
          <cell r="A14" t="str">
            <v>Glyphosate Unit COGS</v>
          </cell>
          <cell r="C14">
            <v>8.81</v>
          </cell>
          <cell r="E14">
            <v>8.06</v>
          </cell>
          <cell r="G14">
            <v>8.65</v>
          </cell>
          <cell r="I14">
            <v>8.1926549835104243</v>
          </cell>
          <cell r="K14">
            <v>0</v>
          </cell>
          <cell r="M14">
            <v>8.8559069479745123</v>
          </cell>
          <cell r="O14">
            <v>8.8559069479745105</v>
          </cell>
          <cell r="Q14" t="str">
            <v>N/A</v>
          </cell>
          <cell r="S14">
            <v>1.0238042714421398</v>
          </cell>
          <cell r="U14">
            <v>8.8559069479745105</v>
          </cell>
          <cell r="W14">
            <v>0</v>
          </cell>
          <cell r="Y14">
            <v>0</v>
          </cell>
        </row>
        <row r="17">
          <cell r="A17" t="str">
            <v>Net Sales</v>
          </cell>
          <cell r="C17">
            <v>27442</v>
          </cell>
          <cell r="E17">
            <v>25973</v>
          </cell>
          <cell r="G17">
            <v>23765</v>
          </cell>
          <cell r="I17">
            <v>29276.738214678357</v>
          </cell>
          <cell r="K17">
            <v>37477.27951094439</v>
          </cell>
          <cell r="M17">
            <v>33731.756171368019</v>
          </cell>
          <cell r="O17">
            <v>30416.932992772847</v>
          </cell>
          <cell r="Q17">
            <v>0.81160995114093781</v>
          </cell>
          <cell r="S17">
            <v>1.2799046073121332</v>
          </cell>
          <cell r="U17">
            <v>33731.756171368019</v>
          </cell>
          <cell r="W17">
            <v>0</v>
          </cell>
          <cell r="Y17">
            <v>0</v>
          </cell>
        </row>
        <row r="19">
          <cell r="A19" t="str">
            <v>Inventory Cost</v>
          </cell>
          <cell r="C19">
            <v>9449</v>
          </cell>
          <cell r="E19">
            <v>8259</v>
          </cell>
          <cell r="G19">
            <v>8683</v>
          </cell>
          <cell r="I19">
            <v>10877.496405454629</v>
          </cell>
          <cell r="K19">
            <v>14962.890122771989</v>
          </cell>
          <cell r="M19">
            <v>14399.245517491767</v>
          </cell>
          <cell r="O19">
            <v>12742.057554421159</v>
          </cell>
          <cell r="Q19">
            <v>0.85157729889555556</v>
          </cell>
          <cell r="S19">
            <v>1.4674717902131935</v>
          </cell>
          <cell r="U19">
            <v>14398.320782040713</v>
          </cell>
          <cell r="W19">
            <v>0</v>
          </cell>
          <cell r="Y19">
            <v>0</v>
          </cell>
        </row>
        <row r="20">
          <cell r="A20" t="str">
            <v>Non Std. Cost</v>
          </cell>
          <cell r="C20">
            <v>365</v>
          </cell>
          <cell r="E20">
            <v>379</v>
          </cell>
          <cell r="G20">
            <v>789</v>
          </cell>
          <cell r="I20">
            <v>860.81895159905514</v>
          </cell>
          <cell r="K20">
            <v>1211.4002999999998</v>
          </cell>
          <cell r="M20">
            <v>1477.9501807596025</v>
          </cell>
          <cell r="O20">
            <v>1477.9501807596025</v>
          </cell>
          <cell r="Q20">
            <v>1.2200345177061642</v>
          </cell>
          <cell r="S20">
            <v>1.8731941454494327</v>
          </cell>
          <cell r="U20">
            <v>1478.8749162106574</v>
          </cell>
          <cell r="W20">
            <v>0</v>
          </cell>
          <cell r="Y20">
            <v>0</v>
          </cell>
        </row>
        <row r="21">
          <cell r="A21" t="str">
            <v>Alloc. NSC (STL)</v>
          </cell>
          <cell r="C21">
            <v>585</v>
          </cell>
          <cell r="E21">
            <v>668</v>
          </cell>
          <cell r="G21">
            <v>717</v>
          </cell>
          <cell r="I21">
            <v>1394.0000000000005</v>
          </cell>
          <cell r="K21">
            <v>1714.0000000000009</v>
          </cell>
          <cell r="M21">
            <v>1394.0000000000007</v>
          </cell>
          <cell r="O21">
            <v>1394.0000000000007</v>
          </cell>
          <cell r="Q21">
            <v>0.81330221703617267</v>
          </cell>
          <cell r="S21">
            <v>1.9442119944212004</v>
          </cell>
          <cell r="U21">
            <v>1394.0000000000007</v>
          </cell>
          <cell r="W21">
            <v>0</v>
          </cell>
          <cell r="Y21">
            <v>0</v>
          </cell>
        </row>
        <row r="22">
          <cell r="A22" t="str">
            <v>COGS</v>
          </cell>
          <cell r="C22">
            <v>10399</v>
          </cell>
          <cell r="E22">
            <v>9306</v>
          </cell>
          <cell r="G22">
            <v>10189</v>
          </cell>
          <cell r="I22">
            <v>13132.315357053683</v>
          </cell>
          <cell r="K22">
            <v>17888.290422771988</v>
          </cell>
          <cell r="M22">
            <v>17271.195698251369</v>
          </cell>
          <cell r="O22">
            <v>15614.007735180761</v>
          </cell>
          <cell r="Q22">
            <v>0.87286193180897598</v>
          </cell>
          <cell r="S22">
            <v>1.5324377009697479</v>
          </cell>
          <cell r="U22">
            <v>17271.195698251373</v>
          </cell>
          <cell r="W22">
            <v>0</v>
          </cell>
          <cell r="Y22">
            <v>0</v>
          </cell>
        </row>
        <row r="24">
          <cell r="A24" t="str">
            <v>Gross Profit</v>
          </cell>
          <cell r="C24">
            <v>17043</v>
          </cell>
          <cell r="E24">
            <v>16667</v>
          </cell>
          <cell r="G24">
            <v>13576</v>
          </cell>
          <cell r="I24">
            <v>16144.422857624673</v>
          </cell>
          <cell r="K24">
            <v>19588.989088172402</v>
          </cell>
          <cell r="M24">
            <v>16460.56047311665</v>
          </cell>
          <cell r="O24">
            <v>14802.925257592085</v>
          </cell>
          <cell r="Q24">
            <v>0.75567581312962773</v>
          </cell>
          <cell r="S24">
            <v>1.0903745770176845</v>
          </cell>
          <cell r="U24">
            <v>16460.560473116646</v>
          </cell>
          <cell r="W24">
            <v>0</v>
          </cell>
          <cell r="Y24">
            <v>0</v>
          </cell>
        </row>
        <row r="25">
          <cell r="A25" t="str">
            <v>% of Sales</v>
          </cell>
          <cell r="C25">
            <v>0.62105531666788139</v>
          </cell>
          <cell r="E25">
            <v>0.64170484734147004</v>
          </cell>
          <cell r="G25">
            <v>0.57126025667999158</v>
          </cell>
          <cell r="I25">
            <v>0.55144199258954374</v>
          </cell>
          <cell r="K25">
            <v>0.52268972945199721</v>
          </cell>
          <cell r="M25">
            <v>0.48798409396450582</v>
          </cell>
          <cell r="O25">
            <v>0.48666725409525358</v>
          </cell>
          <cell r="U25">
            <v>0.48798409396450571</v>
          </cell>
          <cell r="W25">
            <v>0</v>
          </cell>
        </row>
        <row r="27">
          <cell r="A27" t="str">
            <v>Marketing</v>
          </cell>
          <cell r="C27">
            <v>3221</v>
          </cell>
          <cell r="E27">
            <v>2971</v>
          </cell>
          <cell r="G27">
            <v>3595</v>
          </cell>
          <cell r="I27">
            <v>3729.4567789448693</v>
          </cell>
          <cell r="K27">
            <v>4053.270578762746</v>
          </cell>
          <cell r="M27">
            <v>4511.783859826668</v>
          </cell>
          <cell r="O27">
            <v>4340.4050722122556</v>
          </cell>
          <cell r="Q27">
            <v>1.0708401987654022</v>
          </cell>
          <cell r="S27">
            <v>1.2073449435917263</v>
          </cell>
          <cell r="U27">
            <v>4511.7838598266662</v>
          </cell>
          <cell r="W27">
            <v>0</v>
          </cell>
          <cell r="Y27">
            <v>0</v>
          </cell>
        </row>
        <row r="28">
          <cell r="A28" t="str">
            <v>Administration</v>
          </cell>
          <cell r="C28">
            <v>0</v>
          </cell>
          <cell r="E28">
            <v>0</v>
          </cell>
          <cell r="G28">
            <v>0</v>
          </cell>
          <cell r="I28">
            <v>0</v>
          </cell>
          <cell r="K28">
            <v>0</v>
          </cell>
          <cell r="M28">
            <v>0</v>
          </cell>
          <cell r="O28">
            <v>0</v>
          </cell>
          <cell r="Q28" t="str">
            <v>N/A</v>
          </cell>
          <cell r="S28" t="str">
            <v>N/A</v>
          </cell>
          <cell r="U28">
            <v>0</v>
          </cell>
          <cell r="W28">
            <v>0</v>
          </cell>
          <cell r="Y28">
            <v>0</v>
          </cell>
        </row>
        <row r="29">
          <cell r="A29" t="str">
            <v>Technology</v>
          </cell>
          <cell r="C29">
            <v>0</v>
          </cell>
          <cell r="E29">
            <v>0</v>
          </cell>
          <cell r="G29">
            <v>0</v>
          </cell>
          <cell r="I29">
            <v>0</v>
          </cell>
          <cell r="K29">
            <v>0</v>
          </cell>
          <cell r="M29">
            <v>0</v>
          </cell>
          <cell r="O29">
            <v>0</v>
          </cell>
          <cell r="Q29" t="str">
            <v>N/A</v>
          </cell>
          <cell r="S29" t="str">
            <v>N/A</v>
          </cell>
          <cell r="U29">
            <v>0</v>
          </cell>
          <cell r="W29">
            <v>0</v>
          </cell>
          <cell r="Y29">
            <v>0</v>
          </cell>
        </row>
        <row r="30">
          <cell r="A30" t="str">
            <v>Bad Debt Reserve</v>
          </cell>
          <cell r="C30">
            <v>0</v>
          </cell>
          <cell r="E30">
            <v>0</v>
          </cell>
          <cell r="G30">
            <v>0</v>
          </cell>
          <cell r="I30">
            <v>0</v>
          </cell>
          <cell r="K30">
            <v>214.99999999999997</v>
          </cell>
          <cell r="M30">
            <v>221.45000000000007</v>
          </cell>
          <cell r="O30">
            <v>221.45000000000007</v>
          </cell>
          <cell r="Q30">
            <v>1.0300000000000005</v>
          </cell>
          <cell r="S30" t="str">
            <v>N/A</v>
          </cell>
          <cell r="U30">
            <v>221.45000000000007</v>
          </cell>
          <cell r="W30">
            <v>0</v>
          </cell>
          <cell r="Y30">
            <v>0</v>
          </cell>
        </row>
        <row r="31">
          <cell r="A31" t="str">
            <v>Total Direct MAT</v>
          </cell>
          <cell r="C31">
            <v>3221</v>
          </cell>
          <cell r="E31">
            <v>2971</v>
          </cell>
          <cell r="G31">
            <v>3595</v>
          </cell>
          <cell r="I31">
            <v>3729.4567789448693</v>
          </cell>
          <cell r="K31">
            <v>4268.2705787627456</v>
          </cell>
          <cell r="M31">
            <v>4733.2338598266679</v>
          </cell>
          <cell r="O31">
            <v>4561.8550722122554</v>
          </cell>
          <cell r="Q31">
            <v>1.0687830089568997</v>
          </cell>
          <cell r="S31">
            <v>1.2689443872634925</v>
          </cell>
          <cell r="U31">
            <v>4733.233859826666</v>
          </cell>
          <cell r="W31">
            <v>0</v>
          </cell>
          <cell r="Y31">
            <v>0</v>
          </cell>
        </row>
        <row r="33">
          <cell r="A33" t="str">
            <v>Marketing</v>
          </cell>
          <cell r="C33">
            <v>0</v>
          </cell>
          <cell r="E33">
            <v>0</v>
          </cell>
          <cell r="G33">
            <v>0</v>
          </cell>
          <cell r="I33">
            <v>0</v>
          </cell>
          <cell r="K33">
            <v>0</v>
          </cell>
          <cell r="M33">
            <v>0</v>
          </cell>
          <cell r="O33">
            <v>0</v>
          </cell>
          <cell r="Q33" t="str">
            <v>N/A</v>
          </cell>
          <cell r="S33" t="str">
            <v>N/A</v>
          </cell>
          <cell r="U33">
            <v>0</v>
          </cell>
          <cell r="W33">
            <v>0</v>
          </cell>
          <cell r="Y33">
            <v>0</v>
          </cell>
        </row>
        <row r="34">
          <cell r="A34" t="str">
            <v>Administration</v>
          </cell>
          <cell r="C34">
            <v>0</v>
          </cell>
          <cell r="E34">
            <v>0</v>
          </cell>
          <cell r="G34">
            <v>0</v>
          </cell>
          <cell r="I34">
            <v>0</v>
          </cell>
          <cell r="K34">
            <v>0</v>
          </cell>
          <cell r="M34">
            <v>0</v>
          </cell>
          <cell r="O34">
            <v>0</v>
          </cell>
          <cell r="Q34" t="str">
            <v>N/A</v>
          </cell>
          <cell r="S34" t="str">
            <v>N/A</v>
          </cell>
          <cell r="U34">
            <v>0</v>
          </cell>
          <cell r="W34">
            <v>0</v>
          </cell>
          <cell r="Y34">
            <v>0</v>
          </cell>
        </row>
        <row r="35">
          <cell r="A35" t="str">
            <v>Technology</v>
          </cell>
          <cell r="C35">
            <v>0</v>
          </cell>
          <cell r="E35">
            <v>0</v>
          </cell>
          <cell r="G35">
            <v>0</v>
          </cell>
          <cell r="I35">
            <v>0</v>
          </cell>
          <cell r="K35">
            <v>0</v>
          </cell>
          <cell r="M35">
            <v>0</v>
          </cell>
          <cell r="O35">
            <v>0</v>
          </cell>
          <cell r="Q35" t="str">
            <v>N/A</v>
          </cell>
          <cell r="S35" t="str">
            <v>N/A</v>
          </cell>
          <cell r="U35">
            <v>0</v>
          </cell>
          <cell r="W35">
            <v>0</v>
          </cell>
          <cell r="Y35">
            <v>0</v>
          </cell>
        </row>
        <row r="36">
          <cell r="A36" t="str">
            <v>Total Foundation MAT</v>
          </cell>
          <cell r="C36">
            <v>0</v>
          </cell>
          <cell r="E36">
            <v>0</v>
          </cell>
          <cell r="G36">
            <v>0</v>
          </cell>
          <cell r="I36">
            <v>0</v>
          </cell>
          <cell r="K36">
            <v>0</v>
          </cell>
          <cell r="M36">
            <v>0</v>
          </cell>
          <cell r="O36">
            <v>0</v>
          </cell>
          <cell r="Q36" t="str">
            <v>N/A</v>
          </cell>
          <cell r="S36" t="str">
            <v>N/A</v>
          </cell>
          <cell r="U36">
            <v>0</v>
          </cell>
          <cell r="W36">
            <v>0</v>
          </cell>
          <cell r="Y36">
            <v>0</v>
          </cell>
        </row>
        <row r="38">
          <cell r="A38" t="str">
            <v>Amort of Intangible  Assets</v>
          </cell>
          <cell r="C38">
            <v>0</v>
          </cell>
          <cell r="E38">
            <v>0</v>
          </cell>
          <cell r="G38">
            <v>0</v>
          </cell>
          <cell r="I38">
            <v>0</v>
          </cell>
          <cell r="K38">
            <v>0</v>
          </cell>
          <cell r="M38">
            <v>0</v>
          </cell>
          <cell r="O38">
            <v>0</v>
          </cell>
          <cell r="Q38" t="str">
            <v>N/A</v>
          </cell>
          <cell r="S38" t="str">
            <v>N/A</v>
          </cell>
          <cell r="U38">
            <v>0</v>
          </cell>
          <cell r="W38">
            <v>0</v>
          </cell>
          <cell r="Y38">
            <v>0</v>
          </cell>
        </row>
        <row r="40">
          <cell r="A40" t="str">
            <v>Interest Expense</v>
          </cell>
          <cell r="C40">
            <v>0</v>
          </cell>
          <cell r="E40">
            <v>0</v>
          </cell>
          <cell r="G40">
            <v>0</v>
          </cell>
          <cell r="I40">
            <v>0</v>
          </cell>
          <cell r="K40">
            <v>0</v>
          </cell>
          <cell r="M40">
            <v>0</v>
          </cell>
          <cell r="O40">
            <v>0</v>
          </cell>
          <cell r="Q40" t="str">
            <v>N/A</v>
          </cell>
          <cell r="S40" t="str">
            <v>N/A</v>
          </cell>
          <cell r="U40">
            <v>0</v>
          </cell>
          <cell r="W40">
            <v>0</v>
          </cell>
          <cell r="Y40">
            <v>0</v>
          </cell>
        </row>
        <row r="41">
          <cell r="A41" t="str">
            <v>Interest Income</v>
          </cell>
          <cell r="C41">
            <v>0</v>
          </cell>
          <cell r="E41">
            <v>0</v>
          </cell>
          <cell r="G41">
            <v>0</v>
          </cell>
          <cell r="I41">
            <v>0</v>
          </cell>
          <cell r="K41">
            <v>0</v>
          </cell>
          <cell r="M41">
            <v>0</v>
          </cell>
          <cell r="O41">
            <v>0</v>
          </cell>
          <cell r="Q41" t="str">
            <v>N/A</v>
          </cell>
          <cell r="S41" t="str">
            <v>N/A</v>
          </cell>
          <cell r="U41">
            <v>0</v>
          </cell>
          <cell r="W41">
            <v>0</v>
          </cell>
          <cell r="Y41">
            <v>0</v>
          </cell>
        </row>
        <row r="42">
          <cell r="A42" t="str">
            <v>Other Income/Exp.</v>
          </cell>
          <cell r="C42">
            <v>0</v>
          </cell>
          <cell r="E42">
            <v>0</v>
          </cell>
          <cell r="G42">
            <v>0</v>
          </cell>
          <cell r="I42">
            <v>0</v>
          </cell>
          <cell r="K42">
            <v>0</v>
          </cell>
          <cell r="M42">
            <v>0</v>
          </cell>
          <cell r="O42">
            <v>0</v>
          </cell>
          <cell r="Q42" t="str">
            <v>N/A</v>
          </cell>
          <cell r="S42" t="str">
            <v>N/A</v>
          </cell>
          <cell r="U42">
            <v>0</v>
          </cell>
          <cell r="W42">
            <v>0</v>
          </cell>
          <cell r="Y42">
            <v>0</v>
          </cell>
        </row>
        <row r="44">
          <cell r="A44" t="str">
            <v>Income Before Tax</v>
          </cell>
          <cell r="C44">
            <v>13822</v>
          </cell>
          <cell r="E44">
            <v>13696</v>
          </cell>
          <cell r="G44">
            <v>9981</v>
          </cell>
          <cell r="I44">
            <v>12414.966078679805</v>
          </cell>
          <cell r="K44">
            <v>15320.718509409657</v>
          </cell>
          <cell r="M44">
            <v>11727.326613289981</v>
          </cell>
          <cell r="O44">
            <v>10241.070185379831</v>
          </cell>
          <cell r="Q44">
            <v>0.66844581597723274</v>
          </cell>
          <cell r="S44">
            <v>1.0260565259372638</v>
          </cell>
          <cell r="U44">
            <v>11727.326613289981</v>
          </cell>
          <cell r="W44">
            <v>0</v>
          </cell>
          <cell r="Y44">
            <v>0</v>
          </cell>
        </row>
        <row r="45">
          <cell r="A45" t="str">
            <v>Privision for Taxes</v>
          </cell>
          <cell r="C45">
            <v>5014</v>
          </cell>
          <cell r="E45">
            <v>4041</v>
          </cell>
          <cell r="G45">
            <v>3094</v>
          </cell>
          <cell r="I45">
            <v>3848.6394843907397</v>
          </cell>
          <cell r="K45">
            <v>4725.3926356613338</v>
          </cell>
          <cell r="M45">
            <v>3635.4712501198933</v>
          </cell>
          <cell r="O45">
            <v>3174.7317574677454</v>
          </cell>
          <cell r="Q45">
            <v>0.67184507240919078</v>
          </cell>
          <cell r="S45">
            <v>1.0260930049992714</v>
          </cell>
          <cell r="U45">
            <v>3635.471250119896</v>
          </cell>
          <cell r="W45">
            <v>0</v>
          </cell>
          <cell r="Y45">
            <v>0</v>
          </cell>
        </row>
        <row r="46">
          <cell r="A46" t="str">
            <v>Tax rate %</v>
          </cell>
          <cell r="C46">
            <v>0.36275502821588773</v>
          </cell>
          <cell r="E46">
            <v>0.29504964953271029</v>
          </cell>
          <cell r="G46">
            <v>0.30998897906021439</v>
          </cell>
          <cell r="I46">
            <v>0.31</v>
          </cell>
          <cell r="K46">
            <v>0.30843152902777365</v>
          </cell>
          <cell r="M46">
            <v>0.30999999999999994</v>
          </cell>
          <cell r="O46">
            <v>0.30999999999999978</v>
          </cell>
          <cell r="U46">
            <v>0.31000000000000016</v>
          </cell>
          <cell r="W46">
            <v>0</v>
          </cell>
        </row>
        <row r="48">
          <cell r="A48" t="str">
            <v>Net Income</v>
          </cell>
          <cell r="C48">
            <v>8808</v>
          </cell>
          <cell r="E48">
            <v>9655</v>
          </cell>
          <cell r="G48">
            <v>6887</v>
          </cell>
          <cell r="I48">
            <v>8566.3265942890648</v>
          </cell>
          <cell r="K48">
            <v>10595.325873748323</v>
          </cell>
          <cell r="M48">
            <v>8091.855363170087</v>
          </cell>
          <cell r="O48">
            <v>7066.3384279120855</v>
          </cell>
          <cell r="Q48">
            <v>0.66692978697522753</v>
          </cell>
          <cell r="S48">
            <v>1.0260401376378809</v>
          </cell>
          <cell r="U48">
            <v>8091.8553631700852</v>
          </cell>
          <cell r="W48">
            <v>0</v>
          </cell>
          <cell r="Y48">
            <v>0</v>
          </cell>
        </row>
        <row r="49">
          <cell r="A49" t="str">
            <v>% Sales</v>
          </cell>
          <cell r="C49">
            <v>0.32096785948546025</v>
          </cell>
          <cell r="E49">
            <v>0.37173218342124514</v>
          </cell>
          <cell r="G49">
            <v>0.28979591836734692</v>
          </cell>
          <cell r="I49">
            <v>0.29259839437967861</v>
          </cell>
          <cell r="K49">
            <v>0.28271331355986495</v>
          </cell>
          <cell r="M49">
            <v>0.23988835096699074</v>
          </cell>
          <cell r="O49">
            <v>0.23231594157080426</v>
          </cell>
          <cell r="U49">
            <v>0.23988835096699068</v>
          </cell>
          <cell r="W49">
            <v>0</v>
          </cell>
        </row>
        <row r="51">
          <cell r="A51" t="str">
            <v>EBIT</v>
          </cell>
          <cell r="C51">
            <v>13822</v>
          </cell>
          <cell r="E51">
            <v>13696</v>
          </cell>
          <cell r="G51">
            <v>9981</v>
          </cell>
          <cell r="I51">
            <v>12414.966078679805</v>
          </cell>
          <cell r="K51">
            <v>15320.718509409657</v>
          </cell>
          <cell r="M51">
            <v>11727.326613289981</v>
          </cell>
          <cell r="O51">
            <v>10241.070185379831</v>
          </cell>
          <cell r="Q51">
            <v>0.66844581597723274</v>
          </cell>
          <cell r="S51">
            <v>1.0260565259372638</v>
          </cell>
          <cell r="U51">
            <v>11727.32661328999</v>
          </cell>
          <cell r="W51">
            <v>0</v>
          </cell>
          <cell r="Y51">
            <v>0</v>
          </cell>
        </row>
        <row r="52">
          <cell r="A52" t="str">
            <v>EBITDA</v>
          </cell>
          <cell r="C52">
            <v>13822</v>
          </cell>
          <cell r="E52">
            <v>13696</v>
          </cell>
          <cell r="G52">
            <v>9981</v>
          </cell>
          <cell r="I52">
            <v>12414.966078679805</v>
          </cell>
          <cell r="K52">
            <v>15320.718509409657</v>
          </cell>
          <cell r="M52">
            <v>11727.326613289981</v>
          </cell>
          <cell r="O52">
            <v>10241.070185379831</v>
          </cell>
          <cell r="Q52">
            <v>0.66844581597723274</v>
          </cell>
          <cell r="S52">
            <v>1.0260565259372638</v>
          </cell>
          <cell r="U52">
            <v>11727.32661328999</v>
          </cell>
          <cell r="W52">
            <v>0</v>
          </cell>
          <cell r="Y52">
            <v>0</v>
          </cell>
        </row>
        <row r="54">
          <cell r="A54" t="str">
            <v>Depreciation</v>
          </cell>
          <cell r="C54">
            <v>0</v>
          </cell>
          <cell r="E54">
            <v>0</v>
          </cell>
          <cell r="G54">
            <v>0</v>
          </cell>
          <cell r="I54">
            <v>0</v>
          </cell>
          <cell r="K54">
            <v>0</v>
          </cell>
          <cell r="M54">
            <v>0</v>
          </cell>
          <cell r="O54">
            <v>0</v>
          </cell>
          <cell r="Q54" t="str">
            <v>N/A</v>
          </cell>
          <cell r="S54" t="str">
            <v>N/A</v>
          </cell>
          <cell r="U54">
            <v>0</v>
          </cell>
          <cell r="W54">
            <v>0</v>
          </cell>
          <cell r="Y54">
            <v>0</v>
          </cell>
        </row>
        <row r="56">
          <cell r="A56" t="str">
            <v>Monsanto</v>
          </cell>
        </row>
        <row r="57">
          <cell r="A57" t="str">
            <v>Mexico</v>
          </cell>
        </row>
        <row r="58">
          <cell r="A58" t="str">
            <v>2002 Budget</v>
          </cell>
        </row>
        <row r="60">
          <cell r="A60" t="str">
            <v>P/L BIOTECH</v>
          </cell>
        </row>
        <row r="61">
          <cell r="A61" t="str">
            <v>(USD  $k)</v>
          </cell>
        </row>
        <row r="64">
          <cell r="M64" t="str">
            <v>Ch 1</v>
          </cell>
          <cell r="O64" t="str">
            <v>Ch 2</v>
          </cell>
          <cell r="Q64" t="str">
            <v xml:space="preserve"> '02 B vs</v>
          </cell>
          <cell r="S64" t="str">
            <v xml:space="preserve"> '02 B vs</v>
          </cell>
          <cell r="Y64" t="str">
            <v>CAGR</v>
          </cell>
        </row>
        <row r="65">
          <cell r="C65" t="str">
            <v>1997 A</v>
          </cell>
          <cell r="E65" t="str">
            <v>1998 A</v>
          </cell>
          <cell r="G65" t="str">
            <v>1999 A</v>
          </cell>
          <cell r="I65" t="str">
            <v>2000 A</v>
          </cell>
          <cell r="K65" t="str">
            <v>2001 F</v>
          </cell>
          <cell r="M65">
            <v>2002</v>
          </cell>
          <cell r="O65">
            <v>2002</v>
          </cell>
          <cell r="Q65" t="str">
            <v xml:space="preserve"> '01 F</v>
          </cell>
          <cell r="S65" t="str">
            <v>00 A</v>
          </cell>
          <cell r="U65">
            <v>2002</v>
          </cell>
          <cell r="W65">
            <v>2003</v>
          </cell>
          <cell r="Y65" t="str">
            <v>99-03</v>
          </cell>
        </row>
        <row r="67">
          <cell r="A67" t="str">
            <v>Bt Cotton Has</v>
          </cell>
          <cell r="C67">
            <v>20</v>
          </cell>
          <cell r="E67">
            <v>37</v>
          </cell>
          <cell r="G67">
            <v>16.600000000000001</v>
          </cell>
          <cell r="I67">
            <v>34</v>
          </cell>
          <cell r="K67">
            <v>0</v>
          </cell>
          <cell r="M67">
            <v>0</v>
          </cell>
          <cell r="O67">
            <v>0</v>
          </cell>
          <cell r="Q67" t="str">
            <v>N/A</v>
          </cell>
          <cell r="S67">
            <v>0</v>
          </cell>
          <cell r="U67">
            <v>0</v>
          </cell>
          <cell r="W67">
            <v>0</v>
          </cell>
          <cell r="Y67">
            <v>0</v>
          </cell>
        </row>
        <row r="68">
          <cell r="A68" t="str">
            <v>Bt Cotton Units</v>
          </cell>
          <cell r="C68">
            <v>0</v>
          </cell>
          <cell r="E68">
            <v>0</v>
          </cell>
          <cell r="G68">
            <v>0</v>
          </cell>
          <cell r="I68">
            <v>2.0593913043478258</v>
          </cell>
          <cell r="K68">
            <v>0</v>
          </cell>
          <cell r="M68">
            <v>0</v>
          </cell>
          <cell r="O68">
            <v>0</v>
          </cell>
          <cell r="Q68" t="str">
            <v>N/A</v>
          </cell>
          <cell r="S68" t="str">
            <v>N/A</v>
          </cell>
          <cell r="U68">
            <v>0</v>
          </cell>
          <cell r="W68">
            <v>0</v>
          </cell>
          <cell r="Y68">
            <v>0</v>
          </cell>
        </row>
        <row r="70">
          <cell r="A70" t="str">
            <v>Net Sales</v>
          </cell>
          <cell r="C70">
            <v>1704</v>
          </cell>
          <cell r="E70">
            <v>2287</v>
          </cell>
          <cell r="G70">
            <v>990</v>
          </cell>
          <cell r="I70">
            <v>1425.3645000000001</v>
          </cell>
          <cell r="K70">
            <v>0</v>
          </cell>
          <cell r="M70">
            <v>1356.37178230415</v>
          </cell>
          <cell r="O70">
            <v>1356.37178230415</v>
          </cell>
          <cell r="Q70" t="str">
            <v>N/A</v>
          </cell>
          <cell r="S70">
            <v>1.3700725073779292</v>
          </cell>
          <cell r="U70">
            <v>1356.37178230415</v>
          </cell>
          <cell r="W70">
            <v>0</v>
          </cell>
          <cell r="Y70">
            <v>0</v>
          </cell>
        </row>
        <row r="72">
          <cell r="A72" t="str">
            <v>Inventory Cost</v>
          </cell>
          <cell r="C72">
            <v>832</v>
          </cell>
          <cell r="E72">
            <v>0</v>
          </cell>
          <cell r="G72">
            <v>0</v>
          </cell>
          <cell r="I72">
            <v>47.365999999999993</v>
          </cell>
          <cell r="K72">
            <v>0</v>
          </cell>
          <cell r="M72">
            <v>0</v>
          </cell>
          <cell r="O72">
            <v>0</v>
          </cell>
          <cell r="Q72" t="str">
            <v>N/A</v>
          </cell>
          <cell r="S72" t="str">
            <v>N/A</v>
          </cell>
          <cell r="U72">
            <v>43.012235152175144</v>
          </cell>
          <cell r="W72">
            <v>0</v>
          </cell>
          <cell r="Y72">
            <v>0</v>
          </cell>
        </row>
        <row r="73">
          <cell r="A73" t="str">
            <v>Non Std. Cost</v>
          </cell>
          <cell r="C73">
            <v>0</v>
          </cell>
          <cell r="E73">
            <v>46</v>
          </cell>
          <cell r="G73">
            <v>39</v>
          </cell>
          <cell r="I73">
            <v>0</v>
          </cell>
          <cell r="K73">
            <v>0</v>
          </cell>
          <cell r="M73">
            <v>0</v>
          </cell>
          <cell r="O73">
            <v>0</v>
          </cell>
          <cell r="Q73" t="str">
            <v>N/A</v>
          </cell>
          <cell r="S73">
            <v>0</v>
          </cell>
          <cell r="U73">
            <v>0</v>
          </cell>
          <cell r="W73">
            <v>0</v>
          </cell>
          <cell r="Y73">
            <v>0</v>
          </cell>
        </row>
        <row r="74">
          <cell r="A74" t="str">
            <v>Alloc. NSC (STL)</v>
          </cell>
          <cell r="C74">
            <v>0</v>
          </cell>
          <cell r="E74">
            <v>0</v>
          </cell>
          <cell r="G74">
            <v>0</v>
          </cell>
          <cell r="I74">
            <v>0</v>
          </cell>
          <cell r="K74">
            <v>0</v>
          </cell>
          <cell r="M74">
            <v>0</v>
          </cell>
          <cell r="O74">
            <v>0</v>
          </cell>
          <cell r="Q74" t="str">
            <v>N/A</v>
          </cell>
          <cell r="S74" t="str">
            <v>N/A</v>
          </cell>
          <cell r="U74">
            <v>0</v>
          </cell>
          <cell r="W74">
            <v>0</v>
          </cell>
          <cell r="Y74">
            <v>0</v>
          </cell>
        </row>
        <row r="75">
          <cell r="A75" t="str">
            <v>COGS</v>
          </cell>
          <cell r="C75">
            <v>832</v>
          </cell>
          <cell r="E75">
            <v>46</v>
          </cell>
          <cell r="G75">
            <v>39</v>
          </cell>
          <cell r="I75">
            <v>47.365999999999993</v>
          </cell>
          <cell r="K75">
            <v>0</v>
          </cell>
          <cell r="M75">
            <v>0</v>
          </cell>
          <cell r="O75">
            <v>0</v>
          </cell>
          <cell r="Q75" t="str">
            <v>N/A</v>
          </cell>
          <cell r="S75">
            <v>0</v>
          </cell>
          <cell r="U75">
            <v>43.012235152175144</v>
          </cell>
          <cell r="W75">
            <v>0</v>
          </cell>
          <cell r="Y75">
            <v>0</v>
          </cell>
        </row>
        <row r="77">
          <cell r="A77" t="str">
            <v>Gross Profit</v>
          </cell>
          <cell r="C77">
            <v>872</v>
          </cell>
          <cell r="E77">
            <v>2241</v>
          </cell>
          <cell r="G77">
            <v>951</v>
          </cell>
          <cell r="I77">
            <v>1377.9985000000001</v>
          </cell>
          <cell r="K77">
            <v>0</v>
          </cell>
          <cell r="M77">
            <v>1356.37178230415</v>
          </cell>
          <cell r="O77">
            <v>1356.37178230415</v>
          </cell>
          <cell r="Q77" t="str">
            <v>N/A</v>
          </cell>
          <cell r="S77">
            <v>1.4262584461662986</v>
          </cell>
          <cell r="U77">
            <v>1313.3595471519748</v>
          </cell>
          <cell r="W77">
            <v>0</v>
          </cell>
          <cell r="Y77">
            <v>0</v>
          </cell>
        </row>
        <row r="78">
          <cell r="A78" t="str">
            <v>% of Sales</v>
          </cell>
          <cell r="C78">
            <v>0.51173708920187788</v>
          </cell>
          <cell r="E78">
            <v>0.97988631394840398</v>
          </cell>
          <cell r="G78">
            <v>0.96060606060606057</v>
          </cell>
          <cell r="I78">
            <v>0.96676920184275672</v>
          </cell>
          <cell r="K78">
            <v>0</v>
          </cell>
          <cell r="M78">
            <v>1</v>
          </cell>
          <cell r="O78">
            <v>1</v>
          </cell>
          <cell r="U78">
            <v>0.96828875702566763</v>
          </cell>
          <cell r="W78">
            <v>0</v>
          </cell>
        </row>
        <row r="80">
          <cell r="A80" t="str">
            <v>Marketing</v>
          </cell>
          <cell r="C80">
            <v>394</v>
          </cell>
          <cell r="E80">
            <v>361</v>
          </cell>
          <cell r="G80">
            <v>370</v>
          </cell>
          <cell r="I80">
            <v>597.51927999999998</v>
          </cell>
          <cell r="K80">
            <v>19.265999999999998</v>
          </cell>
          <cell r="M80">
            <v>387.99999999999994</v>
          </cell>
          <cell r="O80">
            <v>387.99999999999994</v>
          </cell>
          <cell r="Q80">
            <v>20.139105159348073</v>
          </cell>
          <cell r="S80">
            <v>1.0486486486486486</v>
          </cell>
          <cell r="U80">
            <v>387.99999999999994</v>
          </cell>
          <cell r="W80">
            <v>0</v>
          </cell>
          <cell r="Y80">
            <v>0</v>
          </cell>
        </row>
        <row r="81">
          <cell r="A81" t="str">
            <v>Administration</v>
          </cell>
          <cell r="C81">
            <v>0</v>
          </cell>
          <cell r="E81">
            <v>0</v>
          </cell>
          <cell r="G81">
            <v>0</v>
          </cell>
          <cell r="I81">
            <v>0</v>
          </cell>
          <cell r="K81">
            <v>12.544347877977817</v>
          </cell>
          <cell r="M81">
            <v>156.96807017543858</v>
          </cell>
          <cell r="O81">
            <v>156.96807017543858</v>
          </cell>
          <cell r="Q81">
            <v>12.513051431792903</v>
          </cell>
          <cell r="S81" t="str">
            <v>N/A</v>
          </cell>
          <cell r="U81">
            <v>156.96807017543858</v>
          </cell>
          <cell r="W81">
            <v>0</v>
          </cell>
          <cell r="Y81">
            <v>0</v>
          </cell>
        </row>
        <row r="82">
          <cell r="A82" t="str">
            <v>Technology</v>
          </cell>
          <cell r="C82">
            <v>0</v>
          </cell>
          <cell r="E82">
            <v>0</v>
          </cell>
          <cell r="G82">
            <v>0</v>
          </cell>
          <cell r="I82">
            <v>0</v>
          </cell>
          <cell r="K82">
            <v>6.872115644139936</v>
          </cell>
          <cell r="M82">
            <v>0</v>
          </cell>
          <cell r="O82">
            <v>0</v>
          </cell>
          <cell r="Q82">
            <v>0</v>
          </cell>
          <cell r="S82" t="str">
            <v>N/A</v>
          </cell>
          <cell r="U82">
            <v>0</v>
          </cell>
          <cell r="W82">
            <v>0</v>
          </cell>
          <cell r="Y82">
            <v>0</v>
          </cell>
        </row>
        <row r="83">
          <cell r="A83" t="str">
            <v>Bad Debt Reserve</v>
          </cell>
          <cell r="C83">
            <v>0</v>
          </cell>
          <cell r="E83">
            <v>0</v>
          </cell>
          <cell r="G83">
            <v>0</v>
          </cell>
          <cell r="I83">
            <v>0</v>
          </cell>
          <cell r="K83">
            <v>0</v>
          </cell>
          <cell r="M83">
            <v>0</v>
          </cell>
          <cell r="O83">
            <v>0</v>
          </cell>
          <cell r="Q83" t="str">
            <v>N/A</v>
          </cell>
          <cell r="S83" t="str">
            <v>N/A</v>
          </cell>
          <cell r="U83">
            <v>0</v>
          </cell>
          <cell r="W83">
            <v>0</v>
          </cell>
          <cell r="Y83">
            <v>0</v>
          </cell>
        </row>
        <row r="84">
          <cell r="A84" t="str">
            <v>Total Direct MAT</v>
          </cell>
          <cell r="C84">
            <v>394</v>
          </cell>
          <cell r="E84">
            <v>361</v>
          </cell>
          <cell r="G84">
            <v>370</v>
          </cell>
          <cell r="I84">
            <v>597.51927999999998</v>
          </cell>
          <cell r="K84">
            <v>38.68246352211775</v>
          </cell>
          <cell r="M84">
            <v>544.96807017543847</v>
          </cell>
          <cell r="O84">
            <v>544.96807017543847</v>
          </cell>
          <cell r="Q84">
            <v>14.08824621171912</v>
          </cell>
          <cell r="S84">
            <v>1.4728866761498336</v>
          </cell>
          <cell r="U84">
            <v>544.96807017543847</v>
          </cell>
          <cell r="W84">
            <v>0</v>
          </cell>
          <cell r="Y84">
            <v>0</v>
          </cell>
        </row>
        <row r="86">
          <cell r="A86" t="str">
            <v>Marketing</v>
          </cell>
          <cell r="C86">
            <v>0</v>
          </cell>
          <cell r="E86">
            <v>0</v>
          </cell>
          <cell r="G86">
            <v>0</v>
          </cell>
          <cell r="I86">
            <v>0</v>
          </cell>
          <cell r="K86">
            <v>132.39818</v>
          </cell>
          <cell r="M86">
            <v>0</v>
          </cell>
          <cell r="O86">
            <v>0</v>
          </cell>
          <cell r="Q86">
            <v>0</v>
          </cell>
          <cell r="S86" t="str">
            <v>N/A</v>
          </cell>
          <cell r="U86">
            <v>0</v>
          </cell>
          <cell r="W86">
            <v>0</v>
          </cell>
          <cell r="Y86">
            <v>0</v>
          </cell>
        </row>
        <row r="87">
          <cell r="A87" t="str">
            <v>Administration</v>
          </cell>
          <cell r="C87">
            <v>0</v>
          </cell>
          <cell r="E87">
            <v>0</v>
          </cell>
          <cell r="G87">
            <v>0</v>
          </cell>
          <cell r="I87">
            <v>0</v>
          </cell>
          <cell r="K87">
            <v>0</v>
          </cell>
          <cell r="M87">
            <v>0</v>
          </cell>
          <cell r="O87">
            <v>0</v>
          </cell>
          <cell r="Q87" t="str">
            <v>N/A</v>
          </cell>
          <cell r="S87" t="str">
            <v>N/A</v>
          </cell>
          <cell r="U87">
            <v>0</v>
          </cell>
          <cell r="W87">
            <v>0</v>
          </cell>
          <cell r="Y87">
            <v>0</v>
          </cell>
        </row>
        <row r="88">
          <cell r="A88" t="str">
            <v>Technology</v>
          </cell>
          <cell r="C88">
            <v>0</v>
          </cell>
          <cell r="E88">
            <v>0</v>
          </cell>
          <cell r="G88">
            <v>0</v>
          </cell>
          <cell r="I88">
            <v>0</v>
          </cell>
          <cell r="K88">
            <v>0</v>
          </cell>
          <cell r="M88">
            <v>0</v>
          </cell>
          <cell r="O88">
            <v>0</v>
          </cell>
          <cell r="Q88" t="str">
            <v>N/A</v>
          </cell>
          <cell r="S88" t="str">
            <v>N/A</v>
          </cell>
          <cell r="U88">
            <v>0</v>
          </cell>
          <cell r="W88">
            <v>0</v>
          </cell>
          <cell r="Y88">
            <v>0</v>
          </cell>
        </row>
        <row r="89">
          <cell r="A89" t="str">
            <v>Total Foundation MAT</v>
          </cell>
          <cell r="C89">
            <v>0</v>
          </cell>
          <cell r="E89">
            <v>0</v>
          </cell>
          <cell r="G89">
            <v>0</v>
          </cell>
          <cell r="I89">
            <v>0</v>
          </cell>
          <cell r="K89">
            <v>132.39818</v>
          </cell>
          <cell r="M89">
            <v>0</v>
          </cell>
          <cell r="O89">
            <v>0</v>
          </cell>
          <cell r="Q89">
            <v>0</v>
          </cell>
          <cell r="S89" t="str">
            <v>N/A</v>
          </cell>
          <cell r="U89">
            <v>0</v>
          </cell>
          <cell r="W89">
            <v>0</v>
          </cell>
          <cell r="Y89">
            <v>0</v>
          </cell>
        </row>
        <row r="91">
          <cell r="A91" t="str">
            <v>Amort of Intangible  Assets</v>
          </cell>
          <cell r="C91">
            <v>0</v>
          </cell>
          <cell r="E91">
            <v>0</v>
          </cell>
          <cell r="G91">
            <v>0</v>
          </cell>
          <cell r="I91">
            <v>0</v>
          </cell>
          <cell r="K91">
            <v>109.2812262171206</v>
          </cell>
          <cell r="M91">
            <v>0</v>
          </cell>
          <cell r="O91">
            <v>0</v>
          </cell>
          <cell r="Q91">
            <v>0</v>
          </cell>
          <cell r="S91" t="str">
            <v>N/A</v>
          </cell>
          <cell r="U91">
            <v>0</v>
          </cell>
          <cell r="W91">
            <v>0</v>
          </cell>
          <cell r="Y91">
            <v>0</v>
          </cell>
        </row>
        <row r="93">
          <cell r="A93" t="str">
            <v>Interest Expense</v>
          </cell>
          <cell r="C93">
            <v>0</v>
          </cell>
          <cell r="E93">
            <v>0</v>
          </cell>
          <cell r="G93">
            <v>0</v>
          </cell>
          <cell r="I93">
            <v>0</v>
          </cell>
          <cell r="K93">
            <v>0</v>
          </cell>
          <cell r="M93">
            <v>0</v>
          </cell>
          <cell r="O93">
            <v>0</v>
          </cell>
          <cell r="Q93" t="str">
            <v>N/A</v>
          </cell>
          <cell r="S93" t="str">
            <v>N/A</v>
          </cell>
          <cell r="U93">
            <v>0</v>
          </cell>
          <cell r="W93">
            <v>0</v>
          </cell>
          <cell r="Y93">
            <v>0</v>
          </cell>
        </row>
        <row r="94">
          <cell r="A94" t="str">
            <v>Interest Income</v>
          </cell>
          <cell r="C94">
            <v>0</v>
          </cell>
          <cell r="E94">
            <v>0</v>
          </cell>
          <cell r="G94">
            <v>0</v>
          </cell>
          <cell r="I94">
            <v>0</v>
          </cell>
          <cell r="K94">
            <v>0</v>
          </cell>
          <cell r="M94">
            <v>0</v>
          </cell>
          <cell r="O94">
            <v>0</v>
          </cell>
          <cell r="Q94" t="str">
            <v>N/A</v>
          </cell>
          <cell r="S94" t="str">
            <v>N/A</v>
          </cell>
          <cell r="U94">
            <v>0</v>
          </cell>
          <cell r="W94">
            <v>0</v>
          </cell>
          <cell r="Y94">
            <v>0</v>
          </cell>
        </row>
        <row r="95">
          <cell r="A95" t="str">
            <v>Other Income/Exp.</v>
          </cell>
          <cell r="C95">
            <v>0</v>
          </cell>
          <cell r="E95">
            <v>0</v>
          </cell>
          <cell r="G95">
            <v>43</v>
          </cell>
          <cell r="I95">
            <v>0</v>
          </cell>
          <cell r="K95">
            <v>0</v>
          </cell>
          <cell r="M95">
            <v>0</v>
          </cell>
          <cell r="O95">
            <v>0</v>
          </cell>
          <cell r="Q95" t="str">
            <v>N/A</v>
          </cell>
          <cell r="S95">
            <v>0</v>
          </cell>
          <cell r="U95">
            <v>0</v>
          </cell>
          <cell r="W95">
            <v>0</v>
          </cell>
          <cell r="Y95">
            <v>0</v>
          </cell>
        </row>
        <row r="97">
          <cell r="A97" t="str">
            <v>Income Before Tax</v>
          </cell>
          <cell r="C97">
            <v>478</v>
          </cell>
          <cell r="E97">
            <v>1880</v>
          </cell>
          <cell r="G97">
            <v>624</v>
          </cell>
          <cell r="I97">
            <v>780.47922000000017</v>
          </cell>
          <cell r="K97">
            <v>-280.36186973923839</v>
          </cell>
          <cell r="M97">
            <v>811.4037121287115</v>
          </cell>
          <cell r="O97">
            <v>811.4037121287115</v>
          </cell>
          <cell r="Q97">
            <v>-2.8941300501505056</v>
          </cell>
          <cell r="S97">
            <v>1.3003264617447299</v>
          </cell>
          <cell r="U97">
            <v>768.3914769765363</v>
          </cell>
          <cell r="W97">
            <v>0</v>
          </cell>
          <cell r="Y97">
            <v>0</v>
          </cell>
        </row>
        <row r="98">
          <cell r="A98" t="str">
            <v>Privision for Taxes</v>
          </cell>
          <cell r="C98">
            <v>179</v>
          </cell>
          <cell r="E98">
            <v>507.5</v>
          </cell>
          <cell r="G98">
            <v>233</v>
          </cell>
          <cell r="I98">
            <v>273.16772700000001</v>
          </cell>
          <cell r="K98">
            <v>0</v>
          </cell>
          <cell r="M98">
            <v>250.48092572814079</v>
          </cell>
          <cell r="O98">
            <v>250.48092572814079</v>
          </cell>
          <cell r="Q98" t="str">
            <v>N/A</v>
          </cell>
          <cell r="S98">
            <v>1.0750254323096171</v>
          </cell>
          <cell r="U98">
            <v>237.20301694178769</v>
          </cell>
          <cell r="W98">
            <v>0</v>
          </cell>
          <cell r="Y98">
            <v>0</v>
          </cell>
        </row>
        <row r="99">
          <cell r="A99" t="str">
            <v>Tax rate %</v>
          </cell>
          <cell r="C99">
            <v>0.37447698744769875</v>
          </cell>
          <cell r="E99">
            <v>0.26994680851063829</v>
          </cell>
          <cell r="G99">
            <v>0.3733974358974359</v>
          </cell>
          <cell r="I99">
            <v>0.34999999999999992</v>
          </cell>
          <cell r="K99">
            <v>0</v>
          </cell>
          <cell r="M99">
            <v>0.30870073920540242</v>
          </cell>
          <cell r="O99">
            <v>0.30870073920540242</v>
          </cell>
          <cell r="U99">
            <v>0.30870073920540242</v>
          </cell>
          <cell r="W99">
            <v>0</v>
          </cell>
        </row>
        <row r="101">
          <cell r="A101" t="str">
            <v>Net Income</v>
          </cell>
          <cell r="C101">
            <v>299</v>
          </cell>
          <cell r="E101">
            <v>1372.5</v>
          </cell>
          <cell r="G101">
            <v>391</v>
          </cell>
          <cell r="I101">
            <v>507.31149300000016</v>
          </cell>
          <cell r="K101">
            <v>-280.36186973923839</v>
          </cell>
          <cell r="M101">
            <v>560.92278640057066</v>
          </cell>
          <cell r="O101">
            <v>560.92278640057066</v>
          </cell>
          <cell r="Q101">
            <v>-2.0007099643124757</v>
          </cell>
          <cell r="S101">
            <v>1.4345851314592599</v>
          </cell>
          <cell r="U101">
            <v>531.18846003474857</v>
          </cell>
          <cell r="W101">
            <v>0</v>
          </cell>
          <cell r="Y101">
            <v>0</v>
          </cell>
        </row>
        <row r="102">
          <cell r="A102" t="str">
            <v>% Sales</v>
          </cell>
          <cell r="C102">
            <v>0.17546948356807512</v>
          </cell>
          <cell r="E102">
            <v>0.60013117621337997</v>
          </cell>
          <cell r="G102">
            <v>0.39494949494949494</v>
          </cell>
          <cell r="I102">
            <v>0.35591702543454684</v>
          </cell>
          <cell r="K102">
            <v>0</v>
          </cell>
          <cell r="M102">
            <v>0.41354648756235368</v>
          </cell>
          <cell r="O102">
            <v>0.41354648756235368</v>
          </cell>
          <cell r="U102">
            <v>0.39162452873531983</v>
          </cell>
          <cell r="W102">
            <v>0</v>
          </cell>
        </row>
        <row r="104">
          <cell r="A104" t="str">
            <v>EBIT</v>
          </cell>
          <cell r="C104">
            <v>478</v>
          </cell>
          <cell r="E104">
            <v>1880</v>
          </cell>
          <cell r="G104">
            <v>624</v>
          </cell>
          <cell r="I104">
            <v>780.47922000000017</v>
          </cell>
          <cell r="K104">
            <v>0</v>
          </cell>
          <cell r="M104">
            <v>811.4037121287115</v>
          </cell>
          <cell r="O104">
            <v>811.4037121287115</v>
          </cell>
          <cell r="Q104" t="str">
            <v>N/A</v>
          </cell>
          <cell r="S104">
            <v>1.3003264617447299</v>
          </cell>
          <cell r="U104">
            <v>768.3914769765363</v>
          </cell>
          <cell r="W104">
            <v>0</v>
          </cell>
          <cell r="Y104">
            <v>0</v>
          </cell>
        </row>
        <row r="105">
          <cell r="A105" t="str">
            <v>EBITDA</v>
          </cell>
          <cell r="C105">
            <v>478</v>
          </cell>
          <cell r="E105">
            <v>1880</v>
          </cell>
          <cell r="G105">
            <v>624</v>
          </cell>
          <cell r="I105">
            <v>780.47922000000017</v>
          </cell>
          <cell r="K105">
            <v>0</v>
          </cell>
          <cell r="M105">
            <v>811.4037121287115</v>
          </cell>
          <cell r="O105">
            <v>811.4037121287115</v>
          </cell>
          <cell r="Q105" t="str">
            <v>N/A</v>
          </cell>
          <cell r="S105">
            <v>1.3003264617447299</v>
          </cell>
          <cell r="U105">
            <v>768.3914769765363</v>
          </cell>
          <cell r="W105">
            <v>0</v>
          </cell>
          <cell r="Y105">
            <v>0</v>
          </cell>
        </row>
        <row r="107">
          <cell r="A107" t="str">
            <v>Depreciation</v>
          </cell>
          <cell r="Q107" t="str">
            <v>N/A</v>
          </cell>
          <cell r="S107" t="str">
            <v>N/A</v>
          </cell>
          <cell r="Y107">
            <v>0</v>
          </cell>
        </row>
        <row r="109">
          <cell r="A109" t="str">
            <v>Monsanto</v>
          </cell>
        </row>
        <row r="110">
          <cell r="A110" t="str">
            <v>Mexico</v>
          </cell>
        </row>
        <row r="111">
          <cell r="A111" t="str">
            <v>2002 Budget</v>
          </cell>
        </row>
        <row r="113">
          <cell r="A113" t="str">
            <v>P/L AG COMMERCIAL</v>
          </cell>
        </row>
        <row r="114">
          <cell r="A114" t="str">
            <v>(USD  $k)</v>
          </cell>
        </row>
        <row r="117">
          <cell r="M117" t="str">
            <v>80/20</v>
          </cell>
          <cell r="O117" t="str">
            <v>50/50</v>
          </cell>
          <cell r="Q117" t="str">
            <v xml:space="preserve"> '01 B vs</v>
          </cell>
          <cell r="S117" t="str">
            <v xml:space="preserve"> '01 B vs</v>
          </cell>
          <cell r="Y117" t="str">
            <v>CAGR</v>
          </cell>
        </row>
        <row r="118">
          <cell r="C118" t="str">
            <v>1997 A</v>
          </cell>
          <cell r="E118" t="str">
            <v>1998 A</v>
          </cell>
          <cell r="G118" t="str">
            <v>1999 A</v>
          </cell>
          <cell r="I118" t="str">
            <v>2000 B</v>
          </cell>
          <cell r="K118" t="str">
            <v>2000 F</v>
          </cell>
          <cell r="M118">
            <v>2001</v>
          </cell>
          <cell r="O118">
            <v>2001</v>
          </cell>
          <cell r="Q118" t="str">
            <v xml:space="preserve"> '00 F</v>
          </cell>
          <cell r="S118" t="str">
            <v>99 A</v>
          </cell>
          <cell r="U118">
            <v>2002</v>
          </cell>
          <cell r="W118">
            <v>2003</v>
          </cell>
          <cell r="Y118" t="str">
            <v>99-03</v>
          </cell>
        </row>
        <row r="120">
          <cell r="A120" t="str">
            <v>Net Sales</v>
          </cell>
          <cell r="C120">
            <v>29146</v>
          </cell>
          <cell r="E120">
            <v>28260</v>
          </cell>
          <cell r="G120">
            <v>24755</v>
          </cell>
          <cell r="I120">
            <v>30702.102714678356</v>
          </cell>
          <cell r="K120">
            <v>37477.27951094439</v>
          </cell>
          <cell r="M120">
            <v>35088.12795367217</v>
          </cell>
          <cell r="O120">
            <v>31773.304775076998</v>
          </cell>
          <cell r="Q120">
            <v>0.84780179323844262</v>
          </cell>
          <cell r="S120">
            <v>1.2835105948324379</v>
          </cell>
          <cell r="U120">
            <v>35088.12795367217</v>
          </cell>
          <cell r="W120">
            <v>0</v>
          </cell>
          <cell r="Y120">
            <v>0</v>
          </cell>
        </row>
        <row r="122">
          <cell r="A122" t="str">
            <v>Inventory Cost</v>
          </cell>
          <cell r="C122">
            <v>10281</v>
          </cell>
          <cell r="E122">
            <v>8259</v>
          </cell>
          <cell r="G122">
            <v>8683</v>
          </cell>
          <cell r="I122">
            <v>10924.862405454629</v>
          </cell>
          <cell r="K122">
            <v>14962.890122771989</v>
          </cell>
          <cell r="M122">
            <v>14399.245517491767</v>
          </cell>
          <cell r="O122">
            <v>12742.057554421159</v>
          </cell>
          <cell r="Q122">
            <v>0.85157729889555556</v>
          </cell>
          <cell r="S122">
            <v>1.4674717902131935</v>
          </cell>
          <cell r="U122">
            <v>14441.333017192888</v>
          </cell>
          <cell r="W122">
            <v>0</v>
          </cell>
          <cell r="Y122">
            <v>0</v>
          </cell>
        </row>
        <row r="123">
          <cell r="A123" t="str">
            <v>Non Std. Cost</v>
          </cell>
          <cell r="C123">
            <v>365</v>
          </cell>
          <cell r="E123">
            <v>425</v>
          </cell>
          <cell r="G123">
            <v>828</v>
          </cell>
          <cell r="I123">
            <v>860.81895159905514</v>
          </cell>
          <cell r="K123">
            <v>1211.4002999999998</v>
          </cell>
          <cell r="M123">
            <v>1477.9501807596025</v>
          </cell>
          <cell r="O123">
            <v>1477.9501807596025</v>
          </cell>
          <cell r="Q123">
            <v>1.2200345177061642</v>
          </cell>
          <cell r="S123">
            <v>1.7849639864246407</v>
          </cell>
          <cell r="U123">
            <v>1478.8749162106574</v>
          </cell>
          <cell r="W123">
            <v>0</v>
          </cell>
          <cell r="Y123">
            <v>0</v>
          </cell>
        </row>
        <row r="124">
          <cell r="A124" t="str">
            <v>Alloc. NSC (STL)</v>
          </cell>
          <cell r="C124">
            <v>585</v>
          </cell>
          <cell r="E124">
            <v>668</v>
          </cell>
          <cell r="G124">
            <v>717</v>
          </cell>
          <cell r="I124">
            <v>1394.0000000000005</v>
          </cell>
          <cell r="K124">
            <v>1714.0000000000009</v>
          </cell>
          <cell r="M124">
            <v>1394.0000000000007</v>
          </cell>
          <cell r="O124">
            <v>1394.0000000000007</v>
          </cell>
          <cell r="Q124">
            <v>0.81330221703617267</v>
          </cell>
          <cell r="S124">
            <v>1.9442119944212004</v>
          </cell>
          <cell r="U124">
            <v>1394.0000000000007</v>
          </cell>
          <cell r="W124">
            <v>0</v>
          </cell>
          <cell r="Y124">
            <v>0</v>
          </cell>
        </row>
        <row r="125">
          <cell r="A125" t="str">
            <v>COGS</v>
          </cell>
          <cell r="C125">
            <v>11231</v>
          </cell>
          <cell r="E125">
            <v>9352</v>
          </cell>
          <cell r="G125">
            <v>10228</v>
          </cell>
          <cell r="I125">
            <v>13179.681357053683</v>
          </cell>
          <cell r="K125">
            <v>17888.290422771988</v>
          </cell>
          <cell r="M125">
            <v>17271.195698251369</v>
          </cell>
          <cell r="O125">
            <v>15614.007735180761</v>
          </cell>
          <cell r="Q125">
            <v>0.87286193180897598</v>
          </cell>
          <cell r="S125">
            <v>1.526594420725534</v>
          </cell>
          <cell r="U125">
            <v>17314.207933403548</v>
          </cell>
          <cell r="W125">
            <v>0</v>
          </cell>
          <cell r="Y125">
            <v>0</v>
          </cell>
        </row>
        <row r="127">
          <cell r="A127" t="str">
            <v>Gross Profit</v>
          </cell>
          <cell r="C127">
            <v>17915</v>
          </cell>
          <cell r="E127">
            <v>18908</v>
          </cell>
          <cell r="G127">
            <v>14527</v>
          </cell>
          <cell r="I127">
            <v>17522.421357624673</v>
          </cell>
          <cell r="K127">
            <v>19588.989088172402</v>
          </cell>
          <cell r="M127">
            <v>17816.932255420801</v>
          </cell>
          <cell r="O127">
            <v>16159.297039896237</v>
          </cell>
          <cell r="Q127">
            <v>0.82491735368074848</v>
          </cell>
          <cell r="S127">
            <v>1.1123629820263121</v>
          </cell>
          <cell r="U127">
            <v>17773.920020268622</v>
          </cell>
          <cell r="W127">
            <v>0</v>
          </cell>
          <cell r="Y127">
            <v>0</v>
          </cell>
        </row>
        <row r="128">
          <cell r="A128" t="str">
            <v>% of Sales</v>
          </cell>
          <cell r="C128">
            <v>0.61466410485143763</v>
          </cell>
          <cell r="E128">
            <v>0.66907289455060159</v>
          </cell>
          <cell r="G128">
            <v>0.58683094324378915</v>
          </cell>
          <cell r="I128">
            <v>0.57072382046482395</v>
          </cell>
          <cell r="K128">
            <v>0.52268972945199721</v>
          </cell>
          <cell r="M128">
            <v>0.50777665536745054</v>
          </cell>
          <cell r="O128">
            <v>0.50858093466473786</v>
          </cell>
          <cell r="U128">
            <v>0.50655082094251436</v>
          </cell>
          <cell r="W128">
            <v>0</v>
          </cell>
        </row>
        <row r="130">
          <cell r="A130" t="str">
            <v>Marketing</v>
          </cell>
          <cell r="C130">
            <v>3615</v>
          </cell>
          <cell r="E130">
            <v>3332</v>
          </cell>
          <cell r="G130">
            <v>3965</v>
          </cell>
          <cell r="I130">
            <v>4326.9760589448688</v>
          </cell>
          <cell r="K130">
            <v>4072.5365787627461</v>
          </cell>
          <cell r="M130">
            <v>4899.783859826668</v>
          </cell>
          <cell r="O130">
            <v>4728.4050722122556</v>
          </cell>
          <cell r="Q130">
            <v>1.1610466795730452</v>
          </cell>
          <cell r="S130">
            <v>1.1925359576827883</v>
          </cell>
          <cell r="U130">
            <v>4899.7838598266662</v>
          </cell>
          <cell r="W130">
            <v>0</v>
          </cell>
          <cell r="Y130">
            <v>0</v>
          </cell>
        </row>
        <row r="131">
          <cell r="A131" t="str">
            <v>Administration</v>
          </cell>
          <cell r="C131">
            <v>0</v>
          </cell>
          <cell r="E131">
            <v>0</v>
          </cell>
          <cell r="G131">
            <v>0</v>
          </cell>
          <cell r="I131">
            <v>0</v>
          </cell>
          <cell r="K131">
            <v>12.544347877977817</v>
          </cell>
          <cell r="M131">
            <v>156.96807017543858</v>
          </cell>
          <cell r="O131">
            <v>156.96807017543858</v>
          </cell>
          <cell r="Q131">
            <v>12.513051431792903</v>
          </cell>
          <cell r="S131" t="str">
            <v>N/A</v>
          </cell>
          <cell r="U131">
            <v>156.96807017543858</v>
          </cell>
          <cell r="W131">
            <v>0</v>
          </cell>
          <cell r="Y131">
            <v>0</v>
          </cell>
        </row>
        <row r="132">
          <cell r="A132" t="str">
            <v>Technology</v>
          </cell>
          <cell r="C132">
            <v>0</v>
          </cell>
          <cell r="E132">
            <v>0</v>
          </cell>
          <cell r="G132">
            <v>0</v>
          </cell>
          <cell r="I132">
            <v>0</v>
          </cell>
          <cell r="K132">
            <v>6.872115644139936</v>
          </cell>
          <cell r="M132">
            <v>0</v>
          </cell>
          <cell r="O132">
            <v>0</v>
          </cell>
          <cell r="Q132">
            <v>0</v>
          </cell>
          <cell r="S132" t="str">
            <v>N/A</v>
          </cell>
          <cell r="U132">
            <v>0</v>
          </cell>
          <cell r="W132">
            <v>0</v>
          </cell>
          <cell r="Y132">
            <v>0</v>
          </cell>
        </row>
        <row r="133">
          <cell r="C133">
            <v>0</v>
          </cell>
          <cell r="E133">
            <v>0</v>
          </cell>
          <cell r="G133">
            <v>0</v>
          </cell>
          <cell r="I133">
            <v>0</v>
          </cell>
          <cell r="K133">
            <v>214.99999999999997</v>
          </cell>
          <cell r="M133">
            <v>221.45000000000007</v>
          </cell>
          <cell r="O133">
            <v>221.45000000000007</v>
          </cell>
          <cell r="Q133">
            <v>1.0300000000000005</v>
          </cell>
          <cell r="S133" t="str">
            <v>N/A</v>
          </cell>
          <cell r="U133">
            <v>221.45000000000007</v>
          </cell>
          <cell r="W133">
            <v>0</v>
          </cell>
          <cell r="Y133">
            <v>0</v>
          </cell>
        </row>
        <row r="134">
          <cell r="A134" t="str">
            <v>Total Direct MAT</v>
          </cell>
          <cell r="C134">
            <v>3615</v>
          </cell>
          <cell r="E134">
            <v>3332</v>
          </cell>
          <cell r="G134">
            <v>3965</v>
          </cell>
          <cell r="I134">
            <v>4326.9760589448688</v>
          </cell>
          <cell r="K134">
            <v>4306.9530422848638</v>
          </cell>
          <cell r="M134">
            <v>5278.2019300021066</v>
          </cell>
          <cell r="O134">
            <v>5106.8231423876941</v>
          </cell>
          <cell r="Q134">
            <v>1.1857160020668567</v>
          </cell>
          <cell r="S134">
            <v>1.2879755718506165</v>
          </cell>
          <cell r="U134">
            <v>5278.2019300021047</v>
          </cell>
          <cell r="W134">
            <v>0</v>
          </cell>
          <cell r="Y134">
            <v>0</v>
          </cell>
        </row>
        <row r="136">
          <cell r="A136" t="str">
            <v>Marketing</v>
          </cell>
          <cell r="C136">
            <v>0</v>
          </cell>
          <cell r="E136">
            <v>0</v>
          </cell>
          <cell r="G136">
            <v>0</v>
          </cell>
          <cell r="I136">
            <v>0</v>
          </cell>
          <cell r="K136">
            <v>132.39818</v>
          </cell>
          <cell r="M136">
            <v>0</v>
          </cell>
          <cell r="O136">
            <v>0</v>
          </cell>
          <cell r="Q136">
            <v>0</v>
          </cell>
          <cell r="S136" t="str">
            <v>N/A</v>
          </cell>
          <cell r="U136">
            <v>0</v>
          </cell>
          <cell r="W136">
            <v>0</v>
          </cell>
          <cell r="Y136">
            <v>0</v>
          </cell>
        </row>
        <row r="137">
          <cell r="A137" t="str">
            <v>Administration</v>
          </cell>
          <cell r="C137">
            <v>0</v>
          </cell>
          <cell r="E137">
            <v>0</v>
          </cell>
          <cell r="G137">
            <v>0</v>
          </cell>
          <cell r="I137">
            <v>0</v>
          </cell>
          <cell r="K137">
            <v>0</v>
          </cell>
          <cell r="M137">
            <v>0</v>
          </cell>
          <cell r="O137">
            <v>0</v>
          </cell>
          <cell r="Q137" t="str">
            <v>N/A</v>
          </cell>
          <cell r="S137" t="str">
            <v>N/A</v>
          </cell>
          <cell r="U137">
            <v>0</v>
          </cell>
          <cell r="W137">
            <v>0</v>
          </cell>
          <cell r="Y137">
            <v>0</v>
          </cell>
        </row>
        <row r="138">
          <cell r="A138" t="str">
            <v>Technology</v>
          </cell>
          <cell r="C138">
            <v>0</v>
          </cell>
          <cell r="E138">
            <v>0</v>
          </cell>
          <cell r="G138">
            <v>0</v>
          </cell>
          <cell r="I138">
            <v>0</v>
          </cell>
          <cell r="K138">
            <v>0</v>
          </cell>
          <cell r="M138">
            <v>0</v>
          </cell>
          <cell r="O138">
            <v>0</v>
          </cell>
          <cell r="Q138" t="str">
            <v>N/A</v>
          </cell>
          <cell r="S138" t="str">
            <v>N/A</v>
          </cell>
          <cell r="U138">
            <v>0</v>
          </cell>
          <cell r="W138">
            <v>0</v>
          </cell>
          <cell r="Y138">
            <v>0</v>
          </cell>
        </row>
        <row r="139">
          <cell r="A139" t="str">
            <v>Total Foundation MAT</v>
          </cell>
          <cell r="C139">
            <v>0</v>
          </cell>
          <cell r="E139">
            <v>0</v>
          </cell>
          <cell r="G139">
            <v>0</v>
          </cell>
          <cell r="I139">
            <v>0</v>
          </cell>
          <cell r="K139">
            <v>132.39818</v>
          </cell>
          <cell r="M139">
            <v>0</v>
          </cell>
          <cell r="O139">
            <v>0</v>
          </cell>
          <cell r="Q139">
            <v>0</v>
          </cell>
          <cell r="S139" t="str">
            <v>N/A</v>
          </cell>
          <cell r="U139">
            <v>0</v>
          </cell>
          <cell r="W139">
            <v>0</v>
          </cell>
          <cell r="Y139">
            <v>0</v>
          </cell>
        </row>
        <row r="141">
          <cell r="A141" t="str">
            <v>Amort of Intangible  Assets</v>
          </cell>
          <cell r="C141">
            <v>0</v>
          </cell>
          <cell r="E141">
            <v>0</v>
          </cell>
          <cell r="G141">
            <v>0</v>
          </cell>
          <cell r="I141">
            <v>0</v>
          </cell>
          <cell r="K141">
            <v>109.2812262171206</v>
          </cell>
          <cell r="M141">
            <v>0</v>
          </cell>
          <cell r="O141">
            <v>0</v>
          </cell>
          <cell r="Q141">
            <v>0</v>
          </cell>
          <cell r="S141" t="str">
            <v>N/A</v>
          </cell>
          <cell r="U141">
            <v>0</v>
          </cell>
          <cell r="W141">
            <v>0</v>
          </cell>
          <cell r="Y141">
            <v>0</v>
          </cell>
        </row>
        <row r="143">
          <cell r="A143" t="str">
            <v>Interest Expense</v>
          </cell>
          <cell r="C143">
            <v>0</v>
          </cell>
          <cell r="E143">
            <v>0</v>
          </cell>
          <cell r="G143">
            <v>0</v>
          </cell>
          <cell r="I143">
            <v>0</v>
          </cell>
          <cell r="K143">
            <v>0</v>
          </cell>
          <cell r="M143">
            <v>0</v>
          </cell>
          <cell r="O143">
            <v>0</v>
          </cell>
          <cell r="Q143" t="str">
            <v>N/A</v>
          </cell>
          <cell r="S143" t="str">
            <v>N/A</v>
          </cell>
          <cell r="U143">
            <v>0</v>
          </cell>
          <cell r="W143">
            <v>0</v>
          </cell>
          <cell r="Y143">
            <v>0</v>
          </cell>
        </row>
        <row r="144">
          <cell r="A144" t="str">
            <v>Interest Income</v>
          </cell>
          <cell r="C144">
            <v>0</v>
          </cell>
          <cell r="E144">
            <v>0</v>
          </cell>
          <cell r="G144">
            <v>0</v>
          </cell>
          <cell r="I144">
            <v>0</v>
          </cell>
          <cell r="K144">
            <v>0</v>
          </cell>
          <cell r="M144">
            <v>0</v>
          </cell>
          <cell r="O144">
            <v>0</v>
          </cell>
          <cell r="Q144" t="str">
            <v>N/A</v>
          </cell>
          <cell r="S144" t="str">
            <v>N/A</v>
          </cell>
          <cell r="U144">
            <v>0</v>
          </cell>
          <cell r="W144">
            <v>0</v>
          </cell>
          <cell r="Y144">
            <v>0</v>
          </cell>
        </row>
        <row r="145">
          <cell r="A145" t="str">
            <v>Other Income/Exp.</v>
          </cell>
          <cell r="C145">
            <v>0</v>
          </cell>
          <cell r="E145">
            <v>0</v>
          </cell>
          <cell r="G145">
            <v>43</v>
          </cell>
          <cell r="I145">
            <v>0</v>
          </cell>
          <cell r="K145">
            <v>0</v>
          </cell>
          <cell r="M145">
            <v>0</v>
          </cell>
          <cell r="O145">
            <v>0</v>
          </cell>
          <cell r="Q145" t="str">
            <v>N/A</v>
          </cell>
          <cell r="S145">
            <v>0</v>
          </cell>
          <cell r="U145">
            <v>0</v>
          </cell>
          <cell r="W145">
            <v>0</v>
          </cell>
          <cell r="Y145">
            <v>0</v>
          </cell>
        </row>
        <row r="147">
          <cell r="A147" t="str">
            <v>Income Before Tax</v>
          </cell>
          <cell r="C147">
            <v>14300</v>
          </cell>
          <cell r="E147">
            <v>15576</v>
          </cell>
          <cell r="G147">
            <v>10605</v>
          </cell>
          <cell r="I147">
            <v>13195.445298679804</v>
          </cell>
          <cell r="K147">
            <v>15040.356639670417</v>
          </cell>
          <cell r="M147">
            <v>12538.730325418695</v>
          </cell>
          <cell r="O147">
            <v>11052.473897508542</v>
          </cell>
          <cell r="Q147">
            <v>0.73485450925788265</v>
          </cell>
          <cell r="S147">
            <v>1.0421946155123567</v>
          </cell>
          <cell r="U147">
            <v>12495.718090266517</v>
          </cell>
          <cell r="W147">
            <v>0</v>
          </cell>
          <cell r="Y147">
            <v>0</v>
          </cell>
        </row>
        <row r="148">
          <cell r="A148" t="str">
            <v>Privision for Taxes</v>
          </cell>
          <cell r="C148">
            <v>5193</v>
          </cell>
          <cell r="E148">
            <v>4548.5</v>
          </cell>
          <cell r="G148">
            <v>3327</v>
          </cell>
          <cell r="I148">
            <v>4121.8072113907401</v>
          </cell>
          <cell r="K148">
            <v>4725.3926356613338</v>
          </cell>
          <cell r="M148">
            <v>3885.9521758480341</v>
          </cell>
          <cell r="O148">
            <v>3425.2126831958863</v>
          </cell>
          <cell r="Q148">
            <v>0.72485250375739763</v>
          </cell>
          <cell r="S148">
            <v>1.0295198927550004</v>
          </cell>
          <cell r="U148">
            <v>3872.6742670616836</v>
          </cell>
          <cell r="W148">
            <v>0</v>
          </cell>
          <cell r="Y148">
            <v>0</v>
          </cell>
        </row>
        <row r="149">
          <cell r="A149" t="str">
            <v>Tax rate %</v>
          </cell>
          <cell r="C149">
            <v>0.36314685314685313</v>
          </cell>
          <cell r="E149">
            <v>0.29201977401129942</v>
          </cell>
          <cell r="G149">
            <v>0.31371994342291371</v>
          </cell>
          <cell r="I149">
            <v>0.31236590490834926</v>
          </cell>
          <cell r="K149">
            <v>0.31418089004602767</v>
          </cell>
          <cell r="M149">
            <v>0.30991592250535732</v>
          </cell>
          <cell r="O149">
            <v>0.30990461637443906</v>
          </cell>
          <cell r="U149">
            <v>0.30992010535819353</v>
          </cell>
          <cell r="W149">
            <v>0</v>
          </cell>
        </row>
        <row r="151">
          <cell r="A151" t="str">
            <v>Net Income</v>
          </cell>
          <cell r="C151">
            <v>9107</v>
          </cell>
          <cell r="E151">
            <v>11027.5</v>
          </cell>
          <cell r="G151">
            <v>7278</v>
          </cell>
          <cell r="I151">
            <v>9073.6380872890641</v>
          </cell>
          <cell r="K151">
            <v>10314.964004009084</v>
          </cell>
          <cell r="M151">
            <v>8652.7781495706622</v>
          </cell>
          <cell r="O151">
            <v>7627.2612143126553</v>
          </cell>
          <cell r="Q151">
            <v>0.73943653233769813</v>
          </cell>
          <cell r="S151">
            <v>1.0479886252147095</v>
          </cell>
          <cell r="U151">
            <v>8623.0438232048327</v>
          </cell>
          <cell r="W151">
            <v>0</v>
          </cell>
          <cell r="Y151">
            <v>0</v>
          </cell>
        </row>
        <row r="152">
          <cell r="A152" t="str">
            <v>% Sales</v>
          </cell>
          <cell r="C152">
            <v>0.3124614012214369</v>
          </cell>
          <cell r="E152">
            <v>0.39021585279547061</v>
          </cell>
          <cell r="G152">
            <v>0.29400121187638861</v>
          </cell>
          <cell r="I152">
            <v>0.29553800179787204</v>
          </cell>
          <cell r="K152">
            <v>0.27523246453886369</v>
          </cell>
          <cell r="M152">
            <v>0.24660130517635953</v>
          </cell>
          <cell r="O152">
            <v>0.24005249904931147</v>
          </cell>
          <cell r="U152">
            <v>0.2457538867445444</v>
          </cell>
          <cell r="W152">
            <v>0</v>
          </cell>
        </row>
        <row r="154">
          <cell r="A154" t="str">
            <v>EBIT</v>
          </cell>
          <cell r="C154">
            <v>14300</v>
          </cell>
          <cell r="E154">
            <v>15576</v>
          </cell>
          <cell r="G154">
            <v>10605</v>
          </cell>
          <cell r="I154">
            <v>13195.445298679806</v>
          </cell>
          <cell r="K154">
            <v>15320.718509409657</v>
          </cell>
          <cell r="M154">
            <v>12538.730325418692</v>
          </cell>
          <cell r="O154">
            <v>11052.473897508542</v>
          </cell>
          <cell r="Q154">
            <v>0.72140702087309738</v>
          </cell>
          <cell r="S154">
            <v>1.0421946155123567</v>
          </cell>
          <cell r="U154">
            <v>12495.718090266526</v>
          </cell>
          <cell r="W154">
            <v>0</v>
          </cell>
          <cell r="Y154">
            <v>0</v>
          </cell>
        </row>
        <row r="155">
          <cell r="A155" t="str">
            <v>EBITDA</v>
          </cell>
          <cell r="C155">
            <v>14300</v>
          </cell>
          <cell r="E155">
            <v>15576</v>
          </cell>
          <cell r="G155">
            <v>10605</v>
          </cell>
          <cell r="I155">
            <v>13195.445298679806</v>
          </cell>
          <cell r="K155">
            <v>15320.718509409657</v>
          </cell>
          <cell r="M155">
            <v>12538.730325418692</v>
          </cell>
          <cell r="O155">
            <v>11052.473897508542</v>
          </cell>
          <cell r="Q155">
            <v>0.72140702087309738</v>
          </cell>
          <cell r="S155">
            <v>1.0421946155123567</v>
          </cell>
          <cell r="U155">
            <v>12495.718090266526</v>
          </cell>
          <cell r="W155">
            <v>0</v>
          </cell>
          <cell r="Y155">
            <v>0</v>
          </cell>
        </row>
        <row r="157">
          <cell r="A157" t="str">
            <v>Depreciation</v>
          </cell>
          <cell r="C157">
            <v>0</v>
          </cell>
          <cell r="E157">
            <v>0</v>
          </cell>
          <cell r="G157">
            <v>0</v>
          </cell>
          <cell r="I157">
            <v>0</v>
          </cell>
          <cell r="K157">
            <v>0</v>
          </cell>
          <cell r="M157">
            <v>0</v>
          </cell>
          <cell r="O157">
            <v>0</v>
          </cell>
          <cell r="Q157" t="str">
            <v>N/A</v>
          </cell>
          <cell r="S157" t="str">
            <v>N/A</v>
          </cell>
          <cell r="U157">
            <v>0</v>
          </cell>
          <cell r="W157">
            <v>0</v>
          </cell>
          <cell r="Y157">
            <v>0</v>
          </cell>
        </row>
      </sheetData>
      <sheetData sheetId="1" refreshError="1">
        <row r="55">
          <cell r="A55" t="str">
            <v>MEX Forecast '01</v>
          </cell>
          <cell r="U55" t="str">
            <v>MEX Forecast YTD '00</v>
          </cell>
          <cell r="AI55" t="str">
            <v>MEX Forecast Qtr.'00</v>
          </cell>
        </row>
        <row r="56">
          <cell r="A56" t="str">
            <v>Glyphosate</v>
          </cell>
          <cell r="C56" t="str">
            <v>Jan</v>
          </cell>
          <cell r="D56" t="str">
            <v>Feb</v>
          </cell>
          <cell r="E56" t="str">
            <v>Mar</v>
          </cell>
          <cell r="F56" t="str">
            <v>Apr</v>
          </cell>
          <cell r="G56" t="str">
            <v>May</v>
          </cell>
          <cell r="H56" t="str">
            <v>Jun</v>
          </cell>
          <cell r="I56" t="str">
            <v>Jul</v>
          </cell>
          <cell r="J56" t="str">
            <v>Aug</v>
          </cell>
          <cell r="K56" t="str">
            <v>Sep</v>
          </cell>
          <cell r="L56" t="str">
            <v>Oct</v>
          </cell>
          <cell r="M56" t="str">
            <v>Nov</v>
          </cell>
          <cell r="N56" t="str">
            <v>Dec</v>
          </cell>
          <cell r="O56" t="str">
            <v>Total</v>
          </cell>
          <cell r="Q56" t="str">
            <v>Changes</v>
          </cell>
          <cell r="S56" t="str">
            <v>Changes</v>
          </cell>
          <cell r="U56" t="str">
            <v>Glyphosate</v>
          </cell>
          <cell r="V56" t="str">
            <v>Jan</v>
          </cell>
          <cell r="W56" t="str">
            <v>Feb</v>
          </cell>
          <cell r="X56" t="str">
            <v>Mar</v>
          </cell>
          <cell r="Y56" t="str">
            <v>Apr</v>
          </cell>
          <cell r="Z56" t="str">
            <v>May</v>
          </cell>
          <cell r="AA56" t="str">
            <v>Jun</v>
          </cell>
          <cell r="AB56" t="str">
            <v>Jul</v>
          </cell>
          <cell r="AC56" t="str">
            <v>Aug</v>
          </cell>
          <cell r="AD56" t="str">
            <v>Sep</v>
          </cell>
          <cell r="AE56" t="str">
            <v>Oct</v>
          </cell>
          <cell r="AF56" t="str">
            <v>Nov</v>
          </cell>
          <cell r="AI56" t="str">
            <v>Glyphosate</v>
          </cell>
          <cell r="AJ56" t="str">
            <v>1st Qtr.</v>
          </cell>
          <cell r="AK56" t="str">
            <v>2nd Qtr.</v>
          </cell>
          <cell r="AL56" t="str">
            <v>3er Qtr.</v>
          </cell>
          <cell r="AM56" t="str">
            <v>4 Qtr.</v>
          </cell>
        </row>
        <row r="58">
          <cell r="A58" t="str">
            <v>Rup Classic Volume</v>
          </cell>
          <cell r="C58">
            <v>64.637</v>
          </cell>
          <cell r="D58">
            <v>20.008718626155876</v>
          </cell>
          <cell r="E58">
            <v>122.81822985468955</v>
          </cell>
          <cell r="F58">
            <v>45.207661822985465</v>
          </cell>
          <cell r="G58">
            <v>225.53421400264199</v>
          </cell>
          <cell r="H58">
            <v>282.64808454425366</v>
          </cell>
          <cell r="I58">
            <v>57.335799207397621</v>
          </cell>
          <cell r="J58">
            <v>11.062087186261559</v>
          </cell>
          <cell r="K58">
            <v>125.39498018494055</v>
          </cell>
          <cell r="L58">
            <v>180.20622443857332</v>
          </cell>
          <cell r="M58">
            <v>32.935000000000002</v>
          </cell>
          <cell r="N58">
            <v>16.785499999999999</v>
          </cell>
          <cell r="O58">
            <v>1184.5734998678995</v>
          </cell>
          <cell r="P58">
            <v>0.73472547067840221</v>
          </cell>
          <cell r="Q58">
            <v>1184.5734998678995</v>
          </cell>
          <cell r="S58">
            <v>1184.5734998678995</v>
          </cell>
          <cell r="U58" t="str">
            <v>Rup Classic Volume</v>
          </cell>
          <cell r="V58">
            <v>64.637</v>
          </cell>
          <cell r="W58">
            <v>84.645718626155883</v>
          </cell>
          <cell r="X58">
            <v>207.46394848084543</v>
          </cell>
          <cell r="Y58">
            <v>252.6716103038309</v>
          </cell>
          <cell r="Z58">
            <v>478.20582430647289</v>
          </cell>
          <cell r="AA58">
            <v>760.85390885072661</v>
          </cell>
          <cell r="AB58">
            <v>818.18970805812421</v>
          </cell>
          <cell r="AC58">
            <v>829.25179524438579</v>
          </cell>
          <cell r="AD58">
            <v>954.64677542932634</v>
          </cell>
          <cell r="AE58">
            <v>1134.8529998678996</v>
          </cell>
          <cell r="AF58">
            <v>1167.7879998678995</v>
          </cell>
          <cell r="AI58" t="str">
            <v>Rup Classic Volume</v>
          </cell>
          <cell r="AJ58">
            <v>207.46394848084543</v>
          </cell>
          <cell r="AK58">
            <v>553.38996036988112</v>
          </cell>
          <cell r="AL58">
            <v>193.79286657859973</v>
          </cell>
          <cell r="AM58">
            <v>229.92672443857333</v>
          </cell>
        </row>
        <row r="59">
          <cell r="A59" t="str">
            <v>Rup Classic Netback</v>
          </cell>
          <cell r="C59">
            <v>17.907489524848703</v>
          </cell>
          <cell r="D59">
            <v>17.861482318427189</v>
          </cell>
          <cell r="E59">
            <v>19.397827364568553</v>
          </cell>
          <cell r="F59">
            <v>20.943863241572277</v>
          </cell>
          <cell r="G59">
            <v>19.539031917407378</v>
          </cell>
          <cell r="H59">
            <v>23.895692626940097</v>
          </cell>
          <cell r="I59">
            <v>16.181066235511416</v>
          </cell>
          <cell r="J59">
            <v>19.336664555985859</v>
          </cell>
          <cell r="K59">
            <v>26.137412325919772</v>
          </cell>
          <cell r="L59">
            <v>19.719239352631579</v>
          </cell>
          <cell r="M59">
            <v>23.299347302770453</v>
          </cell>
          <cell r="N59">
            <v>17.26222306887421</v>
          </cell>
          <cell r="O59">
            <v>21.133936303108619</v>
          </cell>
          <cell r="Q59">
            <v>21.133936303108619</v>
          </cell>
          <cell r="S59">
            <v>21.133936303108619</v>
          </cell>
          <cell r="U59" t="str">
            <v>Rup Classic Netback</v>
          </cell>
          <cell r="V59">
            <v>17.907489524848703</v>
          </cell>
          <cell r="W59">
            <v>17.896614252442671</v>
          </cell>
          <cell r="X59">
            <v>18.785329320366742</v>
          </cell>
          <cell r="Y59">
            <v>19.171531281979931</v>
          </cell>
          <cell r="Z59">
            <v>19.344854070502645</v>
          </cell>
          <cell r="AA59">
            <v>21.03543591030698</v>
          </cell>
          <cell r="AB59">
            <v>20.695259100196353</v>
          </cell>
          <cell r="AC59">
            <v>20.677135664847732</v>
          </cell>
          <cell r="AD59">
            <v>21.394355165653671</v>
          </cell>
          <cell r="AE59">
            <v>21.12835922063066</v>
          </cell>
          <cell r="AF59">
            <v>21.189587365202588</v>
          </cell>
          <cell r="AI59" t="str">
            <v>Rup Classic Netback</v>
          </cell>
          <cell r="AJ59">
            <v>18.785329320366742</v>
          </cell>
          <cell r="AK59">
            <v>21.878992951601617</v>
          </cell>
          <cell r="AL59">
            <v>22.80351497227414</v>
          </cell>
          <cell r="AM59">
            <v>20.052687361748486</v>
          </cell>
        </row>
        <row r="60">
          <cell r="A60" t="str">
            <v>Rup Classic Unit COGS</v>
          </cell>
          <cell r="C60">
            <v>9.6954937020092942</v>
          </cell>
          <cell r="D60">
            <v>10.39100262253354</v>
          </cell>
          <cell r="E60">
            <v>8.2985212479590551</v>
          </cell>
          <cell r="F60">
            <v>9.6635386820855107</v>
          </cell>
          <cell r="G60">
            <v>8.6757970213863924</v>
          </cell>
          <cell r="H60">
            <v>8.6102064615862677</v>
          </cell>
          <cell r="I60">
            <v>10.398000614808964</v>
          </cell>
          <cell r="J60">
            <v>20.298714777083703</v>
          </cell>
          <cell r="K60">
            <v>8.925750888057566</v>
          </cell>
          <cell r="L60">
            <v>9.2411349220191337</v>
          </cell>
          <cell r="M60">
            <v>10.046147511375228</v>
          </cell>
          <cell r="N60">
            <v>10.721772408444805</v>
          </cell>
          <cell r="O60">
            <v>9.1147909157177551</v>
          </cell>
          <cell r="Q60">
            <v>9.1147909157177551</v>
          </cell>
          <cell r="S60">
            <v>9.1147909157177551</v>
          </cell>
          <cell r="U60" t="str">
            <v>Rup Classic Unit COGS</v>
          </cell>
          <cell r="V60">
            <v>9.6954937020092942</v>
          </cell>
          <cell r="W60">
            <v>9.8598994453666524</v>
          </cell>
          <cell r="X60">
            <v>8.935566770974253</v>
          </cell>
          <cell r="Y60">
            <v>9.0658145179790584</v>
          </cell>
          <cell r="Z60">
            <v>8.8818721963461638</v>
          </cell>
          <cell r="AA60">
            <v>8.780951640280179</v>
          </cell>
          <cell r="AB60">
            <v>8.8942686307030456</v>
          </cell>
          <cell r="AC60">
            <v>9.0464021302091968</v>
          </cell>
          <cell r="AD60">
            <v>9.0305543208326995</v>
          </cell>
          <cell r="AE60">
            <v>9.0639929556904573</v>
          </cell>
          <cell r="AF60">
            <v>9.0916925555280468</v>
          </cell>
          <cell r="AI60" t="str">
            <v>Rup Classic Unit COGS</v>
          </cell>
          <cell r="AJ60">
            <v>8.935566770974253</v>
          </cell>
          <cell r="AK60">
            <v>8.7229869719525617</v>
          </cell>
          <cell r="AL60">
            <v>10.01052421606607</v>
          </cell>
          <cell r="AM60">
            <v>9.4645379661161844</v>
          </cell>
        </row>
        <row r="62">
          <cell r="A62" t="str">
            <v>Honcho Volume</v>
          </cell>
          <cell r="C62">
            <v>0</v>
          </cell>
          <cell r="D62">
            <v>0</v>
          </cell>
          <cell r="E62">
            <v>0</v>
          </cell>
          <cell r="F62">
            <v>0</v>
          </cell>
          <cell r="G62">
            <v>0</v>
          </cell>
          <cell r="H62">
            <v>0</v>
          </cell>
          <cell r="I62">
            <v>0</v>
          </cell>
          <cell r="J62">
            <v>0</v>
          </cell>
          <cell r="K62">
            <v>0</v>
          </cell>
          <cell r="L62">
            <v>0</v>
          </cell>
          <cell r="M62">
            <v>0</v>
          </cell>
          <cell r="N62">
            <v>0</v>
          </cell>
          <cell r="O62">
            <v>0</v>
          </cell>
          <cell r="Q62">
            <v>0</v>
          </cell>
          <cell r="S62">
            <v>0</v>
          </cell>
          <cell r="U62" t="str">
            <v>Honcho Volume</v>
          </cell>
          <cell r="V62">
            <v>0</v>
          </cell>
          <cell r="W62">
            <v>0</v>
          </cell>
          <cell r="X62">
            <v>0</v>
          </cell>
          <cell r="Y62">
            <v>0</v>
          </cell>
          <cell r="Z62">
            <v>0</v>
          </cell>
          <cell r="AA62">
            <v>0</v>
          </cell>
          <cell r="AB62">
            <v>0</v>
          </cell>
          <cell r="AC62">
            <v>0</v>
          </cell>
          <cell r="AD62">
            <v>0</v>
          </cell>
          <cell r="AE62">
            <v>0</v>
          </cell>
          <cell r="AF62">
            <v>0</v>
          </cell>
          <cell r="AI62" t="str">
            <v>Honcho Volume</v>
          </cell>
          <cell r="AJ62">
            <v>0</v>
          </cell>
          <cell r="AK62">
            <v>0</v>
          </cell>
          <cell r="AL62">
            <v>0</v>
          </cell>
          <cell r="AM62">
            <v>0</v>
          </cell>
        </row>
        <row r="63">
          <cell r="A63" t="str">
            <v>Honcho Netback</v>
          </cell>
          <cell r="C63">
            <v>0</v>
          </cell>
          <cell r="D63">
            <v>0</v>
          </cell>
          <cell r="E63">
            <v>0</v>
          </cell>
          <cell r="F63">
            <v>0</v>
          </cell>
          <cell r="G63">
            <v>0</v>
          </cell>
          <cell r="H63">
            <v>0</v>
          </cell>
          <cell r="I63">
            <v>0</v>
          </cell>
          <cell r="J63">
            <v>0</v>
          </cell>
          <cell r="K63">
            <v>0</v>
          </cell>
          <cell r="L63">
            <v>0</v>
          </cell>
          <cell r="M63">
            <v>0</v>
          </cell>
          <cell r="N63">
            <v>0</v>
          </cell>
          <cell r="O63">
            <v>0</v>
          </cell>
          <cell r="Q63">
            <v>0</v>
          </cell>
          <cell r="S63">
            <v>0</v>
          </cell>
          <cell r="U63" t="str">
            <v>Honcho Netback</v>
          </cell>
          <cell r="V63">
            <v>0</v>
          </cell>
          <cell r="W63">
            <v>0</v>
          </cell>
          <cell r="X63">
            <v>0</v>
          </cell>
          <cell r="Y63">
            <v>0</v>
          </cell>
          <cell r="Z63">
            <v>0</v>
          </cell>
          <cell r="AA63">
            <v>0</v>
          </cell>
          <cell r="AB63">
            <v>0</v>
          </cell>
          <cell r="AC63">
            <v>0</v>
          </cell>
          <cell r="AD63">
            <v>0</v>
          </cell>
          <cell r="AE63">
            <v>0</v>
          </cell>
          <cell r="AF63">
            <v>0</v>
          </cell>
          <cell r="AI63" t="str">
            <v>Honcho Netback</v>
          </cell>
          <cell r="AJ63">
            <v>0</v>
          </cell>
          <cell r="AK63">
            <v>0</v>
          </cell>
          <cell r="AL63">
            <v>0</v>
          </cell>
          <cell r="AM63">
            <v>0</v>
          </cell>
        </row>
        <row r="64">
          <cell r="A64" t="str">
            <v>Honcho Unit COGS</v>
          </cell>
          <cell r="C64">
            <v>0</v>
          </cell>
          <cell r="D64">
            <v>0</v>
          </cell>
          <cell r="E64">
            <v>0</v>
          </cell>
          <cell r="F64">
            <v>0</v>
          </cell>
          <cell r="G64">
            <v>0</v>
          </cell>
          <cell r="H64">
            <v>0</v>
          </cell>
          <cell r="I64">
            <v>0</v>
          </cell>
          <cell r="J64">
            <v>0</v>
          </cell>
          <cell r="K64">
            <v>0</v>
          </cell>
          <cell r="L64">
            <v>0</v>
          </cell>
          <cell r="M64">
            <v>0</v>
          </cell>
          <cell r="N64">
            <v>0</v>
          </cell>
          <cell r="O64">
            <v>0</v>
          </cell>
          <cell r="Q64">
            <v>0</v>
          </cell>
          <cell r="S64">
            <v>0</v>
          </cell>
          <cell r="U64" t="str">
            <v>Honcho Unit COGS</v>
          </cell>
          <cell r="V64">
            <v>0</v>
          </cell>
          <cell r="W64">
            <v>0</v>
          </cell>
          <cell r="X64">
            <v>0</v>
          </cell>
          <cell r="Y64">
            <v>0</v>
          </cell>
          <cell r="Z64">
            <v>0</v>
          </cell>
          <cell r="AA64">
            <v>0</v>
          </cell>
          <cell r="AB64">
            <v>0</v>
          </cell>
          <cell r="AC64">
            <v>0</v>
          </cell>
          <cell r="AD64">
            <v>0</v>
          </cell>
          <cell r="AE64">
            <v>0</v>
          </cell>
          <cell r="AF64">
            <v>0</v>
          </cell>
          <cell r="AI64" t="str">
            <v>Honcho Unit COGS</v>
          </cell>
          <cell r="AJ64">
            <v>0</v>
          </cell>
          <cell r="AK64">
            <v>0</v>
          </cell>
          <cell r="AL64">
            <v>0</v>
          </cell>
          <cell r="AM64">
            <v>0</v>
          </cell>
        </row>
        <row r="66">
          <cell r="A66" t="str">
            <v>Private Labels Volume</v>
          </cell>
          <cell r="C66">
            <v>0</v>
          </cell>
          <cell r="D66">
            <v>1.321003963011889</v>
          </cell>
          <cell r="E66">
            <v>18.494055482166445</v>
          </cell>
          <cell r="F66">
            <v>6.6050198150594452</v>
          </cell>
          <cell r="G66">
            <v>14.531043593130779</v>
          </cell>
          <cell r="H66">
            <v>27.582562747688243</v>
          </cell>
          <cell r="I66">
            <v>7.8752972258916776</v>
          </cell>
          <cell r="J66">
            <v>8.7492734478203431</v>
          </cell>
          <cell r="K66">
            <v>3.9630118890356671</v>
          </cell>
          <cell r="L66">
            <v>15.852047556142669</v>
          </cell>
          <cell r="M66">
            <v>7.9260237780713343</v>
          </cell>
          <cell r="N66">
            <v>15.852047556142669</v>
          </cell>
          <cell r="O66">
            <v>128.75138705416117</v>
          </cell>
          <cell r="P66">
            <v>7.9857369310063833E-2</v>
          </cell>
          <cell r="Q66">
            <v>128.75138705416117</v>
          </cell>
          <cell r="S66">
            <v>128.75138705416117</v>
          </cell>
          <cell r="U66" t="str">
            <v>Private Labels Volume</v>
          </cell>
          <cell r="V66">
            <v>0</v>
          </cell>
          <cell r="W66">
            <v>1.321003963011889</v>
          </cell>
          <cell r="X66">
            <v>19.815059445178335</v>
          </cell>
          <cell r="Y66">
            <v>26.420079260237781</v>
          </cell>
          <cell r="Z66">
            <v>40.95112285336856</v>
          </cell>
          <cell r="AA66">
            <v>68.533685601056803</v>
          </cell>
          <cell r="AB66">
            <v>76.408982826948474</v>
          </cell>
          <cell r="AC66">
            <v>85.158256274768817</v>
          </cell>
          <cell r="AD66">
            <v>89.121268163804487</v>
          </cell>
          <cell r="AE66">
            <v>104.97331571994715</v>
          </cell>
          <cell r="AF66">
            <v>112.89933949801849</v>
          </cell>
          <cell r="AI66" t="str">
            <v>Private Labels Volume</v>
          </cell>
          <cell r="AJ66">
            <v>19.815059445178335</v>
          </cell>
          <cell r="AK66">
            <v>48.718626155878468</v>
          </cell>
          <cell r="AL66">
            <v>20.587582562747688</v>
          </cell>
          <cell r="AM66">
            <v>39.63011889035667</v>
          </cell>
        </row>
        <row r="67">
          <cell r="A67" t="str">
            <v>Private Labels Netback</v>
          </cell>
          <cell r="C67">
            <v>0</v>
          </cell>
          <cell r="D67">
            <v>15.32309129599834</v>
          </cell>
          <cell r="E67">
            <v>13.891068730855816</v>
          </cell>
          <cell r="F67">
            <v>15.492758186397984</v>
          </cell>
          <cell r="G67">
            <v>13.719437477763757</v>
          </cell>
          <cell r="H67">
            <v>12.611233420133964</v>
          </cell>
          <cell r="I67">
            <v>15.672771613093598</v>
          </cell>
          <cell r="J67">
            <v>15.110997046794143</v>
          </cell>
          <cell r="K67">
            <v>16.347657317806572</v>
          </cell>
          <cell r="L67">
            <v>13.195233106338396</v>
          </cell>
          <cell r="M67">
            <v>14.887904761904764</v>
          </cell>
          <cell r="N67">
            <v>14.577110526315789</v>
          </cell>
          <cell r="O67">
            <v>14.022033447289814</v>
          </cell>
          <cell r="Q67">
            <v>14.022033447289814</v>
          </cell>
          <cell r="S67">
            <v>14.022033447289814</v>
          </cell>
          <cell r="U67" t="str">
            <v>Private Labels Netback</v>
          </cell>
          <cell r="V67">
            <v>0</v>
          </cell>
          <cell r="W67">
            <v>15.32309129599834</v>
          </cell>
          <cell r="X67">
            <v>13.986536901865316</v>
          </cell>
          <cell r="Y67">
            <v>14.363092222998482</v>
          </cell>
          <cell r="Z67">
            <v>14.134698603721645</v>
          </cell>
          <cell r="AA67">
            <v>13.521553788121977</v>
          </cell>
          <cell r="AB67">
            <v>13.74327483638743</v>
          </cell>
          <cell r="AC67">
            <v>13.883796450415019</v>
          </cell>
          <cell r="AD67">
            <v>13.993358512441063</v>
          </cell>
          <cell r="AE67">
            <v>13.872833388446136</v>
          </cell>
          <cell r="AF67">
            <v>13.944095805730816</v>
          </cell>
          <cell r="AI67" t="str">
            <v>Private Labels Netback</v>
          </cell>
          <cell r="AJ67">
            <v>13.986536901865316</v>
          </cell>
          <cell r="AK67">
            <v>13.332433758128753</v>
          </cell>
          <cell r="AL67">
            <v>15.56394197181648</v>
          </cell>
          <cell r="AM67">
            <v>14.086518405442627</v>
          </cell>
        </row>
        <row r="68">
          <cell r="A68" t="str">
            <v>Private Labels Unit COGS</v>
          </cell>
          <cell r="C68">
            <v>0</v>
          </cell>
          <cell r="D68">
            <v>8.4046803342502745</v>
          </cell>
          <cell r="E68">
            <v>7.9285786766062669</v>
          </cell>
          <cell r="F68">
            <v>7.5885715999999999</v>
          </cell>
          <cell r="G68">
            <v>7.5127069201639509</v>
          </cell>
          <cell r="H68">
            <v>7.5015957286944381</v>
          </cell>
          <cell r="I68">
            <v>5.5584475774413598</v>
          </cell>
          <cell r="J68">
            <v>7.7302174054837529</v>
          </cell>
          <cell r="K68">
            <v>8.0242573333333329</v>
          </cell>
          <cell r="L68">
            <v>8.49</v>
          </cell>
          <cell r="M68">
            <v>8.4899999576471998</v>
          </cell>
          <cell r="N68">
            <v>8.4899999330350102</v>
          </cell>
          <cell r="O68">
            <v>7.7949118315910884</v>
          </cell>
          <cell r="Q68">
            <v>7.7949118315910884</v>
          </cell>
          <cell r="S68">
            <v>7.7949118315910884</v>
          </cell>
          <cell r="U68" t="str">
            <v>Private Labels Unit COGS</v>
          </cell>
          <cell r="V68">
            <v>0</v>
          </cell>
          <cell r="W68">
            <v>8.4046803342502745</v>
          </cell>
          <cell r="X68">
            <v>7.9603187871158667</v>
          </cell>
          <cell r="Y68">
            <v>7.8673819903368996</v>
          </cell>
          <cell r="Z68">
            <v>7.7415295460819831</v>
          </cell>
          <cell r="AA68">
            <v>7.6449640467170656</v>
          </cell>
          <cell r="AB68">
            <v>7.4299116176135493</v>
          </cell>
          <cell r="AC68">
            <v>7.4607654369726717</v>
          </cell>
          <cell r="AD68">
            <v>7.4858225880956564</v>
          </cell>
          <cell r="AE68">
            <v>7.6374636787779728</v>
          </cell>
          <cell r="AF68">
            <v>7.6973154267866892</v>
          </cell>
          <cell r="AI68" t="str">
            <v>Private Labels Unit COGS</v>
          </cell>
          <cell r="AJ68">
            <v>7.9603187871158667</v>
          </cell>
          <cell r="AK68">
            <v>7.5167015438433662</v>
          </cell>
          <cell r="AL68">
            <v>6.9560590445610089</v>
          </cell>
          <cell r="AM68">
            <v>8.4899999647434434</v>
          </cell>
        </row>
        <row r="70">
          <cell r="A70" t="str">
            <v>NAS Volume</v>
          </cell>
          <cell r="C70">
            <v>0</v>
          </cell>
          <cell r="D70">
            <v>0</v>
          </cell>
          <cell r="E70">
            <v>0</v>
          </cell>
          <cell r="F70">
            <v>0</v>
          </cell>
          <cell r="G70">
            <v>0</v>
          </cell>
          <cell r="H70">
            <v>0</v>
          </cell>
          <cell r="I70">
            <v>0</v>
          </cell>
          <cell r="J70">
            <v>0</v>
          </cell>
          <cell r="K70">
            <v>0</v>
          </cell>
          <cell r="L70">
            <v>0</v>
          </cell>
          <cell r="M70">
            <v>0</v>
          </cell>
          <cell r="N70">
            <v>0</v>
          </cell>
          <cell r="O70">
            <v>0</v>
          </cell>
          <cell r="Q70">
            <v>0</v>
          </cell>
          <cell r="S70">
            <v>0</v>
          </cell>
          <cell r="U70" t="str">
            <v>NAS Volume</v>
          </cell>
          <cell r="V70">
            <v>0</v>
          </cell>
          <cell r="W70">
            <v>0</v>
          </cell>
          <cell r="X70">
            <v>0</v>
          </cell>
          <cell r="Y70">
            <v>0</v>
          </cell>
          <cell r="Z70">
            <v>0</v>
          </cell>
          <cell r="AA70">
            <v>0</v>
          </cell>
          <cell r="AB70">
            <v>0</v>
          </cell>
          <cell r="AC70">
            <v>0</v>
          </cell>
          <cell r="AD70">
            <v>0</v>
          </cell>
          <cell r="AE70">
            <v>0</v>
          </cell>
          <cell r="AF70">
            <v>0</v>
          </cell>
          <cell r="AI70" t="str">
            <v>NAS Volume</v>
          </cell>
          <cell r="AJ70">
            <v>0</v>
          </cell>
          <cell r="AK70">
            <v>0</v>
          </cell>
          <cell r="AL70">
            <v>0</v>
          </cell>
          <cell r="AM70">
            <v>0</v>
          </cell>
        </row>
        <row r="71">
          <cell r="A71" t="str">
            <v>NAS Netback</v>
          </cell>
          <cell r="C71">
            <v>0</v>
          </cell>
          <cell r="D71">
            <v>0</v>
          </cell>
          <cell r="E71">
            <v>0</v>
          </cell>
          <cell r="F71">
            <v>0</v>
          </cell>
          <cell r="G71">
            <v>0</v>
          </cell>
          <cell r="H71">
            <v>0</v>
          </cell>
          <cell r="I71">
            <v>0</v>
          </cell>
          <cell r="J71">
            <v>0</v>
          </cell>
          <cell r="K71">
            <v>0</v>
          </cell>
          <cell r="L71">
            <v>0</v>
          </cell>
          <cell r="M71">
            <v>0</v>
          </cell>
          <cell r="N71">
            <v>0</v>
          </cell>
          <cell r="O71">
            <v>0</v>
          </cell>
          <cell r="Q71">
            <v>0</v>
          </cell>
          <cell r="S71">
            <v>0</v>
          </cell>
          <cell r="U71" t="str">
            <v>NAS Netback</v>
          </cell>
          <cell r="V71">
            <v>0</v>
          </cell>
          <cell r="W71">
            <v>0</v>
          </cell>
          <cell r="X71">
            <v>0</v>
          </cell>
          <cell r="Y71">
            <v>0</v>
          </cell>
          <cell r="Z71">
            <v>0</v>
          </cell>
          <cell r="AA71">
            <v>0</v>
          </cell>
          <cell r="AB71">
            <v>0</v>
          </cell>
          <cell r="AC71">
            <v>0</v>
          </cell>
          <cell r="AD71">
            <v>0</v>
          </cell>
          <cell r="AE71">
            <v>0</v>
          </cell>
          <cell r="AF71">
            <v>0</v>
          </cell>
          <cell r="AI71" t="str">
            <v>NAS Netback</v>
          </cell>
          <cell r="AJ71">
            <v>0</v>
          </cell>
          <cell r="AK71">
            <v>0</v>
          </cell>
          <cell r="AL71">
            <v>0</v>
          </cell>
          <cell r="AM71">
            <v>0</v>
          </cell>
        </row>
        <row r="72">
          <cell r="A72" t="str">
            <v>NAS Unit COGS</v>
          </cell>
          <cell r="C72">
            <v>0</v>
          </cell>
          <cell r="D72">
            <v>0</v>
          </cell>
          <cell r="E72">
            <v>0</v>
          </cell>
          <cell r="F72">
            <v>0</v>
          </cell>
          <cell r="G72">
            <v>0</v>
          </cell>
          <cell r="H72">
            <v>0</v>
          </cell>
          <cell r="I72">
            <v>0</v>
          </cell>
          <cell r="J72">
            <v>0</v>
          </cell>
          <cell r="K72">
            <v>0</v>
          </cell>
          <cell r="L72">
            <v>0</v>
          </cell>
          <cell r="M72">
            <v>0</v>
          </cell>
          <cell r="N72">
            <v>0</v>
          </cell>
          <cell r="O72">
            <v>0</v>
          </cell>
          <cell r="Q72">
            <v>0</v>
          </cell>
          <cell r="S72">
            <v>0</v>
          </cell>
          <cell r="U72" t="str">
            <v>NAS Unit COGS</v>
          </cell>
          <cell r="V72">
            <v>0</v>
          </cell>
          <cell r="W72">
            <v>0</v>
          </cell>
          <cell r="X72">
            <v>0</v>
          </cell>
          <cell r="Y72">
            <v>0</v>
          </cell>
          <cell r="Z72">
            <v>0</v>
          </cell>
          <cell r="AA72">
            <v>0</v>
          </cell>
          <cell r="AB72">
            <v>0</v>
          </cell>
          <cell r="AC72">
            <v>0</v>
          </cell>
          <cell r="AD72">
            <v>0</v>
          </cell>
          <cell r="AE72">
            <v>0</v>
          </cell>
          <cell r="AF72">
            <v>0</v>
          </cell>
          <cell r="AI72" t="str">
            <v>NAS Unit COGS</v>
          </cell>
          <cell r="AJ72">
            <v>0</v>
          </cell>
          <cell r="AK72">
            <v>0</v>
          </cell>
          <cell r="AL72">
            <v>0</v>
          </cell>
          <cell r="AM72">
            <v>0</v>
          </cell>
        </row>
        <row r="74">
          <cell r="A74" t="str">
            <v>Agroisleña Volume</v>
          </cell>
          <cell r="C74">
            <v>0</v>
          </cell>
          <cell r="D74">
            <v>0</v>
          </cell>
          <cell r="E74">
            <v>0</v>
          </cell>
          <cell r="F74">
            <v>0</v>
          </cell>
          <cell r="G74">
            <v>0</v>
          </cell>
          <cell r="H74">
            <v>0</v>
          </cell>
          <cell r="I74">
            <v>0</v>
          </cell>
          <cell r="J74">
            <v>0</v>
          </cell>
          <cell r="K74">
            <v>0</v>
          </cell>
          <cell r="L74">
            <v>0</v>
          </cell>
          <cell r="M74">
            <v>0</v>
          </cell>
          <cell r="N74">
            <v>0</v>
          </cell>
          <cell r="O74">
            <v>0</v>
          </cell>
          <cell r="Q74">
            <v>0</v>
          </cell>
          <cell r="S74">
            <v>0</v>
          </cell>
          <cell r="U74" t="str">
            <v>Agroisleña Volume</v>
          </cell>
          <cell r="V74">
            <v>0</v>
          </cell>
          <cell r="W74">
            <v>0</v>
          </cell>
          <cell r="X74">
            <v>0</v>
          </cell>
          <cell r="Y74">
            <v>0</v>
          </cell>
          <cell r="Z74">
            <v>0</v>
          </cell>
          <cell r="AA74">
            <v>0</v>
          </cell>
          <cell r="AB74">
            <v>0</v>
          </cell>
          <cell r="AC74">
            <v>0</v>
          </cell>
          <cell r="AD74">
            <v>0</v>
          </cell>
          <cell r="AE74">
            <v>0</v>
          </cell>
          <cell r="AF74">
            <v>0</v>
          </cell>
          <cell r="AI74" t="str">
            <v>Agroisleña Volume</v>
          </cell>
          <cell r="AJ74">
            <v>0</v>
          </cell>
          <cell r="AK74">
            <v>0</v>
          </cell>
          <cell r="AL74">
            <v>0</v>
          </cell>
          <cell r="AM74">
            <v>0</v>
          </cell>
        </row>
        <row r="75">
          <cell r="A75" t="str">
            <v>Agroisleña Netback</v>
          </cell>
          <cell r="C75">
            <v>0</v>
          </cell>
          <cell r="D75">
            <v>0</v>
          </cell>
          <cell r="E75">
            <v>0</v>
          </cell>
          <cell r="F75">
            <v>0</v>
          </cell>
          <cell r="G75">
            <v>0</v>
          </cell>
          <cell r="H75">
            <v>0</v>
          </cell>
          <cell r="I75">
            <v>0</v>
          </cell>
          <cell r="J75">
            <v>0</v>
          </cell>
          <cell r="K75">
            <v>0</v>
          </cell>
          <cell r="L75">
            <v>0</v>
          </cell>
          <cell r="M75">
            <v>0</v>
          </cell>
          <cell r="N75">
            <v>0</v>
          </cell>
          <cell r="O75">
            <v>0</v>
          </cell>
          <cell r="Q75">
            <v>0</v>
          </cell>
          <cell r="S75">
            <v>0</v>
          </cell>
          <cell r="U75" t="str">
            <v>Agroisleña Netback</v>
          </cell>
          <cell r="V75">
            <v>0</v>
          </cell>
          <cell r="W75">
            <v>0</v>
          </cell>
          <cell r="X75">
            <v>0</v>
          </cell>
          <cell r="Y75">
            <v>0</v>
          </cell>
          <cell r="Z75">
            <v>0</v>
          </cell>
          <cell r="AA75">
            <v>0</v>
          </cell>
          <cell r="AB75">
            <v>0</v>
          </cell>
          <cell r="AC75">
            <v>0</v>
          </cell>
          <cell r="AD75">
            <v>0</v>
          </cell>
          <cell r="AE75">
            <v>0</v>
          </cell>
          <cell r="AF75">
            <v>0</v>
          </cell>
          <cell r="AI75" t="str">
            <v>Agroisleña Netback</v>
          </cell>
          <cell r="AJ75">
            <v>0</v>
          </cell>
          <cell r="AK75">
            <v>0</v>
          </cell>
          <cell r="AL75">
            <v>0</v>
          </cell>
          <cell r="AM75">
            <v>0</v>
          </cell>
        </row>
        <row r="76">
          <cell r="A76" t="str">
            <v>Agroisleña COGS</v>
          </cell>
          <cell r="C76">
            <v>0</v>
          </cell>
          <cell r="D76">
            <v>0</v>
          </cell>
          <cell r="E76">
            <v>0</v>
          </cell>
          <cell r="F76">
            <v>0</v>
          </cell>
          <cell r="G76">
            <v>0</v>
          </cell>
          <cell r="H76">
            <v>0</v>
          </cell>
          <cell r="I76">
            <v>0</v>
          </cell>
          <cell r="J76">
            <v>0</v>
          </cell>
          <cell r="K76">
            <v>0</v>
          </cell>
          <cell r="L76">
            <v>0</v>
          </cell>
          <cell r="M76">
            <v>0</v>
          </cell>
          <cell r="N76">
            <v>0</v>
          </cell>
          <cell r="O76">
            <v>0</v>
          </cell>
          <cell r="Q76">
            <v>0</v>
          </cell>
          <cell r="S76">
            <v>0</v>
          </cell>
          <cell r="U76" t="str">
            <v>Agroisleña COGS</v>
          </cell>
          <cell r="V76">
            <v>0</v>
          </cell>
          <cell r="W76">
            <v>0</v>
          </cell>
          <cell r="X76">
            <v>0</v>
          </cell>
          <cell r="Y76">
            <v>0</v>
          </cell>
          <cell r="Z76">
            <v>0</v>
          </cell>
          <cell r="AA76">
            <v>0</v>
          </cell>
          <cell r="AB76">
            <v>0</v>
          </cell>
          <cell r="AC76">
            <v>0</v>
          </cell>
          <cell r="AD76">
            <v>0</v>
          </cell>
          <cell r="AE76">
            <v>0</v>
          </cell>
          <cell r="AF76">
            <v>0</v>
          </cell>
          <cell r="AI76" t="str">
            <v>Agroisleña COGS</v>
          </cell>
          <cell r="AJ76">
            <v>0</v>
          </cell>
          <cell r="AK76">
            <v>0</v>
          </cell>
          <cell r="AL76">
            <v>0</v>
          </cell>
          <cell r="AM76">
            <v>0</v>
          </cell>
        </row>
        <row r="78">
          <cell r="A78" t="str">
            <v>Salt Volume</v>
          </cell>
          <cell r="C78">
            <v>0</v>
          </cell>
          <cell r="D78">
            <v>0</v>
          </cell>
          <cell r="E78">
            <v>0</v>
          </cell>
          <cell r="F78">
            <v>0</v>
          </cell>
          <cell r="G78">
            <v>0</v>
          </cell>
          <cell r="H78">
            <v>0</v>
          </cell>
          <cell r="I78">
            <v>0</v>
          </cell>
          <cell r="J78">
            <v>0</v>
          </cell>
          <cell r="K78">
            <v>0</v>
          </cell>
          <cell r="L78">
            <v>0</v>
          </cell>
          <cell r="M78">
            <v>0</v>
          </cell>
          <cell r="N78">
            <v>0</v>
          </cell>
          <cell r="O78">
            <v>0</v>
          </cell>
          <cell r="Q78">
            <v>0</v>
          </cell>
          <cell r="S78">
            <v>0</v>
          </cell>
          <cell r="U78" t="str">
            <v>Salt Volume</v>
          </cell>
          <cell r="V78">
            <v>0</v>
          </cell>
          <cell r="W78">
            <v>0</v>
          </cell>
          <cell r="X78">
            <v>0</v>
          </cell>
          <cell r="Y78">
            <v>0</v>
          </cell>
          <cell r="Z78">
            <v>0</v>
          </cell>
          <cell r="AA78">
            <v>0</v>
          </cell>
          <cell r="AB78">
            <v>0</v>
          </cell>
          <cell r="AC78">
            <v>0</v>
          </cell>
          <cell r="AD78">
            <v>0</v>
          </cell>
          <cell r="AE78">
            <v>0</v>
          </cell>
          <cell r="AF78">
            <v>0</v>
          </cell>
          <cell r="AI78" t="str">
            <v>Salt Volume</v>
          </cell>
          <cell r="AJ78">
            <v>0</v>
          </cell>
          <cell r="AK78">
            <v>0</v>
          </cell>
          <cell r="AL78">
            <v>0</v>
          </cell>
          <cell r="AM78">
            <v>0</v>
          </cell>
        </row>
        <row r="79">
          <cell r="A79" t="str">
            <v>Salt Netback</v>
          </cell>
          <cell r="C79">
            <v>0</v>
          </cell>
          <cell r="D79">
            <v>0</v>
          </cell>
          <cell r="E79">
            <v>0</v>
          </cell>
          <cell r="F79">
            <v>0</v>
          </cell>
          <cell r="G79">
            <v>0</v>
          </cell>
          <cell r="H79">
            <v>0</v>
          </cell>
          <cell r="I79">
            <v>0</v>
          </cell>
          <cell r="J79">
            <v>0</v>
          </cell>
          <cell r="K79">
            <v>0</v>
          </cell>
          <cell r="L79">
            <v>0</v>
          </cell>
          <cell r="M79">
            <v>0</v>
          </cell>
          <cell r="N79">
            <v>0</v>
          </cell>
          <cell r="O79">
            <v>0</v>
          </cell>
          <cell r="Q79">
            <v>0</v>
          </cell>
          <cell r="S79">
            <v>0</v>
          </cell>
          <cell r="U79" t="str">
            <v>Salt Netback</v>
          </cell>
          <cell r="V79">
            <v>0</v>
          </cell>
          <cell r="W79">
            <v>0</v>
          </cell>
          <cell r="X79">
            <v>0</v>
          </cell>
          <cell r="Y79">
            <v>0</v>
          </cell>
          <cell r="Z79">
            <v>0</v>
          </cell>
          <cell r="AA79">
            <v>0</v>
          </cell>
          <cell r="AB79">
            <v>0</v>
          </cell>
          <cell r="AC79">
            <v>0</v>
          </cell>
          <cell r="AD79">
            <v>0</v>
          </cell>
          <cell r="AE79">
            <v>0</v>
          </cell>
          <cell r="AF79">
            <v>0</v>
          </cell>
          <cell r="AI79" t="str">
            <v>Salt Netback</v>
          </cell>
          <cell r="AJ79">
            <v>0</v>
          </cell>
          <cell r="AK79">
            <v>0</v>
          </cell>
          <cell r="AL79">
            <v>0</v>
          </cell>
          <cell r="AM79">
            <v>0</v>
          </cell>
        </row>
        <row r="80">
          <cell r="A80" t="str">
            <v>Salt Unit COGS</v>
          </cell>
          <cell r="C80">
            <v>0</v>
          </cell>
          <cell r="D80">
            <v>0</v>
          </cell>
          <cell r="E80">
            <v>0</v>
          </cell>
          <cell r="F80">
            <v>0</v>
          </cell>
          <cell r="G80">
            <v>0</v>
          </cell>
          <cell r="H80">
            <v>0</v>
          </cell>
          <cell r="I80">
            <v>0</v>
          </cell>
          <cell r="J80">
            <v>0</v>
          </cell>
          <cell r="K80">
            <v>0</v>
          </cell>
          <cell r="L80">
            <v>0</v>
          </cell>
          <cell r="M80">
            <v>0</v>
          </cell>
          <cell r="N80">
            <v>0</v>
          </cell>
          <cell r="O80">
            <v>0</v>
          </cell>
          <cell r="Q80">
            <v>0</v>
          </cell>
          <cell r="S80">
            <v>0</v>
          </cell>
          <cell r="U80" t="str">
            <v>Salt Unit COGS</v>
          </cell>
          <cell r="V80">
            <v>0</v>
          </cell>
          <cell r="W80">
            <v>0</v>
          </cell>
          <cell r="X80">
            <v>0</v>
          </cell>
          <cell r="Y80">
            <v>0</v>
          </cell>
          <cell r="Z80">
            <v>0</v>
          </cell>
          <cell r="AA80">
            <v>0</v>
          </cell>
          <cell r="AB80">
            <v>0</v>
          </cell>
          <cell r="AC80">
            <v>0</v>
          </cell>
          <cell r="AD80">
            <v>0</v>
          </cell>
          <cell r="AE80">
            <v>0</v>
          </cell>
          <cell r="AF80">
            <v>0</v>
          </cell>
          <cell r="AI80" t="str">
            <v>Salt Unit COGS</v>
          </cell>
          <cell r="AJ80">
            <v>0</v>
          </cell>
          <cell r="AK80">
            <v>0</v>
          </cell>
          <cell r="AL80">
            <v>0</v>
          </cell>
          <cell r="AM80">
            <v>0</v>
          </cell>
        </row>
        <row r="82">
          <cell r="A82" t="str">
            <v>Acid Volume</v>
          </cell>
          <cell r="C82">
            <v>0</v>
          </cell>
          <cell r="D82">
            <v>0</v>
          </cell>
          <cell r="E82">
            <v>0</v>
          </cell>
          <cell r="F82">
            <v>0</v>
          </cell>
          <cell r="G82">
            <v>0</v>
          </cell>
          <cell r="H82">
            <v>0</v>
          </cell>
          <cell r="I82">
            <v>0</v>
          </cell>
          <cell r="J82">
            <v>0</v>
          </cell>
          <cell r="K82">
            <v>0</v>
          </cell>
          <cell r="L82">
            <v>0</v>
          </cell>
          <cell r="M82">
            <v>0</v>
          </cell>
          <cell r="N82">
            <v>0</v>
          </cell>
          <cell r="O82">
            <v>0</v>
          </cell>
          <cell r="Q82">
            <v>0</v>
          </cell>
          <cell r="S82">
            <v>0</v>
          </cell>
          <cell r="U82" t="str">
            <v>Acid Volume</v>
          </cell>
          <cell r="V82">
            <v>0</v>
          </cell>
          <cell r="W82">
            <v>0</v>
          </cell>
          <cell r="X82">
            <v>0</v>
          </cell>
          <cell r="Y82">
            <v>0</v>
          </cell>
          <cell r="Z82">
            <v>0</v>
          </cell>
          <cell r="AA82">
            <v>0</v>
          </cell>
          <cell r="AB82">
            <v>0</v>
          </cell>
          <cell r="AC82">
            <v>0</v>
          </cell>
          <cell r="AD82">
            <v>0</v>
          </cell>
          <cell r="AE82">
            <v>0</v>
          </cell>
          <cell r="AF82">
            <v>0</v>
          </cell>
          <cell r="AI82" t="str">
            <v>Acid Volume</v>
          </cell>
          <cell r="AJ82">
            <v>0</v>
          </cell>
          <cell r="AK82">
            <v>0</v>
          </cell>
          <cell r="AL82">
            <v>0</v>
          </cell>
          <cell r="AM82">
            <v>0</v>
          </cell>
        </row>
        <row r="83">
          <cell r="A83" t="str">
            <v>Acid Netback</v>
          </cell>
          <cell r="C83">
            <v>0</v>
          </cell>
          <cell r="D83">
            <v>0</v>
          </cell>
          <cell r="E83">
            <v>0</v>
          </cell>
          <cell r="F83">
            <v>0</v>
          </cell>
          <cell r="G83">
            <v>0</v>
          </cell>
          <cell r="H83">
            <v>0</v>
          </cell>
          <cell r="I83">
            <v>0</v>
          </cell>
          <cell r="J83">
            <v>0</v>
          </cell>
          <cell r="K83">
            <v>0</v>
          </cell>
          <cell r="L83">
            <v>0</v>
          </cell>
          <cell r="M83">
            <v>0</v>
          </cell>
          <cell r="N83">
            <v>0</v>
          </cell>
          <cell r="O83">
            <v>0</v>
          </cell>
          <cell r="Q83">
            <v>0</v>
          </cell>
          <cell r="S83">
            <v>0</v>
          </cell>
          <cell r="U83" t="str">
            <v>Acid Netback</v>
          </cell>
          <cell r="V83">
            <v>0</v>
          </cell>
          <cell r="W83">
            <v>0</v>
          </cell>
          <cell r="X83">
            <v>0</v>
          </cell>
          <cell r="Y83">
            <v>0</v>
          </cell>
          <cell r="Z83">
            <v>0</v>
          </cell>
          <cell r="AA83">
            <v>0</v>
          </cell>
          <cell r="AB83">
            <v>0</v>
          </cell>
          <cell r="AC83">
            <v>0</v>
          </cell>
          <cell r="AD83">
            <v>0</v>
          </cell>
          <cell r="AE83">
            <v>0</v>
          </cell>
          <cell r="AF83">
            <v>0</v>
          </cell>
          <cell r="AI83" t="str">
            <v>Acid Netback</v>
          </cell>
          <cell r="AJ83">
            <v>0</v>
          </cell>
          <cell r="AK83">
            <v>0</v>
          </cell>
          <cell r="AL83">
            <v>0</v>
          </cell>
          <cell r="AM83">
            <v>0</v>
          </cell>
        </row>
        <row r="84">
          <cell r="A84" t="str">
            <v>Acid Unit COGS</v>
          </cell>
          <cell r="C84">
            <v>0</v>
          </cell>
          <cell r="D84">
            <v>0</v>
          </cell>
          <cell r="E84">
            <v>0</v>
          </cell>
          <cell r="F84">
            <v>0</v>
          </cell>
          <cell r="G84">
            <v>0</v>
          </cell>
          <cell r="H84">
            <v>0</v>
          </cell>
          <cell r="I84">
            <v>0</v>
          </cell>
          <cell r="J84">
            <v>0</v>
          </cell>
          <cell r="K84">
            <v>0</v>
          </cell>
          <cell r="L84">
            <v>0</v>
          </cell>
          <cell r="M84">
            <v>0</v>
          </cell>
          <cell r="N84">
            <v>0</v>
          </cell>
          <cell r="O84">
            <v>0</v>
          </cell>
          <cell r="Q84">
            <v>0</v>
          </cell>
          <cell r="S84">
            <v>0</v>
          </cell>
          <cell r="U84" t="str">
            <v>Acid Unit COGS</v>
          </cell>
          <cell r="V84">
            <v>0</v>
          </cell>
          <cell r="W84">
            <v>0</v>
          </cell>
          <cell r="X84">
            <v>0</v>
          </cell>
          <cell r="Y84">
            <v>0</v>
          </cell>
          <cell r="Z84">
            <v>0</v>
          </cell>
          <cell r="AA84">
            <v>0</v>
          </cell>
          <cell r="AB84">
            <v>0</v>
          </cell>
          <cell r="AC84">
            <v>0</v>
          </cell>
          <cell r="AD84">
            <v>0</v>
          </cell>
          <cell r="AE84">
            <v>0</v>
          </cell>
          <cell r="AF84">
            <v>0</v>
          </cell>
          <cell r="AI84" t="str">
            <v>Acid Unit COGS</v>
          </cell>
          <cell r="AJ84">
            <v>0</v>
          </cell>
          <cell r="AK84">
            <v>0</v>
          </cell>
          <cell r="AL84">
            <v>0</v>
          </cell>
          <cell r="AM84">
            <v>0</v>
          </cell>
        </row>
        <row r="86">
          <cell r="A86" t="str">
            <v>Antigeneric Volume</v>
          </cell>
          <cell r="C86">
            <v>0</v>
          </cell>
          <cell r="D86">
            <v>0</v>
          </cell>
          <cell r="E86">
            <v>0</v>
          </cell>
          <cell r="F86">
            <v>0</v>
          </cell>
          <cell r="G86">
            <v>0</v>
          </cell>
          <cell r="H86">
            <v>0</v>
          </cell>
          <cell r="I86">
            <v>0</v>
          </cell>
          <cell r="J86">
            <v>0</v>
          </cell>
          <cell r="K86">
            <v>0</v>
          </cell>
          <cell r="L86">
            <v>1</v>
          </cell>
          <cell r="M86">
            <v>0.5</v>
          </cell>
          <cell r="N86">
            <v>5</v>
          </cell>
          <cell r="O86">
            <v>6.5</v>
          </cell>
          <cell r="P86">
            <v>4.031590745481128E-3</v>
          </cell>
          <cell r="Q86">
            <v>6.5</v>
          </cell>
          <cell r="S86">
            <v>6.5</v>
          </cell>
          <cell r="U86" t="str">
            <v>Antigeneric Volume</v>
          </cell>
          <cell r="V86">
            <v>0</v>
          </cell>
          <cell r="W86">
            <v>0</v>
          </cell>
          <cell r="X86">
            <v>0</v>
          </cell>
          <cell r="Y86">
            <v>0</v>
          </cell>
          <cell r="Z86">
            <v>0</v>
          </cell>
          <cell r="AA86">
            <v>0</v>
          </cell>
          <cell r="AB86">
            <v>0</v>
          </cell>
          <cell r="AC86">
            <v>0</v>
          </cell>
          <cell r="AD86">
            <v>0</v>
          </cell>
          <cell r="AE86">
            <v>1</v>
          </cell>
          <cell r="AF86">
            <v>1.5</v>
          </cell>
          <cell r="AI86" t="str">
            <v>Antigeneric Volume</v>
          </cell>
          <cell r="AJ86">
            <v>0</v>
          </cell>
          <cell r="AK86">
            <v>0</v>
          </cell>
          <cell r="AL86">
            <v>0</v>
          </cell>
          <cell r="AM86">
            <v>6.5</v>
          </cell>
        </row>
        <row r="87">
          <cell r="A87" t="str">
            <v>Antigeneric Netback</v>
          </cell>
          <cell r="C87">
            <v>0</v>
          </cell>
          <cell r="D87">
            <v>0</v>
          </cell>
          <cell r="E87">
            <v>0</v>
          </cell>
          <cell r="F87">
            <v>0</v>
          </cell>
          <cell r="G87">
            <v>0</v>
          </cell>
          <cell r="H87">
            <v>0</v>
          </cell>
          <cell r="I87">
            <v>0</v>
          </cell>
          <cell r="J87">
            <v>0</v>
          </cell>
          <cell r="K87">
            <v>0</v>
          </cell>
          <cell r="L87">
            <v>17.289295387827035</v>
          </cell>
          <cell r="M87">
            <v>17.463103119239054</v>
          </cell>
          <cell r="N87">
            <v>17.37119205019043</v>
          </cell>
          <cell r="O87">
            <v>17.365662645907495</v>
          </cell>
          <cell r="Q87">
            <v>17.365662645907495</v>
          </cell>
          <cell r="S87">
            <v>17.365662645907495</v>
          </cell>
          <cell r="U87" t="str">
            <v>Antigeneric Netback</v>
          </cell>
          <cell r="V87">
            <v>0</v>
          </cell>
          <cell r="W87">
            <v>0</v>
          </cell>
          <cell r="X87">
            <v>0</v>
          </cell>
          <cell r="Y87">
            <v>0</v>
          </cell>
          <cell r="Z87">
            <v>0</v>
          </cell>
          <cell r="AA87">
            <v>0</v>
          </cell>
          <cell r="AB87">
            <v>0</v>
          </cell>
          <cell r="AC87">
            <v>0</v>
          </cell>
          <cell r="AD87">
            <v>0</v>
          </cell>
          <cell r="AE87">
            <v>17.289295387827035</v>
          </cell>
          <cell r="AF87">
            <v>17.347231298297711</v>
          </cell>
          <cell r="AI87" t="str">
            <v>Antigeneric Netback</v>
          </cell>
          <cell r="AJ87">
            <v>0</v>
          </cell>
          <cell r="AK87">
            <v>0</v>
          </cell>
          <cell r="AL87">
            <v>0</v>
          </cell>
          <cell r="AM87">
            <v>17.365662645907495</v>
          </cell>
        </row>
        <row r="88">
          <cell r="A88" t="str">
            <v>Antigeneric Unit COGS</v>
          </cell>
          <cell r="C88">
            <v>0</v>
          </cell>
          <cell r="D88">
            <v>0</v>
          </cell>
          <cell r="E88">
            <v>0</v>
          </cell>
          <cell r="F88">
            <v>0</v>
          </cell>
          <cell r="G88">
            <v>0</v>
          </cell>
          <cell r="H88">
            <v>0</v>
          </cell>
          <cell r="I88">
            <v>0</v>
          </cell>
          <cell r="J88">
            <v>0</v>
          </cell>
          <cell r="K88">
            <v>0</v>
          </cell>
          <cell r="L88">
            <v>9.0800182379386083</v>
          </cell>
          <cell r="M88">
            <v>9.8850308272947061</v>
          </cell>
          <cell r="N88">
            <v>10.560655724364285</v>
          </cell>
          <cell r="O88">
            <v>10.280894195908827</v>
          </cell>
          <cell r="Q88">
            <v>10.280894195908827</v>
          </cell>
          <cell r="S88">
            <v>10.280894195908827</v>
          </cell>
          <cell r="U88" t="str">
            <v>Antigeneric Unit COGS</v>
          </cell>
          <cell r="V88">
            <v>0</v>
          </cell>
          <cell r="W88">
            <v>0</v>
          </cell>
          <cell r="X88">
            <v>0</v>
          </cell>
          <cell r="Y88">
            <v>0</v>
          </cell>
          <cell r="Z88">
            <v>0</v>
          </cell>
          <cell r="AA88">
            <v>0</v>
          </cell>
          <cell r="AB88">
            <v>0</v>
          </cell>
          <cell r="AC88">
            <v>0</v>
          </cell>
          <cell r="AD88">
            <v>0</v>
          </cell>
          <cell r="AE88">
            <v>9.0800182379386083</v>
          </cell>
          <cell r="AF88">
            <v>9.3483557677239748</v>
          </cell>
          <cell r="AI88" t="str">
            <v>Antigeneric Unit COGS</v>
          </cell>
          <cell r="AJ88">
            <v>0</v>
          </cell>
          <cell r="AK88">
            <v>0</v>
          </cell>
          <cell r="AL88">
            <v>0</v>
          </cell>
          <cell r="AM88">
            <v>10.280894195908827</v>
          </cell>
        </row>
        <row r="90">
          <cell r="A90" t="str">
            <v>Ranger Volume</v>
          </cell>
          <cell r="C90">
            <v>0</v>
          </cell>
          <cell r="D90">
            <v>7.0629678555702333E-2</v>
          </cell>
          <cell r="E90">
            <v>3.2921180096873623</v>
          </cell>
          <cell r="F90">
            <v>1.0321444297666227</v>
          </cell>
          <cell r="G90">
            <v>11.047468075737561</v>
          </cell>
          <cell r="H90">
            <v>20.881373844121534</v>
          </cell>
          <cell r="I90">
            <v>9.6771466314398946</v>
          </cell>
          <cell r="J90">
            <v>2.0241303390576837</v>
          </cell>
          <cell r="K90">
            <v>3.7805372082782913</v>
          </cell>
          <cell r="L90">
            <v>4.0915195479847508</v>
          </cell>
          <cell r="M90">
            <v>0</v>
          </cell>
          <cell r="N90">
            <v>3.6</v>
          </cell>
          <cell r="O90">
            <v>59.497067764629406</v>
          </cell>
          <cell r="P90">
            <v>3.690274273586823E-2</v>
          </cell>
          <cell r="Q90">
            <v>59.497067764629406</v>
          </cell>
          <cell r="S90">
            <v>59.497067764629406</v>
          </cell>
          <cell r="U90" t="str">
            <v>Ranger Volume</v>
          </cell>
          <cell r="V90">
            <v>0</v>
          </cell>
          <cell r="W90">
            <v>7.0629678555702333E-2</v>
          </cell>
          <cell r="X90">
            <v>3.3627476882430645</v>
          </cell>
          <cell r="Y90">
            <v>4.3948921180096869</v>
          </cell>
          <cell r="Z90">
            <v>15.442360193747248</v>
          </cell>
          <cell r="AA90">
            <v>36.323734037868782</v>
          </cell>
          <cell r="AB90">
            <v>46.000880669308678</v>
          </cell>
          <cell r="AC90">
            <v>48.025011008366363</v>
          </cell>
          <cell r="AD90">
            <v>51.805548216644652</v>
          </cell>
          <cell r="AE90">
            <v>55.897067764629405</v>
          </cell>
          <cell r="AF90">
            <v>55.897067764629405</v>
          </cell>
          <cell r="AI90" t="str">
            <v>Ranger Volume</v>
          </cell>
          <cell r="AJ90">
            <v>3.3627476882430645</v>
          </cell>
          <cell r="AK90">
            <v>32.960986349625713</v>
          </cell>
          <cell r="AL90">
            <v>15.481814178775869</v>
          </cell>
          <cell r="AM90">
            <v>7.6915195479847505</v>
          </cell>
        </row>
        <row r="91">
          <cell r="A91" t="str">
            <v>Ranger Netback</v>
          </cell>
          <cell r="C91">
            <v>0</v>
          </cell>
          <cell r="D91">
            <v>25.828506276220487</v>
          </cell>
          <cell r="E91">
            <v>25.241692612542302</v>
          </cell>
          <cell r="F91">
            <v>26.393412410484778</v>
          </cell>
          <cell r="G91">
            <v>26.999634129038089</v>
          </cell>
          <cell r="H91">
            <v>26.831782253444182</v>
          </cell>
          <cell r="I91">
            <v>21.606330075653862</v>
          </cell>
          <cell r="J91">
            <v>21.66993816809893</v>
          </cell>
          <cell r="K91">
            <v>35.74335403430355</v>
          </cell>
          <cell r="L91">
            <v>18.549290512958049</v>
          </cell>
          <cell r="M91">
            <v>0</v>
          </cell>
          <cell r="N91">
            <v>23.041760312944522</v>
          </cell>
          <cell r="O91">
            <v>25.508002967805766</v>
          </cell>
          <cell r="Q91">
            <v>25.508002967805766</v>
          </cell>
          <cell r="S91">
            <v>25.508002967805766</v>
          </cell>
          <cell r="U91" t="str">
            <v>Ranger Netback</v>
          </cell>
          <cell r="V91">
            <v>0</v>
          </cell>
          <cell r="W91">
            <v>25.828506276220487</v>
          </cell>
          <cell r="X91">
            <v>25.254017789534497</v>
          </cell>
          <cell r="Y91">
            <v>25.521605657391529</v>
          </cell>
          <cell r="Z91">
            <v>26.57898756991537</v>
          </cell>
          <cell r="AA91">
            <v>26.724311293711729</v>
          </cell>
          <cell r="AB91">
            <v>25.647648108496977</v>
          </cell>
          <cell r="AC91">
            <v>25.479997894550575</v>
          </cell>
          <cell r="AD91">
            <v>26.228971722718288</v>
          </cell>
          <cell r="AE91">
            <v>25.666839091283403</v>
          </cell>
          <cell r="AF91">
            <v>25.666839091283403</v>
          </cell>
          <cell r="AI91" t="str">
            <v>Ranger Netback</v>
          </cell>
          <cell r="AJ91">
            <v>25.254017789534497</v>
          </cell>
          <cell r="AK91">
            <v>26.874313664082752</v>
          </cell>
          <cell r="AL91">
            <v>25.066796371210483</v>
          </cell>
          <cell r="AM91">
            <v>20.651981818499717</v>
          </cell>
        </row>
        <row r="92">
          <cell r="A92" t="str">
            <v>Ranger Unit COGS</v>
          </cell>
          <cell r="C92">
            <v>0</v>
          </cell>
          <cell r="D92">
            <v>14.468526765299865</v>
          </cell>
          <cell r="E92">
            <v>15.278692927153223</v>
          </cell>
          <cell r="F92">
            <v>14.940663822525595</v>
          </cell>
          <cell r="G92">
            <v>11.992819755200419</v>
          </cell>
          <cell r="H92">
            <v>9.6576564051843903</v>
          </cell>
          <cell r="I92">
            <v>8.7423687037404321</v>
          </cell>
          <cell r="J92">
            <v>10.245026929603204</v>
          </cell>
          <cell r="K92">
            <v>9.8642433563175551</v>
          </cell>
          <cell r="L92">
            <v>12.38786065209572</v>
          </cell>
          <cell r="M92">
            <v>0</v>
          </cell>
          <cell r="N92">
            <v>12.387860554386299</v>
          </cell>
          <cell r="O92">
            <v>10.736824627862729</v>
          </cell>
          <cell r="Q92">
            <v>10.736824627862729</v>
          </cell>
          <cell r="S92">
            <v>10.736824627862729</v>
          </cell>
          <cell r="U92" t="str">
            <v>Ranger Unit COGS</v>
          </cell>
          <cell r="V92">
            <v>0</v>
          </cell>
          <cell r="W92">
            <v>14.468526765299865</v>
          </cell>
          <cell r="X92">
            <v>15.261676552184483</v>
          </cell>
          <cell r="Y92">
            <v>15.186286419297296</v>
          </cell>
          <cell r="Z92">
            <v>12.901679624746068</v>
          </cell>
          <cell r="AA92">
            <v>11.03679256395939</v>
          </cell>
          <cell r="AB92">
            <v>10.554117541069509</v>
          </cell>
          <cell r="AC92">
            <v>10.541090169059583</v>
          </cell>
          <cell r="AD92">
            <v>10.491696915866411</v>
          </cell>
          <cell r="AE92">
            <v>10.630491155049583</v>
          </cell>
          <cell r="AF92">
            <v>10.630491155049583</v>
          </cell>
          <cell r="AI92" t="str">
            <v>Ranger Unit COGS</v>
          </cell>
          <cell r="AJ92">
            <v>15.261676552184483</v>
          </cell>
          <cell r="AK92">
            <v>10.605761201190102</v>
          </cell>
          <cell r="AL92">
            <v>9.2127828869360737</v>
          </cell>
          <cell r="AM92">
            <v>12.387860606363027</v>
          </cell>
        </row>
        <row r="94">
          <cell r="A94" t="str">
            <v>Latigo Volume</v>
          </cell>
          <cell r="C94">
            <v>0</v>
          </cell>
          <cell r="D94">
            <v>0</v>
          </cell>
          <cell r="E94">
            <v>0</v>
          </cell>
          <cell r="F94">
            <v>0</v>
          </cell>
          <cell r="G94">
            <v>0</v>
          </cell>
          <cell r="H94">
            <v>0</v>
          </cell>
          <cell r="I94">
            <v>0</v>
          </cell>
          <cell r="J94">
            <v>0</v>
          </cell>
          <cell r="K94">
            <v>0</v>
          </cell>
          <cell r="L94">
            <v>0</v>
          </cell>
          <cell r="M94">
            <v>0</v>
          </cell>
          <cell r="N94">
            <v>0</v>
          </cell>
          <cell r="O94">
            <v>0</v>
          </cell>
          <cell r="Q94">
            <v>0</v>
          </cell>
          <cell r="S94">
            <v>0</v>
          </cell>
          <cell r="U94" t="str">
            <v>Latigo Volume</v>
          </cell>
          <cell r="V94">
            <v>0</v>
          </cell>
          <cell r="W94">
            <v>0</v>
          </cell>
          <cell r="X94">
            <v>0</v>
          </cell>
          <cell r="Y94">
            <v>0</v>
          </cell>
          <cell r="Z94">
            <v>0</v>
          </cell>
          <cell r="AA94">
            <v>0</v>
          </cell>
          <cell r="AB94">
            <v>0</v>
          </cell>
          <cell r="AC94">
            <v>0</v>
          </cell>
          <cell r="AD94">
            <v>0</v>
          </cell>
          <cell r="AE94">
            <v>0</v>
          </cell>
          <cell r="AF94">
            <v>0</v>
          </cell>
          <cell r="AI94" t="str">
            <v>Latigo Volume</v>
          </cell>
          <cell r="AJ94">
            <v>0</v>
          </cell>
          <cell r="AK94">
            <v>0</v>
          </cell>
          <cell r="AL94">
            <v>0</v>
          </cell>
          <cell r="AM94">
            <v>0</v>
          </cell>
        </row>
        <row r="95">
          <cell r="A95" t="str">
            <v>Latigo Netback</v>
          </cell>
          <cell r="C95">
            <v>0</v>
          </cell>
          <cell r="D95">
            <v>0</v>
          </cell>
          <cell r="E95">
            <v>0</v>
          </cell>
          <cell r="F95">
            <v>0</v>
          </cell>
          <cell r="G95">
            <v>0</v>
          </cell>
          <cell r="H95">
            <v>0</v>
          </cell>
          <cell r="I95">
            <v>0</v>
          </cell>
          <cell r="J95">
            <v>0</v>
          </cell>
          <cell r="K95">
            <v>0</v>
          </cell>
          <cell r="L95">
            <v>0</v>
          </cell>
          <cell r="M95">
            <v>0</v>
          </cell>
          <cell r="N95">
            <v>0</v>
          </cell>
          <cell r="O95">
            <v>0</v>
          </cell>
          <cell r="Q95">
            <v>0</v>
          </cell>
          <cell r="S95">
            <v>0</v>
          </cell>
          <cell r="U95" t="str">
            <v>Latigo Netback</v>
          </cell>
          <cell r="V95">
            <v>0</v>
          </cell>
          <cell r="W95">
            <v>0</v>
          </cell>
          <cell r="X95">
            <v>0</v>
          </cell>
          <cell r="Y95">
            <v>0</v>
          </cell>
          <cell r="Z95">
            <v>0</v>
          </cell>
          <cell r="AA95">
            <v>0</v>
          </cell>
          <cell r="AB95">
            <v>0</v>
          </cell>
          <cell r="AC95">
            <v>0</v>
          </cell>
          <cell r="AD95">
            <v>0</v>
          </cell>
          <cell r="AE95">
            <v>0</v>
          </cell>
          <cell r="AF95">
            <v>0</v>
          </cell>
          <cell r="AI95" t="str">
            <v>Latigo Netback</v>
          </cell>
          <cell r="AJ95">
            <v>0</v>
          </cell>
          <cell r="AK95">
            <v>0</v>
          </cell>
          <cell r="AL95">
            <v>0</v>
          </cell>
          <cell r="AM95">
            <v>0</v>
          </cell>
        </row>
        <row r="96">
          <cell r="A96" t="str">
            <v>Latigo Unit COGS</v>
          </cell>
          <cell r="C96">
            <v>0</v>
          </cell>
          <cell r="D96">
            <v>0</v>
          </cell>
          <cell r="E96">
            <v>0</v>
          </cell>
          <cell r="F96">
            <v>0</v>
          </cell>
          <cell r="G96">
            <v>0</v>
          </cell>
          <cell r="H96">
            <v>0</v>
          </cell>
          <cell r="I96">
            <v>0</v>
          </cell>
          <cell r="J96">
            <v>0</v>
          </cell>
          <cell r="K96">
            <v>0</v>
          </cell>
          <cell r="L96">
            <v>0</v>
          </cell>
          <cell r="M96">
            <v>0</v>
          </cell>
          <cell r="N96">
            <v>0</v>
          </cell>
          <cell r="O96">
            <v>0</v>
          </cell>
          <cell r="Q96">
            <v>0</v>
          </cell>
          <cell r="S96">
            <v>0</v>
          </cell>
          <cell r="U96" t="str">
            <v>Latigo Unit COGS</v>
          </cell>
          <cell r="V96">
            <v>0</v>
          </cell>
          <cell r="W96">
            <v>0</v>
          </cell>
          <cell r="X96">
            <v>0</v>
          </cell>
          <cell r="Y96">
            <v>0</v>
          </cell>
          <cell r="Z96">
            <v>0</v>
          </cell>
          <cell r="AA96">
            <v>0</v>
          </cell>
          <cell r="AB96">
            <v>0</v>
          </cell>
          <cell r="AC96">
            <v>0</v>
          </cell>
          <cell r="AD96">
            <v>0</v>
          </cell>
          <cell r="AE96">
            <v>0</v>
          </cell>
          <cell r="AF96">
            <v>0</v>
          </cell>
          <cell r="AI96" t="str">
            <v>Latigo Unit COGS</v>
          </cell>
          <cell r="AJ96">
            <v>0</v>
          </cell>
          <cell r="AK96">
            <v>0</v>
          </cell>
          <cell r="AL96">
            <v>0</v>
          </cell>
          <cell r="AM96">
            <v>0</v>
          </cell>
        </row>
        <row r="98">
          <cell r="A98" t="str">
            <v>Rival / Rocket Volume</v>
          </cell>
          <cell r="C98">
            <v>0.5755499999999999</v>
          </cell>
          <cell r="D98">
            <v>3.9111250000000002</v>
          </cell>
          <cell r="E98">
            <v>8.3723500000000008</v>
          </cell>
          <cell r="F98">
            <v>3.9901499999999999</v>
          </cell>
          <cell r="G98">
            <v>17.186475000000002</v>
          </cell>
          <cell r="H98">
            <v>17.839275000000001</v>
          </cell>
          <cell r="I98">
            <v>10.601875</v>
          </cell>
          <cell r="J98">
            <v>0.34357500000000002</v>
          </cell>
          <cell r="K98">
            <v>8.7197250000000004</v>
          </cell>
          <cell r="L98">
            <v>11.500999999999999</v>
          </cell>
          <cell r="M98">
            <v>1.3565</v>
          </cell>
          <cell r="N98">
            <v>0</v>
          </cell>
          <cell r="O98">
            <v>84.397600000000011</v>
          </cell>
          <cell r="P98">
            <v>5.2347166630895094E-2</v>
          </cell>
          <cell r="Q98">
            <v>84.397600000000011</v>
          </cell>
          <cell r="S98">
            <v>84.397600000000011</v>
          </cell>
          <cell r="U98" t="str">
            <v>Rival / Rocket Volume</v>
          </cell>
          <cell r="V98">
            <v>0.5755499999999999</v>
          </cell>
          <cell r="W98">
            <v>4.486675</v>
          </cell>
          <cell r="X98">
            <v>12.859025000000001</v>
          </cell>
          <cell r="Y98">
            <v>16.849175000000002</v>
          </cell>
          <cell r="Z98">
            <v>34.035650000000004</v>
          </cell>
          <cell r="AA98">
            <v>51.874925000000005</v>
          </cell>
          <cell r="AB98">
            <v>62.476800000000004</v>
          </cell>
          <cell r="AC98">
            <v>62.820375000000006</v>
          </cell>
          <cell r="AD98">
            <v>71.54010000000001</v>
          </cell>
          <cell r="AE98">
            <v>83.041100000000014</v>
          </cell>
          <cell r="AF98">
            <v>84.397600000000011</v>
          </cell>
          <cell r="AI98" t="str">
            <v>Rival / Rocket Volume</v>
          </cell>
          <cell r="AJ98">
            <v>12.859025000000001</v>
          </cell>
          <cell r="AK98">
            <v>39.015900000000002</v>
          </cell>
          <cell r="AL98">
            <v>19.665174999999998</v>
          </cell>
          <cell r="AM98">
            <v>12.8575</v>
          </cell>
        </row>
        <row r="99">
          <cell r="A99" t="str">
            <v>Rival / Rocket Netback</v>
          </cell>
          <cell r="C99">
            <v>26.276365296608574</v>
          </cell>
          <cell r="D99">
            <v>24.434453329104674</v>
          </cell>
          <cell r="E99">
            <v>24.445636462657397</v>
          </cell>
          <cell r="F99">
            <v>25.606382227570407</v>
          </cell>
          <cell r="G99">
            <v>24.275009518087103</v>
          </cell>
          <cell r="H99">
            <v>25.928459869935434</v>
          </cell>
          <cell r="I99">
            <v>25.949094926461658</v>
          </cell>
          <cell r="J99">
            <v>25.45315613735286</v>
          </cell>
          <cell r="K99">
            <v>32.284002844316369</v>
          </cell>
          <cell r="L99">
            <v>20.876602389871223</v>
          </cell>
          <cell r="M99">
            <v>26.15560353149737</v>
          </cell>
          <cell r="N99">
            <v>0</v>
          </cell>
          <cell r="O99">
            <v>25.335088910487372</v>
          </cell>
          <cell r="Q99">
            <v>25.335088910487372</v>
          </cell>
          <cell r="S99">
            <v>25.335088910487372</v>
          </cell>
          <cell r="U99" t="str">
            <v>Rival / Rocket Netback</v>
          </cell>
          <cell r="V99">
            <v>26.276365296608574</v>
          </cell>
          <cell r="W99">
            <v>24.670733521651908</v>
          </cell>
          <cell r="X99">
            <v>24.524175647950543</v>
          </cell>
          <cell r="Y99">
            <v>24.780459209826429</v>
          </cell>
          <cell r="Z99">
            <v>24.525229810921587</v>
          </cell>
          <cell r="AA99">
            <v>25.007786786397009</v>
          </cell>
          <cell r="AB99">
            <v>25.167520179231595</v>
          </cell>
          <cell r="AC99">
            <v>25.1690823694336</v>
          </cell>
          <cell r="AD99">
            <v>26.03629040992903</v>
          </cell>
          <cell r="AE99">
            <v>25.321685570654441</v>
          </cell>
          <cell r="AF99">
            <v>25.335088910487372</v>
          </cell>
          <cell r="AI99" t="str">
            <v>Rival / Rocket Netback</v>
          </cell>
          <cell r="AJ99">
            <v>24.524175647950543</v>
          </cell>
          <cell r="AK99">
            <v>25.167177386628236</v>
          </cell>
          <cell r="AL99">
            <v>28.749388479636124</v>
          </cell>
          <cell r="AM99">
            <v>21.433550867305861</v>
          </cell>
        </row>
        <row r="100">
          <cell r="A100" t="str">
            <v>Rival / Rocket Unit COGS</v>
          </cell>
          <cell r="C100">
            <v>11.596001150577271</v>
          </cell>
          <cell r="D100">
            <v>13.157335542330413</v>
          </cell>
          <cell r="E100">
            <v>10.72424264833101</v>
          </cell>
          <cell r="F100">
            <v>12.803160031420525</v>
          </cell>
          <cell r="G100">
            <v>11.228851904619205</v>
          </cell>
          <cell r="H100">
            <v>11.167895080678155</v>
          </cell>
          <cell r="I100">
            <v>12.826602053426912</v>
          </cell>
          <cell r="J100">
            <v>25.906600454588474</v>
          </cell>
          <cell r="K100">
            <v>11.18961288913988</v>
          </cell>
          <cell r="L100">
            <v>11.68252572447731</v>
          </cell>
          <cell r="M100">
            <v>12.487538301657196</v>
          </cell>
          <cell r="N100">
            <v>0</v>
          </cell>
          <cell r="O100">
            <v>11.670670156896298</v>
          </cell>
          <cell r="Q100">
            <v>11.670670156896298</v>
          </cell>
          <cell r="S100">
            <v>11.670670156896298</v>
          </cell>
          <cell r="U100" t="str">
            <v>Rival / Rocket Unit COGS</v>
          </cell>
          <cell r="V100">
            <v>11.596001150577271</v>
          </cell>
          <cell r="W100">
            <v>12.957047799364068</v>
          </cell>
          <cell r="X100">
            <v>11.503296351936939</v>
          </cell>
          <cell r="Y100">
            <v>11.81112454297249</v>
          </cell>
          <cell r="Z100">
            <v>11.517103005489211</v>
          </cell>
          <cell r="AA100">
            <v>11.397013844822785</v>
          </cell>
          <cell r="AB100">
            <v>11.639604942463748</v>
          </cell>
          <cell r="AC100">
            <v>11.717633495828451</v>
          </cell>
          <cell r="AD100">
            <v>11.653275261989563</v>
          </cell>
          <cell r="AE100">
            <v>11.6573263832906</v>
          </cell>
          <cell r="AF100">
            <v>11.670670156896298</v>
          </cell>
          <cell r="AI100" t="str">
            <v>Rival / Rocket Unit COGS</v>
          </cell>
          <cell r="AJ100">
            <v>11.503296351936939</v>
          </cell>
          <cell r="AK100">
            <v>11.361984807531744</v>
          </cell>
          <cell r="AL100">
            <v>12.329269337603959</v>
          </cell>
          <cell r="AM100">
            <v>11.767456664469107</v>
          </cell>
        </row>
        <row r="102">
          <cell r="A102" t="str">
            <v>Dry Faena / Rup 747 / Rup Max / Volume</v>
          </cell>
          <cell r="C102">
            <v>1.2135</v>
          </cell>
          <cell r="D102">
            <v>1.21</v>
          </cell>
          <cell r="E102">
            <v>-0.35850000000000004</v>
          </cell>
          <cell r="F102">
            <v>0.2225</v>
          </cell>
          <cell r="G102">
            <v>48.963999999999999</v>
          </cell>
          <cell r="H102">
            <v>16.715</v>
          </cell>
          <cell r="I102">
            <v>11.464500000000001</v>
          </cell>
          <cell r="J102">
            <v>1.3175000000000001</v>
          </cell>
          <cell r="K102">
            <v>2.2829999999999999</v>
          </cell>
          <cell r="L102">
            <v>4.5344999999999995</v>
          </cell>
          <cell r="M102">
            <v>1.0640000000000001</v>
          </cell>
          <cell r="N102">
            <v>0.6</v>
          </cell>
          <cell r="O102">
            <v>89.22999999999999</v>
          </cell>
          <cell r="P102">
            <v>5.5344437264504776E-2</v>
          </cell>
          <cell r="Q102">
            <v>89.22999999999999</v>
          </cell>
          <cell r="S102">
            <v>89.22999999999999</v>
          </cell>
          <cell r="U102" t="str">
            <v>Dry Faena / Rup 747 / Rup Max / Volume</v>
          </cell>
          <cell r="V102">
            <v>1.2135</v>
          </cell>
          <cell r="W102">
            <v>2.4234999999999998</v>
          </cell>
          <cell r="X102">
            <v>2.0649999999999995</v>
          </cell>
          <cell r="Y102">
            <v>2.2874999999999996</v>
          </cell>
          <cell r="Z102">
            <v>51.2515</v>
          </cell>
          <cell r="AA102">
            <v>67.966499999999996</v>
          </cell>
          <cell r="AB102">
            <v>79.430999999999997</v>
          </cell>
          <cell r="AC102">
            <v>80.748499999999993</v>
          </cell>
          <cell r="AD102">
            <v>83.031499999999994</v>
          </cell>
          <cell r="AE102">
            <v>87.565999999999988</v>
          </cell>
          <cell r="AF102">
            <v>88.63</v>
          </cell>
          <cell r="AI102" t="str">
            <v>Dry Faena / Rup 747 / Rup Max / Volume</v>
          </cell>
          <cell r="AJ102">
            <v>2.0649999999999995</v>
          </cell>
          <cell r="AK102">
            <v>65.901499999999999</v>
          </cell>
          <cell r="AL102">
            <v>15.065000000000001</v>
          </cell>
          <cell r="AM102">
            <v>6.1984999999999992</v>
          </cell>
        </row>
        <row r="103">
          <cell r="A103" t="str">
            <v>Dry Faena / Rup 747 / Rup Max / Netback</v>
          </cell>
          <cell r="C103">
            <v>21.043345887866174</v>
          </cell>
          <cell r="D103">
            <v>22.091813733669575</v>
          </cell>
          <cell r="E103">
            <v>39.485398523585062</v>
          </cell>
          <cell r="F103">
            <v>28.116482230964444</v>
          </cell>
          <cell r="G103">
            <v>25.70019582898054</v>
          </cell>
          <cell r="H103">
            <v>27.536843100154911</v>
          </cell>
          <cell r="I103">
            <v>25.487489726272479</v>
          </cell>
          <cell r="J103">
            <v>26.222895521925032</v>
          </cell>
          <cell r="K103">
            <v>32.808621546927398</v>
          </cell>
          <cell r="L103">
            <v>19.859579698868533</v>
          </cell>
          <cell r="M103">
            <v>24.388801467955606</v>
          </cell>
          <cell r="N103">
            <v>22.597911019736848</v>
          </cell>
          <cell r="O103">
            <v>25.711577800005958</v>
          </cell>
          <cell r="Q103">
            <v>25.711577800005958</v>
          </cell>
          <cell r="S103">
            <v>25.711577800005958</v>
          </cell>
          <cell r="U103" t="str">
            <v>Dry Faena / Rup 747 / Rup Max / Netback</v>
          </cell>
          <cell r="V103">
            <v>21.043345887866174</v>
          </cell>
          <cell r="W103">
            <v>21.56682271618147</v>
          </cell>
          <cell r="X103">
            <v>18.456019119593488</v>
          </cell>
          <cell r="Y103">
            <v>19.395670722776018</v>
          </cell>
          <cell r="Z103">
            <v>25.418806968548303</v>
          </cell>
          <cell r="AA103">
            <v>25.93969555248016</v>
          </cell>
          <cell r="AB103">
            <v>25.874427411646504</v>
          </cell>
          <cell r="AC103">
            <v>25.880113049587671</v>
          </cell>
          <cell r="AD103">
            <v>26.070616471775956</v>
          </cell>
          <cell r="AE103">
            <v>25.748985402105667</v>
          </cell>
          <cell r="AF103">
            <v>25.732656442318508</v>
          </cell>
          <cell r="AI103" t="str">
            <v>Dry Faena / Rup 747 / Rup Max / Netback</v>
          </cell>
          <cell r="AJ103">
            <v>18.456019119593488</v>
          </cell>
          <cell r="AK103">
            <v>26.174193884595677</v>
          </cell>
          <cell r="AL103">
            <v>26.66127273870709</v>
          </cell>
          <cell r="AM103">
            <v>20.902104625032869</v>
          </cell>
        </row>
        <row r="104">
          <cell r="A104" t="str">
            <v>Dry Faena / Rup 747 / Rup Max / Unit COGS</v>
          </cell>
          <cell r="C104">
            <v>8.3129749658100618</v>
          </cell>
          <cell r="D104">
            <v>9.8862177095306798</v>
          </cell>
          <cell r="E104">
            <v>-6.5674341335774846</v>
          </cell>
          <cell r="F104">
            <v>10.442802478192892</v>
          </cell>
          <cell r="G104">
            <v>7.2511968812161838</v>
          </cell>
          <cell r="H104">
            <v>6.683782117387949</v>
          </cell>
          <cell r="I104">
            <v>9.1096641814048844</v>
          </cell>
          <cell r="J104">
            <v>13.866909835759039</v>
          </cell>
          <cell r="K104">
            <v>7.3382110272466337</v>
          </cell>
          <cell r="L104">
            <v>7.4199874558257033</v>
          </cell>
          <cell r="M104">
            <v>8.2250000513906016</v>
          </cell>
          <cell r="N104">
            <v>8.9006249520682559</v>
          </cell>
          <cell r="O104">
            <v>7.6285255189704371</v>
          </cell>
          <cell r="Q104">
            <v>7.6285255189704371</v>
          </cell>
          <cell r="S104">
            <v>7.6285255189704371</v>
          </cell>
          <cell r="U104" t="str">
            <v>Dry Faena / Rup 747 / Rup Max / Unit COGS</v>
          </cell>
          <cell r="V104">
            <v>8.3129749658100618</v>
          </cell>
          <cell r="W104">
            <v>9.0984603051547897</v>
          </cell>
          <cell r="X104">
            <v>11.818180961951654</v>
          </cell>
          <cell r="Y104">
            <v>11.684400978285501</v>
          </cell>
          <cell r="Z104">
            <v>7.4490633704320333</v>
          </cell>
          <cell r="AA104">
            <v>7.2608577670151755</v>
          </cell>
          <cell r="AB104">
            <v>7.5277012051913381</v>
          </cell>
          <cell r="AC104">
            <v>7.6311323199584606</v>
          </cell>
          <cell r="AD104">
            <v>7.6230782764778402</v>
          </cell>
          <cell r="AE104">
            <v>7.6125614625746474</v>
          </cell>
          <cell r="AF104">
            <v>7.619913766066694</v>
          </cell>
          <cell r="AI104" t="str">
            <v>Dry Faena / Rup 747 / Rup Max / Unit COGS</v>
          </cell>
          <cell r="AJ104">
            <v>11.818180961951654</v>
          </cell>
          <cell r="AK104">
            <v>7.1180556699833346</v>
          </cell>
          <cell r="AL104">
            <v>9.2572541979112444</v>
          </cell>
          <cell r="AM104">
            <v>7.7014936104480451</v>
          </cell>
        </row>
        <row r="106">
          <cell r="A106" t="str">
            <v>Ranger Plus Volume</v>
          </cell>
          <cell r="C106">
            <v>0</v>
          </cell>
          <cell r="D106">
            <v>0</v>
          </cell>
          <cell r="E106">
            <v>0</v>
          </cell>
          <cell r="F106">
            <v>0</v>
          </cell>
          <cell r="G106">
            <v>0</v>
          </cell>
          <cell r="H106">
            <v>0</v>
          </cell>
          <cell r="I106">
            <v>0</v>
          </cell>
          <cell r="J106">
            <v>0</v>
          </cell>
          <cell r="K106">
            <v>0</v>
          </cell>
          <cell r="L106">
            <v>0</v>
          </cell>
          <cell r="M106">
            <v>0</v>
          </cell>
          <cell r="N106">
            <v>0</v>
          </cell>
          <cell r="O106">
            <v>0</v>
          </cell>
          <cell r="Q106">
            <v>0</v>
          </cell>
          <cell r="S106">
            <v>0</v>
          </cell>
          <cell r="U106" t="str">
            <v>Ranger Plus Volume</v>
          </cell>
          <cell r="V106">
            <v>0</v>
          </cell>
          <cell r="W106">
            <v>0</v>
          </cell>
          <cell r="X106">
            <v>0</v>
          </cell>
          <cell r="Y106">
            <v>0</v>
          </cell>
          <cell r="Z106">
            <v>0</v>
          </cell>
          <cell r="AA106">
            <v>0</v>
          </cell>
          <cell r="AB106">
            <v>0</v>
          </cell>
          <cell r="AC106">
            <v>0</v>
          </cell>
          <cell r="AD106">
            <v>0</v>
          </cell>
          <cell r="AE106">
            <v>0</v>
          </cell>
          <cell r="AF106">
            <v>0</v>
          </cell>
          <cell r="AI106" t="str">
            <v>Ranger Plus Volume</v>
          </cell>
          <cell r="AJ106">
            <v>0</v>
          </cell>
          <cell r="AK106">
            <v>0</v>
          </cell>
          <cell r="AL106">
            <v>0</v>
          </cell>
          <cell r="AM106">
            <v>0</v>
          </cell>
        </row>
        <row r="107">
          <cell r="A107" t="str">
            <v>Ranger Plus Netback</v>
          </cell>
          <cell r="C107">
            <v>0</v>
          </cell>
          <cell r="D107">
            <v>0</v>
          </cell>
          <cell r="E107">
            <v>0</v>
          </cell>
          <cell r="F107">
            <v>0</v>
          </cell>
          <cell r="G107">
            <v>0</v>
          </cell>
          <cell r="H107">
            <v>0</v>
          </cell>
          <cell r="I107">
            <v>0</v>
          </cell>
          <cell r="J107">
            <v>0</v>
          </cell>
          <cell r="K107">
            <v>0</v>
          </cell>
          <cell r="L107">
            <v>0</v>
          </cell>
          <cell r="M107">
            <v>0</v>
          </cell>
          <cell r="N107">
            <v>0</v>
          </cell>
          <cell r="O107">
            <v>0</v>
          </cell>
          <cell r="Q107">
            <v>0</v>
          </cell>
          <cell r="S107">
            <v>0</v>
          </cell>
          <cell r="U107" t="str">
            <v>Ranger Plus Netback</v>
          </cell>
          <cell r="V107">
            <v>0</v>
          </cell>
          <cell r="W107">
            <v>0</v>
          </cell>
          <cell r="X107">
            <v>0</v>
          </cell>
          <cell r="Y107">
            <v>0</v>
          </cell>
          <cell r="Z107">
            <v>0</v>
          </cell>
          <cell r="AA107">
            <v>0</v>
          </cell>
          <cell r="AB107">
            <v>0</v>
          </cell>
          <cell r="AC107">
            <v>0</v>
          </cell>
          <cell r="AD107">
            <v>0</v>
          </cell>
          <cell r="AE107">
            <v>0</v>
          </cell>
          <cell r="AF107">
            <v>0</v>
          </cell>
          <cell r="AI107" t="str">
            <v>Ranger Plus Netback</v>
          </cell>
          <cell r="AJ107">
            <v>0</v>
          </cell>
          <cell r="AK107">
            <v>0</v>
          </cell>
          <cell r="AL107">
            <v>0</v>
          </cell>
          <cell r="AM107">
            <v>0</v>
          </cell>
        </row>
        <row r="108">
          <cell r="A108" t="str">
            <v>Ranger Plus Unit COGS</v>
          </cell>
          <cell r="C108">
            <v>0</v>
          </cell>
          <cell r="D108">
            <v>0</v>
          </cell>
          <cell r="E108">
            <v>0</v>
          </cell>
          <cell r="F108">
            <v>0</v>
          </cell>
          <cell r="G108">
            <v>0</v>
          </cell>
          <cell r="H108">
            <v>0</v>
          </cell>
          <cell r="I108">
            <v>0</v>
          </cell>
          <cell r="J108">
            <v>0</v>
          </cell>
          <cell r="K108">
            <v>0</v>
          </cell>
          <cell r="L108">
            <v>0</v>
          </cell>
          <cell r="M108">
            <v>0</v>
          </cell>
          <cell r="N108">
            <v>0</v>
          </cell>
          <cell r="O108">
            <v>0</v>
          </cell>
          <cell r="Q108">
            <v>0</v>
          </cell>
          <cell r="S108">
            <v>0</v>
          </cell>
          <cell r="U108" t="str">
            <v>Ranger Plus Unit COGS</v>
          </cell>
          <cell r="V108">
            <v>0</v>
          </cell>
          <cell r="W108">
            <v>0</v>
          </cell>
          <cell r="X108">
            <v>0</v>
          </cell>
          <cell r="Y108">
            <v>0</v>
          </cell>
          <cell r="Z108">
            <v>0</v>
          </cell>
          <cell r="AA108">
            <v>0</v>
          </cell>
          <cell r="AB108">
            <v>0</v>
          </cell>
          <cell r="AC108">
            <v>0</v>
          </cell>
          <cell r="AD108">
            <v>0</v>
          </cell>
          <cell r="AE108">
            <v>0</v>
          </cell>
          <cell r="AF108">
            <v>0</v>
          </cell>
          <cell r="AI108" t="str">
            <v>Ranger Plus Unit COGS</v>
          </cell>
          <cell r="AJ108">
            <v>0</v>
          </cell>
          <cell r="AK108">
            <v>0</v>
          </cell>
          <cell r="AL108">
            <v>0</v>
          </cell>
          <cell r="AM108">
            <v>0</v>
          </cell>
        </row>
        <row r="110">
          <cell r="A110" t="str">
            <v>Acuamaster / Rodeo Volume</v>
          </cell>
          <cell r="C110">
            <v>0</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S110">
            <v>0</v>
          </cell>
          <cell r="U110" t="str">
            <v>Defense / Rodeo Volume</v>
          </cell>
          <cell r="V110">
            <v>0</v>
          </cell>
          <cell r="W110">
            <v>0</v>
          </cell>
          <cell r="X110">
            <v>0</v>
          </cell>
          <cell r="Y110">
            <v>0</v>
          </cell>
          <cell r="Z110">
            <v>0</v>
          </cell>
          <cell r="AA110">
            <v>0</v>
          </cell>
          <cell r="AB110">
            <v>0</v>
          </cell>
          <cell r="AC110">
            <v>0</v>
          </cell>
          <cell r="AD110">
            <v>0</v>
          </cell>
          <cell r="AE110">
            <v>0</v>
          </cell>
          <cell r="AF110">
            <v>0</v>
          </cell>
          <cell r="AI110" t="str">
            <v>Defense / Rodeo Volume</v>
          </cell>
          <cell r="AJ110">
            <v>0</v>
          </cell>
          <cell r="AK110">
            <v>0</v>
          </cell>
          <cell r="AL110">
            <v>0</v>
          </cell>
          <cell r="AM110">
            <v>0</v>
          </cell>
        </row>
        <row r="111">
          <cell r="A111" t="str">
            <v>Acuamaster / Rodeo Netback</v>
          </cell>
          <cell r="C111">
            <v>0</v>
          </cell>
          <cell r="D111">
            <v>0</v>
          </cell>
          <cell r="E111">
            <v>0</v>
          </cell>
          <cell r="F111">
            <v>0</v>
          </cell>
          <cell r="G111">
            <v>0</v>
          </cell>
          <cell r="H111">
            <v>0</v>
          </cell>
          <cell r="I111">
            <v>0</v>
          </cell>
          <cell r="J111">
            <v>0</v>
          </cell>
          <cell r="K111">
            <v>0</v>
          </cell>
          <cell r="L111">
            <v>0</v>
          </cell>
          <cell r="M111">
            <v>0</v>
          </cell>
          <cell r="N111">
            <v>0</v>
          </cell>
          <cell r="O111">
            <v>0</v>
          </cell>
          <cell r="Q111">
            <v>0</v>
          </cell>
          <cell r="S111">
            <v>0</v>
          </cell>
          <cell r="U111" t="str">
            <v>Defense / Rodeo Netback</v>
          </cell>
          <cell r="V111">
            <v>0</v>
          </cell>
          <cell r="W111">
            <v>0</v>
          </cell>
          <cell r="X111">
            <v>0</v>
          </cell>
          <cell r="Y111">
            <v>0</v>
          </cell>
          <cell r="Z111">
            <v>0</v>
          </cell>
          <cell r="AA111">
            <v>0</v>
          </cell>
          <cell r="AB111">
            <v>0</v>
          </cell>
          <cell r="AC111">
            <v>0</v>
          </cell>
          <cell r="AD111">
            <v>0</v>
          </cell>
          <cell r="AE111">
            <v>0</v>
          </cell>
          <cell r="AF111">
            <v>0</v>
          </cell>
          <cell r="AI111" t="str">
            <v>Defense / Rodeo Netback</v>
          </cell>
          <cell r="AJ111">
            <v>0</v>
          </cell>
          <cell r="AK111">
            <v>0</v>
          </cell>
          <cell r="AL111">
            <v>0</v>
          </cell>
          <cell r="AM111">
            <v>0</v>
          </cell>
        </row>
        <row r="112">
          <cell r="A112" t="str">
            <v>Acuamaster / Rodeo Unit COGS</v>
          </cell>
          <cell r="C112">
            <v>0</v>
          </cell>
          <cell r="D112">
            <v>0</v>
          </cell>
          <cell r="E112">
            <v>0</v>
          </cell>
          <cell r="F112">
            <v>0</v>
          </cell>
          <cell r="G112">
            <v>0</v>
          </cell>
          <cell r="H112">
            <v>0</v>
          </cell>
          <cell r="I112">
            <v>0</v>
          </cell>
          <cell r="J112">
            <v>0</v>
          </cell>
          <cell r="K112">
            <v>0</v>
          </cell>
          <cell r="L112">
            <v>0</v>
          </cell>
          <cell r="M112">
            <v>0</v>
          </cell>
          <cell r="N112">
            <v>0</v>
          </cell>
          <cell r="O112">
            <v>0</v>
          </cell>
          <cell r="Q112">
            <v>0</v>
          </cell>
          <cell r="S112">
            <v>0</v>
          </cell>
          <cell r="U112" t="str">
            <v>Defense / Rodeo Unit COGS</v>
          </cell>
          <cell r="V112">
            <v>0</v>
          </cell>
          <cell r="W112">
            <v>0</v>
          </cell>
          <cell r="X112">
            <v>0</v>
          </cell>
          <cell r="Y112">
            <v>0</v>
          </cell>
          <cell r="Z112">
            <v>0</v>
          </cell>
          <cell r="AA112">
            <v>0</v>
          </cell>
          <cell r="AB112">
            <v>0</v>
          </cell>
          <cell r="AC112">
            <v>0</v>
          </cell>
          <cell r="AD112">
            <v>0</v>
          </cell>
          <cell r="AE112">
            <v>0</v>
          </cell>
          <cell r="AF112">
            <v>0</v>
          </cell>
          <cell r="AI112" t="str">
            <v>Defense / Rodeo Unit COGS</v>
          </cell>
          <cell r="AJ112">
            <v>0</v>
          </cell>
          <cell r="AK112">
            <v>0</v>
          </cell>
          <cell r="AL112">
            <v>0</v>
          </cell>
          <cell r="AM112">
            <v>0</v>
          </cell>
        </row>
        <row r="114">
          <cell r="A114" t="str">
            <v>Faena Full</v>
          </cell>
          <cell r="C114">
            <v>0</v>
          </cell>
          <cell r="D114">
            <v>0</v>
          </cell>
          <cell r="E114">
            <v>0</v>
          </cell>
          <cell r="F114">
            <v>0</v>
          </cell>
          <cell r="G114">
            <v>16.953521126760563</v>
          </cell>
          <cell r="H114">
            <v>17.844366197183099</v>
          </cell>
          <cell r="I114">
            <v>8.899647887323944</v>
          </cell>
          <cell r="J114">
            <v>0.78274647887323945</v>
          </cell>
          <cell r="K114">
            <v>11.480985915492958</v>
          </cell>
          <cell r="L114">
            <v>0.95599999999999996</v>
          </cell>
          <cell r="M114">
            <v>0</v>
          </cell>
          <cell r="N114">
            <v>2.4</v>
          </cell>
          <cell r="O114">
            <v>59.317267605633809</v>
          </cell>
          <cell r="P114">
            <v>3.6791222634784737E-2</v>
          </cell>
          <cell r="Q114">
            <v>59.317267605633809</v>
          </cell>
          <cell r="S114">
            <v>59.317267605633809</v>
          </cell>
          <cell r="U114" t="str">
            <v>Other 1 Volume</v>
          </cell>
          <cell r="V114">
            <v>0</v>
          </cell>
          <cell r="W114">
            <v>0</v>
          </cell>
          <cell r="X114">
            <v>0</v>
          </cell>
          <cell r="Y114">
            <v>0</v>
          </cell>
          <cell r="Z114">
            <v>16.953521126760563</v>
          </cell>
          <cell r="AA114">
            <v>34.797887323943662</v>
          </cell>
          <cell r="AB114">
            <v>43.697535211267606</v>
          </cell>
          <cell r="AC114">
            <v>44.480281690140849</v>
          </cell>
          <cell r="AD114">
            <v>55.961267605633807</v>
          </cell>
          <cell r="AE114">
            <v>56.91726760563381</v>
          </cell>
          <cell r="AF114">
            <v>56.91726760563381</v>
          </cell>
          <cell r="AI114" t="str">
            <v>Other 1 Volume</v>
          </cell>
          <cell r="AJ114">
            <v>0</v>
          </cell>
          <cell r="AK114">
            <v>34.797887323943662</v>
          </cell>
          <cell r="AL114">
            <v>21.163380281690142</v>
          </cell>
          <cell r="AM114">
            <v>3.3559999999999999</v>
          </cell>
        </row>
        <row r="115">
          <cell r="A115" t="str">
            <v>Faena Full Netback</v>
          </cell>
          <cell r="C115">
            <v>0</v>
          </cell>
          <cell r="D115">
            <v>0</v>
          </cell>
          <cell r="E115">
            <v>0</v>
          </cell>
          <cell r="F115">
            <v>0</v>
          </cell>
          <cell r="G115">
            <v>20.873882576204561</v>
          </cell>
          <cell r="H115">
            <v>22.539959985709519</v>
          </cell>
          <cell r="I115">
            <v>19.21753353990087</v>
          </cell>
          <cell r="J115">
            <v>16.233623953687051</v>
          </cell>
          <cell r="K115">
            <v>29.132216581353767</v>
          </cell>
          <cell r="L115">
            <v>-82.459545294147318</v>
          </cell>
          <cell r="M115">
            <v>0</v>
          </cell>
          <cell r="N115">
            <v>21.646941998657564</v>
          </cell>
          <cell r="O115">
            <v>21.029645450152596</v>
          </cell>
          <cell r="Q115">
            <v>21.029645450152596</v>
          </cell>
          <cell r="S115">
            <v>21.029645450152596</v>
          </cell>
          <cell r="U115" t="str">
            <v>Other 1 Netback</v>
          </cell>
          <cell r="V115">
            <v>0</v>
          </cell>
          <cell r="W115">
            <v>0</v>
          </cell>
          <cell r="X115">
            <v>0</v>
          </cell>
          <cell r="Y115">
            <v>0</v>
          </cell>
          <cell r="Z115">
            <v>20.873882576204561</v>
          </cell>
          <cell r="AA115">
            <v>21.728247530355212</v>
          </cell>
          <cell r="AB115">
            <v>21.216903575763922</v>
          </cell>
          <cell r="AC115">
            <v>21.129209783611387</v>
          </cell>
          <cell r="AD115">
            <v>22.771102690219255</v>
          </cell>
          <cell r="AE115">
            <v>21.00361623654598</v>
          </cell>
          <cell r="AF115">
            <v>21.00361623654598</v>
          </cell>
          <cell r="AI115" t="str">
            <v>Other 1 Netback</v>
          </cell>
          <cell r="AJ115">
            <v>0</v>
          </cell>
          <cell r="AK115">
            <v>21.728247530355212</v>
          </cell>
          <cell r="AL115">
            <v>24.485817252124011</v>
          </cell>
          <cell r="AM115">
            <v>-8.0091372182439429</v>
          </cell>
        </row>
        <row r="116">
          <cell r="A116" t="str">
            <v>Faena Full Unit COGS</v>
          </cell>
          <cell r="C116">
            <v>0</v>
          </cell>
          <cell r="D116">
            <v>0</v>
          </cell>
          <cell r="E116">
            <v>0</v>
          </cell>
          <cell r="F116">
            <v>0</v>
          </cell>
          <cell r="G116">
            <v>9.2089512799076338</v>
          </cell>
          <cell r="H116">
            <v>10.078006511091425</v>
          </cell>
          <cell r="I116">
            <v>10.886639429672666</v>
          </cell>
          <cell r="J116">
            <v>18.486179895759541</v>
          </cell>
          <cell r="K116">
            <v>9.4725549075935955</v>
          </cell>
          <cell r="L116">
            <v>8.2681029103823729</v>
          </cell>
          <cell r="M116">
            <v>0</v>
          </cell>
          <cell r="N116">
            <v>9.7487403921352023</v>
          </cell>
          <cell r="O116">
            <v>9.9022192884653268</v>
          </cell>
          <cell r="Q116">
            <v>9.9022192884653268</v>
          </cell>
          <cell r="S116">
            <v>9.9022192884653268</v>
          </cell>
          <cell r="U116" t="str">
            <v>Other 1 Unit COGS</v>
          </cell>
          <cell r="V116">
            <v>0</v>
          </cell>
          <cell r="W116">
            <v>0</v>
          </cell>
          <cell r="X116">
            <v>0</v>
          </cell>
          <cell r="Y116">
            <v>0</v>
          </cell>
          <cell r="Z116">
            <v>9.2089512799076338</v>
          </cell>
          <cell r="AA116">
            <v>9.6546030416498088</v>
          </cell>
          <cell r="AB116">
            <v>9.9055254331476839</v>
          </cell>
          <cell r="AC116">
            <v>10.056524410938016</v>
          </cell>
          <cell r="AD116">
            <v>9.936717517173161</v>
          </cell>
          <cell r="AE116">
            <v>9.9086909510501222</v>
          </cell>
          <cell r="AF116">
            <v>9.9086909510501222</v>
          </cell>
          <cell r="AI116" t="str">
            <v>Other 1 Unit COGS</v>
          </cell>
          <cell r="AJ116">
            <v>0</v>
          </cell>
          <cell r="AK116">
            <v>9.6546030416498088</v>
          </cell>
          <cell r="AL116">
            <v>10.400584234164896</v>
          </cell>
          <cell r="AM116">
            <v>9.3269616577622276</v>
          </cell>
        </row>
        <row r="118">
          <cell r="A118" t="str">
            <v>Spectra Volume</v>
          </cell>
          <cell r="C118">
            <v>0</v>
          </cell>
          <cell r="D118">
            <v>0</v>
          </cell>
          <cell r="E118">
            <v>0</v>
          </cell>
          <cell r="F118">
            <v>0</v>
          </cell>
          <cell r="G118">
            <v>0</v>
          </cell>
          <cell r="H118">
            <v>0</v>
          </cell>
          <cell r="I118">
            <v>0</v>
          </cell>
          <cell r="J118">
            <v>0</v>
          </cell>
          <cell r="K118">
            <v>0</v>
          </cell>
          <cell r="L118">
            <v>0</v>
          </cell>
          <cell r="M118">
            <v>0</v>
          </cell>
          <cell r="N118">
            <v>0</v>
          </cell>
          <cell r="O118">
            <v>0</v>
          </cell>
          <cell r="Q118">
            <v>0</v>
          </cell>
          <cell r="S118">
            <v>0</v>
          </cell>
          <cell r="U118" t="str">
            <v>Spectra Volume</v>
          </cell>
          <cell r="V118">
            <v>0</v>
          </cell>
          <cell r="W118">
            <v>0</v>
          </cell>
          <cell r="X118">
            <v>0</v>
          </cell>
          <cell r="Y118">
            <v>0</v>
          </cell>
          <cell r="Z118">
            <v>0</v>
          </cell>
          <cell r="AA118">
            <v>0</v>
          </cell>
          <cell r="AB118">
            <v>0</v>
          </cell>
          <cell r="AC118">
            <v>0</v>
          </cell>
          <cell r="AD118">
            <v>0</v>
          </cell>
          <cell r="AE118">
            <v>0</v>
          </cell>
          <cell r="AF118">
            <v>0</v>
          </cell>
          <cell r="AI118" t="str">
            <v>Spectra Volume</v>
          </cell>
          <cell r="AJ118">
            <v>0</v>
          </cell>
          <cell r="AK118">
            <v>0</v>
          </cell>
          <cell r="AL118">
            <v>0</v>
          </cell>
          <cell r="AM118">
            <v>0</v>
          </cell>
        </row>
        <row r="119">
          <cell r="A119" t="str">
            <v>Spectra Netback</v>
          </cell>
          <cell r="C119">
            <v>0</v>
          </cell>
          <cell r="D119">
            <v>0</v>
          </cell>
          <cell r="E119">
            <v>0</v>
          </cell>
          <cell r="F119">
            <v>0</v>
          </cell>
          <cell r="G119">
            <v>0</v>
          </cell>
          <cell r="H119">
            <v>0</v>
          </cell>
          <cell r="I119">
            <v>0</v>
          </cell>
          <cell r="J119">
            <v>0</v>
          </cell>
          <cell r="K119">
            <v>0</v>
          </cell>
          <cell r="L119">
            <v>0</v>
          </cell>
          <cell r="M119">
            <v>0</v>
          </cell>
          <cell r="N119">
            <v>0</v>
          </cell>
          <cell r="O119">
            <v>0</v>
          </cell>
          <cell r="Q119">
            <v>0</v>
          </cell>
          <cell r="S119">
            <v>0</v>
          </cell>
          <cell r="U119" t="str">
            <v>Spectra Netback</v>
          </cell>
          <cell r="V119">
            <v>0</v>
          </cell>
          <cell r="W119">
            <v>0</v>
          </cell>
          <cell r="X119">
            <v>0</v>
          </cell>
          <cell r="Y119">
            <v>0</v>
          </cell>
          <cell r="Z119">
            <v>0</v>
          </cell>
          <cell r="AA119">
            <v>0</v>
          </cell>
          <cell r="AB119">
            <v>0</v>
          </cell>
          <cell r="AC119">
            <v>0</v>
          </cell>
          <cell r="AD119">
            <v>0</v>
          </cell>
          <cell r="AE119">
            <v>0</v>
          </cell>
          <cell r="AF119">
            <v>0</v>
          </cell>
          <cell r="AI119" t="str">
            <v>Spectra Netback</v>
          </cell>
          <cell r="AJ119">
            <v>0</v>
          </cell>
          <cell r="AK119">
            <v>0</v>
          </cell>
          <cell r="AL119">
            <v>0</v>
          </cell>
          <cell r="AM119">
            <v>0</v>
          </cell>
        </row>
        <row r="120">
          <cell r="A120" t="str">
            <v>Spectra Unit COGS</v>
          </cell>
          <cell r="C120">
            <v>0</v>
          </cell>
          <cell r="D120">
            <v>0</v>
          </cell>
          <cell r="E120">
            <v>0</v>
          </cell>
          <cell r="F120">
            <v>0</v>
          </cell>
          <cell r="G120">
            <v>0</v>
          </cell>
          <cell r="H120">
            <v>0</v>
          </cell>
          <cell r="I120">
            <v>0</v>
          </cell>
          <cell r="J120">
            <v>0</v>
          </cell>
          <cell r="K120">
            <v>0</v>
          </cell>
          <cell r="L120">
            <v>0</v>
          </cell>
          <cell r="M120">
            <v>0</v>
          </cell>
          <cell r="N120">
            <v>0</v>
          </cell>
          <cell r="O120">
            <v>0</v>
          </cell>
          <cell r="Q120">
            <v>0</v>
          </cell>
          <cell r="S120">
            <v>0</v>
          </cell>
          <cell r="U120" t="str">
            <v>Spectra Unit COGS</v>
          </cell>
          <cell r="V120">
            <v>0</v>
          </cell>
          <cell r="W120">
            <v>0</v>
          </cell>
          <cell r="X120">
            <v>0</v>
          </cell>
          <cell r="Y120">
            <v>0</v>
          </cell>
          <cell r="Z120">
            <v>0</v>
          </cell>
          <cell r="AA120">
            <v>0</v>
          </cell>
          <cell r="AB120">
            <v>0</v>
          </cell>
          <cell r="AC120">
            <v>0</v>
          </cell>
          <cell r="AD120">
            <v>0</v>
          </cell>
          <cell r="AE120">
            <v>0</v>
          </cell>
          <cell r="AF120">
            <v>0</v>
          </cell>
          <cell r="AI120" t="str">
            <v>Spectra Unit COGS</v>
          </cell>
          <cell r="AJ120">
            <v>0</v>
          </cell>
          <cell r="AK120">
            <v>0</v>
          </cell>
          <cell r="AL120">
            <v>0</v>
          </cell>
          <cell r="AM120">
            <v>0</v>
          </cell>
        </row>
        <row r="122">
          <cell r="A122" t="str">
            <v>Other 1 Volume</v>
          </cell>
          <cell r="C122">
            <v>0</v>
          </cell>
          <cell r="D122">
            <v>0</v>
          </cell>
          <cell r="E122">
            <v>0</v>
          </cell>
          <cell r="F122">
            <v>0</v>
          </cell>
          <cell r="G122">
            <v>0</v>
          </cell>
          <cell r="H122">
            <v>0</v>
          </cell>
          <cell r="I122">
            <v>0</v>
          </cell>
          <cell r="J122">
            <v>0</v>
          </cell>
          <cell r="K122">
            <v>0</v>
          </cell>
          <cell r="L122">
            <v>0</v>
          </cell>
          <cell r="M122">
            <v>0</v>
          </cell>
          <cell r="N122">
            <v>0</v>
          </cell>
          <cell r="O122">
            <v>0</v>
          </cell>
          <cell r="Q122">
            <v>0</v>
          </cell>
          <cell r="S122">
            <v>0</v>
          </cell>
          <cell r="U122" t="str">
            <v>Other 1 Volume</v>
          </cell>
          <cell r="V122">
            <v>0</v>
          </cell>
          <cell r="W122">
            <v>0</v>
          </cell>
          <cell r="X122">
            <v>0</v>
          </cell>
          <cell r="Y122">
            <v>0</v>
          </cell>
          <cell r="Z122">
            <v>0</v>
          </cell>
          <cell r="AA122">
            <v>0</v>
          </cell>
          <cell r="AB122">
            <v>0</v>
          </cell>
          <cell r="AC122">
            <v>0</v>
          </cell>
          <cell r="AD122">
            <v>0</v>
          </cell>
          <cell r="AE122">
            <v>0</v>
          </cell>
          <cell r="AF122">
            <v>0</v>
          </cell>
          <cell r="AI122" t="str">
            <v>Other 1 Volume</v>
          </cell>
          <cell r="AJ122">
            <v>0</v>
          </cell>
          <cell r="AK122">
            <v>0</v>
          </cell>
          <cell r="AL122">
            <v>0</v>
          </cell>
          <cell r="AM122">
            <v>0</v>
          </cell>
        </row>
        <row r="123">
          <cell r="A123" t="str">
            <v>Other 1 Netback</v>
          </cell>
          <cell r="C123">
            <v>0</v>
          </cell>
          <cell r="D123">
            <v>0</v>
          </cell>
          <cell r="E123">
            <v>0</v>
          </cell>
          <cell r="F123">
            <v>0</v>
          </cell>
          <cell r="G123">
            <v>0</v>
          </cell>
          <cell r="H123">
            <v>0</v>
          </cell>
          <cell r="I123">
            <v>0</v>
          </cell>
          <cell r="J123">
            <v>0</v>
          </cell>
          <cell r="K123">
            <v>0</v>
          </cell>
          <cell r="L123">
            <v>0</v>
          </cell>
          <cell r="M123">
            <v>0</v>
          </cell>
          <cell r="N123">
            <v>0</v>
          </cell>
          <cell r="O123">
            <v>0</v>
          </cell>
          <cell r="Q123">
            <v>0</v>
          </cell>
          <cell r="S123">
            <v>0</v>
          </cell>
          <cell r="U123" t="str">
            <v>Other 1 Netback</v>
          </cell>
          <cell r="V123">
            <v>0</v>
          </cell>
          <cell r="W123">
            <v>0</v>
          </cell>
          <cell r="X123">
            <v>0</v>
          </cell>
          <cell r="Y123">
            <v>0</v>
          </cell>
          <cell r="Z123">
            <v>0</v>
          </cell>
          <cell r="AA123">
            <v>0</v>
          </cell>
          <cell r="AB123">
            <v>0</v>
          </cell>
          <cell r="AC123">
            <v>0</v>
          </cell>
          <cell r="AD123">
            <v>0</v>
          </cell>
          <cell r="AE123">
            <v>0</v>
          </cell>
          <cell r="AF123">
            <v>0</v>
          </cell>
          <cell r="AI123" t="str">
            <v>Other 1 Netback</v>
          </cell>
          <cell r="AJ123">
            <v>0</v>
          </cell>
          <cell r="AK123">
            <v>0</v>
          </cell>
          <cell r="AL123">
            <v>0</v>
          </cell>
          <cell r="AM123">
            <v>0</v>
          </cell>
        </row>
        <row r="124">
          <cell r="A124" t="str">
            <v>Other 1 Unit COGS</v>
          </cell>
          <cell r="C124">
            <v>0</v>
          </cell>
          <cell r="D124">
            <v>0</v>
          </cell>
          <cell r="E124">
            <v>0</v>
          </cell>
          <cell r="F124">
            <v>0</v>
          </cell>
          <cell r="G124">
            <v>0</v>
          </cell>
          <cell r="H124">
            <v>0</v>
          </cell>
          <cell r="I124">
            <v>0</v>
          </cell>
          <cell r="J124">
            <v>0</v>
          </cell>
          <cell r="K124">
            <v>0</v>
          </cell>
          <cell r="L124">
            <v>0</v>
          </cell>
          <cell r="M124">
            <v>0</v>
          </cell>
          <cell r="N124">
            <v>0</v>
          </cell>
          <cell r="O124">
            <v>0</v>
          </cell>
          <cell r="Q124">
            <v>0</v>
          </cell>
          <cell r="S124">
            <v>0</v>
          </cell>
          <cell r="U124" t="str">
            <v>Other 1 Unit COGS</v>
          </cell>
          <cell r="V124">
            <v>0</v>
          </cell>
          <cell r="W124">
            <v>0</v>
          </cell>
          <cell r="X124">
            <v>0</v>
          </cell>
          <cell r="Y124">
            <v>0</v>
          </cell>
          <cell r="Z124">
            <v>0</v>
          </cell>
          <cell r="AA124">
            <v>0</v>
          </cell>
          <cell r="AB124">
            <v>0</v>
          </cell>
          <cell r="AC124">
            <v>0</v>
          </cell>
          <cell r="AD124">
            <v>0</v>
          </cell>
          <cell r="AE124">
            <v>0</v>
          </cell>
          <cell r="AF124">
            <v>0</v>
          </cell>
          <cell r="AI124" t="str">
            <v>Other 1 Unit COGS</v>
          </cell>
          <cell r="AJ124">
            <v>0</v>
          </cell>
          <cell r="AK124">
            <v>0</v>
          </cell>
          <cell r="AL124">
            <v>0</v>
          </cell>
          <cell r="AM124">
            <v>0</v>
          </cell>
        </row>
        <row r="126">
          <cell r="A126" t="str">
            <v>Other 2 Volume</v>
          </cell>
          <cell r="C126">
            <v>0</v>
          </cell>
          <cell r="D126">
            <v>0</v>
          </cell>
          <cell r="E126">
            <v>0</v>
          </cell>
          <cell r="F126">
            <v>0</v>
          </cell>
          <cell r="G126">
            <v>0</v>
          </cell>
          <cell r="H126">
            <v>0</v>
          </cell>
          <cell r="I126">
            <v>0</v>
          </cell>
          <cell r="J126">
            <v>0</v>
          </cell>
          <cell r="K126">
            <v>0</v>
          </cell>
          <cell r="L126">
            <v>0</v>
          </cell>
          <cell r="M126">
            <v>0</v>
          </cell>
          <cell r="N126">
            <v>0</v>
          </cell>
          <cell r="O126">
            <v>0</v>
          </cell>
          <cell r="Q126">
            <v>0</v>
          </cell>
          <cell r="U126" t="str">
            <v>Other 2 Volume</v>
          </cell>
          <cell r="V126">
            <v>0</v>
          </cell>
          <cell r="W126">
            <v>0</v>
          </cell>
          <cell r="X126">
            <v>0</v>
          </cell>
          <cell r="Y126">
            <v>0</v>
          </cell>
          <cell r="Z126">
            <v>0</v>
          </cell>
          <cell r="AA126">
            <v>0</v>
          </cell>
          <cell r="AB126">
            <v>0</v>
          </cell>
          <cell r="AC126">
            <v>0</v>
          </cell>
          <cell r="AD126">
            <v>0</v>
          </cell>
          <cell r="AE126">
            <v>0</v>
          </cell>
          <cell r="AF126">
            <v>0</v>
          </cell>
          <cell r="AI126" t="str">
            <v>Other 2 Volume</v>
          </cell>
          <cell r="AJ126">
            <v>0</v>
          </cell>
          <cell r="AK126">
            <v>0</v>
          </cell>
          <cell r="AL126">
            <v>0</v>
          </cell>
          <cell r="AM126">
            <v>0</v>
          </cell>
        </row>
        <row r="127">
          <cell r="A127" t="str">
            <v>Other 2 Netback</v>
          </cell>
          <cell r="C127">
            <v>0</v>
          </cell>
          <cell r="D127">
            <v>0</v>
          </cell>
          <cell r="E127">
            <v>0</v>
          </cell>
          <cell r="F127">
            <v>0</v>
          </cell>
          <cell r="G127">
            <v>0</v>
          </cell>
          <cell r="H127">
            <v>0</v>
          </cell>
          <cell r="I127">
            <v>0</v>
          </cell>
          <cell r="J127">
            <v>0</v>
          </cell>
          <cell r="K127">
            <v>0</v>
          </cell>
          <cell r="L127">
            <v>0</v>
          </cell>
          <cell r="M127">
            <v>0</v>
          </cell>
          <cell r="N127">
            <v>0</v>
          </cell>
          <cell r="O127">
            <v>0</v>
          </cell>
          <cell r="Q127">
            <v>0</v>
          </cell>
          <cell r="U127" t="str">
            <v>Other 2 Netback</v>
          </cell>
          <cell r="V127">
            <v>0</v>
          </cell>
          <cell r="W127">
            <v>0</v>
          </cell>
          <cell r="X127">
            <v>0</v>
          </cell>
          <cell r="Y127">
            <v>0</v>
          </cell>
          <cell r="Z127">
            <v>0</v>
          </cell>
          <cell r="AA127">
            <v>0</v>
          </cell>
          <cell r="AB127">
            <v>0</v>
          </cell>
          <cell r="AC127">
            <v>0</v>
          </cell>
          <cell r="AD127">
            <v>0</v>
          </cell>
          <cell r="AE127">
            <v>0</v>
          </cell>
          <cell r="AF127">
            <v>0</v>
          </cell>
          <cell r="AI127" t="str">
            <v>Other 2 Netback</v>
          </cell>
          <cell r="AJ127">
            <v>0</v>
          </cell>
          <cell r="AK127">
            <v>0</v>
          </cell>
          <cell r="AL127">
            <v>0</v>
          </cell>
          <cell r="AM127">
            <v>0</v>
          </cell>
        </row>
        <row r="128">
          <cell r="A128" t="str">
            <v>Other 2 Unit COGS</v>
          </cell>
          <cell r="C128">
            <v>0</v>
          </cell>
          <cell r="D128">
            <v>0</v>
          </cell>
          <cell r="E128">
            <v>0</v>
          </cell>
          <cell r="F128">
            <v>0</v>
          </cell>
          <cell r="G128">
            <v>0</v>
          </cell>
          <cell r="H128">
            <v>0</v>
          </cell>
          <cell r="I128">
            <v>0</v>
          </cell>
          <cell r="J128">
            <v>0</v>
          </cell>
          <cell r="K128">
            <v>0</v>
          </cell>
          <cell r="L128">
            <v>0</v>
          </cell>
          <cell r="M128">
            <v>0</v>
          </cell>
          <cell r="N128">
            <v>0</v>
          </cell>
          <cell r="O128">
            <v>0</v>
          </cell>
          <cell r="Q128">
            <v>0</v>
          </cell>
          <cell r="U128" t="str">
            <v>Other 2 Unit COGS</v>
          </cell>
          <cell r="V128">
            <v>0</v>
          </cell>
          <cell r="W128">
            <v>0</v>
          </cell>
          <cell r="X128">
            <v>0</v>
          </cell>
          <cell r="Y128">
            <v>0</v>
          </cell>
          <cell r="Z128">
            <v>0</v>
          </cell>
          <cell r="AA128">
            <v>0</v>
          </cell>
          <cell r="AB128">
            <v>0</v>
          </cell>
          <cell r="AC128">
            <v>0</v>
          </cell>
          <cell r="AD128">
            <v>0</v>
          </cell>
          <cell r="AE128">
            <v>0</v>
          </cell>
          <cell r="AF128">
            <v>0</v>
          </cell>
          <cell r="AI128" t="str">
            <v>Other 2 Unit COGS</v>
          </cell>
          <cell r="AJ128">
            <v>0</v>
          </cell>
          <cell r="AK128">
            <v>0</v>
          </cell>
          <cell r="AL128">
            <v>0</v>
          </cell>
          <cell r="AM128">
            <v>0</v>
          </cell>
        </row>
        <row r="130">
          <cell r="A130" t="str">
            <v>Other 3 Volume</v>
          </cell>
          <cell r="C130">
            <v>0</v>
          </cell>
          <cell r="D130">
            <v>0</v>
          </cell>
          <cell r="E130">
            <v>0</v>
          </cell>
          <cell r="F130">
            <v>0</v>
          </cell>
          <cell r="G130">
            <v>0</v>
          </cell>
          <cell r="H130">
            <v>0</v>
          </cell>
          <cell r="I130">
            <v>0</v>
          </cell>
          <cell r="J130">
            <v>0</v>
          </cell>
          <cell r="K130">
            <v>0</v>
          </cell>
          <cell r="L130">
            <v>0</v>
          </cell>
          <cell r="M130">
            <v>0</v>
          </cell>
          <cell r="N130">
            <v>0</v>
          </cell>
          <cell r="O130">
            <v>0</v>
          </cell>
          <cell r="Q130">
            <v>0</v>
          </cell>
          <cell r="U130" t="str">
            <v>Other 3 Volume</v>
          </cell>
          <cell r="V130">
            <v>0</v>
          </cell>
          <cell r="W130">
            <v>0</v>
          </cell>
          <cell r="X130">
            <v>0</v>
          </cell>
          <cell r="Y130">
            <v>0</v>
          </cell>
          <cell r="Z130">
            <v>0</v>
          </cell>
          <cell r="AA130">
            <v>0</v>
          </cell>
          <cell r="AB130">
            <v>0</v>
          </cell>
          <cell r="AC130">
            <v>0</v>
          </cell>
          <cell r="AD130">
            <v>0</v>
          </cell>
          <cell r="AE130">
            <v>0</v>
          </cell>
          <cell r="AF130">
            <v>0</v>
          </cell>
          <cell r="AI130" t="str">
            <v>Other 3 Volume</v>
          </cell>
          <cell r="AJ130">
            <v>0</v>
          </cell>
          <cell r="AK130">
            <v>0</v>
          </cell>
          <cell r="AL130">
            <v>0</v>
          </cell>
          <cell r="AM130">
            <v>0</v>
          </cell>
        </row>
        <row r="131">
          <cell r="A131" t="str">
            <v>Other 3 Netback</v>
          </cell>
          <cell r="C131">
            <v>0</v>
          </cell>
          <cell r="D131">
            <v>0</v>
          </cell>
          <cell r="E131">
            <v>0</v>
          </cell>
          <cell r="F131">
            <v>0</v>
          </cell>
          <cell r="G131">
            <v>0</v>
          </cell>
          <cell r="H131">
            <v>0</v>
          </cell>
          <cell r="I131">
            <v>0</v>
          </cell>
          <cell r="J131">
            <v>0</v>
          </cell>
          <cell r="K131">
            <v>0</v>
          </cell>
          <cell r="L131">
            <v>0</v>
          </cell>
          <cell r="M131">
            <v>0</v>
          </cell>
          <cell r="N131">
            <v>0</v>
          </cell>
          <cell r="O131">
            <v>0</v>
          </cell>
          <cell r="Q131">
            <v>0</v>
          </cell>
          <cell r="U131" t="str">
            <v>Other 3 Netback</v>
          </cell>
          <cell r="V131">
            <v>0</v>
          </cell>
          <cell r="W131">
            <v>0</v>
          </cell>
          <cell r="X131">
            <v>0</v>
          </cell>
          <cell r="Y131">
            <v>0</v>
          </cell>
          <cell r="Z131">
            <v>0</v>
          </cell>
          <cell r="AA131">
            <v>0</v>
          </cell>
          <cell r="AB131">
            <v>0</v>
          </cell>
          <cell r="AC131">
            <v>0</v>
          </cell>
          <cell r="AD131">
            <v>0</v>
          </cell>
          <cell r="AE131">
            <v>0</v>
          </cell>
          <cell r="AF131">
            <v>0</v>
          </cell>
          <cell r="AI131" t="str">
            <v>Other 3 Netback</v>
          </cell>
          <cell r="AJ131">
            <v>0</v>
          </cell>
          <cell r="AK131">
            <v>0</v>
          </cell>
          <cell r="AL131">
            <v>0</v>
          </cell>
          <cell r="AM131">
            <v>0</v>
          </cell>
        </row>
        <row r="132">
          <cell r="A132" t="str">
            <v>Other 3 Unit COGS</v>
          </cell>
          <cell r="C132">
            <v>0</v>
          </cell>
          <cell r="D132">
            <v>0</v>
          </cell>
          <cell r="E132">
            <v>0</v>
          </cell>
          <cell r="F132">
            <v>0</v>
          </cell>
          <cell r="G132">
            <v>0</v>
          </cell>
          <cell r="H132">
            <v>0</v>
          </cell>
          <cell r="I132">
            <v>0</v>
          </cell>
          <cell r="J132">
            <v>0</v>
          </cell>
          <cell r="K132">
            <v>0</v>
          </cell>
          <cell r="L132">
            <v>0</v>
          </cell>
          <cell r="M132">
            <v>0</v>
          </cell>
          <cell r="N132">
            <v>0</v>
          </cell>
          <cell r="O132">
            <v>0</v>
          </cell>
          <cell r="Q132">
            <v>0</v>
          </cell>
          <cell r="U132" t="str">
            <v>Other 3 Unit COGS</v>
          </cell>
          <cell r="V132">
            <v>0</v>
          </cell>
          <cell r="W132">
            <v>0</v>
          </cell>
          <cell r="X132">
            <v>0</v>
          </cell>
          <cell r="Y132">
            <v>0</v>
          </cell>
          <cell r="Z132">
            <v>0</v>
          </cell>
          <cell r="AA132">
            <v>0</v>
          </cell>
          <cell r="AB132">
            <v>0</v>
          </cell>
          <cell r="AC132">
            <v>0</v>
          </cell>
          <cell r="AD132">
            <v>0</v>
          </cell>
          <cell r="AE132">
            <v>0</v>
          </cell>
          <cell r="AF132">
            <v>0</v>
          </cell>
          <cell r="AI132" t="str">
            <v>Other 3 Unit COGS</v>
          </cell>
          <cell r="AJ132">
            <v>0</v>
          </cell>
          <cell r="AK132">
            <v>0</v>
          </cell>
          <cell r="AL132">
            <v>0</v>
          </cell>
          <cell r="AM132">
            <v>0</v>
          </cell>
        </row>
        <row r="135">
          <cell r="A135" t="str">
            <v>Branded Volume</v>
          </cell>
          <cell r="C135">
            <v>66.426050000000004</v>
          </cell>
          <cell r="D135">
            <v>25.200473304711579</v>
          </cell>
          <cell r="E135">
            <v>134.12419786437692</v>
          </cell>
          <cell r="F135">
            <v>50.452456252752086</v>
          </cell>
          <cell r="G135">
            <v>319.68567820514011</v>
          </cell>
          <cell r="H135">
            <v>355.92809958555824</v>
          </cell>
          <cell r="I135">
            <v>97.978968726161469</v>
          </cell>
          <cell r="J135">
            <v>15.530039004192481</v>
          </cell>
          <cell r="K135">
            <v>151.65922830871182</v>
          </cell>
          <cell r="L135">
            <v>202.28924398655806</v>
          </cell>
          <cell r="M135">
            <v>35.855499999999999</v>
          </cell>
          <cell r="N135">
            <v>28.3855</v>
          </cell>
          <cell r="O135">
            <v>1483.5154352381628</v>
          </cell>
          <cell r="Q135">
            <v>1483.5154352381628</v>
          </cell>
          <cell r="U135" t="str">
            <v>Branded Volume</v>
          </cell>
          <cell r="V135">
            <v>66.426050000000004</v>
          </cell>
          <cell r="W135">
            <v>91.626523304711583</v>
          </cell>
          <cell r="X135">
            <v>225.75072116908851</v>
          </cell>
          <cell r="Y135">
            <v>276.20317742184056</v>
          </cell>
          <cell r="Z135">
            <v>595.88885562698067</v>
          </cell>
          <cell r="AA135">
            <v>951.81695521253891</v>
          </cell>
          <cell r="AB135">
            <v>1049.7959239387003</v>
          </cell>
          <cell r="AC135">
            <v>1065.3259629428928</v>
          </cell>
          <cell r="AD135">
            <v>1216.9851912516046</v>
          </cell>
          <cell r="AE135">
            <v>1419.2744352381628</v>
          </cell>
          <cell r="AF135">
            <v>1455.1299352381627</v>
          </cell>
          <cell r="AI135" t="str">
            <v>Branded Volume</v>
          </cell>
          <cell r="AJ135">
            <v>225.75072116908851</v>
          </cell>
          <cell r="AK135">
            <v>726.06623404345044</v>
          </cell>
          <cell r="AL135">
            <v>265.16823603906573</v>
          </cell>
          <cell r="AM135">
            <v>266.53024398655805</v>
          </cell>
        </row>
        <row r="136">
          <cell r="A136" t="str">
            <v>Branded Netback</v>
          </cell>
          <cell r="C136">
            <v>18.037289025902254</v>
          </cell>
          <cell r="D136">
            <v>19.107058947811176</v>
          </cell>
          <cell r="E136">
            <v>19.802670973220163</v>
          </cell>
          <cell r="F136">
            <v>21.455726916696001</v>
          </cell>
          <cell r="G136">
            <v>21.06591037109726</v>
          </cell>
          <cell r="H136">
            <v>24.272853968205844</v>
          </cell>
          <cell r="I136">
            <v>19.138613947850924</v>
          </cell>
          <cell r="J136">
            <v>20.203889595884853</v>
          </cell>
          <cell r="K136">
            <v>27.057408271705313</v>
          </cell>
          <cell r="L136">
            <v>19.269623133543181</v>
          </cell>
          <cell r="M136">
            <v>23.35834993038015</v>
          </cell>
          <cell r="N136">
            <v>18.49792147782356</v>
          </cell>
          <cell r="O136">
            <v>21.80301883372373</v>
          </cell>
          <cell r="Q136">
            <v>21.80301883372373</v>
          </cell>
          <cell r="U136" t="str">
            <v>Branded Netback</v>
          </cell>
          <cell r="V136">
            <v>18.037289025902254</v>
          </cell>
          <cell r="W136">
            <v>18.331512874924613</v>
          </cell>
          <cell r="X136">
            <v>19.205565010145836</v>
          </cell>
          <cell r="Y136">
            <v>19.616589228663226</v>
          </cell>
          <cell r="Z136">
            <v>20.394128878852808</v>
          </cell>
          <cell r="AA136">
            <v>21.844562433653241</v>
          </cell>
          <cell r="AB136">
            <v>21.592012356043579</v>
          </cell>
          <cell r="AC136">
            <v>21.571776671044105</v>
          </cell>
          <cell r="AD136">
            <v>22.255389472023673</v>
          </cell>
          <cell r="AE136">
            <v>21.829828072243803</v>
          </cell>
          <cell r="AF136">
            <v>21.86749200462345</v>
          </cell>
          <cell r="AI136" t="str">
            <v>Branded Netback</v>
          </cell>
          <cell r="AJ136">
            <v>19.205565010145836</v>
          </cell>
          <cell r="AK136">
            <v>22.665087536717753</v>
          </cell>
          <cell r="AL136">
            <v>23.730046265845381</v>
          </cell>
          <cell r="AM136">
            <v>19.737480756191992</v>
          </cell>
        </row>
        <row r="137">
          <cell r="A137" t="str">
            <v>Branded Unit COGS</v>
          </cell>
          <cell r="C137">
            <v>9.6867042372683603</v>
          </cell>
          <cell r="D137">
            <v>10.807529653148922</v>
          </cell>
          <cell r="E137">
            <v>8.6610060436976362</v>
          </cell>
          <cell r="F137">
            <v>10.023237753021819</v>
          </cell>
          <cell r="G137">
            <v>8.7377561229520033</v>
          </cell>
          <cell r="H137">
            <v>8.7829696776446955</v>
          </cell>
          <cell r="I137">
            <v>10.39090232068023</v>
          </cell>
          <cell r="J137">
            <v>18.47541584212323</v>
          </cell>
          <cell r="K137">
            <v>9.0968038191401632</v>
          </cell>
          <cell r="L137">
            <v>9.3973666442814761</v>
          </cell>
          <cell r="M137">
            <v>10.082222517094117</v>
          </cell>
          <cell r="N137">
            <v>10.783929798380433</v>
          </cell>
          <cell r="O137">
            <v>9.2724465945558787</v>
          </cell>
          <cell r="Q137">
            <v>9.2724465945558787</v>
          </cell>
          <cell r="U137" t="str">
            <v>Branded Unit COGS</v>
          </cell>
          <cell r="V137">
            <v>9.6867042372683603</v>
          </cell>
          <cell r="W137">
            <v>9.9949701187337965</v>
          </cell>
          <cell r="X137">
            <v>9.2024284133626271</v>
          </cell>
          <cell r="Y137">
            <v>9.352360965506147</v>
          </cell>
          <cell r="Z137">
            <v>9.0226344333437805</v>
          </cell>
          <cell r="AA137">
            <v>8.9330127675744784</v>
          </cell>
          <cell r="AB137">
            <v>9.0690797037024264</v>
          </cell>
          <cell r="AC137">
            <v>9.2062027741969086</v>
          </cell>
          <cell r="AD137">
            <v>9.1925696082217154</v>
          </cell>
          <cell r="AE137">
            <v>9.2217593382461729</v>
          </cell>
          <cell r="AF137">
            <v>9.2429618004882368</v>
          </cell>
          <cell r="AI137" t="str">
            <v>Branded Unit COGS</v>
          </cell>
          <cell r="AJ137">
            <v>9.2024284133626271</v>
          </cell>
          <cell r="AK137">
            <v>8.8492452357995877</v>
          </cell>
          <cell r="AL137">
            <v>10.124244553380086</v>
          </cell>
          <cell r="AM137">
            <v>9.6371673408265668</v>
          </cell>
        </row>
        <row r="139">
          <cell r="A139" t="str">
            <v>Non Branded Volume</v>
          </cell>
          <cell r="C139">
            <v>0</v>
          </cell>
          <cell r="D139">
            <v>1.321003963011889</v>
          </cell>
          <cell r="E139">
            <v>18.494055482166445</v>
          </cell>
          <cell r="F139">
            <v>6.6050198150594452</v>
          </cell>
          <cell r="G139">
            <v>14.531043593130779</v>
          </cell>
          <cell r="H139">
            <v>27.582562747688243</v>
          </cell>
          <cell r="I139">
            <v>7.8752972258916776</v>
          </cell>
          <cell r="J139">
            <v>8.7492734478203431</v>
          </cell>
          <cell r="K139">
            <v>3.9630118890356671</v>
          </cell>
          <cell r="L139">
            <v>15.852047556142669</v>
          </cell>
          <cell r="M139">
            <v>7.9260237780713343</v>
          </cell>
          <cell r="N139">
            <v>15.852047556142669</v>
          </cell>
          <cell r="O139">
            <v>128.75138705416117</v>
          </cell>
          <cell r="Q139">
            <v>128.75138705416117</v>
          </cell>
          <cell r="U139" t="str">
            <v>Non Branded Volume</v>
          </cell>
          <cell r="V139">
            <v>0</v>
          </cell>
          <cell r="W139">
            <v>1.321003963011889</v>
          </cell>
          <cell r="X139">
            <v>19.815059445178335</v>
          </cell>
          <cell r="Y139">
            <v>26.420079260237781</v>
          </cell>
          <cell r="Z139">
            <v>40.95112285336856</v>
          </cell>
          <cell r="AA139">
            <v>68.533685601056803</v>
          </cell>
          <cell r="AB139">
            <v>76.408982826948474</v>
          </cell>
          <cell r="AC139">
            <v>85.158256274768817</v>
          </cell>
          <cell r="AD139">
            <v>89.121268163804487</v>
          </cell>
          <cell r="AE139">
            <v>104.97331571994715</v>
          </cell>
          <cell r="AF139">
            <v>112.89933949801849</v>
          </cell>
          <cell r="AI139" t="str">
            <v>Non Branded Volume</v>
          </cell>
          <cell r="AJ139">
            <v>19.815059445178335</v>
          </cell>
          <cell r="AK139">
            <v>48.718626155878468</v>
          </cell>
          <cell r="AL139">
            <v>20.587582562747688</v>
          </cell>
          <cell r="AM139">
            <v>39.63011889035667</v>
          </cell>
        </row>
        <row r="140">
          <cell r="A140" t="str">
            <v>Non Branded Netback</v>
          </cell>
          <cell r="C140">
            <v>0</v>
          </cell>
          <cell r="D140">
            <v>15.32309129599834</v>
          </cell>
          <cell r="E140">
            <v>13.891068730855816</v>
          </cell>
          <cell r="F140">
            <v>15.492758186397984</v>
          </cell>
          <cell r="G140">
            <v>13.719437477763757</v>
          </cell>
          <cell r="H140">
            <v>12.611233420133964</v>
          </cell>
          <cell r="I140">
            <v>15.672771613093598</v>
          </cell>
          <cell r="J140">
            <v>15.110997046794143</v>
          </cell>
          <cell r="K140">
            <v>16.347657317806572</v>
          </cell>
          <cell r="L140">
            <v>13.195233106338396</v>
          </cell>
          <cell r="M140">
            <v>14.887904761904764</v>
          </cell>
          <cell r="N140">
            <v>14.577110526315789</v>
          </cell>
          <cell r="O140">
            <v>14.022033447289814</v>
          </cell>
          <cell r="Q140">
            <v>14.022033447289814</v>
          </cell>
          <cell r="U140" t="str">
            <v>Non Branded Netback</v>
          </cell>
          <cell r="V140">
            <v>0</v>
          </cell>
          <cell r="W140">
            <v>15.32309129599834</v>
          </cell>
          <cell r="X140">
            <v>13.986536901865316</v>
          </cell>
          <cell r="Y140">
            <v>14.363092222998482</v>
          </cell>
          <cell r="Z140">
            <v>14.134698603721645</v>
          </cell>
          <cell r="AA140">
            <v>13.521553788121977</v>
          </cell>
          <cell r="AB140">
            <v>13.74327483638743</v>
          </cell>
          <cell r="AC140">
            <v>13.883796450415019</v>
          </cell>
          <cell r="AD140">
            <v>13.993358512441063</v>
          </cell>
          <cell r="AE140">
            <v>13.872833388446136</v>
          </cell>
          <cell r="AF140">
            <v>13.944095805730816</v>
          </cell>
          <cell r="AI140" t="str">
            <v>Non Branded Netback</v>
          </cell>
          <cell r="AJ140">
            <v>13.986536901865316</v>
          </cell>
          <cell r="AK140">
            <v>13.332433758128753</v>
          </cell>
          <cell r="AL140">
            <v>15.56394197181648</v>
          </cell>
          <cell r="AM140">
            <v>14.086518405442627</v>
          </cell>
        </row>
        <row r="141">
          <cell r="A141" t="str">
            <v>Non Branded Unit COGS</v>
          </cell>
          <cell r="C141">
            <v>0</v>
          </cell>
          <cell r="D141">
            <v>8.4046803342502745</v>
          </cell>
          <cell r="E141">
            <v>7.9285786766062669</v>
          </cell>
          <cell r="F141">
            <v>7.5885715999999999</v>
          </cell>
          <cell r="G141">
            <v>7.5127069201639509</v>
          </cell>
          <cell r="H141">
            <v>7.5015957286944381</v>
          </cell>
          <cell r="I141">
            <v>5.5584475774413598</v>
          </cell>
          <cell r="J141">
            <v>7.7302174054837529</v>
          </cell>
          <cell r="K141">
            <v>8.0242573333333329</v>
          </cell>
          <cell r="L141">
            <v>8.49</v>
          </cell>
          <cell r="M141">
            <v>8.4899999576471998</v>
          </cell>
          <cell r="N141">
            <v>8.4899999330350102</v>
          </cell>
          <cell r="O141">
            <v>7.7949118315910884</v>
          </cell>
          <cell r="Q141">
            <v>7.7949118315910884</v>
          </cell>
          <cell r="U141" t="str">
            <v>Non Branded Unit COGS</v>
          </cell>
          <cell r="V141">
            <v>0</v>
          </cell>
          <cell r="W141">
            <v>8.4046803342502745</v>
          </cell>
          <cell r="X141">
            <v>7.9603187871158667</v>
          </cell>
          <cell r="Y141">
            <v>7.8673819903368996</v>
          </cell>
          <cell r="Z141">
            <v>7.7415295460819831</v>
          </cell>
          <cell r="AA141">
            <v>7.6449640467170656</v>
          </cell>
          <cell r="AB141">
            <v>7.4299116176135493</v>
          </cell>
          <cell r="AC141">
            <v>7.4607654369726717</v>
          </cell>
          <cell r="AD141">
            <v>7.4858225880956564</v>
          </cell>
          <cell r="AE141">
            <v>7.6374636787779728</v>
          </cell>
          <cell r="AF141">
            <v>7.6973154267866892</v>
          </cell>
          <cell r="AI141" t="str">
            <v>Non Branded Unit COGS</v>
          </cell>
          <cell r="AJ141">
            <v>7.9603187871158667</v>
          </cell>
          <cell r="AK141">
            <v>7.5167015438433662</v>
          </cell>
          <cell r="AL141">
            <v>6.9560590445610089</v>
          </cell>
          <cell r="AM141">
            <v>8.4899999647434434</v>
          </cell>
        </row>
        <row r="143">
          <cell r="Q143">
            <v>0.73472547067840221</v>
          </cell>
        </row>
        <row r="144">
          <cell r="A144" t="str">
            <v xml:space="preserve"> Volume Total</v>
          </cell>
          <cell r="C144">
            <v>66.426050000000004</v>
          </cell>
          <cell r="D144">
            <v>26.521477267723469</v>
          </cell>
          <cell r="E144">
            <v>152.61825334654338</v>
          </cell>
          <cell r="F144">
            <v>57.057476067811528</v>
          </cell>
          <cell r="G144">
            <v>334.2167217982709</v>
          </cell>
          <cell r="H144">
            <v>383.5106623332465</v>
          </cell>
          <cell r="I144">
            <v>105.85426595205314</v>
          </cell>
          <cell r="J144">
            <v>24.279312452012825</v>
          </cell>
          <cell r="K144">
            <v>155.62224019774749</v>
          </cell>
          <cell r="L144">
            <v>218.14129154270074</v>
          </cell>
          <cell r="M144">
            <v>43.781523778071332</v>
          </cell>
          <cell r="N144">
            <v>44.237547556142665</v>
          </cell>
          <cell r="O144">
            <v>1612.2668222923239</v>
          </cell>
          <cell r="P144">
            <v>0</v>
          </cell>
          <cell r="Q144">
            <v>1612.2668222923239</v>
          </cell>
          <cell r="S144">
            <v>1612.2668222923239</v>
          </cell>
          <cell r="U144" t="str">
            <v xml:space="preserve"> Volume Total</v>
          </cell>
          <cell r="V144">
            <v>66.426050000000004</v>
          </cell>
          <cell r="W144">
            <v>92.947527267723473</v>
          </cell>
          <cell r="X144">
            <v>245.56578061426686</v>
          </cell>
          <cell r="Y144">
            <v>302.62325668207836</v>
          </cell>
          <cell r="Z144">
            <v>636.83997848034926</v>
          </cell>
          <cell r="AA144">
            <v>1020.3506408135958</v>
          </cell>
          <cell r="AB144">
            <v>1126.204906765649</v>
          </cell>
          <cell r="AC144">
            <v>1150.4842192176618</v>
          </cell>
          <cell r="AD144">
            <v>1306.1064594154093</v>
          </cell>
          <cell r="AE144">
            <v>1524.2477509581099</v>
          </cell>
          <cell r="AF144">
            <v>1568.0292747361812</v>
          </cell>
          <cell r="AI144" t="str">
            <v xml:space="preserve"> Volume Total</v>
          </cell>
          <cell r="AJ144">
            <v>245.56578061426686</v>
          </cell>
          <cell r="AK144">
            <v>774.78486019932893</v>
          </cell>
          <cell r="AL144">
            <v>285.75581860181342</v>
          </cell>
          <cell r="AM144">
            <v>306.16036287691475</v>
          </cell>
        </row>
        <row r="145">
          <cell r="A145" t="str">
            <v xml:space="preserve"> Netback Avg.</v>
          </cell>
          <cell r="C145">
            <v>18.037289025902254</v>
          </cell>
          <cell r="D145">
            <v>18.91858391629259</v>
          </cell>
          <cell r="E145">
            <v>19.086311707788543</v>
          </cell>
          <cell r="F145">
            <v>20.76544880882124</v>
          </cell>
          <cell r="G145">
            <v>20.746501104875037</v>
          </cell>
          <cell r="H145">
            <v>23.434135747048742</v>
          </cell>
          <cell r="I145">
            <v>18.88076379624102</v>
          </cell>
          <cell r="J145">
            <v>18.368618945596427</v>
          </cell>
          <cell r="K145">
            <v>26.784678163817265</v>
          </cell>
          <cell r="L145">
            <v>18.828205009973672</v>
          </cell>
          <cell r="M145">
            <v>21.824895997700633</v>
          </cell>
          <cell r="N145">
            <v>17.092941204378999</v>
          </cell>
          <cell r="O145">
            <v>21.181649810123069</v>
          </cell>
          <cell r="P145">
            <v>0</v>
          </cell>
          <cell r="Q145">
            <v>21.181649810123066</v>
          </cell>
          <cell r="S145">
            <v>21.181649810123069</v>
          </cell>
          <cell r="U145" t="str">
            <v xml:space="preserve"> Netback Avg.</v>
          </cell>
          <cell r="V145">
            <v>18.037289025902254</v>
          </cell>
          <cell r="W145">
            <v>18.288756096503548</v>
          </cell>
          <cell r="X145">
            <v>18.784434053084354</v>
          </cell>
          <cell r="Y145">
            <v>19.157940383214775</v>
          </cell>
          <cell r="Z145">
            <v>19.991624785437288</v>
          </cell>
          <cell r="AA145">
            <v>21.285532591409119</v>
          </cell>
          <cell r="AB145">
            <v>21.059503532160939</v>
          </cell>
          <cell r="AC145">
            <v>21.00271628853066</v>
          </cell>
          <cell r="AD145">
            <v>21.691635521173307</v>
          </cell>
          <cell r="AE145">
            <v>21.281838341178631</v>
          </cell>
          <cell r="AF145">
            <v>21.297001254323785</v>
          </cell>
          <cell r="AI145" t="str">
            <v xml:space="preserve"> Netback Avg.</v>
          </cell>
          <cell r="AJ145">
            <v>18.784434053084354</v>
          </cell>
          <cell r="AK145">
            <v>22.078248410351307</v>
          </cell>
          <cell r="AL145">
            <v>23.141710577032701</v>
          </cell>
          <cell r="AM145">
            <v>19.00600687204599</v>
          </cell>
        </row>
        <row r="146">
          <cell r="A146" t="str">
            <v xml:space="preserve"> Unit COGS Avg</v>
          </cell>
          <cell r="C146">
            <v>9.6867042372683603</v>
          </cell>
          <cell r="D146">
            <v>10.687846520842847</v>
          </cell>
          <cell r="E146">
            <v>8.5722515725474029</v>
          </cell>
          <cell r="F146">
            <v>9.7413988198616526</v>
          </cell>
          <cell r="G146">
            <v>8.6844935474780325</v>
          </cell>
          <cell r="H146">
            <v>8.6908116731314813</v>
          </cell>
          <cell r="I146">
            <v>10.031379564640202</v>
          </cell>
          <cell r="J146">
            <v>14.603284802207536</v>
          </cell>
          <cell r="K146">
            <v>9.0694907919700452</v>
          </cell>
          <cell r="L146">
            <v>9.3314294753287932</v>
          </cell>
          <cell r="M146">
            <v>9.7939732106028998</v>
          </cell>
          <cell r="N146">
            <v>9.9619247975434853</v>
          </cell>
          <cell r="O146">
            <v>9.1544545553213439</v>
          </cell>
          <cell r="P146">
            <v>0</v>
          </cell>
          <cell r="Q146">
            <v>9.1544545553213439</v>
          </cell>
          <cell r="S146">
            <v>9.1544545553213439</v>
          </cell>
          <cell r="U146" t="str">
            <v xml:space="preserve"> Unit COGS Avg</v>
          </cell>
          <cell r="V146">
            <v>9.6867042372683603</v>
          </cell>
          <cell r="W146">
            <v>9.9723683436312811</v>
          </cell>
          <cell r="X146">
            <v>9.1022007838454329</v>
          </cell>
          <cell r="Y146">
            <v>9.2227170556034306</v>
          </cell>
          <cell r="Z146">
            <v>8.9402547376602648</v>
          </cell>
          <cell r="AA146">
            <v>8.8464986590483186</v>
          </cell>
          <cell r="AB146">
            <v>8.9578680002299684</v>
          </cell>
          <cell r="AC146">
            <v>9.0770063909766598</v>
          </cell>
          <cell r="AD146">
            <v>9.0761109093370074</v>
          </cell>
          <cell r="AE146">
            <v>9.1126505871585888</v>
          </cell>
          <cell r="AF146">
            <v>9.1316740474469089</v>
          </cell>
          <cell r="AI146" t="str">
            <v xml:space="preserve"> Unit COGS Avg</v>
          </cell>
          <cell r="AJ146">
            <v>9.1022007838454329</v>
          </cell>
          <cell r="AK146">
            <v>8.7654546233344881</v>
          </cell>
          <cell r="AL146">
            <v>9.8959892511571699</v>
          </cell>
          <cell r="AM146">
            <v>9.4886752921690807</v>
          </cell>
        </row>
        <row r="147">
          <cell r="A147" t="str">
            <v xml:space="preserve"> Unit COGS Check</v>
          </cell>
          <cell r="C147">
            <v>9.6867042372683585</v>
          </cell>
          <cell r="D147">
            <v>10.687846520842848</v>
          </cell>
          <cell r="E147">
            <v>8.5722241425170207</v>
          </cell>
          <cell r="F147">
            <v>9.7413988198616526</v>
          </cell>
          <cell r="G147">
            <v>8.6844935474780325</v>
          </cell>
          <cell r="H147">
            <v>8.6908134177018379</v>
          </cell>
          <cell r="I147">
            <v>10.031379564640201</v>
          </cell>
          <cell r="J147">
            <v>14.603284802207536</v>
          </cell>
          <cell r="K147">
            <v>9.0694907919700452</v>
          </cell>
          <cell r="L147">
            <v>9.3314294753287932</v>
          </cell>
          <cell r="M147">
            <v>9.7939732106028998</v>
          </cell>
          <cell r="N147">
            <v>9.9619247975434853</v>
          </cell>
          <cell r="O147">
            <v>9.1544523737581276</v>
          </cell>
          <cell r="P147" t="str">
            <v>Check</v>
          </cell>
          <cell r="Q147">
            <v>9.1544545553213439</v>
          </cell>
          <cell r="S147">
            <v>9.1544545553213439</v>
          </cell>
          <cell r="U147" t="str">
            <v xml:space="preserve"> Unit COGS Check</v>
          </cell>
          <cell r="V147">
            <v>9.6867042372683585</v>
          </cell>
          <cell r="W147">
            <v>9.9723683436312811</v>
          </cell>
          <cell r="X147">
            <v>9.1021837361797697</v>
          </cell>
          <cell r="Y147">
            <v>9.2227032221546335</v>
          </cell>
          <cell r="Z147">
            <v>8.9402481640727576</v>
          </cell>
          <cell r="AA147">
            <v>8.8464952119372455</v>
          </cell>
          <cell r="AB147">
            <v>8.9578648771198033</v>
          </cell>
          <cell r="AC147">
            <v>9.0770033337752363</v>
          </cell>
          <cell r="AD147">
            <v>9.0761082164003284</v>
          </cell>
          <cell r="AE147">
            <v>9.1126482796190249</v>
          </cell>
          <cell r="AF147">
            <v>9.1316718043370066</v>
          </cell>
          <cell r="AI147" t="str">
            <v xml:space="preserve"> Unit COGS Check</v>
          </cell>
          <cell r="AJ147">
            <v>9.1021837361797697</v>
          </cell>
          <cell r="AK147">
            <v>8.7654554868791532</v>
          </cell>
          <cell r="AL147">
            <v>9.8959892511571681</v>
          </cell>
          <cell r="AM147">
            <v>9.4886752921690807</v>
          </cell>
        </row>
        <row r="150">
          <cell r="A150" t="str">
            <v>Net Sales</v>
          </cell>
          <cell r="C150">
            <v>1198.1458626990345</v>
          </cell>
          <cell r="D150">
            <v>501.74879327347276</v>
          </cell>
          <cell r="E150">
            <v>2912.9195556703689</v>
          </cell>
          <cell r="F150">
            <v>1184.8240984466834</v>
          </cell>
          <cell r="G150">
            <v>6933.8275880555402</v>
          </cell>
          <cell r="H150">
            <v>8987.2409215578718</v>
          </cell>
          <cell r="I150">
            <v>1998.6093922651933</v>
          </cell>
          <cell r="J150">
            <v>445.97743869209802</v>
          </cell>
          <cell r="K150">
            <v>4168.2916188289328</v>
          </cell>
          <cell r="L150">
            <v>4240.5422916397383</v>
          </cell>
          <cell r="M150">
            <v>1088.8605364105974</v>
          </cell>
          <cell r="N150">
            <v>889.48313273639985</v>
          </cell>
          <cell r="O150">
            <v>34550.471230275929</v>
          </cell>
          <cell r="Q150">
            <v>34150.471230275922</v>
          </cell>
          <cell r="S150">
            <v>34150.471230275929</v>
          </cell>
          <cell r="U150" t="str">
            <v>Net Sales</v>
          </cell>
          <cell r="V150">
            <v>1157.4864004176457</v>
          </cell>
          <cell r="W150">
            <v>1699.8946559725073</v>
          </cell>
          <cell r="X150">
            <v>4612.8142116428762</v>
          </cell>
          <cell r="Y150">
            <v>5797.63831008956</v>
          </cell>
          <cell r="Z150">
            <v>12731.465898145099</v>
          </cell>
          <cell r="AA150">
            <v>21718.706819702973</v>
          </cell>
          <cell r="AB150">
            <v>23717.316211968166</v>
          </cell>
          <cell r="AC150">
            <v>24163.293650660264</v>
          </cell>
          <cell r="AD150">
            <v>28331.585269489195</v>
          </cell>
          <cell r="AE150">
            <v>32438.794227795599</v>
          </cell>
          <cell r="AF150">
            <v>33394.321430872864</v>
          </cell>
          <cell r="AI150" t="str">
            <v>Net Sales</v>
          </cell>
          <cell r="AJ150">
            <v>4612.8142116428762</v>
          </cell>
          <cell r="AK150">
            <v>17105.892608060094</v>
          </cell>
          <cell r="AL150">
            <v>6612.8784497862234</v>
          </cell>
          <cell r="AM150">
            <v>6218.8859607867353</v>
          </cell>
        </row>
        <row r="152">
          <cell r="A152" t="str">
            <v>Inventory Cost</v>
          </cell>
          <cell r="C152">
            <v>571.19179999999983</v>
          </cell>
          <cell r="D152">
            <v>227.98656854345094</v>
          </cell>
          <cell r="E152">
            <v>1271.3091959260182</v>
          </cell>
          <cell r="F152">
            <v>473.71560003126376</v>
          </cell>
          <cell r="G152">
            <v>2786.5206739163441</v>
          </cell>
          <cell r="H152">
            <v>3208.7177400374976</v>
          </cell>
          <cell r="I152">
            <v>846.15582030141502</v>
          </cell>
          <cell r="J152">
            <v>210.71139453852706</v>
          </cell>
          <cell r="K152">
            <v>1296.9872144992214</v>
          </cell>
          <cell r="L152">
            <v>1890.7978658606287</v>
          </cell>
          <cell r="M152">
            <v>373.662088679801</v>
          </cell>
          <cell r="N152">
            <v>390.2635761312709</v>
          </cell>
          <cell r="O152">
            <v>13548.019538465438</v>
          </cell>
          <cell r="Q152">
            <v>13548.023055727434</v>
          </cell>
          <cell r="S152">
            <v>13548.023055727434</v>
          </cell>
          <cell r="U152" t="str">
            <v>Inventory Cost</v>
          </cell>
          <cell r="V152">
            <v>571.19179999999983</v>
          </cell>
          <cell r="W152">
            <v>799.1783685434508</v>
          </cell>
          <cell r="X152">
            <v>2070.4875644694689</v>
          </cell>
          <cell r="Y152">
            <v>2544.2031645007328</v>
          </cell>
          <cell r="Z152">
            <v>5330.7238384170769</v>
          </cell>
          <cell r="AA152">
            <v>8539.4415784545745</v>
          </cell>
          <cell r="AB152">
            <v>9385.5973987559901</v>
          </cell>
          <cell r="AC152">
            <v>9596.3087932945164</v>
          </cell>
          <cell r="AD152">
            <v>10893.296007793739</v>
          </cell>
          <cell r="AE152">
            <v>12784.093873654367</v>
          </cell>
          <cell r="AF152">
            <v>13157.755962334168</v>
          </cell>
          <cell r="AI152" t="str">
            <v>Inventory Cost</v>
          </cell>
          <cell r="AJ152">
            <v>2070.4875644694689</v>
          </cell>
          <cell r="AK152">
            <v>6468.9540139851051</v>
          </cell>
          <cell r="AL152">
            <v>2353.8544293391633</v>
          </cell>
          <cell r="AM152">
            <v>2654.7235306717007</v>
          </cell>
        </row>
        <row r="153">
          <cell r="A153" t="str">
            <v>Non Std. Cost</v>
          </cell>
          <cell r="C153">
            <v>72.2577</v>
          </cell>
          <cell r="D153">
            <v>55.470910000000003</v>
          </cell>
          <cell r="E153">
            <v>36.968679999999992</v>
          </cell>
          <cell r="F153">
            <v>82.104029999999995</v>
          </cell>
          <cell r="G153">
            <v>115.98229000000001</v>
          </cell>
          <cell r="H153">
            <v>124.30187000000001</v>
          </cell>
          <cell r="I153">
            <v>215.70849999999996</v>
          </cell>
          <cell r="J153">
            <v>143.84631999999999</v>
          </cell>
          <cell r="K153">
            <v>114.42726000000002</v>
          </cell>
          <cell r="L153">
            <v>144.77221182722047</v>
          </cell>
          <cell r="M153">
            <v>55.132982322003421</v>
          </cell>
          <cell r="N153">
            <v>50.427545850775921</v>
          </cell>
          <cell r="O153">
            <v>1211.4002999999998</v>
          </cell>
          <cell r="P153">
            <v>0.7513646520850864</v>
          </cell>
          <cell r="Q153">
            <v>1211.4002999999998</v>
          </cell>
          <cell r="S153">
            <v>1211.4002999999998</v>
          </cell>
          <cell r="U153" t="str">
            <v>Non Std. Cost</v>
          </cell>
          <cell r="V153">
            <v>72.2577</v>
          </cell>
          <cell r="W153">
            <v>127.72861</v>
          </cell>
          <cell r="X153">
            <v>164.69729000000001</v>
          </cell>
          <cell r="Y153">
            <v>246.80132</v>
          </cell>
          <cell r="Z153">
            <v>362.78361000000001</v>
          </cell>
          <cell r="AA153">
            <v>487.08548000000002</v>
          </cell>
          <cell r="AB153">
            <v>702.79397999999992</v>
          </cell>
          <cell r="AC153">
            <v>846.64029999999991</v>
          </cell>
          <cell r="AD153">
            <v>961.06755999999996</v>
          </cell>
          <cell r="AE153">
            <v>1105.8397718272204</v>
          </cell>
          <cell r="AF153">
            <v>1160.9727541492239</v>
          </cell>
          <cell r="AI153" t="str">
            <v>Non Std. Cost</v>
          </cell>
          <cell r="AJ153">
            <v>164.69729000000001</v>
          </cell>
          <cell r="AK153">
            <v>322.38819000000001</v>
          </cell>
          <cell r="AL153">
            <v>473.98208</v>
          </cell>
          <cell r="AM153">
            <v>250.3327399999998</v>
          </cell>
        </row>
        <row r="154">
          <cell r="A154" t="str">
            <v>Alloc. NSC (STL)</v>
          </cell>
          <cell r="C154">
            <v>116.16666666666669</v>
          </cell>
          <cell r="D154">
            <v>116.16666666666669</v>
          </cell>
          <cell r="E154">
            <v>116.16666666666669</v>
          </cell>
          <cell r="F154">
            <v>116.16666666666669</v>
          </cell>
          <cell r="G154">
            <v>116.16666666666669</v>
          </cell>
          <cell r="H154">
            <v>116.16666666666669</v>
          </cell>
          <cell r="I154">
            <v>116.16666666666669</v>
          </cell>
          <cell r="J154">
            <v>116.16666666666669</v>
          </cell>
          <cell r="K154">
            <v>116.16666666666669</v>
          </cell>
          <cell r="L154">
            <v>222.83333333333337</v>
          </cell>
          <cell r="M154">
            <v>222.83333333333337</v>
          </cell>
          <cell r="N154">
            <v>222.83333333333337</v>
          </cell>
          <cell r="O154">
            <v>1714.0000000000009</v>
          </cell>
          <cell r="Q154">
            <v>1714.0000000000009</v>
          </cell>
          <cell r="S154">
            <v>1714.0000000000009</v>
          </cell>
          <cell r="U154" t="str">
            <v>Alloc. NSC (STL)</v>
          </cell>
          <cell r="V154">
            <v>116.16666666666669</v>
          </cell>
          <cell r="W154">
            <v>232.33333333333337</v>
          </cell>
          <cell r="X154">
            <v>348.50000000000006</v>
          </cell>
          <cell r="Y154">
            <v>464.66666666666674</v>
          </cell>
          <cell r="Z154">
            <v>580.83333333333348</v>
          </cell>
          <cell r="AA154">
            <v>697.00000000000023</v>
          </cell>
          <cell r="AB154">
            <v>813.16666666666697</v>
          </cell>
          <cell r="AC154">
            <v>929.33333333333371</v>
          </cell>
          <cell r="AD154">
            <v>1045.5000000000005</v>
          </cell>
          <cell r="AE154">
            <v>1268.3333333333339</v>
          </cell>
          <cell r="AF154">
            <v>1491.1666666666674</v>
          </cell>
          <cell r="AI154" t="str">
            <v>Alloc. NSC (STL)</v>
          </cell>
          <cell r="AJ154">
            <v>348.50000000000006</v>
          </cell>
          <cell r="AK154">
            <v>348.50000000000006</v>
          </cell>
          <cell r="AL154">
            <v>348.50000000000006</v>
          </cell>
          <cell r="AM154">
            <v>668.50000000000011</v>
          </cell>
        </row>
        <row r="155">
          <cell r="A155" t="str">
            <v>COGS</v>
          </cell>
          <cell r="C155">
            <v>759.61616666666646</v>
          </cell>
          <cell r="D155">
            <v>399.62414521011766</v>
          </cell>
          <cell r="E155">
            <v>1424.4445425926849</v>
          </cell>
          <cell r="F155">
            <v>671.98629669793036</v>
          </cell>
          <cell r="G155">
            <v>3018.6696305830105</v>
          </cell>
          <cell r="H155">
            <v>3449.1862767041644</v>
          </cell>
          <cell r="I155">
            <v>1178.0309869680816</v>
          </cell>
          <cell r="J155">
            <v>470.72438120519377</v>
          </cell>
          <cell r="K155">
            <v>1527.5811411658881</v>
          </cell>
          <cell r="L155">
            <v>2258.4034110211824</v>
          </cell>
          <cell r="M155">
            <v>651.62840433513782</v>
          </cell>
          <cell r="N155">
            <v>663.52445531538024</v>
          </cell>
          <cell r="O155">
            <v>16473.419838465437</v>
          </cell>
          <cell r="Q155">
            <v>16473.423355727435</v>
          </cell>
          <cell r="S155">
            <v>16473.423355727435</v>
          </cell>
          <cell r="U155" t="str">
            <v>COGS</v>
          </cell>
          <cell r="V155">
            <v>759.61616666666646</v>
          </cell>
          <cell r="W155">
            <v>1159.2403118767843</v>
          </cell>
          <cell r="X155">
            <v>2583.684854469469</v>
          </cell>
          <cell r="Y155">
            <v>3255.6711511673993</v>
          </cell>
          <cell r="Z155">
            <v>6274.3407817504103</v>
          </cell>
          <cell r="AA155">
            <v>9723.5270584545742</v>
          </cell>
          <cell r="AB155">
            <v>10901.558045422658</v>
          </cell>
          <cell r="AC155">
            <v>11372.282426627849</v>
          </cell>
          <cell r="AD155">
            <v>12899.863567793738</v>
          </cell>
          <cell r="AE155">
            <v>15158.266978814921</v>
          </cell>
          <cell r="AF155">
            <v>15809.895383150058</v>
          </cell>
          <cell r="AI155" t="str">
            <v>COGS</v>
          </cell>
          <cell r="AJ155">
            <v>2583.684854469469</v>
          </cell>
          <cell r="AK155">
            <v>7139.8422039851048</v>
          </cell>
          <cell r="AL155">
            <v>3176.3365093391631</v>
          </cell>
          <cell r="AM155">
            <v>3573.5562706717005</v>
          </cell>
        </row>
        <row r="157">
          <cell r="A157" t="str">
            <v>Gross Profit</v>
          </cell>
          <cell r="C157">
            <v>438.52969603236807</v>
          </cell>
          <cell r="D157">
            <v>102.1246480633551</v>
          </cell>
          <cell r="E157">
            <v>1488.475013077684</v>
          </cell>
          <cell r="F157">
            <v>512.83780174875301</v>
          </cell>
          <cell r="G157">
            <v>3915.1579574725297</v>
          </cell>
          <cell r="H157">
            <v>5538.0546448537079</v>
          </cell>
          <cell r="I157">
            <v>820.57840529711166</v>
          </cell>
          <cell r="J157">
            <v>-24.746942513095746</v>
          </cell>
          <cell r="K157">
            <v>2640.7104776630449</v>
          </cell>
          <cell r="L157">
            <v>1982.138880618556</v>
          </cell>
          <cell r="M157">
            <v>437.23213207545962</v>
          </cell>
          <cell r="N157">
            <v>225.95867742101962</v>
          </cell>
          <cell r="O157">
            <v>18077.051391810492</v>
          </cell>
          <cell r="Q157">
            <v>17677.047874548487</v>
          </cell>
          <cell r="S157">
            <v>17677.047874548494</v>
          </cell>
          <cell r="U157" t="str">
            <v>Gross Profit</v>
          </cell>
          <cell r="V157">
            <v>397.8702337509792</v>
          </cell>
          <cell r="W157">
            <v>540.65434409572299</v>
          </cell>
          <cell r="X157">
            <v>2029.1293571734072</v>
          </cell>
          <cell r="Y157">
            <v>2541.9671589221607</v>
          </cell>
          <cell r="Z157">
            <v>6457.125116394689</v>
          </cell>
          <cell r="AA157">
            <v>11995.179761248399</v>
          </cell>
          <cell r="AB157">
            <v>12815.758166545507</v>
          </cell>
          <cell r="AC157">
            <v>12791.011224032414</v>
          </cell>
          <cell r="AD157">
            <v>15431.721701695456</v>
          </cell>
          <cell r="AE157">
            <v>17280.527248980678</v>
          </cell>
          <cell r="AF157">
            <v>17584.426047722805</v>
          </cell>
          <cell r="AI157" t="str">
            <v>Gross Profit</v>
          </cell>
          <cell r="AJ157">
            <v>2029.1293571734072</v>
          </cell>
          <cell r="AK157">
            <v>9966.0504040749893</v>
          </cell>
          <cell r="AL157">
            <v>3436.5419404470604</v>
          </cell>
          <cell r="AM157">
            <v>2645.3296901150347</v>
          </cell>
        </row>
        <row r="158">
          <cell r="A158" t="str">
            <v>% of Sales</v>
          </cell>
          <cell r="C158">
            <v>0.36600693595394362</v>
          </cell>
          <cell r="D158">
            <v>0.20353740643217283</v>
          </cell>
          <cell r="E158">
            <v>0.5109907721894269</v>
          </cell>
          <cell r="F158">
            <v>0.43283876688623119</v>
          </cell>
          <cell r="G158">
            <v>0.56464599209488864</v>
          </cell>
          <cell r="H158">
            <v>0.61621299497707549</v>
          </cell>
          <cell r="I158">
            <v>0.41057467680919918</v>
          </cell>
          <cell r="J158">
            <v>-5.5489225162757588E-2</v>
          </cell>
          <cell r="K158">
            <v>0.6335234477680195</v>
          </cell>
          <cell r="L158">
            <v>0.46742580177218324</v>
          </cell>
          <cell r="M158">
            <v>0.40155016868990845</v>
          </cell>
          <cell r="N158">
            <v>0.25403368440037966</v>
          </cell>
          <cell r="O158">
            <v>0.52320708656413084</v>
          </cell>
          <cell r="Q158">
            <v>0.51762237057733462</v>
          </cell>
          <cell r="S158">
            <v>0.51762237057733473</v>
          </cell>
          <cell r="U158" t="str">
            <v>% of Sales</v>
          </cell>
          <cell r="V158">
            <v>0.34373642196350573</v>
          </cell>
          <cell r="W158">
            <v>0.31805167584718091</v>
          </cell>
          <cell r="X158">
            <v>0.43988967777020505</v>
          </cell>
          <cell r="Y158">
            <v>0.4384487308389704</v>
          </cell>
          <cell r="Z158">
            <v>0.50717844811063384</v>
          </cell>
          <cell r="AA158">
            <v>0.55229714461482127</v>
          </cell>
          <cell r="AB158">
            <v>0.5403544841249136</v>
          </cell>
          <cell r="AC158">
            <v>0.52935710706321271</v>
          </cell>
          <cell r="AD158">
            <v>0.5446826061764416</v>
          </cell>
          <cell r="AE158">
            <v>0.5327117625775879</v>
          </cell>
          <cell r="AF158">
            <v>0.52656934754979334</v>
          </cell>
          <cell r="AI158" t="str">
            <v>% of Sales</v>
          </cell>
          <cell r="AJ158">
            <v>0.43988967777020505</v>
          </cell>
          <cell r="AK158">
            <v>0.58260919978996617</v>
          </cell>
          <cell r="AL158">
            <v>0.51967414289282066</v>
          </cell>
          <cell r="AM158">
            <v>0.4253703487723034</v>
          </cell>
        </row>
        <row r="160">
          <cell r="A160" t="str">
            <v>Marketing</v>
          </cell>
          <cell r="C160">
            <v>225.37848932281307</v>
          </cell>
          <cell r="D160">
            <v>284.50072215748293</v>
          </cell>
          <cell r="E160">
            <v>355.69565814510105</v>
          </cell>
          <cell r="F160">
            <v>340.2052520093298</v>
          </cell>
          <cell r="G160">
            <v>497.0111704253672</v>
          </cell>
          <cell r="H160">
            <v>455.7756815912814</v>
          </cell>
          <cell r="I160">
            <v>402.92505770992267</v>
          </cell>
          <cell r="J160">
            <v>222.67037668658537</v>
          </cell>
          <cell r="K160">
            <v>328.30916670871636</v>
          </cell>
          <cell r="L160">
            <v>185.51000342040479</v>
          </cell>
          <cell r="M160">
            <v>185.5858507935022</v>
          </cell>
          <cell r="N160">
            <v>254.07483583366727</v>
          </cell>
          <cell r="O160">
            <v>3737.6422648041744</v>
          </cell>
          <cell r="Q160">
            <v>3737.6422648041744</v>
          </cell>
          <cell r="S160">
            <v>3737.6422648041744</v>
          </cell>
          <cell r="U160" t="str">
            <v>Marketing</v>
          </cell>
          <cell r="V160">
            <v>225.37848932281307</v>
          </cell>
          <cell r="W160">
            <v>509.87921148029602</v>
          </cell>
          <cell r="X160">
            <v>865.57486962539701</v>
          </cell>
          <cell r="Y160">
            <v>1205.7801216347268</v>
          </cell>
          <cell r="Z160">
            <v>1702.7912920600941</v>
          </cell>
          <cell r="AA160">
            <v>2158.5669736513755</v>
          </cell>
          <cell r="AB160">
            <v>2561.4920313612984</v>
          </cell>
          <cell r="AC160">
            <v>2784.1624080478837</v>
          </cell>
          <cell r="AD160">
            <v>3112.4715747566001</v>
          </cell>
          <cell r="AE160">
            <v>3297.9815781770048</v>
          </cell>
          <cell r="AF160">
            <v>3483.5674289705071</v>
          </cell>
          <cell r="AI160" t="str">
            <v>Marketing</v>
          </cell>
          <cell r="AJ160">
            <v>865.57486962539701</v>
          </cell>
          <cell r="AK160">
            <v>1292.9921040259785</v>
          </cell>
          <cell r="AL160">
            <v>953.9046011052244</v>
          </cell>
          <cell r="AM160">
            <v>625.17069004757423</v>
          </cell>
        </row>
        <row r="161">
          <cell r="A161" t="str">
            <v>Administration</v>
          </cell>
          <cell r="C161">
            <v>0</v>
          </cell>
          <cell r="D161">
            <v>0</v>
          </cell>
          <cell r="E161">
            <v>0</v>
          </cell>
          <cell r="F161">
            <v>0</v>
          </cell>
          <cell r="G161">
            <v>0</v>
          </cell>
          <cell r="H161">
            <v>0</v>
          </cell>
          <cell r="I161">
            <v>0</v>
          </cell>
          <cell r="J161">
            <v>0</v>
          </cell>
          <cell r="K161">
            <v>0</v>
          </cell>
          <cell r="L161">
            <v>0</v>
          </cell>
          <cell r="M161">
            <v>0</v>
          </cell>
          <cell r="N161">
            <v>0</v>
          </cell>
          <cell r="O161">
            <v>0</v>
          </cell>
          <cell r="Q161">
            <v>0</v>
          </cell>
          <cell r="S161">
            <v>0</v>
          </cell>
          <cell r="U161" t="str">
            <v>Administration</v>
          </cell>
          <cell r="V161">
            <v>0</v>
          </cell>
          <cell r="W161">
            <v>0</v>
          </cell>
          <cell r="X161">
            <v>0</v>
          </cell>
          <cell r="Y161">
            <v>0</v>
          </cell>
          <cell r="Z161">
            <v>0</v>
          </cell>
          <cell r="AA161">
            <v>0</v>
          </cell>
          <cell r="AB161">
            <v>0</v>
          </cell>
          <cell r="AC161">
            <v>0</v>
          </cell>
          <cell r="AD161">
            <v>0</v>
          </cell>
          <cell r="AE161">
            <v>0</v>
          </cell>
          <cell r="AF161">
            <v>0</v>
          </cell>
          <cell r="AI161" t="str">
            <v>Administration</v>
          </cell>
          <cell r="AJ161">
            <v>0</v>
          </cell>
          <cell r="AK161">
            <v>0</v>
          </cell>
          <cell r="AL161">
            <v>0</v>
          </cell>
          <cell r="AM161">
            <v>0</v>
          </cell>
        </row>
        <row r="162">
          <cell r="A162" t="str">
            <v>Technology</v>
          </cell>
          <cell r="C162">
            <v>0</v>
          </cell>
          <cell r="D162">
            <v>0</v>
          </cell>
          <cell r="E162">
            <v>0</v>
          </cell>
          <cell r="F162">
            <v>0</v>
          </cell>
          <cell r="G162">
            <v>0</v>
          </cell>
          <cell r="H162">
            <v>0</v>
          </cell>
          <cell r="I162">
            <v>0</v>
          </cell>
          <cell r="J162">
            <v>0</v>
          </cell>
          <cell r="K162">
            <v>0</v>
          </cell>
          <cell r="L162">
            <v>0</v>
          </cell>
          <cell r="M162">
            <v>0</v>
          </cell>
          <cell r="N162">
            <v>0</v>
          </cell>
          <cell r="O162">
            <v>0</v>
          </cell>
          <cell r="Q162">
            <v>0</v>
          </cell>
          <cell r="S162">
            <v>0</v>
          </cell>
          <cell r="U162" t="str">
            <v>Technology</v>
          </cell>
          <cell r="V162">
            <v>0</v>
          </cell>
          <cell r="W162">
            <v>0</v>
          </cell>
          <cell r="X162">
            <v>0</v>
          </cell>
          <cell r="Y162">
            <v>0</v>
          </cell>
          <cell r="Z162">
            <v>0</v>
          </cell>
          <cell r="AA162">
            <v>0</v>
          </cell>
          <cell r="AB162">
            <v>0</v>
          </cell>
          <cell r="AC162">
            <v>0</v>
          </cell>
          <cell r="AD162">
            <v>0</v>
          </cell>
          <cell r="AE162">
            <v>0</v>
          </cell>
          <cell r="AF162">
            <v>0</v>
          </cell>
          <cell r="AI162" t="str">
            <v>Technology</v>
          </cell>
          <cell r="AJ162">
            <v>0</v>
          </cell>
          <cell r="AK162">
            <v>0</v>
          </cell>
          <cell r="AL162">
            <v>0</v>
          </cell>
          <cell r="AM162">
            <v>0</v>
          </cell>
        </row>
        <row r="163">
          <cell r="A163" t="str">
            <v>Bad Debt Reserve</v>
          </cell>
          <cell r="C163">
            <v>17.916666666666668</v>
          </cell>
          <cell r="D163">
            <v>17.916666666666668</v>
          </cell>
          <cell r="E163">
            <v>17.916666666666668</v>
          </cell>
          <cell r="F163">
            <v>17.916666666666668</v>
          </cell>
          <cell r="G163">
            <v>17.916666666666668</v>
          </cell>
          <cell r="H163">
            <v>17.916666666666668</v>
          </cell>
          <cell r="I163">
            <v>17.916666666666668</v>
          </cell>
          <cell r="J163">
            <v>17.916666666666668</v>
          </cell>
          <cell r="K163">
            <v>17.916666666666668</v>
          </cell>
          <cell r="L163">
            <v>17.916666666666668</v>
          </cell>
          <cell r="M163">
            <v>17.916666666666668</v>
          </cell>
          <cell r="N163">
            <v>17.916666666666668</v>
          </cell>
          <cell r="O163">
            <v>214.99999999999997</v>
          </cell>
          <cell r="Q163">
            <v>214.99999999999997</v>
          </cell>
          <cell r="S163">
            <v>214.99999999999997</v>
          </cell>
          <cell r="U163" t="str">
            <v>Bad Debt Reserve</v>
          </cell>
          <cell r="V163">
            <v>17.916666666666668</v>
          </cell>
          <cell r="W163">
            <v>35.833333333333336</v>
          </cell>
          <cell r="X163">
            <v>53.75</v>
          </cell>
          <cell r="Y163">
            <v>71.666666666666671</v>
          </cell>
          <cell r="Z163">
            <v>89.583333333333343</v>
          </cell>
          <cell r="AA163">
            <v>107.50000000000001</v>
          </cell>
          <cell r="AB163">
            <v>125.41666666666669</v>
          </cell>
          <cell r="AC163">
            <v>143.33333333333334</v>
          </cell>
          <cell r="AD163">
            <v>161.25</v>
          </cell>
          <cell r="AE163">
            <v>179.16666666666666</v>
          </cell>
          <cell r="AF163">
            <v>197.08333333333331</v>
          </cell>
          <cell r="AI163" t="str">
            <v>Bad Debt Reserve</v>
          </cell>
          <cell r="AJ163">
            <v>53.75</v>
          </cell>
          <cell r="AK163">
            <v>53.75</v>
          </cell>
          <cell r="AL163">
            <v>53.75</v>
          </cell>
          <cell r="AM163">
            <v>53.75</v>
          </cell>
        </row>
        <row r="164">
          <cell r="A164" t="str">
            <v>Total Direct MAT</v>
          </cell>
          <cell r="C164">
            <v>243.29515598947972</v>
          </cell>
          <cell r="D164">
            <v>302.41738882414961</v>
          </cell>
          <cell r="E164">
            <v>373.61232481176773</v>
          </cell>
          <cell r="F164">
            <v>358.12191867599648</v>
          </cell>
          <cell r="G164">
            <v>514.92783709203388</v>
          </cell>
          <cell r="H164">
            <v>473.69234825794808</v>
          </cell>
          <cell r="I164">
            <v>420.84172437658935</v>
          </cell>
          <cell r="J164">
            <v>240.58704335325203</v>
          </cell>
          <cell r="K164">
            <v>346.22583337538305</v>
          </cell>
          <cell r="L164">
            <v>203.42667008707144</v>
          </cell>
          <cell r="M164">
            <v>203.50251746016886</v>
          </cell>
          <cell r="N164">
            <v>271.99150250033392</v>
          </cell>
          <cell r="O164">
            <v>3952.6422648041744</v>
          </cell>
          <cell r="Q164">
            <v>3952.6422648041744</v>
          </cell>
          <cell r="S164">
            <v>3952.6422648041744</v>
          </cell>
          <cell r="U164" t="str">
            <v>Total Direct MAT</v>
          </cell>
          <cell r="V164">
            <v>243.29515598947972</v>
          </cell>
          <cell r="W164">
            <v>545.71254481362939</v>
          </cell>
          <cell r="X164">
            <v>919.32486962539701</v>
          </cell>
          <cell r="Y164">
            <v>1277.4467883013936</v>
          </cell>
          <cell r="Z164">
            <v>1792.3746253934273</v>
          </cell>
          <cell r="AA164">
            <v>2266.0669736513755</v>
          </cell>
          <cell r="AB164">
            <v>2686.9086980279649</v>
          </cell>
          <cell r="AC164">
            <v>2927.4957413812172</v>
          </cell>
          <cell r="AD164">
            <v>3273.7215747566001</v>
          </cell>
          <cell r="AE164">
            <v>3477.1482448436714</v>
          </cell>
          <cell r="AF164">
            <v>3680.6507623038406</v>
          </cell>
          <cell r="AI164" t="str">
            <v>Total Direct MAT</v>
          </cell>
          <cell r="AJ164">
            <v>919.32486962539701</v>
          </cell>
          <cell r="AK164">
            <v>1346.7421040259785</v>
          </cell>
          <cell r="AL164">
            <v>1007.6546011052244</v>
          </cell>
          <cell r="AM164">
            <v>678.92069004757423</v>
          </cell>
        </row>
        <row r="166">
          <cell r="A166" t="str">
            <v>Marketing</v>
          </cell>
          <cell r="C166">
            <v>0</v>
          </cell>
          <cell r="D166">
            <v>0</v>
          </cell>
          <cell r="E166">
            <v>0</v>
          </cell>
          <cell r="F166">
            <v>0</v>
          </cell>
          <cell r="G166">
            <v>0</v>
          </cell>
          <cell r="H166">
            <v>0</v>
          </cell>
          <cell r="I166">
            <v>0</v>
          </cell>
          <cell r="J166">
            <v>0</v>
          </cell>
          <cell r="K166">
            <v>0</v>
          </cell>
          <cell r="L166">
            <v>0</v>
          </cell>
          <cell r="M166">
            <v>0</v>
          </cell>
          <cell r="N166">
            <v>0</v>
          </cell>
          <cell r="O166">
            <v>0</v>
          </cell>
          <cell r="Q166">
            <v>0</v>
          </cell>
          <cell r="S166">
            <v>0</v>
          </cell>
          <cell r="U166" t="str">
            <v>Marketing</v>
          </cell>
          <cell r="V166">
            <v>0</v>
          </cell>
          <cell r="W166">
            <v>0</v>
          </cell>
          <cell r="X166">
            <v>0</v>
          </cell>
          <cell r="Y166">
            <v>0</v>
          </cell>
          <cell r="Z166">
            <v>0</v>
          </cell>
          <cell r="AA166">
            <v>0</v>
          </cell>
          <cell r="AB166">
            <v>0</v>
          </cell>
          <cell r="AC166">
            <v>0</v>
          </cell>
          <cell r="AD166">
            <v>0</v>
          </cell>
          <cell r="AE166">
            <v>0</v>
          </cell>
          <cell r="AF166">
            <v>0</v>
          </cell>
          <cell r="AI166" t="str">
            <v>Marketing</v>
          </cell>
          <cell r="AJ166">
            <v>0</v>
          </cell>
          <cell r="AK166">
            <v>0</v>
          </cell>
          <cell r="AL166">
            <v>0</v>
          </cell>
          <cell r="AM166">
            <v>0</v>
          </cell>
        </row>
        <row r="171">
          <cell r="A171" t="str">
            <v>Amort of Intangible  Assets</v>
          </cell>
          <cell r="C171">
            <v>0</v>
          </cell>
          <cell r="D171">
            <v>0</v>
          </cell>
          <cell r="E171">
            <v>0</v>
          </cell>
          <cell r="F171">
            <v>0</v>
          </cell>
          <cell r="G171">
            <v>0</v>
          </cell>
          <cell r="H171">
            <v>0</v>
          </cell>
          <cell r="I171">
            <v>0</v>
          </cell>
          <cell r="J171">
            <v>0</v>
          </cell>
          <cell r="K171">
            <v>0</v>
          </cell>
          <cell r="L171">
            <v>0</v>
          </cell>
          <cell r="M171">
            <v>0</v>
          </cell>
          <cell r="N171">
            <v>0</v>
          </cell>
          <cell r="O171">
            <v>0</v>
          </cell>
          <cell r="Q171">
            <v>0</v>
          </cell>
          <cell r="S171">
            <v>0</v>
          </cell>
          <cell r="U171" t="str">
            <v>Amort of Intangible  Assets</v>
          </cell>
          <cell r="V171">
            <v>0</v>
          </cell>
          <cell r="W171">
            <v>0</v>
          </cell>
          <cell r="X171">
            <v>0</v>
          </cell>
          <cell r="Y171">
            <v>0</v>
          </cell>
          <cell r="Z171">
            <v>0</v>
          </cell>
          <cell r="AA171">
            <v>0</v>
          </cell>
          <cell r="AB171">
            <v>0</v>
          </cell>
          <cell r="AC171">
            <v>0</v>
          </cell>
          <cell r="AD171">
            <v>0</v>
          </cell>
          <cell r="AE171">
            <v>0</v>
          </cell>
          <cell r="AF171">
            <v>0</v>
          </cell>
          <cell r="AI171" t="str">
            <v>Amort of Intangible  Assets</v>
          </cell>
          <cell r="AJ171">
            <v>0</v>
          </cell>
          <cell r="AK171">
            <v>0</v>
          </cell>
          <cell r="AL171">
            <v>0</v>
          </cell>
          <cell r="AM171">
            <v>0</v>
          </cell>
        </row>
        <row r="173">
          <cell r="A173" t="str">
            <v>Interest (Expense)</v>
          </cell>
          <cell r="C173">
            <v>0</v>
          </cell>
          <cell r="D173">
            <v>0</v>
          </cell>
          <cell r="E173">
            <v>0</v>
          </cell>
          <cell r="F173">
            <v>0</v>
          </cell>
          <cell r="G173">
            <v>0</v>
          </cell>
          <cell r="H173">
            <v>0</v>
          </cell>
          <cell r="I173">
            <v>0</v>
          </cell>
          <cell r="J173">
            <v>0</v>
          </cell>
          <cell r="K173">
            <v>0</v>
          </cell>
          <cell r="L173">
            <v>0</v>
          </cell>
          <cell r="M173">
            <v>0</v>
          </cell>
          <cell r="N173">
            <v>0</v>
          </cell>
          <cell r="O173">
            <v>0</v>
          </cell>
          <cell r="Q173">
            <v>0</v>
          </cell>
          <cell r="S173">
            <v>0</v>
          </cell>
          <cell r="U173" t="str">
            <v>Interest (Expense)</v>
          </cell>
          <cell r="V173">
            <v>0</v>
          </cell>
          <cell r="W173">
            <v>0</v>
          </cell>
          <cell r="X173">
            <v>0</v>
          </cell>
          <cell r="Y173">
            <v>0</v>
          </cell>
          <cell r="Z173">
            <v>0</v>
          </cell>
          <cell r="AA173">
            <v>0</v>
          </cell>
          <cell r="AB173">
            <v>0</v>
          </cell>
          <cell r="AC173">
            <v>0</v>
          </cell>
          <cell r="AD173">
            <v>0</v>
          </cell>
          <cell r="AE173">
            <v>0</v>
          </cell>
          <cell r="AF173">
            <v>0</v>
          </cell>
          <cell r="AI173" t="str">
            <v>Interest Expense</v>
          </cell>
          <cell r="AJ173">
            <v>0</v>
          </cell>
          <cell r="AK173">
            <v>0</v>
          </cell>
          <cell r="AL173">
            <v>0</v>
          </cell>
          <cell r="AM173">
            <v>0</v>
          </cell>
        </row>
        <row r="174">
          <cell r="A174" t="str">
            <v>Interest Income</v>
          </cell>
          <cell r="C174">
            <v>0</v>
          </cell>
          <cell r="D174">
            <v>0</v>
          </cell>
          <cell r="E174">
            <v>0</v>
          </cell>
          <cell r="F174">
            <v>0</v>
          </cell>
          <cell r="G174">
            <v>0</v>
          </cell>
          <cell r="H174">
            <v>0</v>
          </cell>
          <cell r="I174">
            <v>0</v>
          </cell>
          <cell r="J174">
            <v>0</v>
          </cell>
          <cell r="K174">
            <v>0</v>
          </cell>
          <cell r="L174">
            <v>0</v>
          </cell>
          <cell r="M174">
            <v>0</v>
          </cell>
          <cell r="N174">
            <v>0</v>
          </cell>
          <cell r="O174">
            <v>0</v>
          </cell>
          <cell r="Q174">
            <v>0</v>
          </cell>
          <cell r="S174">
            <v>0</v>
          </cell>
          <cell r="U174" t="str">
            <v>Interest Income</v>
          </cell>
          <cell r="V174">
            <v>0</v>
          </cell>
          <cell r="W174">
            <v>0</v>
          </cell>
          <cell r="X174">
            <v>0</v>
          </cell>
          <cell r="Y174">
            <v>0</v>
          </cell>
          <cell r="Z174">
            <v>0</v>
          </cell>
          <cell r="AA174">
            <v>0</v>
          </cell>
          <cell r="AB174">
            <v>0</v>
          </cell>
          <cell r="AC174">
            <v>0</v>
          </cell>
          <cell r="AD174">
            <v>0</v>
          </cell>
          <cell r="AE174">
            <v>0</v>
          </cell>
          <cell r="AF174">
            <v>0</v>
          </cell>
          <cell r="AI174" t="str">
            <v>Interest Income</v>
          </cell>
          <cell r="AJ174">
            <v>0</v>
          </cell>
          <cell r="AK174">
            <v>0</v>
          </cell>
          <cell r="AL174">
            <v>0</v>
          </cell>
          <cell r="AM174">
            <v>0</v>
          </cell>
        </row>
        <row r="175">
          <cell r="A175" t="str">
            <v>Other Income/Exp.</v>
          </cell>
          <cell r="C175">
            <v>0</v>
          </cell>
          <cell r="D175">
            <v>0</v>
          </cell>
          <cell r="E175">
            <v>0</v>
          </cell>
          <cell r="F175">
            <v>0</v>
          </cell>
          <cell r="G175">
            <v>0</v>
          </cell>
          <cell r="H175">
            <v>0</v>
          </cell>
          <cell r="I175">
            <v>0</v>
          </cell>
          <cell r="J175">
            <v>0</v>
          </cell>
          <cell r="K175">
            <v>0</v>
          </cell>
          <cell r="L175">
            <v>0</v>
          </cell>
          <cell r="M175">
            <v>0</v>
          </cell>
          <cell r="N175">
            <v>0</v>
          </cell>
          <cell r="O175">
            <v>0</v>
          </cell>
          <cell r="Q175">
            <v>0</v>
          </cell>
          <cell r="S175">
            <v>0</v>
          </cell>
          <cell r="U175" t="str">
            <v>Other Income/Exp.</v>
          </cell>
          <cell r="V175">
            <v>0</v>
          </cell>
          <cell r="W175">
            <v>0</v>
          </cell>
          <cell r="X175">
            <v>0</v>
          </cell>
          <cell r="Y175">
            <v>0</v>
          </cell>
          <cell r="Z175">
            <v>0</v>
          </cell>
          <cell r="AA175">
            <v>0</v>
          </cell>
          <cell r="AB175">
            <v>0</v>
          </cell>
          <cell r="AC175">
            <v>0</v>
          </cell>
          <cell r="AD175">
            <v>0</v>
          </cell>
          <cell r="AE175">
            <v>0</v>
          </cell>
          <cell r="AF175">
            <v>0</v>
          </cell>
          <cell r="AI175" t="str">
            <v>Other Income/Exp.</v>
          </cell>
          <cell r="AJ175">
            <v>0</v>
          </cell>
          <cell r="AK175">
            <v>0</v>
          </cell>
          <cell r="AL175">
            <v>0</v>
          </cell>
          <cell r="AM175">
            <v>0</v>
          </cell>
        </row>
        <row r="177">
          <cell r="A177" t="str">
            <v>Income Before Tax</v>
          </cell>
          <cell r="C177">
            <v>195.23454004288834</v>
          </cell>
          <cell r="D177">
            <v>-200.29274076079452</v>
          </cell>
          <cell r="E177">
            <v>1114.8626882659164</v>
          </cell>
          <cell r="F177">
            <v>154.71588307275653</v>
          </cell>
          <cell r="G177">
            <v>3400.2301203804959</v>
          </cell>
          <cell r="H177">
            <v>5064.3622965957602</v>
          </cell>
          <cell r="I177">
            <v>399.7366809205223</v>
          </cell>
          <cell r="J177">
            <v>-265.3339858663478</v>
          </cell>
          <cell r="K177">
            <v>2294.4846442876619</v>
          </cell>
          <cell r="L177">
            <v>1778.7122105314845</v>
          </cell>
          <cell r="M177">
            <v>233.72961461529076</v>
          </cell>
          <cell r="N177">
            <v>-46.032825079314307</v>
          </cell>
          <cell r="O177">
            <v>14124.409127006318</v>
          </cell>
          <cell r="Q177">
            <v>13724.405609744314</v>
          </cell>
          <cell r="S177">
            <v>13724.405609744321</v>
          </cell>
          <cell r="U177" t="str">
            <v>Income Before Tax</v>
          </cell>
          <cell r="V177">
            <v>154.57507776149947</v>
          </cell>
          <cell r="W177">
            <v>-5.0582007179064021</v>
          </cell>
          <cell r="X177">
            <v>1109.8044875480102</v>
          </cell>
          <cell r="Y177">
            <v>1264.5203706207672</v>
          </cell>
          <cell r="Z177">
            <v>4664.7504910012613</v>
          </cell>
          <cell r="AA177">
            <v>9729.1127875970233</v>
          </cell>
          <cell r="AB177">
            <v>10128.849468517543</v>
          </cell>
          <cell r="AC177">
            <v>9863.5154826511971</v>
          </cell>
          <cell r="AD177">
            <v>12158.000126938856</v>
          </cell>
          <cell r="AE177">
            <v>13803.379004137007</v>
          </cell>
          <cell r="AF177">
            <v>13903.775285418964</v>
          </cell>
          <cell r="AI177" t="str">
            <v>Income Before Tax</v>
          </cell>
          <cell r="AJ177">
            <v>1109.8044875480102</v>
          </cell>
          <cell r="AK177">
            <v>8619.3083000490115</v>
          </cell>
          <cell r="AL177">
            <v>2428.8873393418362</v>
          </cell>
          <cell r="AM177">
            <v>1966.4090000674605</v>
          </cell>
        </row>
        <row r="178">
          <cell r="A178" t="str">
            <v>Privision for Taxes</v>
          </cell>
          <cell r="C178">
            <v>60.52270741329523</v>
          </cell>
          <cell r="D178">
            <v>-62.090749635846272</v>
          </cell>
          <cell r="E178">
            <v>345.65625175561433</v>
          </cell>
          <cell r="F178">
            <v>47.961923752554597</v>
          </cell>
          <cell r="G178">
            <v>1054.0713373179537</v>
          </cell>
          <cell r="H178">
            <v>1569.9730239578498</v>
          </cell>
          <cell r="I178">
            <v>123.9183710853619</v>
          </cell>
          <cell r="J178">
            <v>-82.253535618567781</v>
          </cell>
          <cell r="K178">
            <v>711.29023972917491</v>
          </cell>
          <cell r="L178">
            <v>543.13411859809332</v>
          </cell>
          <cell r="M178">
            <v>64.189513864073433</v>
          </cell>
          <cell r="N178">
            <v>-22.536842441254116</v>
          </cell>
          <cell r="O178">
            <v>4353.8363597783036</v>
          </cell>
          <cell r="Q178">
            <v>4230.5356367650747</v>
          </cell>
          <cell r="S178">
            <v>4230.5356367650775</v>
          </cell>
          <cell r="U178" t="str">
            <v>Privision for Taxes</v>
          </cell>
          <cell r="V178">
            <v>60.52270741329523</v>
          </cell>
          <cell r="W178">
            <v>-1.5680422225510426</v>
          </cell>
          <cell r="X178">
            <v>344.08820953306326</v>
          </cell>
          <cell r="Y178">
            <v>392.05013328561785</v>
          </cell>
          <cell r="Z178">
            <v>1446.1214706035717</v>
          </cell>
          <cell r="AA178">
            <v>3016.0944945614215</v>
          </cell>
          <cell r="AB178">
            <v>3140.0128656467832</v>
          </cell>
          <cell r="AC178">
            <v>3057.7593300282156</v>
          </cell>
          <cell r="AD178">
            <v>3769.0495697573906</v>
          </cell>
          <cell r="AE178">
            <v>4312.1836883554843</v>
          </cell>
          <cell r="AF178">
            <v>4376.3732022195582</v>
          </cell>
          <cell r="AI178" t="str">
            <v>Privision for Taxes</v>
          </cell>
          <cell r="AJ178">
            <v>344.08820953306326</v>
          </cell>
          <cell r="AK178">
            <v>2672.0062850283584</v>
          </cell>
          <cell r="AL178">
            <v>752.95507519596902</v>
          </cell>
          <cell r="AM178">
            <v>584.78679002091269</v>
          </cell>
        </row>
        <row r="179">
          <cell r="A179" t="str">
            <v>Tax rate %</v>
          </cell>
          <cell r="C179">
            <v>0.30999999999999922</v>
          </cell>
          <cell r="D179">
            <v>0.30999999999999989</v>
          </cell>
          <cell r="E179">
            <v>0.31004378870482802</v>
          </cell>
          <cell r="F179">
            <v>0.3100000000000005</v>
          </cell>
          <cell r="G179">
            <v>0.31</v>
          </cell>
          <cell r="H179">
            <v>0.31000408975739713</v>
          </cell>
          <cell r="I179">
            <v>0.30999999999999994</v>
          </cell>
          <cell r="J179">
            <v>0.30999999999999983</v>
          </cell>
          <cell r="K179">
            <v>0.30999999999999989</v>
          </cell>
          <cell r="L179">
            <v>0.30535244284166868</v>
          </cell>
          <cell r="M179">
            <v>0.27463149661084546</v>
          </cell>
          <cell r="N179">
            <v>0.48958199724703533</v>
          </cell>
          <cell r="O179">
            <v>0.30824909705097897</v>
          </cell>
          <cell r="Q179">
            <v>0.30824909705097897</v>
          </cell>
          <cell r="S179">
            <v>0.30824909705097897</v>
          </cell>
          <cell r="U179" t="str">
            <v>Tax rate %</v>
          </cell>
          <cell r="V179">
            <v>0.39154246783998592</v>
          </cell>
          <cell r="W179">
            <v>0.31000000000001149</v>
          </cell>
          <cell r="X179">
            <v>0.31004398828237573</v>
          </cell>
          <cell r="Y179">
            <v>0.31003860625286411</v>
          </cell>
          <cell r="Z179">
            <v>0.31001046538143356</v>
          </cell>
          <cell r="AA179">
            <v>0.31000714663380541</v>
          </cell>
          <cell r="AB179">
            <v>0.31000686459074756</v>
          </cell>
          <cell r="AC179">
            <v>0.31000704925201028</v>
          </cell>
          <cell r="AD179">
            <v>0.31000571890159723</v>
          </cell>
          <cell r="AE179">
            <v>0.31240058590458764</v>
          </cell>
          <cell r="AF179">
            <v>0.31476150271279968</v>
          </cell>
          <cell r="AI179" t="str">
            <v>Tax rate %</v>
          </cell>
          <cell r="AJ179">
            <v>0.31004398828237573</v>
          </cell>
          <cell r="AK179">
            <v>0.31000240297857368</v>
          </cell>
          <cell r="AL179">
            <v>0.30999999999999994</v>
          </cell>
          <cell r="AM179">
            <v>0.29738817814648466</v>
          </cell>
        </row>
        <row r="181">
          <cell r="A181" t="str">
            <v>Net Income</v>
          </cell>
          <cell r="C181">
            <v>134.71183262959312</v>
          </cell>
          <cell r="D181">
            <v>-138.20199112494825</v>
          </cell>
          <cell r="E181">
            <v>769.20643651030207</v>
          </cell>
          <cell r="F181">
            <v>106.75395932020193</v>
          </cell>
          <cell r="G181">
            <v>2346.1587830625422</v>
          </cell>
          <cell r="H181">
            <v>3494.3892726379104</v>
          </cell>
          <cell r="I181">
            <v>275.81830983516039</v>
          </cell>
          <cell r="J181">
            <v>-183.08045024778002</v>
          </cell>
          <cell r="K181">
            <v>1583.1944045584869</v>
          </cell>
          <cell r="L181">
            <v>1235.5780919333911</v>
          </cell>
          <cell r="M181">
            <v>169.54010075121732</v>
          </cell>
          <cell r="N181">
            <v>-23.495982638060191</v>
          </cell>
          <cell r="O181">
            <v>9770.5727672280154</v>
          </cell>
          <cell r="Q181">
            <v>9493.8699729792388</v>
          </cell>
          <cell r="S181">
            <v>9493.8699729792424</v>
          </cell>
          <cell r="U181" t="str">
            <v>Net Income</v>
          </cell>
          <cell r="V181">
            <v>94.052370348204249</v>
          </cell>
          <cell r="W181">
            <v>-3.4901584953553595</v>
          </cell>
          <cell r="X181">
            <v>765.71627801494697</v>
          </cell>
          <cell r="Y181">
            <v>872.47023733514925</v>
          </cell>
          <cell r="Z181">
            <v>3218.6290203976896</v>
          </cell>
          <cell r="AA181">
            <v>6713.0182930356023</v>
          </cell>
          <cell r="AB181">
            <v>6988.8366028707596</v>
          </cell>
          <cell r="AC181">
            <v>6805.756152622982</v>
          </cell>
          <cell r="AD181">
            <v>8388.9505571814661</v>
          </cell>
          <cell r="AE181">
            <v>9491.1953157815224</v>
          </cell>
          <cell r="AF181">
            <v>9527.4020831994058</v>
          </cell>
          <cell r="AI181" t="str">
            <v>Net Income</v>
          </cell>
          <cell r="AJ181">
            <v>765.71627801494697</v>
          </cell>
          <cell r="AK181">
            <v>5947.302015020653</v>
          </cell>
          <cell r="AL181">
            <v>1675.9322641458671</v>
          </cell>
          <cell r="AM181">
            <v>1381.6222100465479</v>
          </cell>
        </row>
        <row r="182">
          <cell r="A182" t="str">
            <v>% Sales</v>
          </cell>
          <cell r="C182">
            <v>0.11243358327518738</v>
          </cell>
          <cell r="D182">
            <v>-0.27544060489573063</v>
          </cell>
          <cell r="E182">
            <v>0.26406717446520067</v>
          </cell>
          <cell r="F182">
            <v>9.0101104003672342E-2</v>
          </cell>
          <cell r="G182">
            <v>0.33836416514078305</v>
          </cell>
          <cell r="H182">
            <v>0.38881669058808138</v>
          </cell>
          <cell r="I182">
            <v>0.13800511040456592</v>
          </cell>
          <cell r="J182">
            <v>-0.4105150493367859</v>
          </cell>
          <cell r="K182">
            <v>0.37981853222718615</v>
          </cell>
          <cell r="L182">
            <v>0.29137266107906595</v>
          </cell>
          <cell r="M182">
            <v>0.15570414674968586</v>
          </cell>
          <cell r="N182">
            <v>-2.6415321182963088E-2</v>
          </cell>
          <cell r="O182">
            <v>0.28279130267451302</v>
          </cell>
          <cell r="Q182">
            <v>0.27800114115445934</v>
          </cell>
          <cell r="S182">
            <v>0.2780011411544594</v>
          </cell>
          <cell r="U182" t="str">
            <v>% Sales</v>
          </cell>
          <cell r="V182">
            <v>8.1255702282349199E-2</v>
          </cell>
          <cell r="W182">
            <v>-2.0531616374537308E-3</v>
          </cell>
          <cell r="X182">
            <v>0.16599764111076856</v>
          </cell>
          <cell r="Y182">
            <v>0.15048717954978319</v>
          </cell>
          <cell r="Z182">
            <v>0.25280898885859054</v>
          </cell>
          <cell r="AA182">
            <v>0.3090892265715206</v>
          </cell>
          <cell r="AB182">
            <v>0.29467232044340974</v>
          </cell>
          <cell r="AC182">
            <v>0.28165680767766582</v>
          </cell>
          <cell r="AD182">
            <v>0.29609887612662755</v>
          </cell>
          <cell r="AE182">
            <v>0.29258779623962933</v>
          </cell>
          <cell r="AF182">
            <v>0.2853000652497576</v>
          </cell>
          <cell r="AI182" t="str">
            <v>% Sales</v>
          </cell>
          <cell r="AJ182">
            <v>0.16599764111076856</v>
          </cell>
          <cell r="AK182">
            <v>0.34767563150831166</v>
          </cell>
          <cell r="AL182">
            <v>0.25343460897879433</v>
          </cell>
          <cell r="AM182">
            <v>0.22216554842111344</v>
          </cell>
        </row>
        <row r="184">
          <cell r="A184" t="str">
            <v>EBIT</v>
          </cell>
          <cell r="C184">
            <v>195.23454004288834</v>
          </cell>
          <cell r="D184">
            <v>-200.29274076079452</v>
          </cell>
          <cell r="E184">
            <v>1114.8626882659164</v>
          </cell>
          <cell r="F184">
            <v>154.71588307275653</v>
          </cell>
          <cell r="G184">
            <v>3400.2301203804959</v>
          </cell>
          <cell r="H184">
            <v>5064.3622965957602</v>
          </cell>
          <cell r="I184">
            <v>399.7366809205223</v>
          </cell>
          <cell r="J184">
            <v>-265.3339858663478</v>
          </cell>
          <cell r="K184">
            <v>2294.4846442876619</v>
          </cell>
          <cell r="L184">
            <v>1778.7122105314845</v>
          </cell>
          <cell r="M184">
            <v>233.72961461529076</v>
          </cell>
          <cell r="N184">
            <v>-46.032825079314307</v>
          </cell>
          <cell r="O184">
            <v>14124.409127006318</v>
          </cell>
          <cell r="Q184">
            <v>13724.405609744314</v>
          </cell>
          <cell r="S184">
            <v>13724.405609744321</v>
          </cell>
          <cell r="U184" t="str">
            <v>EBIT</v>
          </cell>
          <cell r="V184">
            <v>195.23454004288834</v>
          </cell>
          <cell r="W184">
            <v>-5.0582007179061748</v>
          </cell>
          <cell r="X184">
            <v>1109.8044875480102</v>
          </cell>
          <cell r="Y184">
            <v>1264.5203706207667</v>
          </cell>
          <cell r="Z184">
            <v>4664.7504910012631</v>
          </cell>
          <cell r="AA184">
            <v>9729.1127875970233</v>
          </cell>
          <cell r="AB184">
            <v>10128.849468517546</v>
          </cell>
          <cell r="AC184">
            <v>9863.5154826511989</v>
          </cell>
          <cell r="AD184">
            <v>12158.000126938861</v>
          </cell>
          <cell r="AE184">
            <v>13936.712337470346</v>
          </cell>
          <cell r="AF184">
            <v>14170.441952085637</v>
          </cell>
          <cell r="AI184" t="str">
            <v>EBIT</v>
          </cell>
          <cell r="AJ184">
            <v>1109.8044875480102</v>
          </cell>
          <cell r="AK184">
            <v>8619.3083000490133</v>
          </cell>
          <cell r="AL184">
            <v>2428.8873393418362</v>
          </cell>
          <cell r="AM184">
            <v>1966.409000067461</v>
          </cell>
        </row>
        <row r="185">
          <cell r="A185" t="str">
            <v>EBITDA</v>
          </cell>
          <cell r="C185">
            <v>195.23454004288834</v>
          </cell>
          <cell r="D185">
            <v>-200.29274076079452</v>
          </cell>
          <cell r="E185">
            <v>1114.8626882659164</v>
          </cell>
          <cell r="F185">
            <v>154.71588307275653</v>
          </cell>
          <cell r="G185">
            <v>3400.2301203804959</v>
          </cell>
          <cell r="H185">
            <v>5064.3622965957602</v>
          </cell>
          <cell r="I185">
            <v>399.7366809205223</v>
          </cell>
          <cell r="J185">
            <v>-265.3339858663478</v>
          </cell>
          <cell r="K185">
            <v>2294.4846442876619</v>
          </cell>
          <cell r="L185">
            <v>1778.7122105314845</v>
          </cell>
          <cell r="M185">
            <v>233.72961461529076</v>
          </cell>
          <cell r="N185">
            <v>-46.032825079314307</v>
          </cell>
          <cell r="O185">
            <v>14124.409127006318</v>
          </cell>
          <cell r="Q185">
            <v>13724.405609744314</v>
          </cell>
          <cell r="S185">
            <v>13724.405609744321</v>
          </cell>
          <cell r="U185" t="str">
            <v>EBITDA</v>
          </cell>
          <cell r="V185">
            <v>195.23454004288834</v>
          </cell>
          <cell r="W185">
            <v>-5.0582007179061748</v>
          </cell>
          <cell r="X185">
            <v>1109.8044875480102</v>
          </cell>
          <cell r="Y185">
            <v>1264.5203706207667</v>
          </cell>
          <cell r="Z185">
            <v>4664.7504910012631</v>
          </cell>
          <cell r="AA185">
            <v>9729.1127875970233</v>
          </cell>
          <cell r="AB185">
            <v>10128.849468517546</v>
          </cell>
          <cell r="AC185">
            <v>9863.5154826511989</v>
          </cell>
          <cell r="AD185">
            <v>12158.000126938861</v>
          </cell>
          <cell r="AE185">
            <v>13936.712337470346</v>
          </cell>
          <cell r="AF185">
            <v>14170.441952085637</v>
          </cell>
          <cell r="AI185" t="str">
            <v>EBITDA</v>
          </cell>
          <cell r="AJ185">
            <v>1109.8044875480102</v>
          </cell>
          <cell r="AK185">
            <v>8619.3083000490133</v>
          </cell>
          <cell r="AL185">
            <v>2428.8873393418362</v>
          </cell>
          <cell r="AM185">
            <v>1966.409000067461</v>
          </cell>
        </row>
        <row r="188">
          <cell r="A188" t="str">
            <v>MEX Forecast '01</v>
          </cell>
          <cell r="U188" t="str">
            <v>MEX Forecast YTD '00</v>
          </cell>
          <cell r="AI188" t="str">
            <v>MEX Forecast Qtr.'00</v>
          </cell>
        </row>
        <row r="189">
          <cell r="A189" t="str">
            <v>Acetanilides</v>
          </cell>
          <cell r="C189" t="str">
            <v>Jan</v>
          </cell>
          <cell r="D189" t="str">
            <v>Feb</v>
          </cell>
          <cell r="E189" t="str">
            <v>Mar</v>
          </cell>
          <cell r="F189" t="str">
            <v>Apr</v>
          </cell>
          <cell r="G189" t="str">
            <v>May</v>
          </cell>
          <cell r="H189" t="str">
            <v>Jun</v>
          </cell>
          <cell r="I189" t="str">
            <v>Jul</v>
          </cell>
          <cell r="J189" t="str">
            <v>Aug</v>
          </cell>
          <cell r="K189" t="str">
            <v>Sep</v>
          </cell>
          <cell r="L189" t="str">
            <v>Oct</v>
          </cell>
          <cell r="M189" t="str">
            <v>Nov</v>
          </cell>
          <cell r="N189" t="str">
            <v>Dec</v>
          </cell>
          <cell r="O189" t="str">
            <v>Total</v>
          </cell>
          <cell r="Q189" t="str">
            <v>Changes</v>
          </cell>
          <cell r="S189" t="str">
            <v>Changes</v>
          </cell>
          <cell r="U189" t="str">
            <v>Acetanilides</v>
          </cell>
          <cell r="V189" t="str">
            <v>Jan</v>
          </cell>
          <cell r="W189" t="str">
            <v>Feb</v>
          </cell>
          <cell r="X189" t="str">
            <v>Mar</v>
          </cell>
          <cell r="Y189" t="str">
            <v>Apr</v>
          </cell>
          <cell r="Z189" t="str">
            <v>May</v>
          </cell>
          <cell r="AA189" t="str">
            <v>Jun</v>
          </cell>
          <cell r="AB189" t="str">
            <v>Jul</v>
          </cell>
          <cell r="AC189" t="str">
            <v>Aug</v>
          </cell>
          <cell r="AD189" t="str">
            <v>Sep</v>
          </cell>
          <cell r="AE189" t="str">
            <v>Oct</v>
          </cell>
          <cell r="AF189" t="str">
            <v>Nov</v>
          </cell>
          <cell r="AI189" t="str">
            <v>Acetanilides</v>
          </cell>
          <cell r="AJ189" t="str">
            <v>1st Qtr.</v>
          </cell>
          <cell r="AK189" t="str">
            <v>2nd Qtr.</v>
          </cell>
          <cell r="AL189" t="str">
            <v>3er Qtr.</v>
          </cell>
          <cell r="AM189" t="str">
            <v>4 Qtr.</v>
          </cell>
        </row>
        <row r="191">
          <cell r="A191" t="str">
            <v>Harness Volume (K Galls)</v>
          </cell>
          <cell r="B191">
            <v>1</v>
          </cell>
          <cell r="C191">
            <v>0.31598414795244384</v>
          </cell>
          <cell r="D191">
            <v>0.12787318361955086</v>
          </cell>
          <cell r="E191">
            <v>14.471334214002642</v>
          </cell>
          <cell r="F191">
            <v>3.7059445178335535</v>
          </cell>
          <cell r="G191">
            <v>9.8081902245706711</v>
          </cell>
          <cell r="H191">
            <v>4.6425363276089824</v>
          </cell>
          <cell r="I191">
            <v>1.1498018494055484</v>
          </cell>
          <cell r="J191">
            <v>-0.14240422721268164</v>
          </cell>
          <cell r="K191">
            <v>1.7447820343461031</v>
          </cell>
          <cell r="L191">
            <v>0</v>
          </cell>
          <cell r="M191">
            <v>0</v>
          </cell>
          <cell r="N191">
            <v>0</v>
          </cell>
          <cell r="O191">
            <v>35.82404227212681</v>
          </cell>
          <cell r="Q191">
            <v>35.82404227212681</v>
          </cell>
          <cell r="S191">
            <v>35.82404227212681</v>
          </cell>
          <cell r="U191" t="str">
            <v>Harness Volume (K Galls)</v>
          </cell>
          <cell r="V191">
            <v>0.31598414795244384</v>
          </cell>
          <cell r="W191">
            <v>0.4438573315719947</v>
          </cell>
          <cell r="X191">
            <v>14.915191545574636</v>
          </cell>
          <cell r="Y191">
            <v>18.621136063408191</v>
          </cell>
          <cell r="Z191">
            <v>28.42932628797886</v>
          </cell>
          <cell r="AA191">
            <v>33.07186261558784</v>
          </cell>
          <cell r="AB191">
            <v>34.221664464993388</v>
          </cell>
          <cell r="AC191">
            <v>34.079260237780709</v>
          </cell>
          <cell r="AD191">
            <v>35.82404227212681</v>
          </cell>
          <cell r="AE191">
            <v>35.82404227212681</v>
          </cell>
          <cell r="AF191">
            <v>35.82404227212681</v>
          </cell>
          <cell r="AI191" t="str">
            <v>Harness Volume (K Galls)</v>
          </cell>
          <cell r="AJ191">
            <v>14.915191545574636</v>
          </cell>
          <cell r="AK191">
            <v>18.156671070013207</v>
          </cell>
          <cell r="AL191">
            <v>2.7521796565389698</v>
          </cell>
          <cell r="AM191">
            <v>0</v>
          </cell>
        </row>
        <row r="192">
          <cell r="A192" t="str">
            <v>Harness Netback (K Galls)</v>
          </cell>
          <cell r="C192">
            <v>3.4328615615088602</v>
          </cell>
          <cell r="D192">
            <v>40.579890379087779</v>
          </cell>
          <cell r="E192">
            <v>35.932699940405648</v>
          </cell>
          <cell r="F192">
            <v>37.698430650822324</v>
          </cell>
          <cell r="G192">
            <v>38.783786562305636</v>
          </cell>
          <cell r="H192">
            <v>42.056639970660953</v>
          </cell>
          <cell r="I192">
            <v>45.033654305126738</v>
          </cell>
          <cell r="J192">
            <v>12.860500573774219</v>
          </cell>
          <cell r="K192">
            <v>49.100501910015808</v>
          </cell>
          <cell r="L192">
            <v>0</v>
          </cell>
          <cell r="M192">
            <v>0</v>
          </cell>
          <cell r="N192">
            <v>0</v>
          </cell>
          <cell r="O192">
            <v>38.444642837365869</v>
          </cell>
          <cell r="Q192">
            <v>38.444642837365869</v>
          </cell>
          <cell r="S192">
            <v>38.444642837365869</v>
          </cell>
          <cell r="U192" t="str">
            <v>Harness Netback (K Galls)</v>
          </cell>
          <cell r="V192">
            <v>3.4328615615088602</v>
          </cell>
          <cell r="W192">
            <v>14.13474367323993</v>
          </cell>
          <cell r="X192">
            <v>35.284020191781302</v>
          </cell>
          <cell r="Y192">
            <v>35.764531755308617</v>
          </cell>
          <cell r="Z192">
            <v>36.806182379860985</v>
          </cell>
          <cell r="AA192">
            <v>37.543227050891105</v>
          </cell>
          <cell r="AB192">
            <v>37.794895321397583</v>
          </cell>
          <cell r="AC192">
            <v>37.899086644515414</v>
          </cell>
          <cell r="AD192">
            <v>38.444642837365869</v>
          </cell>
          <cell r="AE192">
            <v>38.444642837365869</v>
          </cell>
          <cell r="AF192">
            <v>38.444642837365869</v>
          </cell>
          <cell r="AI192" t="str">
            <v>Harness Netback (K Galls)</v>
          </cell>
          <cell r="AJ192">
            <v>35.284020191781302</v>
          </cell>
          <cell r="AK192">
            <v>39.399101561959952</v>
          </cell>
          <cell r="AL192">
            <v>49.2766025093973</v>
          </cell>
          <cell r="AM192">
            <v>0</v>
          </cell>
        </row>
        <row r="193">
          <cell r="A193" t="str">
            <v>Harness Unit COGS (K Galls)</v>
          </cell>
          <cell r="C193">
            <v>21.255116889632102</v>
          </cell>
          <cell r="D193">
            <v>10.539415469519888</v>
          </cell>
          <cell r="E193">
            <v>20.035812818020219</v>
          </cell>
          <cell r="F193">
            <v>31.67255329008341</v>
          </cell>
          <cell r="G193">
            <v>13.17244210694378</v>
          </cell>
          <cell r="H193">
            <v>13.364524256668501</v>
          </cell>
          <cell r="I193">
            <v>14.720044725357827</v>
          </cell>
          <cell r="J193">
            <v>13.933376530612243</v>
          </cell>
          <cell r="K193">
            <v>12.622136901877649</v>
          </cell>
          <cell r="L193">
            <v>0</v>
          </cell>
          <cell r="M193">
            <v>0</v>
          </cell>
          <cell r="N193">
            <v>0</v>
          </cell>
          <cell r="O193">
            <v>17.965382030123784</v>
          </cell>
          <cell r="Q193">
            <v>17.965382030123784</v>
          </cell>
          <cell r="S193">
            <v>17.965382030123784</v>
          </cell>
          <cell r="U193" t="str">
            <v>Harness Unit COGS (K Galls)</v>
          </cell>
          <cell r="V193">
            <v>21.255116889632102</v>
          </cell>
          <cell r="W193">
            <v>18.167974337647394</v>
          </cell>
          <cell r="X193">
            <v>19.98022829527557</v>
          </cell>
          <cell r="Y193">
            <v>22.307213478547226</v>
          </cell>
          <cell r="Z193">
            <v>19.155694010126556</v>
          </cell>
          <cell r="AA193">
            <v>18.34274566572012</v>
          </cell>
          <cell r="AB193">
            <v>18.22102779178875</v>
          </cell>
          <cell r="AC193">
            <v>18.238944250659777</v>
          </cell>
          <cell r="AD193">
            <v>17.965382030123788</v>
          </cell>
          <cell r="AE193">
            <v>17.965382030123788</v>
          </cell>
          <cell r="AF193">
            <v>17.965382030123788</v>
          </cell>
          <cell r="AI193" t="str">
            <v>Harness Unit COGS (K Galls)</v>
          </cell>
          <cell r="AJ193">
            <v>19.98022829527557</v>
          </cell>
          <cell r="AK193">
            <v>16.997600017699458</v>
          </cell>
          <cell r="AL193">
            <v>13.430751348253555</v>
          </cell>
          <cell r="AM193">
            <v>0</v>
          </cell>
        </row>
        <row r="194">
          <cell r="A194" t="str">
            <v xml:space="preserve">Factor de conversión </v>
          </cell>
          <cell r="B194">
            <v>7.0010326672823</v>
          </cell>
        </row>
        <row r="195">
          <cell r="A195" t="str">
            <v>Harness Volume (K Te Lbs)</v>
          </cell>
          <cell r="C195">
            <v>2.212215342158423</v>
          </cell>
          <cell r="D195">
            <v>0.8952443357898634</v>
          </cell>
          <cell r="E195">
            <v>101.31428357139252</v>
          </cell>
          <cell r="F195">
            <v>25.945438632488461</v>
          </cell>
          <cell r="G195">
            <v>68.667460169138181</v>
          </cell>
          <cell r="H195">
            <v>32.502548488635284</v>
          </cell>
          <cell r="I195">
            <v>8.0498003085898482</v>
          </cell>
          <cell r="J195">
            <v>-0.99697664667507524</v>
          </cell>
          <cell r="K195">
            <v>12.215276019744335</v>
          </cell>
          <cell r="L195">
            <v>0</v>
          </cell>
          <cell r="M195">
            <v>0</v>
          </cell>
          <cell r="N195">
            <v>0</v>
          </cell>
          <cell r="O195">
            <v>250.8052902212618</v>
          </cell>
          <cell r="Q195">
            <v>250.80529022126183</v>
          </cell>
          <cell r="S195">
            <v>250.80529022126183</v>
          </cell>
          <cell r="U195" t="str">
            <v>Harness Volume (K Te Lbs)</v>
          </cell>
          <cell r="V195">
            <v>2.212215342158423</v>
          </cell>
          <cell r="W195">
            <v>3.1074596779482864</v>
          </cell>
          <cell r="X195">
            <v>104.42174324934081</v>
          </cell>
          <cell r="Y195">
            <v>130.36718188182925</v>
          </cell>
          <cell r="Z195">
            <v>199.03464205096742</v>
          </cell>
          <cell r="AA195">
            <v>231.5371905396027</v>
          </cell>
          <cell r="AB195">
            <v>239.58699084819256</v>
          </cell>
          <cell r="AC195">
            <v>238.59001420151748</v>
          </cell>
          <cell r="AD195">
            <v>250.8052902212618</v>
          </cell>
          <cell r="AE195">
            <v>250.8052902212618</v>
          </cell>
          <cell r="AF195">
            <v>250.8052902212618</v>
          </cell>
          <cell r="AI195" t="str">
            <v>Harness Volume (K Te Lbs)</v>
          </cell>
          <cell r="AJ195">
            <v>104.42174324934081</v>
          </cell>
          <cell r="AK195">
            <v>127.11544729026193</v>
          </cell>
          <cell r="AL195">
            <v>19.268099681659109</v>
          </cell>
          <cell r="AM195">
            <v>0</v>
          </cell>
        </row>
        <row r="196">
          <cell r="A196" t="str">
            <v>Harness Netback (K TE Lbs)</v>
          </cell>
          <cell r="C196">
            <v>0.49033645815588628</v>
          </cell>
          <cell r="D196">
            <v>5.7962721083603093</v>
          </cell>
          <cell r="E196">
            <v>5.1324856843375084</v>
          </cell>
          <cell r="F196">
            <v>5.3846957216750582</v>
          </cell>
          <cell r="G196">
            <v>5.5397236958417082</v>
          </cell>
          <cell r="H196">
            <v>6.0072052180534579</v>
          </cell>
          <cell r="I196">
            <v>6.4324302492660923</v>
          </cell>
          <cell r="J196">
            <v>1.8369433746359707</v>
          </cell>
          <cell r="K196">
            <v>7.0133227830053695</v>
          </cell>
          <cell r="L196">
            <v>0</v>
          </cell>
          <cell r="M196">
            <v>0</v>
          </cell>
          <cell r="N196">
            <v>0</v>
          </cell>
          <cell r="O196">
            <v>5.4912817386252133</v>
          </cell>
          <cell r="Q196">
            <v>5.4912817386252142</v>
          </cell>
          <cell r="S196">
            <v>5.4912817386252142</v>
          </cell>
          <cell r="U196" t="str">
            <v>Harness Netback (K TE Lbs)</v>
          </cell>
          <cell r="V196">
            <v>0.49033645815588628</v>
          </cell>
          <cell r="W196">
            <v>2.0189512526195412</v>
          </cell>
          <cell r="X196">
            <v>5.0398308176268021</v>
          </cell>
          <cell r="Y196">
            <v>5.1084652014903247</v>
          </cell>
          <cell r="Z196">
            <v>5.2572504841844445</v>
          </cell>
          <cell r="AA196">
            <v>5.362527049236701</v>
          </cell>
          <cell r="AB196">
            <v>5.3984743562222244</v>
          </cell>
          <cell r="AC196">
            <v>5.4133566354615068</v>
          </cell>
          <cell r="AD196">
            <v>5.4912817386252133</v>
          </cell>
          <cell r="AE196">
            <v>5.4912817386252133</v>
          </cell>
          <cell r="AF196">
            <v>5.4912817386252133</v>
          </cell>
          <cell r="AI196" t="str">
            <v>Harness Netback (K TE Lbs)</v>
          </cell>
          <cell r="AJ196">
            <v>5.0398308176268021</v>
          </cell>
          <cell r="AK196">
            <v>5.6276128728955221</v>
          </cell>
          <cell r="AL196">
            <v>7.0384763007434676</v>
          </cell>
          <cell r="AM196">
            <v>0</v>
          </cell>
        </row>
        <row r="197">
          <cell r="A197" t="str">
            <v>Harness Unit COGS (K TE Lbs)</v>
          </cell>
          <cell r="C197">
            <v>3.035997387780085</v>
          </cell>
          <cell r="D197">
            <v>1.5054086976016263</v>
          </cell>
          <cell r="E197">
            <v>2.8618367846864845</v>
          </cell>
          <cell r="F197">
            <v>4.5239830743966856</v>
          </cell>
          <cell r="G197">
            <v>1.8814998776540679</v>
          </cell>
          <cell r="H197">
            <v>1.9089361372536513</v>
          </cell>
          <cell r="I197">
            <v>2.1025533553283555</v>
          </cell>
          <cell r="J197">
            <v>1.9901887611132913</v>
          </cell>
          <cell r="K197">
            <v>1.8028964442437576</v>
          </cell>
          <cell r="L197">
            <v>0</v>
          </cell>
          <cell r="M197">
            <v>0</v>
          </cell>
          <cell r="N197">
            <v>0</v>
          </cell>
          <cell r="O197">
            <v>2.5661045854107818</v>
          </cell>
          <cell r="Q197">
            <v>2.5661045854107813</v>
          </cell>
          <cell r="S197">
            <v>2.5661045854107813</v>
          </cell>
          <cell r="U197" t="str">
            <v>Harness Unit COGS (K TE Lbs)</v>
          </cell>
          <cell r="V197">
            <v>3.035997387780085</v>
          </cell>
          <cell r="W197">
            <v>2.5950420746572433</v>
          </cell>
          <cell r="X197">
            <v>2.8538973098423792</v>
          </cell>
          <cell r="Y197">
            <v>3.1862747309828752</v>
          </cell>
          <cell r="Z197">
            <v>2.7361240720452922</v>
          </cell>
          <cell r="AA197">
            <v>2.6200057245041406</v>
          </cell>
          <cell r="AB197">
            <v>2.6026200216063105</v>
          </cell>
          <cell r="AC197">
            <v>2.6051791381998899</v>
          </cell>
          <cell r="AD197">
            <v>2.5661045854107818</v>
          </cell>
          <cell r="AE197">
            <v>2.5661045854107818</v>
          </cell>
          <cell r="AF197">
            <v>2.5661045854107818</v>
          </cell>
          <cell r="AI197" t="str">
            <v>Harness Unit COGS (K TE Lbs)</v>
          </cell>
          <cell r="AJ197">
            <v>2.8538973098423792</v>
          </cell>
          <cell r="AK197">
            <v>2.4278704050523565</v>
          </cell>
          <cell r="AL197">
            <v>1.9183957548175783</v>
          </cell>
          <cell r="AM197">
            <v>0</v>
          </cell>
        </row>
        <row r="199">
          <cell r="A199" t="str">
            <v>Net Sales</v>
          </cell>
          <cell r="C199">
            <v>1.0847298355520731</v>
          </cell>
          <cell r="D199">
            <v>5.1890797737063368</v>
          </cell>
          <cell r="E199">
            <v>519.99411004908291</v>
          </cell>
          <cell r="F199">
            <v>139.70829240134339</v>
          </cell>
          <cell r="G199">
            <v>380.39875623224151</v>
          </cell>
          <cell r="H199">
            <v>195.24947888096546</v>
          </cell>
          <cell r="I199">
            <v>51.779779005524858</v>
          </cell>
          <cell r="J199">
            <v>-1.8313896457765666</v>
          </cell>
          <cell r="K199">
            <v>85.669673609972108</v>
          </cell>
          <cell r="L199">
            <v>0</v>
          </cell>
          <cell r="M199">
            <v>0</v>
          </cell>
          <cell r="N199">
            <v>0</v>
          </cell>
          <cell r="O199">
            <v>1377.242510142612</v>
          </cell>
          <cell r="Q199">
            <v>1377.242510142612</v>
          </cell>
          <cell r="S199">
            <v>1377.242510142612</v>
          </cell>
          <cell r="U199" t="str">
            <v>Net Sales</v>
          </cell>
          <cell r="V199">
            <v>1.0847298355520731</v>
          </cell>
          <cell r="W199">
            <v>6.2738096092584099</v>
          </cell>
          <cell r="X199">
            <v>526.26791965834127</v>
          </cell>
          <cell r="Y199">
            <v>665.97621205968471</v>
          </cell>
          <cell r="Z199">
            <v>1046.3749682919263</v>
          </cell>
          <cell r="AA199">
            <v>1241.6244471728917</v>
          </cell>
          <cell r="AB199">
            <v>1293.4042261784166</v>
          </cell>
          <cell r="AC199">
            <v>1291.5728365326399</v>
          </cell>
          <cell r="AD199">
            <v>1377.242510142612</v>
          </cell>
          <cell r="AE199">
            <v>1377.242510142612</v>
          </cell>
          <cell r="AF199">
            <v>1377.242510142612</v>
          </cell>
          <cell r="AI199" t="str">
            <v>Net Sales</v>
          </cell>
          <cell r="AJ199">
            <v>526.26791965834127</v>
          </cell>
          <cell r="AK199">
            <v>715.35652751455041</v>
          </cell>
          <cell r="AL199">
            <v>135.6180629697204</v>
          </cell>
          <cell r="AM199">
            <v>0</v>
          </cell>
        </row>
        <row r="201">
          <cell r="A201" t="str">
            <v>Inventory Cost</v>
          </cell>
          <cell r="C201">
            <v>6.7162799999999985</v>
          </cell>
          <cell r="D201">
            <v>1.3477086095766515</v>
          </cell>
          <cell r="E201">
            <v>289.94494353876865</v>
          </cell>
          <cell r="F201">
            <v>117.3767252311757</v>
          </cell>
          <cell r="G201">
            <v>129.19781790704909</v>
          </cell>
          <cell r="H201">
            <v>62.045289362794946</v>
          </cell>
          <cell r="I201">
            <v>16.925134648548816</v>
          </cell>
          <cell r="J201">
            <v>-1.9841717173051518</v>
          </cell>
          <cell r="K201">
            <v>22.022877701453105</v>
          </cell>
          <cell r="L201">
            <v>0</v>
          </cell>
          <cell r="M201">
            <v>0</v>
          </cell>
          <cell r="N201">
            <v>0</v>
          </cell>
          <cell r="O201">
            <v>643.59260528206187</v>
          </cell>
          <cell r="Q201">
            <v>643.59260528206187</v>
          </cell>
          <cell r="S201">
            <v>643.59260528206187</v>
          </cell>
          <cell r="U201" t="str">
            <v>Inventory Cost</v>
          </cell>
          <cell r="V201">
            <v>6.7162799999999985</v>
          </cell>
          <cell r="W201">
            <v>8.0639886095766506</v>
          </cell>
          <cell r="X201">
            <v>298.00893214834531</v>
          </cell>
          <cell r="Y201">
            <v>415.38565737952104</v>
          </cell>
          <cell r="Z201">
            <v>544.58347528657009</v>
          </cell>
          <cell r="AA201">
            <v>606.62876464936505</v>
          </cell>
          <cell r="AB201">
            <v>623.55389929791386</v>
          </cell>
          <cell r="AC201">
            <v>621.56972758060874</v>
          </cell>
          <cell r="AD201">
            <v>643.59260528206187</v>
          </cell>
          <cell r="AE201">
            <v>643.59260528206187</v>
          </cell>
          <cell r="AF201">
            <v>643.59260528206187</v>
          </cell>
          <cell r="AI201" t="str">
            <v>Inventory Cost</v>
          </cell>
          <cell r="AJ201">
            <v>298.00893214834531</v>
          </cell>
          <cell r="AK201">
            <v>308.61983250101974</v>
          </cell>
          <cell r="AL201">
            <v>36.963840632696773</v>
          </cell>
          <cell r="AM201">
            <v>0</v>
          </cell>
        </row>
        <row r="202">
          <cell r="A202" t="str">
            <v>Non Std. Cost</v>
          </cell>
          <cell r="C202">
            <v>0</v>
          </cell>
          <cell r="D202">
            <v>0</v>
          </cell>
          <cell r="E202">
            <v>0</v>
          </cell>
          <cell r="F202">
            <v>0</v>
          </cell>
          <cell r="G202">
            <v>0</v>
          </cell>
          <cell r="H202">
            <v>0</v>
          </cell>
          <cell r="I202">
            <v>0</v>
          </cell>
          <cell r="J202">
            <v>0</v>
          </cell>
          <cell r="K202">
            <v>0</v>
          </cell>
          <cell r="L202">
            <v>0</v>
          </cell>
          <cell r="M202">
            <v>0</v>
          </cell>
          <cell r="N202">
            <v>0</v>
          </cell>
          <cell r="O202">
            <v>0</v>
          </cell>
          <cell r="Q202">
            <v>0</v>
          </cell>
          <cell r="S202">
            <v>0</v>
          </cell>
          <cell r="U202" t="str">
            <v>Non Std. Cost</v>
          </cell>
          <cell r="V202">
            <v>0</v>
          </cell>
          <cell r="W202">
            <v>0</v>
          </cell>
          <cell r="X202">
            <v>0</v>
          </cell>
          <cell r="Y202">
            <v>0</v>
          </cell>
          <cell r="Z202">
            <v>0</v>
          </cell>
          <cell r="AA202">
            <v>0</v>
          </cell>
          <cell r="AB202">
            <v>0</v>
          </cell>
          <cell r="AC202">
            <v>0</v>
          </cell>
          <cell r="AD202">
            <v>0</v>
          </cell>
          <cell r="AE202">
            <v>0</v>
          </cell>
          <cell r="AF202">
            <v>0</v>
          </cell>
          <cell r="AI202" t="str">
            <v>Non Std. Cost</v>
          </cell>
          <cell r="AJ202">
            <v>0</v>
          </cell>
          <cell r="AK202">
            <v>0</v>
          </cell>
          <cell r="AL202">
            <v>0</v>
          </cell>
          <cell r="AM202">
            <v>0</v>
          </cell>
        </row>
        <row r="203">
          <cell r="A203" t="str">
            <v>Alloc. NSC (STL)</v>
          </cell>
          <cell r="C203">
            <v>0</v>
          </cell>
          <cell r="D203">
            <v>0</v>
          </cell>
          <cell r="E203">
            <v>0</v>
          </cell>
          <cell r="F203">
            <v>0</v>
          </cell>
          <cell r="G203">
            <v>0</v>
          </cell>
          <cell r="H203">
            <v>0</v>
          </cell>
          <cell r="I203">
            <v>0</v>
          </cell>
          <cell r="J203">
            <v>0</v>
          </cell>
          <cell r="K203">
            <v>0</v>
          </cell>
          <cell r="L203">
            <v>0</v>
          </cell>
          <cell r="M203">
            <v>0</v>
          </cell>
          <cell r="N203">
            <v>0</v>
          </cell>
          <cell r="O203">
            <v>0</v>
          </cell>
          <cell r="Q203">
            <v>0</v>
          </cell>
          <cell r="S203">
            <v>0</v>
          </cell>
          <cell r="U203" t="str">
            <v>Alloc. NSC (STL)</v>
          </cell>
          <cell r="V203">
            <v>0</v>
          </cell>
          <cell r="W203">
            <v>0</v>
          </cell>
          <cell r="X203">
            <v>0</v>
          </cell>
          <cell r="Y203">
            <v>0</v>
          </cell>
          <cell r="Z203">
            <v>0</v>
          </cell>
          <cell r="AA203">
            <v>0</v>
          </cell>
          <cell r="AB203">
            <v>0</v>
          </cell>
          <cell r="AC203">
            <v>0</v>
          </cell>
          <cell r="AD203">
            <v>0</v>
          </cell>
          <cell r="AE203">
            <v>0</v>
          </cell>
          <cell r="AF203">
            <v>0</v>
          </cell>
          <cell r="AI203" t="str">
            <v>Alloc. NSC (STL)</v>
          </cell>
          <cell r="AJ203">
            <v>0</v>
          </cell>
          <cell r="AK203">
            <v>0</v>
          </cell>
          <cell r="AL203">
            <v>0</v>
          </cell>
          <cell r="AM203">
            <v>0</v>
          </cell>
        </row>
        <row r="204">
          <cell r="A204" t="str">
            <v>COGS</v>
          </cell>
          <cell r="C204">
            <v>6.7162799999999985</v>
          </cell>
          <cell r="D204">
            <v>1.3477086095766515</v>
          </cell>
          <cell r="E204">
            <v>289.94494353876865</v>
          </cell>
          <cell r="F204">
            <v>117.3767252311757</v>
          </cell>
          <cell r="G204">
            <v>129.19781790704909</v>
          </cell>
          <cell r="H204">
            <v>62.045289362794946</v>
          </cell>
          <cell r="I204">
            <v>16.925134648548816</v>
          </cell>
          <cell r="J204">
            <v>-1.9841717173051518</v>
          </cell>
          <cell r="K204">
            <v>22.022877701453105</v>
          </cell>
          <cell r="L204">
            <v>0</v>
          </cell>
          <cell r="M204">
            <v>0</v>
          </cell>
          <cell r="N204">
            <v>0</v>
          </cell>
          <cell r="O204">
            <v>643.59260528206187</v>
          </cell>
          <cell r="Q204">
            <v>643.59260528206187</v>
          </cell>
          <cell r="S204">
            <v>643.59260528206187</v>
          </cell>
          <cell r="U204" t="str">
            <v>COGS</v>
          </cell>
          <cell r="V204">
            <v>6.7162799999999985</v>
          </cell>
          <cell r="W204">
            <v>8.0639886095766506</v>
          </cell>
          <cell r="X204">
            <v>298.00893214834531</v>
          </cell>
          <cell r="Y204">
            <v>415.38565737952104</v>
          </cell>
          <cell r="Z204">
            <v>544.58347528657009</v>
          </cell>
          <cell r="AA204">
            <v>606.62876464936505</v>
          </cell>
          <cell r="AB204">
            <v>623.55389929791386</v>
          </cell>
          <cell r="AC204">
            <v>621.56972758060874</v>
          </cell>
          <cell r="AD204">
            <v>643.59260528206187</v>
          </cell>
          <cell r="AE204">
            <v>643.59260528206187</v>
          </cell>
          <cell r="AF204">
            <v>643.59260528206187</v>
          </cell>
          <cell r="AI204" t="str">
            <v>COGS</v>
          </cell>
          <cell r="AJ204">
            <v>298.00893214834531</v>
          </cell>
          <cell r="AK204">
            <v>308.61983250101974</v>
          </cell>
          <cell r="AL204">
            <v>36.963840632696773</v>
          </cell>
          <cell r="AM204">
            <v>0</v>
          </cell>
        </row>
        <row r="206">
          <cell r="A206" t="str">
            <v>Gross Profit</v>
          </cell>
          <cell r="C206">
            <v>-5.6315501644479253</v>
          </cell>
          <cell r="D206">
            <v>3.8413711641296855</v>
          </cell>
          <cell r="E206">
            <v>230.04916651031425</v>
          </cell>
          <cell r="F206">
            <v>22.331567170167688</v>
          </cell>
          <cell r="G206">
            <v>251.20093832519242</v>
          </cell>
          <cell r="H206">
            <v>133.20418951817049</v>
          </cell>
          <cell r="I206">
            <v>34.854644356976038</v>
          </cell>
          <cell r="J206">
            <v>0.15278207152858525</v>
          </cell>
          <cell r="K206">
            <v>63.646795908519003</v>
          </cell>
          <cell r="L206">
            <v>0</v>
          </cell>
          <cell r="M206">
            <v>0</v>
          </cell>
          <cell r="N206">
            <v>0</v>
          </cell>
          <cell r="O206">
            <v>733.64990486055012</v>
          </cell>
          <cell r="Q206">
            <v>733.64990486055012</v>
          </cell>
          <cell r="S206">
            <v>733.64990486055012</v>
          </cell>
          <cell r="U206" t="str">
            <v>Gross Profit</v>
          </cell>
          <cell r="V206">
            <v>-5.6315501644479253</v>
          </cell>
          <cell r="W206">
            <v>-1.7901790003182407</v>
          </cell>
          <cell r="X206">
            <v>228.25898750999596</v>
          </cell>
          <cell r="Y206">
            <v>250.59055468016368</v>
          </cell>
          <cell r="Z206">
            <v>501.79149300535619</v>
          </cell>
          <cell r="AA206">
            <v>634.99568252352663</v>
          </cell>
          <cell r="AB206">
            <v>669.85032688050273</v>
          </cell>
          <cell r="AC206">
            <v>670.0031089520312</v>
          </cell>
          <cell r="AD206">
            <v>733.64990486055012</v>
          </cell>
          <cell r="AE206">
            <v>733.64990486055012</v>
          </cell>
          <cell r="AF206">
            <v>733.64990486055012</v>
          </cell>
          <cell r="AI206" t="str">
            <v>Gross Profit</v>
          </cell>
          <cell r="AJ206">
            <v>228.25898750999596</v>
          </cell>
          <cell r="AK206">
            <v>406.73669501353066</v>
          </cell>
          <cell r="AL206">
            <v>98.654222337023626</v>
          </cell>
          <cell r="AM206">
            <v>0</v>
          </cell>
        </row>
        <row r="207">
          <cell r="A207" t="str">
            <v>% of Sales</v>
          </cell>
          <cell r="C207">
            <v>-5.1916615362402645</v>
          </cell>
          <cell r="D207">
            <v>0.74027984375849343</v>
          </cell>
          <cell r="E207">
            <v>0.44240725436024575</v>
          </cell>
          <cell r="F207">
            <v>0.15984424965996474</v>
          </cell>
          <cell r="G207">
            <v>0.66036214422275585</v>
          </cell>
          <cell r="H207">
            <v>0.682225582785698</v>
          </cell>
          <cell r="I207">
            <v>0.67313235062778232</v>
          </cell>
          <cell r="J207">
            <v>-8.3424121066164952E-2</v>
          </cell>
          <cell r="K207">
            <v>0.74293262979246832</v>
          </cell>
          <cell r="L207">
            <v>0</v>
          </cell>
          <cell r="M207">
            <v>0</v>
          </cell>
          <cell r="N207">
            <v>0</v>
          </cell>
          <cell r="O207">
            <v>0.53269478647197832</v>
          </cell>
          <cell r="Q207">
            <v>0.53269478647197832</v>
          </cell>
          <cell r="S207">
            <v>0.53269478647197832</v>
          </cell>
          <cell r="U207" t="str">
            <v>% of Sales</v>
          </cell>
          <cell r="V207">
            <v>-5.1916615362402645</v>
          </cell>
          <cell r="W207">
            <v>-0.28534162045281564</v>
          </cell>
          <cell r="X207">
            <v>0.43373152530023895</v>
          </cell>
          <cell r="Y207">
            <v>0.37627553378393908</v>
          </cell>
          <cell r="Z207">
            <v>0.47955227161489422</v>
          </cell>
          <cell r="AA207">
            <v>0.51142330836782068</v>
          </cell>
          <cell r="AB207">
            <v>0.51789712243301522</v>
          </cell>
          <cell r="AC207">
            <v>0.51874976772562309</v>
          </cell>
          <cell r="AD207">
            <v>0.53269478647197832</v>
          </cell>
          <cell r="AE207">
            <v>0.53269478647197832</v>
          </cell>
          <cell r="AF207">
            <v>0.53269478647197832</v>
          </cell>
          <cell r="AI207" t="str">
            <v>% of Sales</v>
          </cell>
          <cell r="AJ207">
            <v>0.43373152530023895</v>
          </cell>
          <cell r="AK207">
            <v>0.56857899434664427</v>
          </cell>
          <cell r="AL207">
            <v>0.72744161195585189</v>
          </cell>
          <cell r="AM207">
            <v>0</v>
          </cell>
        </row>
        <row r="209">
          <cell r="A209" t="str">
            <v>Marketing</v>
          </cell>
          <cell r="C209">
            <v>9.4251918134211081</v>
          </cell>
          <cell r="D209">
            <v>11.897658827940798</v>
          </cell>
          <cell r="E209">
            <v>14.875001231812295</v>
          </cell>
          <cell r="F209">
            <v>14.22719893518204</v>
          </cell>
          <cell r="G209">
            <v>20.784756767094102</v>
          </cell>
          <cell r="H209">
            <v>19.060305895034251</v>
          </cell>
          <cell r="I209">
            <v>16.850114940155109</v>
          </cell>
          <cell r="J209">
            <v>9.3119396772340153</v>
          </cell>
          <cell r="K209">
            <v>13.729709630440636</v>
          </cell>
          <cell r="L209">
            <v>7.7579084314115034</v>
          </cell>
          <cell r="M209">
            <v>7.7610803367866907</v>
          </cell>
          <cell r="N209">
            <v>10.625261005390259</v>
          </cell>
          <cell r="O209">
            <v>156.30612749190277</v>
          </cell>
          <cell r="Q209">
            <v>156.30612749190277</v>
          </cell>
          <cell r="S209">
            <v>156.30612749190277</v>
          </cell>
          <cell r="U209" t="str">
            <v>Marketing</v>
          </cell>
          <cell r="V209">
            <v>9.4251918134211081</v>
          </cell>
          <cell r="W209">
            <v>21.322850641361907</v>
          </cell>
          <cell r="X209">
            <v>36.197851873174201</v>
          </cell>
          <cell r="Y209">
            <v>50.425050808356239</v>
          </cell>
          <cell r="Z209">
            <v>71.209807575450341</v>
          </cell>
          <cell r="AA209">
            <v>90.270113470484588</v>
          </cell>
          <cell r="AB209">
            <v>107.1202284106397</v>
          </cell>
          <cell r="AC209">
            <v>116.43216808787372</v>
          </cell>
          <cell r="AD209">
            <v>130.16187771831434</v>
          </cell>
          <cell r="AE209">
            <v>137.91978614972584</v>
          </cell>
          <cell r="AF209">
            <v>145.68086648651251</v>
          </cell>
          <cell r="AI209" t="str">
            <v>Marketing</v>
          </cell>
          <cell r="AJ209">
            <v>36.197851873174201</v>
          </cell>
          <cell r="AK209">
            <v>54.072261597310387</v>
          </cell>
          <cell r="AL209">
            <v>39.891764247829762</v>
          </cell>
          <cell r="AM209">
            <v>26.144249773588456</v>
          </cell>
        </row>
        <row r="210">
          <cell r="A210" t="str">
            <v>Administration</v>
          </cell>
          <cell r="C210">
            <v>0</v>
          </cell>
          <cell r="D210">
            <v>0</v>
          </cell>
          <cell r="E210">
            <v>0</v>
          </cell>
          <cell r="F210">
            <v>0</v>
          </cell>
          <cell r="G210">
            <v>0</v>
          </cell>
          <cell r="H210">
            <v>0</v>
          </cell>
          <cell r="I210">
            <v>0</v>
          </cell>
          <cell r="J210">
            <v>0</v>
          </cell>
          <cell r="K210">
            <v>0</v>
          </cell>
          <cell r="L210">
            <v>0</v>
          </cell>
          <cell r="M210">
            <v>0</v>
          </cell>
          <cell r="N210">
            <v>0</v>
          </cell>
          <cell r="O210">
            <v>0</v>
          </cell>
          <cell r="Q210">
            <v>0</v>
          </cell>
          <cell r="S210">
            <v>0</v>
          </cell>
          <cell r="U210" t="str">
            <v>Administration</v>
          </cell>
          <cell r="V210">
            <v>0</v>
          </cell>
          <cell r="W210">
            <v>0</v>
          </cell>
          <cell r="X210">
            <v>0</v>
          </cell>
          <cell r="Y210">
            <v>0</v>
          </cell>
          <cell r="Z210">
            <v>0</v>
          </cell>
          <cell r="AA210">
            <v>0</v>
          </cell>
          <cell r="AB210">
            <v>0</v>
          </cell>
          <cell r="AC210">
            <v>0</v>
          </cell>
          <cell r="AD210">
            <v>0</v>
          </cell>
          <cell r="AE210">
            <v>0</v>
          </cell>
          <cell r="AF210">
            <v>0</v>
          </cell>
          <cell r="AI210" t="str">
            <v>Administration</v>
          </cell>
          <cell r="AJ210">
            <v>0</v>
          </cell>
          <cell r="AK210">
            <v>0</v>
          </cell>
          <cell r="AL210">
            <v>0</v>
          </cell>
          <cell r="AM210">
            <v>0</v>
          </cell>
        </row>
        <row r="211">
          <cell r="A211" t="str">
            <v>Technology</v>
          </cell>
          <cell r="C211">
            <v>0</v>
          </cell>
          <cell r="D211">
            <v>0</v>
          </cell>
          <cell r="E211">
            <v>0</v>
          </cell>
          <cell r="F211">
            <v>0</v>
          </cell>
          <cell r="G211">
            <v>0</v>
          </cell>
          <cell r="H211">
            <v>0</v>
          </cell>
          <cell r="I211">
            <v>0</v>
          </cell>
          <cell r="J211">
            <v>0</v>
          </cell>
          <cell r="K211">
            <v>0</v>
          </cell>
          <cell r="L211">
            <v>0</v>
          </cell>
          <cell r="M211">
            <v>0</v>
          </cell>
          <cell r="N211">
            <v>0</v>
          </cell>
          <cell r="O211">
            <v>0</v>
          </cell>
          <cell r="Q211">
            <v>0</v>
          </cell>
          <cell r="S211">
            <v>0</v>
          </cell>
          <cell r="U211" t="str">
            <v>Technology</v>
          </cell>
          <cell r="V211">
            <v>0</v>
          </cell>
          <cell r="W211">
            <v>0</v>
          </cell>
          <cell r="X211">
            <v>0</v>
          </cell>
          <cell r="Y211">
            <v>0</v>
          </cell>
          <cell r="Z211">
            <v>0</v>
          </cell>
          <cell r="AA211">
            <v>0</v>
          </cell>
          <cell r="AB211">
            <v>0</v>
          </cell>
          <cell r="AC211">
            <v>0</v>
          </cell>
          <cell r="AD211">
            <v>0</v>
          </cell>
          <cell r="AE211">
            <v>0</v>
          </cell>
          <cell r="AF211">
            <v>0</v>
          </cell>
          <cell r="AI211" t="str">
            <v>Technology</v>
          </cell>
          <cell r="AJ211">
            <v>0</v>
          </cell>
          <cell r="AK211">
            <v>0</v>
          </cell>
          <cell r="AL211">
            <v>0</v>
          </cell>
          <cell r="AM211">
            <v>0</v>
          </cell>
        </row>
        <row r="212">
          <cell r="A212" t="str">
            <v>Bad Debt Reserve</v>
          </cell>
          <cell r="C212">
            <v>0</v>
          </cell>
          <cell r="D212">
            <v>0</v>
          </cell>
          <cell r="E212">
            <v>0</v>
          </cell>
          <cell r="F212">
            <v>0</v>
          </cell>
          <cell r="G212">
            <v>0</v>
          </cell>
          <cell r="H212">
            <v>0</v>
          </cell>
          <cell r="I212">
            <v>0</v>
          </cell>
          <cell r="J212">
            <v>0</v>
          </cell>
          <cell r="K212">
            <v>0</v>
          </cell>
          <cell r="L212">
            <v>0</v>
          </cell>
          <cell r="M212">
            <v>0</v>
          </cell>
          <cell r="N212">
            <v>0</v>
          </cell>
          <cell r="O212">
            <v>0</v>
          </cell>
          <cell r="Q212">
            <v>0</v>
          </cell>
          <cell r="S212">
            <v>0</v>
          </cell>
          <cell r="U212" t="str">
            <v>Bad Debt Reserve</v>
          </cell>
          <cell r="V212">
            <v>0</v>
          </cell>
          <cell r="W212">
            <v>0</v>
          </cell>
          <cell r="X212">
            <v>0</v>
          </cell>
          <cell r="Y212">
            <v>0</v>
          </cell>
          <cell r="Z212">
            <v>0</v>
          </cell>
          <cell r="AA212">
            <v>0</v>
          </cell>
          <cell r="AB212">
            <v>0</v>
          </cell>
          <cell r="AC212">
            <v>0</v>
          </cell>
          <cell r="AD212">
            <v>0</v>
          </cell>
          <cell r="AE212">
            <v>0</v>
          </cell>
          <cell r="AF212">
            <v>0</v>
          </cell>
          <cell r="AI212" t="str">
            <v>Bad Debt Reserve</v>
          </cell>
          <cell r="AJ212">
            <v>0</v>
          </cell>
          <cell r="AK212">
            <v>0</v>
          </cell>
          <cell r="AL212">
            <v>0</v>
          </cell>
          <cell r="AM212">
            <v>0</v>
          </cell>
        </row>
        <row r="213">
          <cell r="A213" t="str">
            <v>Total Direct MAT</v>
          </cell>
          <cell r="C213">
            <v>9.4251918134211081</v>
          </cell>
          <cell r="D213">
            <v>11.897658827940798</v>
          </cell>
          <cell r="E213">
            <v>14.875001231812295</v>
          </cell>
          <cell r="F213">
            <v>14.22719893518204</v>
          </cell>
          <cell r="G213">
            <v>20.784756767094102</v>
          </cell>
          <cell r="H213">
            <v>19.060305895034251</v>
          </cell>
          <cell r="I213">
            <v>16.850114940155109</v>
          </cell>
          <cell r="J213">
            <v>9.3119396772340153</v>
          </cell>
          <cell r="K213">
            <v>13.729709630440636</v>
          </cell>
          <cell r="L213">
            <v>7.7579084314115034</v>
          </cell>
          <cell r="M213">
            <v>7.7610803367866907</v>
          </cell>
          <cell r="N213">
            <v>10.625261005390259</v>
          </cell>
          <cell r="O213">
            <v>156.30612749190277</v>
          </cell>
          <cell r="Q213">
            <v>156.30612749190277</v>
          </cell>
          <cell r="S213">
            <v>156.30612749190277</v>
          </cell>
          <cell r="U213" t="str">
            <v>Total Direct MAT</v>
          </cell>
          <cell r="V213">
            <v>9.4251918134211081</v>
          </cell>
          <cell r="W213">
            <v>21.322850641361907</v>
          </cell>
          <cell r="X213">
            <v>36.197851873174201</v>
          </cell>
          <cell r="Y213">
            <v>50.425050808356239</v>
          </cell>
          <cell r="Z213">
            <v>71.209807575450341</v>
          </cell>
          <cell r="AA213">
            <v>90.270113470484588</v>
          </cell>
          <cell r="AB213">
            <v>107.1202284106397</v>
          </cell>
          <cell r="AC213">
            <v>116.43216808787372</v>
          </cell>
          <cell r="AD213">
            <v>130.16187771831434</v>
          </cell>
          <cell r="AE213">
            <v>137.91978614972584</v>
          </cell>
          <cell r="AF213">
            <v>145.68086648651251</v>
          </cell>
          <cell r="AI213" t="str">
            <v>Total Direct MAT</v>
          </cell>
          <cell r="AJ213">
            <v>36.197851873174201</v>
          </cell>
          <cell r="AK213">
            <v>54.072261597310387</v>
          </cell>
          <cell r="AL213">
            <v>39.891764247829762</v>
          </cell>
          <cell r="AM213">
            <v>26.144249773588456</v>
          </cell>
        </row>
        <row r="215">
          <cell r="A215" t="str">
            <v>Marketing</v>
          </cell>
          <cell r="C215">
            <v>0</v>
          </cell>
          <cell r="D215">
            <v>0</v>
          </cell>
          <cell r="E215">
            <v>0</v>
          </cell>
          <cell r="F215">
            <v>0</v>
          </cell>
          <cell r="G215">
            <v>0</v>
          </cell>
          <cell r="H215">
            <v>0</v>
          </cell>
          <cell r="I215">
            <v>0</v>
          </cell>
          <cell r="J215">
            <v>0</v>
          </cell>
          <cell r="K215">
            <v>0</v>
          </cell>
          <cell r="L215">
            <v>0</v>
          </cell>
          <cell r="M215">
            <v>0</v>
          </cell>
          <cell r="N215">
            <v>0</v>
          </cell>
          <cell r="O215">
            <v>0</v>
          </cell>
          <cell r="Q215">
            <v>0</v>
          </cell>
          <cell r="S215">
            <v>0</v>
          </cell>
          <cell r="U215" t="str">
            <v>Marketing</v>
          </cell>
          <cell r="V215">
            <v>0</v>
          </cell>
          <cell r="W215">
            <v>0</v>
          </cell>
          <cell r="X215">
            <v>0</v>
          </cell>
          <cell r="Y215">
            <v>0</v>
          </cell>
          <cell r="Z215">
            <v>0</v>
          </cell>
          <cell r="AA215">
            <v>0</v>
          </cell>
          <cell r="AB215">
            <v>0</v>
          </cell>
          <cell r="AC215">
            <v>0</v>
          </cell>
          <cell r="AD215">
            <v>0</v>
          </cell>
          <cell r="AE215">
            <v>0</v>
          </cell>
          <cell r="AF215">
            <v>0</v>
          </cell>
          <cell r="AI215" t="str">
            <v>Marketing</v>
          </cell>
          <cell r="AJ215">
            <v>0</v>
          </cell>
          <cell r="AK215">
            <v>0</v>
          </cell>
          <cell r="AL215">
            <v>0</v>
          </cell>
          <cell r="AM215">
            <v>0</v>
          </cell>
        </row>
        <row r="220">
          <cell r="A220" t="str">
            <v>Amort of Intangible  Assets</v>
          </cell>
          <cell r="C220">
            <v>0</v>
          </cell>
          <cell r="D220">
            <v>0</v>
          </cell>
          <cell r="E220">
            <v>0</v>
          </cell>
          <cell r="F220">
            <v>0</v>
          </cell>
          <cell r="G220">
            <v>0</v>
          </cell>
          <cell r="H220">
            <v>0</v>
          </cell>
          <cell r="I220">
            <v>0</v>
          </cell>
          <cell r="J220">
            <v>0</v>
          </cell>
          <cell r="K220">
            <v>0</v>
          </cell>
          <cell r="L220">
            <v>0</v>
          </cell>
          <cell r="M220">
            <v>0</v>
          </cell>
          <cell r="N220">
            <v>0</v>
          </cell>
          <cell r="O220">
            <v>0</v>
          </cell>
          <cell r="Q220">
            <v>0</v>
          </cell>
          <cell r="S220">
            <v>0</v>
          </cell>
          <cell r="U220" t="str">
            <v>Amort of Intangible  Assets</v>
          </cell>
          <cell r="V220">
            <v>0</v>
          </cell>
          <cell r="W220">
            <v>0</v>
          </cell>
          <cell r="X220">
            <v>0</v>
          </cell>
          <cell r="Y220">
            <v>0</v>
          </cell>
          <cell r="Z220">
            <v>0</v>
          </cell>
          <cell r="AA220">
            <v>0</v>
          </cell>
          <cell r="AB220">
            <v>0</v>
          </cell>
          <cell r="AC220">
            <v>0</v>
          </cell>
          <cell r="AD220">
            <v>0</v>
          </cell>
          <cell r="AE220">
            <v>0</v>
          </cell>
          <cell r="AF220">
            <v>0</v>
          </cell>
          <cell r="AI220" t="str">
            <v>Amort of Intangible  Assets</v>
          </cell>
          <cell r="AJ220">
            <v>0</v>
          </cell>
          <cell r="AK220">
            <v>0</v>
          </cell>
          <cell r="AL220">
            <v>0</v>
          </cell>
          <cell r="AM220">
            <v>0</v>
          </cell>
        </row>
        <row r="222">
          <cell r="A222" t="str">
            <v>Interest Expense</v>
          </cell>
          <cell r="C222">
            <v>0</v>
          </cell>
          <cell r="D222">
            <v>0</v>
          </cell>
          <cell r="E222">
            <v>0</v>
          </cell>
          <cell r="F222">
            <v>0</v>
          </cell>
          <cell r="G222">
            <v>0</v>
          </cell>
          <cell r="H222">
            <v>0</v>
          </cell>
          <cell r="I222">
            <v>0</v>
          </cell>
          <cell r="J222">
            <v>0</v>
          </cell>
          <cell r="K222">
            <v>0</v>
          </cell>
          <cell r="L222">
            <v>0</v>
          </cell>
          <cell r="M222">
            <v>0</v>
          </cell>
          <cell r="N222">
            <v>0</v>
          </cell>
          <cell r="O222">
            <v>0</v>
          </cell>
          <cell r="Q222">
            <v>0</v>
          </cell>
          <cell r="S222">
            <v>0</v>
          </cell>
          <cell r="U222" t="str">
            <v>Interest Expense</v>
          </cell>
          <cell r="V222">
            <v>0</v>
          </cell>
          <cell r="W222">
            <v>0</v>
          </cell>
          <cell r="X222">
            <v>0</v>
          </cell>
          <cell r="Y222">
            <v>0</v>
          </cell>
          <cell r="Z222">
            <v>0</v>
          </cell>
          <cell r="AA222">
            <v>0</v>
          </cell>
          <cell r="AB222">
            <v>0</v>
          </cell>
          <cell r="AC222">
            <v>0</v>
          </cell>
          <cell r="AD222">
            <v>0</v>
          </cell>
          <cell r="AE222">
            <v>0</v>
          </cell>
          <cell r="AF222">
            <v>0</v>
          </cell>
          <cell r="AI222" t="str">
            <v>Interest Expense</v>
          </cell>
          <cell r="AJ222">
            <v>0</v>
          </cell>
          <cell r="AK222">
            <v>0</v>
          </cell>
          <cell r="AL222">
            <v>0</v>
          </cell>
          <cell r="AM222">
            <v>0</v>
          </cell>
        </row>
        <row r="223">
          <cell r="A223" t="str">
            <v>Interest Income</v>
          </cell>
          <cell r="C223">
            <v>0</v>
          </cell>
          <cell r="D223">
            <v>0</v>
          </cell>
          <cell r="E223">
            <v>0</v>
          </cell>
          <cell r="F223">
            <v>0</v>
          </cell>
          <cell r="G223">
            <v>0</v>
          </cell>
          <cell r="H223">
            <v>0</v>
          </cell>
          <cell r="I223">
            <v>0</v>
          </cell>
          <cell r="J223">
            <v>0</v>
          </cell>
          <cell r="K223">
            <v>0</v>
          </cell>
          <cell r="L223">
            <v>0</v>
          </cell>
          <cell r="M223">
            <v>0</v>
          </cell>
          <cell r="N223">
            <v>0</v>
          </cell>
          <cell r="O223">
            <v>0</v>
          </cell>
          <cell r="Q223">
            <v>0</v>
          </cell>
          <cell r="S223">
            <v>0</v>
          </cell>
          <cell r="U223" t="str">
            <v>Interest Income</v>
          </cell>
          <cell r="V223">
            <v>0</v>
          </cell>
          <cell r="W223">
            <v>0</v>
          </cell>
          <cell r="X223">
            <v>0</v>
          </cell>
          <cell r="Y223">
            <v>0</v>
          </cell>
          <cell r="Z223">
            <v>0</v>
          </cell>
          <cell r="AA223">
            <v>0</v>
          </cell>
          <cell r="AB223">
            <v>0</v>
          </cell>
          <cell r="AC223">
            <v>0</v>
          </cell>
          <cell r="AD223">
            <v>0</v>
          </cell>
          <cell r="AE223">
            <v>0</v>
          </cell>
          <cell r="AF223">
            <v>0</v>
          </cell>
          <cell r="AI223" t="str">
            <v>Interest Income</v>
          </cell>
          <cell r="AJ223">
            <v>0</v>
          </cell>
          <cell r="AK223">
            <v>0</v>
          </cell>
          <cell r="AL223">
            <v>0</v>
          </cell>
          <cell r="AM223">
            <v>0</v>
          </cell>
        </row>
        <row r="224">
          <cell r="A224" t="str">
            <v>Other Income/Exp.</v>
          </cell>
          <cell r="C224">
            <v>0</v>
          </cell>
          <cell r="D224">
            <v>0</v>
          </cell>
          <cell r="E224">
            <v>0</v>
          </cell>
          <cell r="F224">
            <v>0</v>
          </cell>
          <cell r="G224">
            <v>0</v>
          </cell>
          <cell r="H224">
            <v>0</v>
          </cell>
          <cell r="I224">
            <v>0</v>
          </cell>
          <cell r="J224">
            <v>0</v>
          </cell>
          <cell r="K224">
            <v>0</v>
          </cell>
          <cell r="L224">
            <v>0</v>
          </cell>
          <cell r="M224">
            <v>0</v>
          </cell>
          <cell r="N224">
            <v>0</v>
          </cell>
          <cell r="O224">
            <v>0</v>
          </cell>
          <cell r="Q224">
            <v>0</v>
          </cell>
          <cell r="S224">
            <v>0</v>
          </cell>
          <cell r="U224" t="str">
            <v>Other Income/Exp.</v>
          </cell>
          <cell r="V224">
            <v>0</v>
          </cell>
          <cell r="W224">
            <v>0</v>
          </cell>
          <cell r="X224">
            <v>0</v>
          </cell>
          <cell r="Y224">
            <v>0</v>
          </cell>
          <cell r="Z224">
            <v>0</v>
          </cell>
          <cell r="AA224">
            <v>0</v>
          </cell>
          <cell r="AB224">
            <v>0</v>
          </cell>
          <cell r="AC224">
            <v>0</v>
          </cell>
          <cell r="AD224">
            <v>0</v>
          </cell>
          <cell r="AE224">
            <v>0</v>
          </cell>
          <cell r="AF224">
            <v>0</v>
          </cell>
          <cell r="AI224" t="str">
            <v>Other Income/Exp.</v>
          </cell>
          <cell r="AJ224">
            <v>0</v>
          </cell>
          <cell r="AK224">
            <v>0</v>
          </cell>
          <cell r="AL224">
            <v>0</v>
          </cell>
          <cell r="AM224">
            <v>0</v>
          </cell>
        </row>
        <row r="226">
          <cell r="A226" t="str">
            <v>Income Before Tax</v>
          </cell>
          <cell r="C226">
            <v>-15.056741977869034</v>
          </cell>
          <cell r="D226">
            <v>-8.0562876638111121</v>
          </cell>
          <cell r="E226">
            <v>215.17416527850196</v>
          </cell>
          <cell r="F226">
            <v>8.1043682349856478</v>
          </cell>
          <cell r="G226">
            <v>230.41618155809832</v>
          </cell>
          <cell r="H226">
            <v>114.14388362313625</v>
          </cell>
          <cell r="I226">
            <v>18.00452941682093</v>
          </cell>
          <cell r="J226">
            <v>-9.1591576057054294</v>
          </cell>
          <cell r="K226">
            <v>49.917086278078365</v>
          </cell>
          <cell r="L226">
            <v>-7.7579084314115034</v>
          </cell>
          <cell r="M226">
            <v>-7.7610803367866907</v>
          </cell>
          <cell r="N226">
            <v>-10.625261005390259</v>
          </cell>
          <cell r="O226">
            <v>577.34377736864735</v>
          </cell>
          <cell r="Q226">
            <v>577.34377736864735</v>
          </cell>
          <cell r="S226">
            <v>577.34377736864735</v>
          </cell>
          <cell r="U226" t="str">
            <v>Income Before Tax</v>
          </cell>
          <cell r="V226">
            <v>-15.056741977869034</v>
          </cell>
          <cell r="W226">
            <v>-23.113029641680146</v>
          </cell>
          <cell r="X226">
            <v>192.06113563682175</v>
          </cell>
          <cell r="Y226">
            <v>200.16550387180743</v>
          </cell>
          <cell r="Z226">
            <v>430.58168542990586</v>
          </cell>
          <cell r="AA226">
            <v>544.72556905304202</v>
          </cell>
          <cell r="AB226">
            <v>562.73009846986304</v>
          </cell>
          <cell r="AC226">
            <v>553.57094086415748</v>
          </cell>
          <cell r="AD226">
            <v>603.48802714223575</v>
          </cell>
          <cell r="AE226">
            <v>595.73011871082429</v>
          </cell>
          <cell r="AF226">
            <v>587.96903837403761</v>
          </cell>
          <cell r="AI226" t="str">
            <v>Income Before Tax</v>
          </cell>
          <cell r="AJ226">
            <v>192.06113563682175</v>
          </cell>
          <cell r="AK226">
            <v>352.66443341622028</v>
          </cell>
          <cell r="AL226">
            <v>58.762458089193863</v>
          </cell>
          <cell r="AM226">
            <v>-26.144249773588456</v>
          </cell>
        </row>
        <row r="227">
          <cell r="A227" t="str">
            <v>Privision for Taxes</v>
          </cell>
          <cell r="C227">
            <v>-4.6675900131394004</v>
          </cell>
          <cell r="D227">
            <v>-2.4974491757814445</v>
          </cell>
          <cell r="E227">
            <v>66.703991236335611</v>
          </cell>
          <cell r="F227">
            <v>2.5123541528455506</v>
          </cell>
          <cell r="G227">
            <v>71.429016283010483</v>
          </cell>
          <cell r="H227">
            <v>35.384603923172236</v>
          </cell>
          <cell r="I227">
            <v>5.5814041192144881</v>
          </cell>
          <cell r="J227">
            <v>-2.8393388577686829</v>
          </cell>
          <cell r="K227">
            <v>15.474296746204294</v>
          </cell>
          <cell r="L227">
            <v>-2.4049516137375662</v>
          </cell>
          <cell r="M227">
            <v>-2.4059349044038743</v>
          </cell>
          <cell r="N227">
            <v>-3.2938309116709803</v>
          </cell>
          <cell r="O227">
            <v>178.97657098428073</v>
          </cell>
          <cell r="Q227">
            <v>178.97657098428076</v>
          </cell>
          <cell r="S227">
            <v>178.97657098428076</v>
          </cell>
          <cell r="U227" t="str">
            <v>Privision for Taxes</v>
          </cell>
          <cell r="V227">
            <v>-4.6675900131394004</v>
          </cell>
          <cell r="W227">
            <v>-7.1650391889208453</v>
          </cell>
          <cell r="X227">
            <v>59.538952047414767</v>
          </cell>
          <cell r="Y227">
            <v>62.051306200260321</v>
          </cell>
          <cell r="Z227">
            <v>133.48032248327081</v>
          </cell>
          <cell r="AA227">
            <v>168.86492640644303</v>
          </cell>
          <cell r="AB227">
            <v>174.44633052565752</v>
          </cell>
          <cell r="AC227">
            <v>171.60699166788882</v>
          </cell>
          <cell r="AD227">
            <v>187.08128841409311</v>
          </cell>
          <cell r="AE227">
            <v>184.67633680035556</v>
          </cell>
          <cell r="AF227">
            <v>182.27040189595169</v>
          </cell>
          <cell r="AI227" t="str">
            <v>Privision for Taxes</v>
          </cell>
          <cell r="AJ227">
            <v>59.538952047414767</v>
          </cell>
          <cell r="AK227">
            <v>109.32597435902827</v>
          </cell>
          <cell r="AL227">
            <v>18.216362007650098</v>
          </cell>
          <cell r="AM227">
            <v>-8.1047174298124212</v>
          </cell>
        </row>
        <row r="228">
          <cell r="A228" t="str">
            <v>Tax rate %</v>
          </cell>
          <cell r="C228">
            <v>0.31</v>
          </cell>
          <cell r="D228">
            <v>0.31</v>
          </cell>
          <cell r="E228">
            <v>0.31</v>
          </cell>
          <cell r="F228">
            <v>0.31</v>
          </cell>
          <cell r="G228">
            <v>0.31</v>
          </cell>
          <cell r="H228">
            <v>0.31</v>
          </cell>
          <cell r="I228">
            <v>0.31</v>
          </cell>
          <cell r="J228">
            <v>0.31</v>
          </cell>
          <cell r="K228">
            <v>0.31</v>
          </cell>
          <cell r="L228">
            <v>0.31</v>
          </cell>
          <cell r="M228">
            <v>0.31</v>
          </cell>
          <cell r="N228">
            <v>0.31</v>
          </cell>
          <cell r="O228">
            <v>0.31000000000000011</v>
          </cell>
          <cell r="Q228">
            <v>0.31000000000000011</v>
          </cell>
          <cell r="S228">
            <v>0.31000000000000011</v>
          </cell>
          <cell r="U228" t="str">
            <v>Tax rate %</v>
          </cell>
          <cell r="V228">
            <v>0.31</v>
          </cell>
          <cell r="W228">
            <v>0.31</v>
          </cell>
          <cell r="X228">
            <v>0.31000000000000011</v>
          </cell>
          <cell r="Y228">
            <v>0.31000000000000011</v>
          </cell>
          <cell r="Z228">
            <v>0.31</v>
          </cell>
          <cell r="AA228">
            <v>0.31</v>
          </cell>
          <cell r="AB228">
            <v>0.30999999999999994</v>
          </cell>
          <cell r="AC228">
            <v>0.31</v>
          </cell>
          <cell r="AD228">
            <v>0.31000000000000005</v>
          </cell>
          <cell r="AE228">
            <v>0.31000000000000005</v>
          </cell>
          <cell r="AF228">
            <v>0.31000000000000005</v>
          </cell>
          <cell r="AI228" t="str">
            <v>Tax rate %</v>
          </cell>
          <cell r="AJ228">
            <v>0.31000000000000011</v>
          </cell>
          <cell r="AK228">
            <v>0.30999999999999994</v>
          </cell>
          <cell r="AL228">
            <v>0.31</v>
          </cell>
          <cell r="AM228">
            <v>0.31</v>
          </cell>
        </row>
        <row r="230">
          <cell r="A230" t="str">
            <v>Net Income</v>
          </cell>
          <cell r="C230">
            <v>-10.389151964729635</v>
          </cell>
          <cell r="D230">
            <v>-5.558838488029668</v>
          </cell>
          <cell r="E230">
            <v>148.47017404216635</v>
          </cell>
          <cell r="F230">
            <v>5.5920140821400972</v>
          </cell>
          <cell r="G230">
            <v>158.98716527508782</v>
          </cell>
          <cell r="H230">
            <v>78.759279699964011</v>
          </cell>
          <cell r="I230">
            <v>12.423125297606441</v>
          </cell>
          <cell r="J230">
            <v>-6.3198187479367469</v>
          </cell>
          <cell r="K230">
            <v>34.44278953187407</v>
          </cell>
          <cell r="L230">
            <v>-5.3529568176739373</v>
          </cell>
          <cell r="M230">
            <v>-5.355145432382816</v>
          </cell>
          <cell r="N230">
            <v>-7.3314300937192787</v>
          </cell>
          <cell r="O230">
            <v>398.36720638436663</v>
          </cell>
          <cell r="Q230">
            <v>398.36720638436657</v>
          </cell>
          <cell r="S230">
            <v>398.36720638436657</v>
          </cell>
          <cell r="U230" t="str">
            <v>Net Income</v>
          </cell>
          <cell r="V230">
            <v>-10.389151964729635</v>
          </cell>
          <cell r="W230">
            <v>-15.947990452759301</v>
          </cell>
          <cell r="X230">
            <v>132.52218358940698</v>
          </cell>
          <cell r="Y230">
            <v>138.11419767154712</v>
          </cell>
          <cell r="Z230">
            <v>297.10136294663505</v>
          </cell>
          <cell r="AA230">
            <v>375.86064264659899</v>
          </cell>
          <cell r="AB230">
            <v>388.28376794420552</v>
          </cell>
          <cell r="AC230">
            <v>381.96394919626869</v>
          </cell>
          <cell r="AD230">
            <v>416.40673872814261</v>
          </cell>
          <cell r="AE230">
            <v>411.05378191046873</v>
          </cell>
          <cell r="AF230">
            <v>405.69863647808592</v>
          </cell>
          <cell r="AI230" t="str">
            <v>Net Income</v>
          </cell>
          <cell r="AJ230">
            <v>132.52218358940698</v>
          </cell>
          <cell r="AK230">
            <v>243.33845905719201</v>
          </cell>
          <cell r="AL230">
            <v>40.546096081543766</v>
          </cell>
          <cell r="AM230">
            <v>-18.039532343776035</v>
          </cell>
        </row>
        <row r="231">
          <cell r="A231" t="str">
            <v>% Sales</v>
          </cell>
          <cell r="C231">
            <v>-9.5776400945421365</v>
          </cell>
          <cell r="D231">
            <v>-1.0712570880480468</v>
          </cell>
          <cell r="E231">
            <v>0.28552279953354098</v>
          </cell>
          <cell r="F231">
            <v>4.002635767729365E-2</v>
          </cell>
          <cell r="G231">
            <v>0.41794869901736159</v>
          </cell>
          <cell r="H231">
            <v>0.4033776691817953</v>
          </cell>
          <cell r="I231">
            <v>0.23992233138501623</v>
          </cell>
          <cell r="J231">
            <v>3.4508324116121916</v>
          </cell>
          <cell r="K231">
            <v>0.40204179706206872</v>
          </cell>
          <cell r="L231">
            <v>0</v>
          </cell>
          <cell r="M231">
            <v>0</v>
          </cell>
          <cell r="N231">
            <v>0</v>
          </cell>
          <cell r="O231">
            <v>0.28924986227960398</v>
          </cell>
          <cell r="Q231">
            <v>0.28924986227960398</v>
          </cell>
          <cell r="S231">
            <v>0.28924986227960398</v>
          </cell>
          <cell r="U231" t="str">
            <v>% Sales</v>
          </cell>
          <cell r="V231">
            <v>-9.5776400945421365</v>
          </cell>
          <cell r="W231">
            <v>-2.5419946485504554</v>
          </cell>
          <cell r="X231">
            <v>0.25181505206595489</v>
          </cell>
          <cell r="Y231">
            <v>0.207386082521472</v>
          </cell>
          <cell r="Z231">
            <v>0.28393393568236358</v>
          </cell>
          <cell r="AA231">
            <v>0.30271685089836331</v>
          </cell>
          <cell r="AB231">
            <v>0.30020295286297011</v>
          </cell>
          <cell r="AC231">
            <v>0.29573550820539873</v>
          </cell>
          <cell r="AD231">
            <v>0.30234815993664338</v>
          </cell>
          <cell r="AE231">
            <v>0.2984614393494901</v>
          </cell>
          <cell r="AF231">
            <v>0.29457312963428367</v>
          </cell>
          <cell r="AI231" t="str">
            <v>% Sales</v>
          </cell>
          <cell r="AJ231">
            <v>0.25181505206595489</v>
          </cell>
          <cell r="AK231">
            <v>0.34016388988949636</v>
          </cell>
          <cell r="AL231">
            <v>0.29897268250023995</v>
          </cell>
          <cell r="AM231">
            <v>0</v>
          </cell>
        </row>
        <row r="233">
          <cell r="A233" t="str">
            <v>EBIT</v>
          </cell>
          <cell r="C233">
            <v>-15.056741977869034</v>
          </cell>
          <cell r="D233">
            <v>-8.0562876638111121</v>
          </cell>
          <cell r="E233">
            <v>215.17416527850196</v>
          </cell>
          <cell r="F233">
            <v>8.1043682349856478</v>
          </cell>
          <cell r="G233">
            <v>230.41618155809832</v>
          </cell>
          <cell r="H233">
            <v>114.14388362313625</v>
          </cell>
          <cell r="I233">
            <v>18.00452941682093</v>
          </cell>
          <cell r="J233">
            <v>-9.1591576057054294</v>
          </cell>
          <cell r="K233">
            <v>49.917086278078365</v>
          </cell>
          <cell r="L233">
            <v>-7.7579084314115034</v>
          </cell>
          <cell r="M233">
            <v>-7.7610803367866907</v>
          </cell>
          <cell r="N233">
            <v>-10.625261005390259</v>
          </cell>
          <cell r="O233">
            <v>577.34377736864735</v>
          </cell>
          <cell r="Q233">
            <v>577.34377736864735</v>
          </cell>
          <cell r="S233">
            <v>577.34377736864735</v>
          </cell>
          <cell r="U233" t="str">
            <v>EBIT</v>
          </cell>
          <cell r="V233">
            <v>-15.056741977869034</v>
          </cell>
          <cell r="W233">
            <v>-23.113029641680146</v>
          </cell>
          <cell r="X233">
            <v>192.0611356368218</v>
          </cell>
          <cell r="Y233">
            <v>200.16550387180746</v>
          </cell>
          <cell r="Z233">
            <v>430.58168542990575</v>
          </cell>
          <cell r="AA233">
            <v>544.72556905304202</v>
          </cell>
          <cell r="AB233">
            <v>562.73009846986292</v>
          </cell>
          <cell r="AC233">
            <v>553.57094086415748</v>
          </cell>
          <cell r="AD233">
            <v>603.48802714223586</v>
          </cell>
          <cell r="AE233">
            <v>595.7301187108244</v>
          </cell>
          <cell r="AF233">
            <v>587.96903837403772</v>
          </cell>
          <cell r="AI233" t="str">
            <v>EBIT</v>
          </cell>
          <cell r="AJ233">
            <v>192.0611356368218</v>
          </cell>
          <cell r="AK233">
            <v>352.66443341622022</v>
          </cell>
          <cell r="AL233">
            <v>58.762458089193863</v>
          </cell>
          <cell r="AM233">
            <v>-26.144249773588456</v>
          </cell>
        </row>
        <row r="234">
          <cell r="A234" t="str">
            <v>EBITDA</v>
          </cell>
          <cell r="C234">
            <v>-15.056741977869034</v>
          </cell>
          <cell r="D234">
            <v>-8.0562876638111121</v>
          </cell>
          <cell r="E234">
            <v>215.17416527850196</v>
          </cell>
          <cell r="F234">
            <v>8.1043682349856478</v>
          </cell>
          <cell r="G234">
            <v>230.41618155809832</v>
          </cell>
          <cell r="H234">
            <v>114.14388362313625</v>
          </cell>
          <cell r="I234">
            <v>18.00452941682093</v>
          </cell>
          <cell r="J234">
            <v>-9.1591576057054294</v>
          </cell>
          <cell r="K234">
            <v>49.917086278078365</v>
          </cell>
          <cell r="L234">
            <v>-7.7579084314115034</v>
          </cell>
          <cell r="M234">
            <v>-7.7610803367866907</v>
          </cell>
          <cell r="N234">
            <v>-10.625261005390259</v>
          </cell>
          <cell r="O234">
            <v>577.34377736864735</v>
          </cell>
          <cell r="Q234">
            <v>577.34377736864735</v>
          </cell>
          <cell r="S234">
            <v>577.34377736864735</v>
          </cell>
          <cell r="U234" t="str">
            <v>EBITDA</v>
          </cell>
          <cell r="V234">
            <v>-15.056741977869034</v>
          </cell>
          <cell r="W234">
            <v>-23.113029641680146</v>
          </cell>
          <cell r="X234">
            <v>192.0611356368218</v>
          </cell>
          <cell r="Y234">
            <v>200.16550387180746</v>
          </cell>
          <cell r="Z234">
            <v>430.58168542990575</v>
          </cell>
          <cell r="AA234">
            <v>544.72556905304202</v>
          </cell>
          <cell r="AB234">
            <v>562.73009846986292</v>
          </cell>
          <cell r="AC234">
            <v>553.57094086415748</v>
          </cell>
          <cell r="AD234">
            <v>603.48802714223586</v>
          </cell>
          <cell r="AE234">
            <v>595.7301187108244</v>
          </cell>
          <cell r="AF234">
            <v>587.96903837403772</v>
          </cell>
          <cell r="AI234" t="str">
            <v>EBITDA</v>
          </cell>
          <cell r="AJ234">
            <v>192.0611356368218</v>
          </cell>
          <cell r="AK234">
            <v>352.66443341622022</v>
          </cell>
          <cell r="AL234">
            <v>58.762458089193863</v>
          </cell>
          <cell r="AM234">
            <v>-26.144249773588456</v>
          </cell>
        </row>
        <row r="237">
          <cell r="A237" t="str">
            <v>MEX Forecast '01</v>
          </cell>
          <cell r="U237" t="str">
            <v>MEX Forecast YTD '00</v>
          </cell>
          <cell r="AI237" t="str">
            <v>MEX Forecast Qtr.'00</v>
          </cell>
        </row>
        <row r="238">
          <cell r="A238" t="str">
            <v>Acetanilides Others</v>
          </cell>
          <cell r="C238" t="str">
            <v>Jan</v>
          </cell>
          <cell r="D238" t="str">
            <v>Feb</v>
          </cell>
          <cell r="E238" t="str">
            <v>Mar</v>
          </cell>
          <cell r="F238" t="str">
            <v>Apr</v>
          </cell>
          <cell r="G238" t="str">
            <v>May</v>
          </cell>
          <cell r="H238" t="str">
            <v>Jun</v>
          </cell>
          <cell r="I238" t="str">
            <v>Jul</v>
          </cell>
          <cell r="J238" t="str">
            <v>Aug</v>
          </cell>
          <cell r="K238" t="str">
            <v>Sep</v>
          </cell>
          <cell r="L238" t="str">
            <v>Oct</v>
          </cell>
          <cell r="M238" t="str">
            <v>Nov</v>
          </cell>
          <cell r="N238" t="str">
            <v>Dec</v>
          </cell>
          <cell r="O238" t="str">
            <v>Total</v>
          </cell>
          <cell r="Q238" t="str">
            <v>Changes</v>
          </cell>
          <cell r="S238" t="str">
            <v>Changes</v>
          </cell>
          <cell r="U238" t="str">
            <v>Acetanilides Others</v>
          </cell>
          <cell r="V238" t="str">
            <v>Jan</v>
          </cell>
          <cell r="W238" t="str">
            <v>Feb</v>
          </cell>
          <cell r="X238" t="str">
            <v>Mar</v>
          </cell>
          <cell r="Y238" t="str">
            <v>Apr</v>
          </cell>
          <cell r="Z238" t="str">
            <v>May</v>
          </cell>
          <cell r="AA238" t="str">
            <v>Jun</v>
          </cell>
          <cell r="AB238" t="str">
            <v>Jul</v>
          </cell>
          <cell r="AC238" t="str">
            <v>Aug</v>
          </cell>
          <cell r="AD238" t="str">
            <v>Sep</v>
          </cell>
          <cell r="AE238" t="str">
            <v>Oct</v>
          </cell>
          <cell r="AF238" t="str">
            <v>Nov</v>
          </cell>
          <cell r="AI238" t="str">
            <v>Acetanilides Others</v>
          </cell>
          <cell r="AJ238" t="str">
            <v>1st Qtr.</v>
          </cell>
          <cell r="AK238" t="str">
            <v>2nd Qtr.</v>
          </cell>
          <cell r="AL238" t="str">
            <v>3er Qtr.</v>
          </cell>
          <cell r="AM238" t="str">
            <v>4 Qtr.</v>
          </cell>
        </row>
        <row r="240">
          <cell r="A240" t="str">
            <v>Lazo Volume (K Galls)</v>
          </cell>
          <cell r="B240">
            <v>1</v>
          </cell>
          <cell r="C240">
            <v>0</v>
          </cell>
          <cell r="D240">
            <v>0</v>
          </cell>
          <cell r="E240">
            <v>0</v>
          </cell>
          <cell r="F240">
            <v>0</v>
          </cell>
          <cell r="G240">
            <v>0</v>
          </cell>
          <cell r="H240">
            <v>1.321003963011889</v>
          </cell>
          <cell r="I240">
            <v>1.321003963011889</v>
          </cell>
          <cell r="J240">
            <v>0</v>
          </cell>
          <cell r="K240">
            <v>0</v>
          </cell>
          <cell r="L240">
            <v>0</v>
          </cell>
          <cell r="M240">
            <v>0</v>
          </cell>
          <cell r="N240">
            <v>0</v>
          </cell>
          <cell r="O240">
            <v>2.6420079260237781</v>
          </cell>
          <cell r="Q240">
            <v>2.6420079260237781</v>
          </cell>
          <cell r="S240">
            <v>2.6420079260237781</v>
          </cell>
          <cell r="U240" t="str">
            <v>Lazo Volume (K Galls)</v>
          </cell>
          <cell r="V240">
            <v>0</v>
          </cell>
          <cell r="W240">
            <v>0</v>
          </cell>
          <cell r="X240">
            <v>0</v>
          </cell>
          <cell r="Y240">
            <v>0</v>
          </cell>
          <cell r="Z240">
            <v>0</v>
          </cell>
          <cell r="AA240">
            <v>1.321003963011889</v>
          </cell>
          <cell r="AB240">
            <v>2.6420079260237781</v>
          </cell>
          <cell r="AC240">
            <v>2.6420079260237781</v>
          </cell>
          <cell r="AD240">
            <v>2.6420079260237781</v>
          </cell>
          <cell r="AE240">
            <v>2.6420079260237781</v>
          </cell>
          <cell r="AF240">
            <v>2.6420079260237781</v>
          </cell>
          <cell r="AI240" t="str">
            <v>Lazo Volume (K Galls)</v>
          </cell>
          <cell r="AJ240">
            <v>0</v>
          </cell>
          <cell r="AK240">
            <v>1.321003963011889</v>
          </cell>
          <cell r="AL240">
            <v>1.321003963011889</v>
          </cell>
          <cell r="AM240">
            <v>0</v>
          </cell>
        </row>
        <row r="241">
          <cell r="A241" t="str">
            <v>Lazo Netback (K Galls)</v>
          </cell>
          <cell r="C241">
            <v>0</v>
          </cell>
          <cell r="D241">
            <v>0</v>
          </cell>
          <cell r="E241">
            <v>0</v>
          </cell>
          <cell r="F241">
            <v>0</v>
          </cell>
          <cell r="G241">
            <v>0</v>
          </cell>
          <cell r="H241">
            <v>15.779484366428962</v>
          </cell>
          <cell r="I241">
            <v>15.892817679558009</v>
          </cell>
          <cell r="J241">
            <v>0</v>
          </cell>
          <cell r="K241">
            <v>0</v>
          </cell>
          <cell r="L241">
            <v>0</v>
          </cell>
          <cell r="M241">
            <v>0</v>
          </cell>
          <cell r="N241">
            <v>0</v>
          </cell>
          <cell r="O241">
            <v>15.836151022993485</v>
          </cell>
          <cell r="Q241">
            <v>15.836151022993485</v>
          </cell>
          <cell r="S241">
            <v>15.836151022993485</v>
          </cell>
          <cell r="U241" t="str">
            <v>Lazo Netback (K Galls)</v>
          </cell>
          <cell r="V241">
            <v>0</v>
          </cell>
          <cell r="W241">
            <v>0</v>
          </cell>
          <cell r="X241">
            <v>0</v>
          </cell>
          <cell r="Y241">
            <v>0</v>
          </cell>
          <cell r="Z241">
            <v>0</v>
          </cell>
          <cell r="AA241">
            <v>15.779484366428962</v>
          </cell>
          <cell r="AB241">
            <v>15.836151022993485</v>
          </cell>
          <cell r="AC241">
            <v>15.836151022993485</v>
          </cell>
          <cell r="AD241">
            <v>15.836151022993485</v>
          </cell>
          <cell r="AE241">
            <v>15.836151022993485</v>
          </cell>
          <cell r="AF241">
            <v>15.836151022993485</v>
          </cell>
          <cell r="AI241" t="str">
            <v>Lazo Netback (K Galls)</v>
          </cell>
          <cell r="AJ241">
            <v>0</v>
          </cell>
          <cell r="AK241">
            <v>15.779484366428962</v>
          </cell>
          <cell r="AL241">
            <v>15.892817679558009</v>
          </cell>
          <cell r="AM241">
            <v>0</v>
          </cell>
        </row>
        <row r="242">
          <cell r="A242" t="str">
            <v>Lazo Unit COGS (K Galls)</v>
          </cell>
          <cell r="C242">
            <v>0</v>
          </cell>
          <cell r="D242">
            <v>0</v>
          </cell>
          <cell r="E242">
            <v>0</v>
          </cell>
          <cell r="F242">
            <v>0</v>
          </cell>
          <cell r="G242">
            <v>0</v>
          </cell>
          <cell r="H242">
            <v>5.0286944596818417</v>
          </cell>
          <cell r="I242">
            <v>5.1043946257706674</v>
          </cell>
          <cell r="J242">
            <v>0</v>
          </cell>
          <cell r="K242">
            <v>0</v>
          </cell>
          <cell r="L242">
            <v>0</v>
          </cell>
          <cell r="M242">
            <v>0</v>
          </cell>
          <cell r="N242">
            <v>0</v>
          </cell>
          <cell r="O242">
            <v>5.0665445427262545</v>
          </cell>
          <cell r="Q242">
            <v>5.0665445427262545</v>
          </cell>
          <cell r="S242">
            <v>5.0665445427262545</v>
          </cell>
          <cell r="U242" t="str">
            <v>Lazo Unit COGS (K Galls)</v>
          </cell>
          <cell r="V242">
            <v>0</v>
          </cell>
          <cell r="W242">
            <v>0</v>
          </cell>
          <cell r="X242">
            <v>0</v>
          </cell>
          <cell r="Y242">
            <v>0</v>
          </cell>
          <cell r="Z242">
            <v>0</v>
          </cell>
          <cell r="AA242">
            <v>5.0286944596818417</v>
          </cell>
          <cell r="AB242">
            <v>5.0665445427262545</v>
          </cell>
          <cell r="AC242">
            <v>5.0665445427262545</v>
          </cell>
          <cell r="AD242">
            <v>5.0665445427262545</v>
          </cell>
          <cell r="AE242">
            <v>5.0665445427262545</v>
          </cell>
          <cell r="AF242">
            <v>5.0665445427262545</v>
          </cell>
          <cell r="AI242" t="str">
            <v>Lazo Unit COGS (K Galls)</v>
          </cell>
          <cell r="AJ242">
            <v>0</v>
          </cell>
          <cell r="AK242">
            <v>5.0286944596818417</v>
          </cell>
          <cell r="AL242">
            <v>5.1043946257706674</v>
          </cell>
          <cell r="AM242">
            <v>0</v>
          </cell>
        </row>
        <row r="243">
          <cell r="A243" t="str">
            <v>Factor de conversión</v>
          </cell>
          <cell r="B243">
            <v>4.0053583793748553</v>
          </cell>
        </row>
        <row r="244">
          <cell r="A244" t="str">
            <v>Lazo Volume (K Te Lbs)</v>
          </cell>
          <cell r="C244">
            <v>0</v>
          </cell>
          <cell r="D244">
            <v>0</v>
          </cell>
          <cell r="E244">
            <v>0</v>
          </cell>
          <cell r="F244">
            <v>0</v>
          </cell>
          <cell r="G244">
            <v>0</v>
          </cell>
          <cell r="H244">
            <v>5.2910942924370614</v>
          </cell>
          <cell r="I244">
            <v>5.2910942924370614</v>
          </cell>
          <cell r="J244">
            <v>0</v>
          </cell>
          <cell r="K244">
            <v>0</v>
          </cell>
          <cell r="L244">
            <v>0</v>
          </cell>
          <cell r="M244">
            <v>0</v>
          </cell>
          <cell r="N244">
            <v>0</v>
          </cell>
          <cell r="O244">
            <v>10.582188584874123</v>
          </cell>
          <cell r="Q244">
            <v>10.582188584874123</v>
          </cell>
          <cell r="S244">
            <v>10.582188584874123</v>
          </cell>
          <cell r="U244" t="str">
            <v>Lazo Volume (K Te Lbs)</v>
          </cell>
          <cell r="V244">
            <v>0</v>
          </cell>
          <cell r="W244">
            <v>0</v>
          </cell>
          <cell r="X244">
            <v>0</v>
          </cell>
          <cell r="Y244">
            <v>0</v>
          </cell>
          <cell r="Z244">
            <v>0</v>
          </cell>
          <cell r="AA244">
            <v>5.2910942924370614</v>
          </cell>
          <cell r="AB244">
            <v>10.582188584874123</v>
          </cell>
          <cell r="AC244">
            <v>10.582188584874123</v>
          </cell>
          <cell r="AD244">
            <v>10.582188584874123</v>
          </cell>
          <cell r="AE244">
            <v>10.582188584874123</v>
          </cell>
          <cell r="AF244">
            <v>10.582188584874123</v>
          </cell>
          <cell r="AI244" t="str">
            <v>Lazo Volume (K Te Lbs)</v>
          </cell>
          <cell r="AJ244">
            <v>0</v>
          </cell>
          <cell r="AK244">
            <v>5.2910942924370614</v>
          </cell>
          <cell r="AL244">
            <v>5.2910942924370614</v>
          </cell>
          <cell r="AM244">
            <v>0</v>
          </cell>
        </row>
        <row r="245">
          <cell r="A245" t="str">
            <v>Lazo Netback (K Te Lbs)</v>
          </cell>
          <cell r="C245">
            <v>0</v>
          </cell>
          <cell r="D245">
            <v>0</v>
          </cell>
          <cell r="E245">
            <v>0</v>
          </cell>
          <cell r="F245">
            <v>0</v>
          </cell>
          <cell r="G245">
            <v>0</v>
          </cell>
          <cell r="H245">
            <v>3.9395936322910954</v>
          </cell>
          <cell r="I245">
            <v>3.9678890561694291</v>
          </cell>
          <cell r="J245">
            <v>0</v>
          </cell>
          <cell r="K245">
            <v>0</v>
          </cell>
          <cell r="L245">
            <v>0</v>
          </cell>
          <cell r="M245">
            <v>0</v>
          </cell>
          <cell r="N245">
            <v>0</v>
          </cell>
          <cell r="O245">
            <v>3.953741344230262</v>
          </cell>
          <cell r="Q245">
            <v>3.953741344230262</v>
          </cell>
          <cell r="S245">
            <v>3.953741344230262</v>
          </cell>
          <cell r="U245" t="str">
            <v>Lazo Netback (K Te Lbs)</v>
          </cell>
          <cell r="V245">
            <v>0</v>
          </cell>
          <cell r="W245">
            <v>0</v>
          </cell>
          <cell r="X245">
            <v>0</v>
          </cell>
          <cell r="Y245">
            <v>0</v>
          </cell>
          <cell r="Z245">
            <v>0</v>
          </cell>
          <cell r="AA245">
            <v>3.9395936322910954</v>
          </cell>
          <cell r="AB245">
            <v>3.953741344230262</v>
          </cell>
          <cell r="AC245">
            <v>3.953741344230262</v>
          </cell>
          <cell r="AD245">
            <v>3.953741344230262</v>
          </cell>
          <cell r="AE245">
            <v>3.953741344230262</v>
          </cell>
          <cell r="AF245">
            <v>3.953741344230262</v>
          </cell>
          <cell r="AI245" t="str">
            <v>Lazo Netback (K Te Lbs)</v>
          </cell>
          <cell r="AJ245">
            <v>0</v>
          </cell>
          <cell r="AK245">
            <v>3.9395936322910954</v>
          </cell>
          <cell r="AL245">
            <v>3.9678890561694291</v>
          </cell>
          <cell r="AM245">
            <v>0</v>
          </cell>
        </row>
        <row r="246">
          <cell r="A246" t="str">
            <v>Lazo Unit COGS (K Te Lbs)</v>
          </cell>
          <cell r="C246">
            <v>0</v>
          </cell>
          <cell r="D246">
            <v>0</v>
          </cell>
          <cell r="E246">
            <v>0</v>
          </cell>
          <cell r="F246">
            <v>0</v>
          </cell>
          <cell r="G246">
            <v>0</v>
          </cell>
          <cell r="H246">
            <v>1.255491764626242</v>
          </cell>
          <cell r="I246">
            <v>1.2743914881762333</v>
          </cell>
          <cell r="J246">
            <v>0</v>
          </cell>
          <cell r="K246">
            <v>0</v>
          </cell>
          <cell r="L246">
            <v>0</v>
          </cell>
          <cell r="M246">
            <v>0</v>
          </cell>
          <cell r="N246">
            <v>0</v>
          </cell>
          <cell r="O246">
            <v>1.2649416264012376</v>
          </cell>
          <cell r="Q246">
            <v>1.2649416264012376</v>
          </cell>
          <cell r="S246">
            <v>1.2649416264012376</v>
          </cell>
          <cell r="U246" t="str">
            <v>Lazo Unit COGS (K Te Lbs)</v>
          </cell>
          <cell r="V246">
            <v>0</v>
          </cell>
          <cell r="W246">
            <v>0</v>
          </cell>
          <cell r="X246">
            <v>0</v>
          </cell>
          <cell r="Y246">
            <v>0</v>
          </cell>
          <cell r="Z246">
            <v>0</v>
          </cell>
          <cell r="AA246">
            <v>1.255491764626242</v>
          </cell>
          <cell r="AB246">
            <v>1.2649416264012376</v>
          </cell>
          <cell r="AC246">
            <v>1.2649416264012376</v>
          </cell>
          <cell r="AD246">
            <v>1.2649416264012376</v>
          </cell>
          <cell r="AE246">
            <v>1.2649416264012376</v>
          </cell>
          <cell r="AF246">
            <v>1.2649416264012376</v>
          </cell>
          <cell r="AI246" t="str">
            <v>Lazo Unit COGS (K Te Lbs)</v>
          </cell>
          <cell r="AJ246">
            <v>0</v>
          </cell>
          <cell r="AK246">
            <v>1.255491764626242</v>
          </cell>
          <cell r="AL246">
            <v>1.2743914881762333</v>
          </cell>
          <cell r="AM246">
            <v>0</v>
          </cell>
        </row>
        <row r="248">
          <cell r="A248" t="str">
            <v>Boxer Volume (K Galls)</v>
          </cell>
          <cell r="B248">
            <v>1</v>
          </cell>
          <cell r="C248">
            <v>0</v>
          </cell>
          <cell r="D248">
            <v>0</v>
          </cell>
          <cell r="E248">
            <v>0</v>
          </cell>
          <cell r="F248">
            <v>0</v>
          </cell>
          <cell r="G248">
            <v>0</v>
          </cell>
          <cell r="H248">
            <v>0</v>
          </cell>
          <cell r="I248">
            <v>0</v>
          </cell>
          <cell r="J248">
            <v>0</v>
          </cell>
          <cell r="K248">
            <v>0</v>
          </cell>
          <cell r="L248">
            <v>0</v>
          </cell>
          <cell r="M248">
            <v>0</v>
          </cell>
          <cell r="N248">
            <v>0</v>
          </cell>
          <cell r="O248">
            <v>0</v>
          </cell>
          <cell r="Q248">
            <v>0</v>
          </cell>
          <cell r="S248">
            <v>0</v>
          </cell>
          <cell r="U248" t="str">
            <v>Boxer Volume (K Galls)</v>
          </cell>
          <cell r="V248">
            <v>0</v>
          </cell>
          <cell r="W248">
            <v>0</v>
          </cell>
          <cell r="X248">
            <v>0</v>
          </cell>
          <cell r="Y248">
            <v>0</v>
          </cell>
          <cell r="Z248">
            <v>0</v>
          </cell>
          <cell r="AA248">
            <v>0</v>
          </cell>
          <cell r="AB248">
            <v>0</v>
          </cell>
          <cell r="AC248">
            <v>0</v>
          </cell>
          <cell r="AD248">
            <v>0</v>
          </cell>
          <cell r="AE248">
            <v>0</v>
          </cell>
          <cell r="AF248">
            <v>0</v>
          </cell>
          <cell r="AI248" t="str">
            <v>Boxer Volume (K Galls)</v>
          </cell>
          <cell r="AJ248">
            <v>0</v>
          </cell>
          <cell r="AK248">
            <v>0</v>
          </cell>
          <cell r="AL248">
            <v>0</v>
          </cell>
          <cell r="AM248">
            <v>0</v>
          </cell>
        </row>
        <row r="249">
          <cell r="A249" t="str">
            <v>Boxer Netback (K Galls)</v>
          </cell>
          <cell r="C249">
            <v>0</v>
          </cell>
          <cell r="D249">
            <v>0</v>
          </cell>
          <cell r="E249">
            <v>0</v>
          </cell>
          <cell r="F249">
            <v>0</v>
          </cell>
          <cell r="G249">
            <v>0</v>
          </cell>
          <cell r="H249">
            <v>0</v>
          </cell>
          <cell r="I249">
            <v>0</v>
          </cell>
          <cell r="J249">
            <v>0</v>
          </cell>
          <cell r="K249">
            <v>0</v>
          </cell>
          <cell r="L249">
            <v>0</v>
          </cell>
          <cell r="M249">
            <v>0</v>
          </cell>
          <cell r="N249">
            <v>0</v>
          </cell>
          <cell r="O249">
            <v>0</v>
          </cell>
          <cell r="Q249">
            <v>0</v>
          </cell>
          <cell r="S249">
            <v>0</v>
          </cell>
          <cell r="U249" t="str">
            <v>Boxer Netback (K Galls)</v>
          </cell>
          <cell r="V249">
            <v>0</v>
          </cell>
          <cell r="W249">
            <v>0</v>
          </cell>
          <cell r="X249">
            <v>0</v>
          </cell>
          <cell r="Y249">
            <v>0</v>
          </cell>
          <cell r="Z249">
            <v>0</v>
          </cell>
          <cell r="AA249">
            <v>0</v>
          </cell>
          <cell r="AB249">
            <v>0</v>
          </cell>
          <cell r="AC249">
            <v>0</v>
          </cell>
          <cell r="AD249">
            <v>0</v>
          </cell>
          <cell r="AE249">
            <v>0</v>
          </cell>
          <cell r="AF249">
            <v>0</v>
          </cell>
          <cell r="AI249" t="str">
            <v>Boxer Netback (K Galls)</v>
          </cell>
          <cell r="AJ249">
            <v>0</v>
          </cell>
          <cell r="AK249">
            <v>0</v>
          </cell>
          <cell r="AL249">
            <v>0</v>
          </cell>
          <cell r="AM249">
            <v>0</v>
          </cell>
        </row>
        <row r="250">
          <cell r="A250" t="str">
            <v>Boxer Unit COGS (K Galls)</v>
          </cell>
          <cell r="C250">
            <v>0</v>
          </cell>
          <cell r="D250">
            <v>0</v>
          </cell>
          <cell r="E250">
            <v>0</v>
          </cell>
          <cell r="F250">
            <v>0</v>
          </cell>
          <cell r="G250">
            <v>0</v>
          </cell>
          <cell r="H250">
            <v>0</v>
          </cell>
          <cell r="I250">
            <v>0</v>
          </cell>
          <cell r="J250">
            <v>0</v>
          </cell>
          <cell r="K250">
            <v>0</v>
          </cell>
          <cell r="L250">
            <v>0</v>
          </cell>
          <cell r="M250">
            <v>0</v>
          </cell>
          <cell r="N250">
            <v>0</v>
          </cell>
          <cell r="O250">
            <v>0</v>
          </cell>
          <cell r="Q250">
            <v>0</v>
          </cell>
          <cell r="S250">
            <v>0</v>
          </cell>
          <cell r="U250" t="str">
            <v>Boxer Unit COGS (K Galls)</v>
          </cell>
          <cell r="V250">
            <v>0</v>
          </cell>
          <cell r="W250">
            <v>0</v>
          </cell>
          <cell r="X250">
            <v>0</v>
          </cell>
          <cell r="Y250">
            <v>0</v>
          </cell>
          <cell r="Z250">
            <v>0</v>
          </cell>
          <cell r="AA250">
            <v>0</v>
          </cell>
          <cell r="AB250">
            <v>0</v>
          </cell>
          <cell r="AC250">
            <v>0</v>
          </cell>
          <cell r="AD250">
            <v>0</v>
          </cell>
          <cell r="AE250">
            <v>0</v>
          </cell>
          <cell r="AF250">
            <v>0</v>
          </cell>
          <cell r="AI250" t="str">
            <v>Boxer Unit COGS (K Galls)</v>
          </cell>
          <cell r="AJ250">
            <v>0</v>
          </cell>
          <cell r="AK250">
            <v>0</v>
          </cell>
          <cell r="AL250">
            <v>0</v>
          </cell>
          <cell r="AM250">
            <v>0</v>
          </cell>
        </row>
        <row r="251">
          <cell r="A251" t="str">
            <v>Factor de conversión</v>
          </cell>
          <cell r="B251">
            <v>2.5033489871092849</v>
          </cell>
        </row>
        <row r="252">
          <cell r="A252" t="str">
            <v>Boxer Volume (K Te Lbs)</v>
          </cell>
          <cell r="C252">
            <v>0</v>
          </cell>
          <cell r="D252">
            <v>0</v>
          </cell>
          <cell r="E252">
            <v>0</v>
          </cell>
          <cell r="F252">
            <v>0</v>
          </cell>
          <cell r="G252">
            <v>0</v>
          </cell>
          <cell r="H252">
            <v>0</v>
          </cell>
          <cell r="I252">
            <v>0</v>
          </cell>
          <cell r="J252">
            <v>0</v>
          </cell>
          <cell r="K252">
            <v>0</v>
          </cell>
          <cell r="L252">
            <v>0</v>
          </cell>
          <cell r="M252">
            <v>0</v>
          </cell>
          <cell r="N252">
            <v>0</v>
          </cell>
          <cell r="O252">
            <v>0</v>
          </cell>
          <cell r="Q252">
            <v>0</v>
          </cell>
          <cell r="S252">
            <v>0</v>
          </cell>
          <cell r="U252" t="str">
            <v>Boxer Volume (K Te Lbs)</v>
          </cell>
          <cell r="V252">
            <v>0</v>
          </cell>
          <cell r="W252">
            <v>0</v>
          </cell>
          <cell r="X252">
            <v>0</v>
          </cell>
          <cell r="Y252">
            <v>0</v>
          </cell>
          <cell r="Z252">
            <v>0</v>
          </cell>
          <cell r="AA252">
            <v>0</v>
          </cell>
          <cell r="AB252">
            <v>0</v>
          </cell>
          <cell r="AC252">
            <v>0</v>
          </cell>
          <cell r="AD252">
            <v>0</v>
          </cell>
          <cell r="AE252">
            <v>0</v>
          </cell>
          <cell r="AF252">
            <v>0</v>
          </cell>
          <cell r="AI252" t="str">
            <v>Boxer Volume (K Te Lbs)</v>
          </cell>
          <cell r="AJ252">
            <v>0</v>
          </cell>
          <cell r="AK252">
            <v>0</v>
          </cell>
          <cell r="AL252">
            <v>0</v>
          </cell>
          <cell r="AM252">
            <v>0</v>
          </cell>
        </row>
        <row r="253">
          <cell r="A253" t="str">
            <v>Boxer Netback (K Te Lbs)</v>
          </cell>
          <cell r="C253">
            <v>0</v>
          </cell>
          <cell r="D253">
            <v>0</v>
          </cell>
          <cell r="E253">
            <v>0</v>
          </cell>
          <cell r="F253">
            <v>0</v>
          </cell>
          <cell r="G253">
            <v>0</v>
          </cell>
          <cell r="H253">
            <v>0</v>
          </cell>
          <cell r="I253">
            <v>0</v>
          </cell>
          <cell r="J253">
            <v>0</v>
          </cell>
          <cell r="K253">
            <v>0</v>
          </cell>
          <cell r="L253">
            <v>0</v>
          </cell>
          <cell r="M253">
            <v>0</v>
          </cell>
          <cell r="N253">
            <v>0</v>
          </cell>
          <cell r="O253">
            <v>0</v>
          </cell>
          <cell r="Q253">
            <v>0</v>
          </cell>
          <cell r="S253">
            <v>0</v>
          </cell>
          <cell r="U253" t="str">
            <v>Boxer Netback (K Te Lbs)</v>
          </cell>
          <cell r="V253">
            <v>0</v>
          </cell>
          <cell r="W253">
            <v>0</v>
          </cell>
          <cell r="X253">
            <v>0</v>
          </cell>
          <cell r="Y253">
            <v>0</v>
          </cell>
          <cell r="Z253">
            <v>0</v>
          </cell>
          <cell r="AA253">
            <v>0</v>
          </cell>
          <cell r="AB253">
            <v>0</v>
          </cell>
          <cell r="AC253">
            <v>0</v>
          </cell>
          <cell r="AD253">
            <v>0</v>
          </cell>
          <cell r="AE253">
            <v>0</v>
          </cell>
          <cell r="AF253">
            <v>0</v>
          </cell>
          <cell r="AI253" t="str">
            <v>Boxer Netback (K Te Lbs)</v>
          </cell>
          <cell r="AJ253">
            <v>0</v>
          </cell>
          <cell r="AK253">
            <v>0</v>
          </cell>
          <cell r="AL253">
            <v>0</v>
          </cell>
          <cell r="AM253">
            <v>0</v>
          </cell>
        </row>
        <row r="254">
          <cell r="A254" t="str">
            <v>Boxer Unit COGS (K Te Lbs)</v>
          </cell>
          <cell r="C254">
            <v>0</v>
          </cell>
          <cell r="D254">
            <v>0</v>
          </cell>
          <cell r="E254">
            <v>0</v>
          </cell>
          <cell r="F254">
            <v>0</v>
          </cell>
          <cell r="G254">
            <v>0</v>
          </cell>
          <cell r="H254">
            <v>0</v>
          </cell>
          <cell r="I254">
            <v>0</v>
          </cell>
          <cell r="J254">
            <v>0</v>
          </cell>
          <cell r="K254">
            <v>0</v>
          </cell>
          <cell r="L254">
            <v>0</v>
          </cell>
          <cell r="M254">
            <v>0</v>
          </cell>
          <cell r="N254">
            <v>0</v>
          </cell>
          <cell r="O254">
            <v>0</v>
          </cell>
          <cell r="Q254">
            <v>0</v>
          </cell>
          <cell r="S254">
            <v>0</v>
          </cell>
          <cell r="U254" t="str">
            <v>Boxer Unit COGS (K Te Lbs)</v>
          </cell>
          <cell r="V254">
            <v>0</v>
          </cell>
          <cell r="W254">
            <v>0</v>
          </cell>
          <cell r="X254">
            <v>0</v>
          </cell>
          <cell r="Y254">
            <v>0</v>
          </cell>
          <cell r="Z254">
            <v>0</v>
          </cell>
          <cell r="AA254">
            <v>0</v>
          </cell>
          <cell r="AB254">
            <v>0</v>
          </cell>
          <cell r="AC254">
            <v>0</v>
          </cell>
          <cell r="AD254">
            <v>0</v>
          </cell>
          <cell r="AE254">
            <v>0</v>
          </cell>
          <cell r="AF254">
            <v>0</v>
          </cell>
          <cell r="AI254" t="str">
            <v>Boxer Unit COGS (K Te Lbs)</v>
          </cell>
          <cell r="AJ254">
            <v>0</v>
          </cell>
          <cell r="AK254">
            <v>0</v>
          </cell>
          <cell r="AL254">
            <v>0</v>
          </cell>
          <cell r="AM254">
            <v>0</v>
          </cell>
        </row>
        <row r="256">
          <cell r="A256" t="str">
            <v>Total Volume (K Galls)</v>
          </cell>
          <cell r="C256">
            <v>0</v>
          </cell>
          <cell r="D256">
            <v>0</v>
          </cell>
          <cell r="E256">
            <v>0</v>
          </cell>
          <cell r="F256">
            <v>0</v>
          </cell>
          <cell r="G256">
            <v>0</v>
          </cell>
          <cell r="H256">
            <v>1.321003963011889</v>
          </cell>
          <cell r="I256">
            <v>1.321003963011889</v>
          </cell>
          <cell r="J256">
            <v>0</v>
          </cell>
          <cell r="K256">
            <v>0</v>
          </cell>
          <cell r="L256">
            <v>0</v>
          </cell>
          <cell r="M256">
            <v>0</v>
          </cell>
          <cell r="N256">
            <v>0</v>
          </cell>
          <cell r="O256">
            <v>2.6420079260237781</v>
          </cell>
          <cell r="Q256">
            <v>2.6420079260237781</v>
          </cell>
          <cell r="S256">
            <v>2.6420079260237781</v>
          </cell>
          <cell r="U256" t="str">
            <v>Total Volume (K Galls)</v>
          </cell>
          <cell r="V256">
            <v>0</v>
          </cell>
          <cell r="W256">
            <v>0</v>
          </cell>
          <cell r="X256">
            <v>0</v>
          </cell>
          <cell r="Y256">
            <v>0</v>
          </cell>
          <cell r="Z256">
            <v>0</v>
          </cell>
          <cell r="AA256">
            <v>1.321003963011889</v>
          </cell>
          <cell r="AB256">
            <v>2.6420079260237781</v>
          </cell>
          <cell r="AC256">
            <v>2.6420079260237781</v>
          </cell>
          <cell r="AD256">
            <v>2.6420079260237781</v>
          </cell>
          <cell r="AE256">
            <v>2.6420079260237781</v>
          </cell>
          <cell r="AF256">
            <v>2.6420079260237781</v>
          </cell>
          <cell r="AI256" t="str">
            <v>Total Volume (K Galls)</v>
          </cell>
          <cell r="AJ256">
            <v>0</v>
          </cell>
          <cell r="AK256">
            <v>1.321003963011889</v>
          </cell>
          <cell r="AL256">
            <v>1.321003963011889</v>
          </cell>
          <cell r="AM256">
            <v>0</v>
          </cell>
        </row>
        <row r="257">
          <cell r="A257" t="str">
            <v>Total Netback (K Galls)</v>
          </cell>
          <cell r="C257">
            <v>0</v>
          </cell>
          <cell r="D257">
            <v>0</v>
          </cell>
          <cell r="E257">
            <v>0</v>
          </cell>
          <cell r="F257">
            <v>0</v>
          </cell>
          <cell r="G257">
            <v>0</v>
          </cell>
          <cell r="H257">
            <v>15.779484366428962</v>
          </cell>
          <cell r="I257">
            <v>15.892817679558009</v>
          </cell>
          <cell r="J257">
            <v>0</v>
          </cell>
          <cell r="K257">
            <v>0</v>
          </cell>
          <cell r="L257">
            <v>0</v>
          </cell>
          <cell r="M257">
            <v>0</v>
          </cell>
          <cell r="N257">
            <v>0</v>
          </cell>
          <cell r="O257">
            <v>15.836151022993485</v>
          </cell>
          <cell r="Q257">
            <v>15.836151022993485</v>
          </cell>
          <cell r="S257">
            <v>15.836151022993485</v>
          </cell>
          <cell r="U257" t="str">
            <v>Total Netback (K Galls)</v>
          </cell>
          <cell r="V257">
            <v>0</v>
          </cell>
          <cell r="W257">
            <v>0</v>
          </cell>
          <cell r="X257">
            <v>0</v>
          </cell>
          <cell r="Y257">
            <v>0</v>
          </cell>
          <cell r="Z257">
            <v>0</v>
          </cell>
          <cell r="AA257">
            <v>15.779484366428962</v>
          </cell>
          <cell r="AB257">
            <v>15.836151022993485</v>
          </cell>
          <cell r="AC257">
            <v>15.836151022993485</v>
          </cell>
          <cell r="AD257">
            <v>15.836151022993485</v>
          </cell>
          <cell r="AE257">
            <v>15.836151022993485</v>
          </cell>
          <cell r="AF257">
            <v>15.836151022993485</v>
          </cell>
          <cell r="AI257" t="str">
            <v>Total Netback (K Galls)</v>
          </cell>
          <cell r="AJ257">
            <v>0</v>
          </cell>
          <cell r="AK257">
            <v>15.779484366428962</v>
          </cell>
          <cell r="AL257">
            <v>15.892817679558009</v>
          </cell>
          <cell r="AM257">
            <v>0</v>
          </cell>
        </row>
        <row r="258">
          <cell r="A258" t="str">
            <v>Total Unit COGS (K Galls)</v>
          </cell>
          <cell r="C258">
            <v>0</v>
          </cell>
          <cell r="D258">
            <v>0</v>
          </cell>
          <cell r="E258">
            <v>0</v>
          </cell>
          <cell r="F258">
            <v>0</v>
          </cell>
          <cell r="G258">
            <v>0</v>
          </cell>
          <cell r="H258">
            <v>5.0286944596818417</v>
          </cell>
          <cell r="I258">
            <v>5.1043946257706674</v>
          </cell>
          <cell r="J258">
            <v>0</v>
          </cell>
          <cell r="K258">
            <v>0</v>
          </cell>
          <cell r="L258">
            <v>0</v>
          </cell>
          <cell r="M258">
            <v>0</v>
          </cell>
          <cell r="N258">
            <v>0</v>
          </cell>
          <cell r="O258">
            <v>5.0665445427262545</v>
          </cell>
          <cell r="Q258">
            <v>5.0665445427262545</v>
          </cell>
          <cell r="S258">
            <v>5.0665445427262545</v>
          </cell>
          <cell r="U258" t="str">
            <v>Total Unit COGS (K Galls)</v>
          </cell>
          <cell r="V258">
            <v>0</v>
          </cell>
          <cell r="W258">
            <v>0</v>
          </cell>
          <cell r="X258">
            <v>0</v>
          </cell>
          <cell r="Y258">
            <v>0</v>
          </cell>
          <cell r="Z258">
            <v>0</v>
          </cell>
          <cell r="AA258">
            <v>5.0286944596818417</v>
          </cell>
          <cell r="AB258">
            <v>5.0665445427262545</v>
          </cell>
          <cell r="AC258">
            <v>5.0665445427262545</v>
          </cell>
          <cell r="AD258">
            <v>5.0665445427262545</v>
          </cell>
          <cell r="AE258">
            <v>5.0665445427262545</v>
          </cell>
          <cell r="AF258">
            <v>5.0665445427262545</v>
          </cell>
          <cell r="AI258" t="str">
            <v>Total Unit COGS (K Galls)</v>
          </cell>
          <cell r="AJ258">
            <v>0</v>
          </cell>
          <cell r="AK258">
            <v>5.0286944596818417</v>
          </cell>
          <cell r="AL258">
            <v>5.1043946257706674</v>
          </cell>
          <cell r="AM258">
            <v>0</v>
          </cell>
        </row>
        <row r="259">
          <cell r="A259" t="str">
            <v>Total Unit COGS (K Galls) Check</v>
          </cell>
          <cell r="C259">
            <v>0</v>
          </cell>
          <cell r="D259">
            <v>0</v>
          </cell>
          <cell r="E259">
            <v>0</v>
          </cell>
          <cell r="F259">
            <v>0</v>
          </cell>
          <cell r="G259">
            <v>0</v>
          </cell>
          <cell r="H259">
            <v>5.0286944596818417</v>
          </cell>
          <cell r="I259">
            <v>5.1043946257706674</v>
          </cell>
          <cell r="J259">
            <v>0</v>
          </cell>
          <cell r="K259">
            <v>0</v>
          </cell>
          <cell r="L259">
            <v>0</v>
          </cell>
          <cell r="M259">
            <v>0</v>
          </cell>
          <cell r="N259">
            <v>0</v>
          </cell>
          <cell r="O259">
            <v>5.0665445427262545</v>
          </cell>
          <cell r="Q259">
            <v>5.0665445427262545</v>
          </cell>
          <cell r="S259">
            <v>5.0665445427262545</v>
          </cell>
          <cell r="U259" t="str">
            <v>Total Unit COGS (K Galls) Check</v>
          </cell>
          <cell r="V259">
            <v>0</v>
          </cell>
          <cell r="W259">
            <v>0</v>
          </cell>
          <cell r="X259">
            <v>0</v>
          </cell>
          <cell r="Y259">
            <v>0</v>
          </cell>
          <cell r="Z259">
            <v>0</v>
          </cell>
          <cell r="AA259">
            <v>5.0286944596818417</v>
          </cell>
          <cell r="AB259">
            <v>5.0665445427262545</v>
          </cell>
          <cell r="AC259">
            <v>5.0665445427262545</v>
          </cell>
          <cell r="AD259">
            <v>5.0665445427262545</v>
          </cell>
          <cell r="AE259">
            <v>5.0665445427262545</v>
          </cell>
          <cell r="AF259">
            <v>5.0665445427262545</v>
          </cell>
          <cell r="AI259" t="str">
            <v xml:space="preserve"> Total Unit COGS (K Galls) Check</v>
          </cell>
          <cell r="AJ259">
            <v>0</v>
          </cell>
          <cell r="AK259">
            <v>5.0286944596818417</v>
          </cell>
          <cell r="AL259">
            <v>5.1043946257706674</v>
          </cell>
          <cell r="AM259">
            <v>0</v>
          </cell>
        </row>
        <row r="261">
          <cell r="A261" t="str">
            <v>Total Volume (K TE Lbs)</v>
          </cell>
          <cell r="C261">
            <v>0</v>
          </cell>
          <cell r="D261">
            <v>0</v>
          </cell>
          <cell r="E261">
            <v>0</v>
          </cell>
          <cell r="F261">
            <v>0</v>
          </cell>
          <cell r="G261">
            <v>0</v>
          </cell>
          <cell r="H261">
            <v>5.2910942924370614</v>
          </cell>
          <cell r="I261">
            <v>5.2910942924370614</v>
          </cell>
          <cell r="J261">
            <v>0</v>
          </cell>
          <cell r="K261">
            <v>0</v>
          </cell>
          <cell r="L261">
            <v>0</v>
          </cell>
          <cell r="M261">
            <v>0</v>
          </cell>
          <cell r="N261">
            <v>0</v>
          </cell>
          <cell r="O261">
            <v>10.582188584874123</v>
          </cell>
          <cell r="Q261">
            <v>10.582188584874123</v>
          </cell>
          <cell r="S261">
            <v>10.582188584874123</v>
          </cell>
          <cell r="U261" t="str">
            <v>Total Volume (K TE Lbs)</v>
          </cell>
          <cell r="V261">
            <v>0</v>
          </cell>
          <cell r="W261">
            <v>0</v>
          </cell>
          <cell r="X261">
            <v>0</v>
          </cell>
          <cell r="Y261">
            <v>0</v>
          </cell>
          <cell r="Z261">
            <v>0</v>
          </cell>
          <cell r="AA261">
            <v>5.2910942924370614</v>
          </cell>
          <cell r="AB261">
            <v>10.582188584874123</v>
          </cell>
          <cell r="AC261">
            <v>10.582188584874123</v>
          </cell>
          <cell r="AD261">
            <v>10.582188584874123</v>
          </cell>
          <cell r="AE261">
            <v>10.582188584874123</v>
          </cell>
          <cell r="AF261">
            <v>10.582188584874123</v>
          </cell>
          <cell r="AI261" t="str">
            <v>Total Volume (K TE Lbs)</v>
          </cell>
          <cell r="AJ261">
            <v>0</v>
          </cell>
          <cell r="AK261">
            <v>5.2910942924370614</v>
          </cell>
          <cell r="AL261">
            <v>5.2910942924370614</v>
          </cell>
          <cell r="AM261">
            <v>0</v>
          </cell>
        </row>
        <row r="262">
          <cell r="A262" t="str">
            <v>Total Netback (K TE Lbs)</v>
          </cell>
          <cell r="C262">
            <v>0</v>
          </cell>
          <cell r="D262">
            <v>0</v>
          </cell>
          <cell r="E262">
            <v>0</v>
          </cell>
          <cell r="F262">
            <v>0</v>
          </cell>
          <cell r="G262">
            <v>0</v>
          </cell>
          <cell r="H262">
            <v>3.9395936322910954</v>
          </cell>
          <cell r="I262">
            <v>3.9678890561694291</v>
          </cell>
          <cell r="J262">
            <v>0</v>
          </cell>
          <cell r="K262">
            <v>0</v>
          </cell>
          <cell r="L262">
            <v>0</v>
          </cell>
          <cell r="M262">
            <v>0</v>
          </cell>
          <cell r="N262">
            <v>0</v>
          </cell>
          <cell r="O262">
            <v>3.953741344230262</v>
          </cell>
          <cell r="Q262">
            <v>3.953741344230262</v>
          </cell>
          <cell r="S262">
            <v>3.953741344230262</v>
          </cell>
          <cell r="U262" t="str">
            <v>Total Netback (K TE Lbs)</v>
          </cell>
          <cell r="V262">
            <v>0</v>
          </cell>
          <cell r="W262">
            <v>0</v>
          </cell>
          <cell r="X262">
            <v>0</v>
          </cell>
          <cell r="Y262">
            <v>0</v>
          </cell>
          <cell r="Z262">
            <v>0</v>
          </cell>
          <cell r="AA262">
            <v>3.9395936322910954</v>
          </cell>
          <cell r="AB262">
            <v>3.953741344230262</v>
          </cell>
          <cell r="AC262">
            <v>3.953741344230262</v>
          </cell>
          <cell r="AD262">
            <v>3.953741344230262</v>
          </cell>
          <cell r="AE262">
            <v>3.953741344230262</v>
          </cell>
          <cell r="AF262">
            <v>3.953741344230262</v>
          </cell>
          <cell r="AI262" t="str">
            <v>Total Netback (K TE Lbs)</v>
          </cell>
          <cell r="AJ262">
            <v>0</v>
          </cell>
          <cell r="AK262">
            <v>3.9395936322910954</v>
          </cell>
          <cell r="AL262">
            <v>3.9678890561694291</v>
          </cell>
          <cell r="AM262">
            <v>0</v>
          </cell>
        </row>
        <row r="263">
          <cell r="A263" t="str">
            <v>Total Unit COGS (K TE Lbs)</v>
          </cell>
          <cell r="C263">
            <v>0</v>
          </cell>
          <cell r="D263">
            <v>0</v>
          </cell>
          <cell r="E263">
            <v>0</v>
          </cell>
          <cell r="F263">
            <v>0</v>
          </cell>
          <cell r="G263">
            <v>0</v>
          </cell>
          <cell r="H263">
            <v>1.255491764626242</v>
          </cell>
          <cell r="I263">
            <v>1.2743914881762333</v>
          </cell>
          <cell r="J263">
            <v>0</v>
          </cell>
          <cell r="K263">
            <v>0</v>
          </cell>
          <cell r="L263">
            <v>0</v>
          </cell>
          <cell r="M263">
            <v>0</v>
          </cell>
          <cell r="N263">
            <v>0</v>
          </cell>
          <cell r="O263">
            <v>1.2649416264012376</v>
          </cell>
          <cell r="Q263">
            <v>13.385850839435284</v>
          </cell>
          <cell r="S263">
            <v>13.385850839435284</v>
          </cell>
          <cell r="U263" t="str">
            <v>Total Unit COGS (K TE Lbs)</v>
          </cell>
          <cell r="V263">
            <v>0</v>
          </cell>
          <cell r="W263">
            <v>0</v>
          </cell>
          <cell r="X263">
            <v>0</v>
          </cell>
          <cell r="Y263">
            <v>0</v>
          </cell>
          <cell r="Z263">
            <v>0</v>
          </cell>
          <cell r="AA263">
            <v>1.255491764626242</v>
          </cell>
          <cell r="AB263">
            <v>1.2649416264012376</v>
          </cell>
          <cell r="AC263">
            <v>1.2649416264012376</v>
          </cell>
          <cell r="AD263">
            <v>1.2649416264012376</v>
          </cell>
          <cell r="AE263">
            <v>1.2649416264012376</v>
          </cell>
          <cell r="AF263">
            <v>1.2649416264012376</v>
          </cell>
          <cell r="AI263" t="str">
            <v>Total Unit COGS (K TE Lbs)</v>
          </cell>
          <cell r="AJ263">
            <v>0</v>
          </cell>
          <cell r="AK263">
            <v>1.255491764626242</v>
          </cell>
          <cell r="AL263">
            <v>1.2743914881762333</v>
          </cell>
          <cell r="AM263">
            <v>0</v>
          </cell>
        </row>
        <row r="265">
          <cell r="A265" t="str">
            <v>Net Sales</v>
          </cell>
          <cell r="C265">
            <v>0</v>
          </cell>
          <cell r="D265">
            <v>0</v>
          </cell>
          <cell r="E265">
            <v>0</v>
          </cell>
          <cell r="F265">
            <v>0</v>
          </cell>
          <cell r="G265">
            <v>0</v>
          </cell>
          <cell r="H265">
            <v>20.844761382336806</v>
          </cell>
          <cell r="I265">
            <v>20.994475138121544</v>
          </cell>
          <cell r="J265">
            <v>0</v>
          </cell>
          <cell r="K265">
            <v>0</v>
          </cell>
          <cell r="L265">
            <v>0</v>
          </cell>
          <cell r="M265">
            <v>0</v>
          </cell>
          <cell r="N265">
            <v>0</v>
          </cell>
          <cell r="O265">
            <v>41.83923652045835</v>
          </cell>
          <cell r="Q265">
            <v>41.83923652045835</v>
          </cell>
          <cell r="S265">
            <v>41.83923652045835</v>
          </cell>
          <cell r="U265" t="str">
            <v>Net Sales</v>
          </cell>
          <cell r="V265">
            <v>0</v>
          </cell>
          <cell r="W265">
            <v>0</v>
          </cell>
          <cell r="X265">
            <v>0</v>
          </cell>
          <cell r="Y265">
            <v>0</v>
          </cell>
          <cell r="Z265">
            <v>0</v>
          </cell>
          <cell r="AA265">
            <v>20.844761382336806</v>
          </cell>
          <cell r="AB265">
            <v>41.83923652045835</v>
          </cell>
          <cell r="AC265">
            <v>41.83923652045835</v>
          </cell>
          <cell r="AD265">
            <v>41.83923652045835</v>
          </cell>
          <cell r="AE265">
            <v>41.83923652045835</v>
          </cell>
          <cell r="AF265">
            <v>41.83923652045835</v>
          </cell>
          <cell r="AI265" t="str">
            <v>Net Sales</v>
          </cell>
          <cell r="AJ265">
            <v>0</v>
          </cell>
          <cell r="AK265">
            <v>20.844761382336806</v>
          </cell>
          <cell r="AL265">
            <v>20.994475138121544</v>
          </cell>
          <cell r="AM265">
            <v>0</v>
          </cell>
        </row>
        <row r="267">
          <cell r="A267" t="str">
            <v>Inventory Cost</v>
          </cell>
          <cell r="C267">
            <v>0</v>
          </cell>
          <cell r="D267">
            <v>0</v>
          </cell>
          <cell r="E267">
            <v>0</v>
          </cell>
          <cell r="F267">
            <v>0</v>
          </cell>
          <cell r="G267">
            <v>0</v>
          </cell>
          <cell r="H267">
            <v>6.6429253100156433</v>
          </cell>
          <cell r="I267">
            <v>6.7429255294196402</v>
          </cell>
          <cell r="J267">
            <v>0</v>
          </cell>
          <cell r="K267">
            <v>0</v>
          </cell>
          <cell r="L267">
            <v>0</v>
          </cell>
          <cell r="M267">
            <v>0</v>
          </cell>
          <cell r="N267">
            <v>0</v>
          </cell>
          <cell r="O267">
            <v>13.385850839435284</v>
          </cell>
          <cell r="Q267">
            <v>13.385850839435284</v>
          </cell>
          <cell r="S267">
            <v>13.385850839435284</v>
          </cell>
          <cell r="U267" t="str">
            <v>Inventory Cost</v>
          </cell>
          <cell r="V267">
            <v>0</v>
          </cell>
          <cell r="W267">
            <v>0</v>
          </cell>
          <cell r="X267">
            <v>0</v>
          </cell>
          <cell r="Y267">
            <v>0</v>
          </cell>
          <cell r="Z267">
            <v>0</v>
          </cell>
          <cell r="AA267">
            <v>6.6429253100156433</v>
          </cell>
          <cell r="AB267">
            <v>13.385850839435284</v>
          </cell>
          <cell r="AC267">
            <v>13.385850839435284</v>
          </cell>
          <cell r="AD267">
            <v>13.385850839435284</v>
          </cell>
          <cell r="AE267">
            <v>13.385850839435284</v>
          </cell>
          <cell r="AF267">
            <v>13.385850839435284</v>
          </cell>
          <cell r="AI267" t="str">
            <v>Inventory Cost</v>
          </cell>
          <cell r="AJ267">
            <v>0</v>
          </cell>
          <cell r="AK267">
            <v>6.6429253100156433</v>
          </cell>
          <cell r="AL267">
            <v>6.7429255294196402</v>
          </cell>
          <cell r="AM267">
            <v>0</v>
          </cell>
        </row>
        <row r="268">
          <cell r="A268" t="str">
            <v>Non Std. Cost</v>
          </cell>
          <cell r="C268">
            <v>0</v>
          </cell>
          <cell r="D268">
            <v>0</v>
          </cell>
          <cell r="E268">
            <v>0</v>
          </cell>
          <cell r="F268">
            <v>0</v>
          </cell>
          <cell r="G268">
            <v>0</v>
          </cell>
          <cell r="H268">
            <v>0</v>
          </cell>
          <cell r="I268">
            <v>0</v>
          </cell>
          <cell r="J268">
            <v>0</v>
          </cell>
          <cell r="K268">
            <v>0</v>
          </cell>
          <cell r="L268">
            <v>0</v>
          </cell>
          <cell r="M268">
            <v>0</v>
          </cell>
          <cell r="N268">
            <v>0</v>
          </cell>
          <cell r="O268">
            <v>0</v>
          </cell>
          <cell r="Q268">
            <v>0</v>
          </cell>
          <cell r="S268">
            <v>0</v>
          </cell>
          <cell r="U268" t="str">
            <v>Non Std. Cost</v>
          </cell>
          <cell r="V268">
            <v>0</v>
          </cell>
          <cell r="W268">
            <v>0</v>
          </cell>
          <cell r="X268">
            <v>0</v>
          </cell>
          <cell r="Y268">
            <v>0</v>
          </cell>
          <cell r="Z268">
            <v>0</v>
          </cell>
          <cell r="AA268">
            <v>0</v>
          </cell>
          <cell r="AB268">
            <v>0</v>
          </cell>
          <cell r="AC268">
            <v>0</v>
          </cell>
          <cell r="AD268">
            <v>0</v>
          </cell>
          <cell r="AE268">
            <v>0</v>
          </cell>
          <cell r="AF268">
            <v>0</v>
          </cell>
          <cell r="AI268" t="str">
            <v>Non Std. Cost</v>
          </cell>
          <cell r="AJ268">
            <v>0</v>
          </cell>
          <cell r="AK268">
            <v>0</v>
          </cell>
          <cell r="AL268">
            <v>0</v>
          </cell>
          <cell r="AM268">
            <v>0</v>
          </cell>
        </row>
        <row r="269">
          <cell r="A269" t="str">
            <v>Alloc. NSC (STL)</v>
          </cell>
          <cell r="C269">
            <v>0</v>
          </cell>
          <cell r="D269">
            <v>0</v>
          </cell>
          <cell r="E269">
            <v>0</v>
          </cell>
          <cell r="F269">
            <v>0</v>
          </cell>
          <cell r="G269">
            <v>0</v>
          </cell>
          <cell r="H269">
            <v>0</v>
          </cell>
          <cell r="I269">
            <v>0</v>
          </cell>
          <cell r="J269">
            <v>0</v>
          </cell>
          <cell r="K269">
            <v>0</v>
          </cell>
          <cell r="L269">
            <v>0</v>
          </cell>
          <cell r="M269">
            <v>0</v>
          </cell>
          <cell r="N269">
            <v>0</v>
          </cell>
          <cell r="O269">
            <v>0</v>
          </cell>
          <cell r="Q269">
            <v>0</v>
          </cell>
          <cell r="S269">
            <v>0</v>
          </cell>
          <cell r="U269" t="str">
            <v>Alloc. NSC (STL)</v>
          </cell>
          <cell r="V269">
            <v>0</v>
          </cell>
          <cell r="W269">
            <v>0</v>
          </cell>
          <cell r="X269">
            <v>0</v>
          </cell>
          <cell r="Y269">
            <v>0</v>
          </cell>
          <cell r="Z269">
            <v>0</v>
          </cell>
          <cell r="AA269">
            <v>0</v>
          </cell>
          <cell r="AB269">
            <v>0</v>
          </cell>
          <cell r="AC269">
            <v>0</v>
          </cell>
          <cell r="AD269">
            <v>0</v>
          </cell>
          <cell r="AE269">
            <v>0</v>
          </cell>
          <cell r="AF269">
            <v>0</v>
          </cell>
          <cell r="AI269" t="str">
            <v>Alloc. NSC (STL)</v>
          </cell>
          <cell r="AJ269">
            <v>0</v>
          </cell>
          <cell r="AK269">
            <v>0</v>
          </cell>
          <cell r="AL269">
            <v>0</v>
          </cell>
          <cell r="AM269">
            <v>0</v>
          </cell>
        </row>
        <row r="270">
          <cell r="A270" t="str">
            <v>COGS</v>
          </cell>
          <cell r="C270">
            <v>0</v>
          </cell>
          <cell r="D270">
            <v>0</v>
          </cell>
          <cell r="E270">
            <v>0</v>
          </cell>
          <cell r="F270">
            <v>0</v>
          </cell>
          <cell r="G270">
            <v>0</v>
          </cell>
          <cell r="H270">
            <v>6.6429253100156433</v>
          </cell>
          <cell r="I270">
            <v>6.7429255294196402</v>
          </cell>
          <cell r="J270">
            <v>0</v>
          </cell>
          <cell r="K270">
            <v>0</v>
          </cell>
          <cell r="L270">
            <v>0</v>
          </cell>
          <cell r="M270">
            <v>0</v>
          </cell>
          <cell r="N270">
            <v>0</v>
          </cell>
          <cell r="O270">
            <v>13.385850839435284</v>
          </cell>
          <cell r="Q270">
            <v>13.385850839435284</v>
          </cell>
          <cell r="S270">
            <v>13.385850839435284</v>
          </cell>
          <cell r="U270" t="str">
            <v>COGS</v>
          </cell>
          <cell r="V270">
            <v>0</v>
          </cell>
          <cell r="W270">
            <v>0</v>
          </cell>
          <cell r="X270">
            <v>0</v>
          </cell>
          <cell r="Y270">
            <v>0</v>
          </cell>
          <cell r="Z270">
            <v>0</v>
          </cell>
          <cell r="AA270">
            <v>6.6429253100156433</v>
          </cell>
          <cell r="AB270">
            <v>13.385850839435284</v>
          </cell>
          <cell r="AC270">
            <v>13.385850839435284</v>
          </cell>
          <cell r="AD270">
            <v>13.385850839435284</v>
          </cell>
          <cell r="AE270">
            <v>13.385850839435284</v>
          </cell>
          <cell r="AF270">
            <v>13.385850839435284</v>
          </cell>
          <cell r="AI270" t="str">
            <v>COGS</v>
          </cell>
          <cell r="AJ270">
            <v>0</v>
          </cell>
          <cell r="AK270">
            <v>6.6429253100156433</v>
          </cell>
          <cell r="AL270">
            <v>6.7429255294196402</v>
          </cell>
          <cell r="AM270">
            <v>0</v>
          </cell>
        </row>
        <row r="272">
          <cell r="A272" t="str">
            <v>Gross Profit</v>
          </cell>
          <cell r="C272">
            <v>0</v>
          </cell>
          <cell r="D272">
            <v>0</v>
          </cell>
          <cell r="E272">
            <v>0</v>
          </cell>
          <cell r="F272">
            <v>0</v>
          </cell>
          <cell r="G272">
            <v>0</v>
          </cell>
          <cell r="H272">
            <v>14.201836072321163</v>
          </cell>
          <cell r="I272">
            <v>14.251549608701904</v>
          </cell>
          <cell r="J272">
            <v>0</v>
          </cell>
          <cell r="K272">
            <v>0</v>
          </cell>
          <cell r="L272">
            <v>0</v>
          </cell>
          <cell r="M272">
            <v>0</v>
          </cell>
          <cell r="N272">
            <v>0</v>
          </cell>
          <cell r="O272">
            <v>28.453385681023065</v>
          </cell>
          <cell r="Q272">
            <v>28.453385681023065</v>
          </cell>
          <cell r="S272">
            <v>28.453385681023065</v>
          </cell>
          <cell r="U272" t="str">
            <v>Gross Profit</v>
          </cell>
          <cell r="V272">
            <v>0</v>
          </cell>
          <cell r="W272">
            <v>0</v>
          </cell>
          <cell r="X272">
            <v>0</v>
          </cell>
          <cell r="Y272">
            <v>0</v>
          </cell>
          <cell r="Z272">
            <v>0</v>
          </cell>
          <cell r="AA272">
            <v>14.201836072321163</v>
          </cell>
          <cell r="AB272">
            <v>28.453385681023065</v>
          </cell>
          <cell r="AC272">
            <v>28.453385681023065</v>
          </cell>
          <cell r="AD272">
            <v>28.453385681023065</v>
          </cell>
          <cell r="AE272">
            <v>28.453385681023065</v>
          </cell>
          <cell r="AF272">
            <v>28.453385681023065</v>
          </cell>
          <cell r="AI272" t="str">
            <v>Gross Profit</v>
          </cell>
          <cell r="AJ272">
            <v>0</v>
          </cell>
          <cell r="AK272">
            <v>14.201836072321163</v>
          </cell>
          <cell r="AL272">
            <v>14.251549608701904</v>
          </cell>
          <cell r="AM272">
            <v>0</v>
          </cell>
        </row>
        <row r="273">
          <cell r="A273" t="str">
            <v>% of Sales</v>
          </cell>
          <cell r="C273">
            <v>0</v>
          </cell>
          <cell r="D273">
            <v>0</v>
          </cell>
          <cell r="E273">
            <v>0</v>
          </cell>
          <cell r="F273">
            <v>0</v>
          </cell>
          <cell r="G273">
            <v>0</v>
          </cell>
          <cell r="H273">
            <v>0.6813143989431969</v>
          </cell>
          <cell r="I273">
            <v>0.67882381030922234</v>
          </cell>
          <cell r="J273">
            <v>0</v>
          </cell>
          <cell r="K273">
            <v>0</v>
          </cell>
          <cell r="L273">
            <v>0</v>
          </cell>
          <cell r="M273">
            <v>0</v>
          </cell>
          <cell r="N273">
            <v>0</v>
          </cell>
          <cell r="O273">
            <v>0.68006464857718096</v>
          </cell>
          <cell r="Q273">
            <v>0.68006464857718096</v>
          </cell>
          <cell r="S273">
            <v>0.68006464857718096</v>
          </cell>
          <cell r="U273" t="str">
            <v>% of Sales</v>
          </cell>
          <cell r="V273">
            <v>0</v>
          </cell>
          <cell r="W273">
            <v>0</v>
          </cell>
          <cell r="X273">
            <v>0</v>
          </cell>
          <cell r="Y273">
            <v>0</v>
          </cell>
          <cell r="Z273">
            <v>0</v>
          </cell>
          <cell r="AA273">
            <v>0.6813143989431969</v>
          </cell>
          <cell r="AB273">
            <v>0.68006464857718096</v>
          </cell>
          <cell r="AC273">
            <v>0.68006464857718096</v>
          </cell>
          <cell r="AD273">
            <v>0.68006464857718096</v>
          </cell>
          <cell r="AE273">
            <v>0.68006464857718096</v>
          </cell>
          <cell r="AF273">
            <v>0.68006464857718096</v>
          </cell>
          <cell r="AI273" t="str">
            <v>% of Sales</v>
          </cell>
          <cell r="AJ273">
            <v>0</v>
          </cell>
          <cell r="AK273">
            <v>0.6813143989431969</v>
          </cell>
          <cell r="AL273">
            <v>0.67882381030922234</v>
          </cell>
          <cell r="AM273">
            <v>0</v>
          </cell>
        </row>
        <row r="275">
          <cell r="A275" t="str">
            <v>Marketing</v>
          </cell>
          <cell r="C275">
            <v>0.18829444013794777</v>
          </cell>
          <cell r="D275">
            <v>0.23768885050905558</v>
          </cell>
          <cell r="E275">
            <v>0.2971695520304462</v>
          </cell>
          <cell r="F275">
            <v>0.28422789809080123</v>
          </cell>
          <cell r="G275">
            <v>0.41523336780165188</v>
          </cell>
          <cell r="H275">
            <v>0.38078266187145121</v>
          </cell>
          <cell r="I275">
            <v>0.33662794579932637</v>
          </cell>
          <cell r="J275">
            <v>0.18603191349658971</v>
          </cell>
          <cell r="K275">
            <v>0.27428916453871477</v>
          </cell>
          <cell r="L275">
            <v>0.15498581393898131</v>
          </cell>
          <cell r="M275">
            <v>0.15504918157739275</v>
          </cell>
          <cell r="N275">
            <v>0.21226916246740352</v>
          </cell>
          <cell r="O275">
            <v>3.1226499522597622</v>
          </cell>
          <cell r="Q275">
            <v>3.1226499522597622</v>
          </cell>
          <cell r="S275">
            <v>3.1226499522597622</v>
          </cell>
          <cell r="U275" t="str">
            <v>Marketing</v>
          </cell>
          <cell r="V275">
            <v>0.18829444013794777</v>
          </cell>
          <cell r="W275">
            <v>0.42598329064700335</v>
          </cell>
          <cell r="X275">
            <v>0.72315284267744961</v>
          </cell>
          <cell r="Y275">
            <v>1.0073807407682509</v>
          </cell>
          <cell r="Z275">
            <v>1.4226141085699027</v>
          </cell>
          <cell r="AA275">
            <v>1.8033967704413538</v>
          </cell>
          <cell r="AB275">
            <v>2.14002471624068</v>
          </cell>
          <cell r="AC275">
            <v>2.3260566297372698</v>
          </cell>
          <cell r="AD275">
            <v>2.6003457942759844</v>
          </cell>
          <cell r="AE275">
            <v>2.7553316082149659</v>
          </cell>
          <cell r="AF275">
            <v>2.9103807897923586</v>
          </cell>
          <cell r="AI275" t="str">
            <v>Marketing</v>
          </cell>
          <cell r="AJ275">
            <v>0.72315284267744961</v>
          </cell>
          <cell r="AK275">
            <v>1.0802439277639042</v>
          </cell>
          <cell r="AL275">
            <v>0.79694902383463084</v>
          </cell>
          <cell r="AM275">
            <v>0.5223041579837775</v>
          </cell>
        </row>
        <row r="276">
          <cell r="A276" t="str">
            <v>Administration</v>
          </cell>
          <cell r="C276">
            <v>0</v>
          </cell>
          <cell r="D276">
            <v>0</v>
          </cell>
          <cell r="E276">
            <v>0</v>
          </cell>
          <cell r="F276">
            <v>0</v>
          </cell>
          <cell r="G276">
            <v>0</v>
          </cell>
          <cell r="H276">
            <v>0</v>
          </cell>
          <cell r="I276">
            <v>0</v>
          </cell>
          <cell r="J276">
            <v>0</v>
          </cell>
          <cell r="K276">
            <v>0</v>
          </cell>
          <cell r="L276">
            <v>0</v>
          </cell>
          <cell r="M276">
            <v>0</v>
          </cell>
          <cell r="N276">
            <v>0</v>
          </cell>
          <cell r="O276">
            <v>0</v>
          </cell>
          <cell r="Q276">
            <v>0</v>
          </cell>
          <cell r="S276">
            <v>0</v>
          </cell>
          <cell r="U276" t="str">
            <v>Administration</v>
          </cell>
          <cell r="V276">
            <v>0</v>
          </cell>
          <cell r="W276">
            <v>0</v>
          </cell>
          <cell r="X276">
            <v>0</v>
          </cell>
          <cell r="Y276">
            <v>0</v>
          </cell>
          <cell r="Z276">
            <v>0</v>
          </cell>
          <cell r="AA276">
            <v>0</v>
          </cell>
          <cell r="AB276">
            <v>0</v>
          </cell>
          <cell r="AC276">
            <v>0</v>
          </cell>
          <cell r="AD276">
            <v>0</v>
          </cell>
          <cell r="AE276">
            <v>0</v>
          </cell>
          <cell r="AF276">
            <v>0</v>
          </cell>
          <cell r="AI276" t="str">
            <v>Administration</v>
          </cell>
          <cell r="AJ276">
            <v>0</v>
          </cell>
          <cell r="AK276">
            <v>0</v>
          </cell>
          <cell r="AL276">
            <v>0</v>
          </cell>
          <cell r="AM276">
            <v>0</v>
          </cell>
        </row>
        <row r="277">
          <cell r="A277" t="str">
            <v>Technology</v>
          </cell>
          <cell r="C277">
            <v>0</v>
          </cell>
          <cell r="D277">
            <v>0</v>
          </cell>
          <cell r="E277">
            <v>0</v>
          </cell>
          <cell r="F277">
            <v>0</v>
          </cell>
          <cell r="G277">
            <v>0</v>
          </cell>
          <cell r="H277">
            <v>0</v>
          </cell>
          <cell r="I277">
            <v>0</v>
          </cell>
          <cell r="J277">
            <v>0</v>
          </cell>
          <cell r="K277">
            <v>0</v>
          </cell>
          <cell r="L277">
            <v>0</v>
          </cell>
          <cell r="M277">
            <v>0</v>
          </cell>
          <cell r="N277">
            <v>0</v>
          </cell>
          <cell r="O277">
            <v>0</v>
          </cell>
          <cell r="Q277">
            <v>0</v>
          </cell>
          <cell r="S277">
            <v>0</v>
          </cell>
          <cell r="U277" t="str">
            <v>Technology</v>
          </cell>
          <cell r="V277">
            <v>0</v>
          </cell>
          <cell r="W277">
            <v>0</v>
          </cell>
          <cell r="X277">
            <v>0</v>
          </cell>
          <cell r="Y277">
            <v>0</v>
          </cell>
          <cell r="Z277">
            <v>0</v>
          </cell>
          <cell r="AA277">
            <v>0</v>
          </cell>
          <cell r="AB277">
            <v>0</v>
          </cell>
          <cell r="AC277">
            <v>0</v>
          </cell>
          <cell r="AD277">
            <v>0</v>
          </cell>
          <cell r="AE277">
            <v>0</v>
          </cell>
          <cell r="AF277">
            <v>0</v>
          </cell>
          <cell r="AI277" t="str">
            <v>Technology</v>
          </cell>
          <cell r="AJ277">
            <v>0</v>
          </cell>
          <cell r="AK277">
            <v>0</v>
          </cell>
          <cell r="AL277">
            <v>0</v>
          </cell>
          <cell r="AM277">
            <v>0</v>
          </cell>
        </row>
        <row r="278">
          <cell r="A278" t="str">
            <v>Bad Debt Reserve</v>
          </cell>
          <cell r="C278">
            <v>0</v>
          </cell>
          <cell r="D278">
            <v>0</v>
          </cell>
          <cell r="E278">
            <v>0</v>
          </cell>
          <cell r="F278">
            <v>0</v>
          </cell>
          <cell r="G278">
            <v>0</v>
          </cell>
          <cell r="H278">
            <v>0</v>
          </cell>
          <cell r="I278">
            <v>0</v>
          </cell>
          <cell r="J278">
            <v>0</v>
          </cell>
          <cell r="K278">
            <v>0</v>
          </cell>
          <cell r="L278">
            <v>0</v>
          </cell>
          <cell r="M278">
            <v>0</v>
          </cell>
          <cell r="N278">
            <v>0</v>
          </cell>
          <cell r="O278">
            <v>0</v>
          </cell>
          <cell r="Q278">
            <v>0</v>
          </cell>
          <cell r="S278">
            <v>0</v>
          </cell>
          <cell r="U278" t="str">
            <v>Bad Debt Reserve</v>
          </cell>
          <cell r="V278">
            <v>0</v>
          </cell>
          <cell r="W278">
            <v>0</v>
          </cell>
          <cell r="X278">
            <v>0</v>
          </cell>
          <cell r="Y278">
            <v>0</v>
          </cell>
          <cell r="Z278">
            <v>0</v>
          </cell>
          <cell r="AA278">
            <v>0</v>
          </cell>
          <cell r="AB278">
            <v>0</v>
          </cell>
          <cell r="AC278">
            <v>0</v>
          </cell>
          <cell r="AD278">
            <v>0</v>
          </cell>
          <cell r="AE278">
            <v>0</v>
          </cell>
          <cell r="AF278">
            <v>0</v>
          </cell>
          <cell r="AI278" t="str">
            <v>Bad Debt Reserve</v>
          </cell>
          <cell r="AJ278">
            <v>0</v>
          </cell>
          <cell r="AK278">
            <v>0</v>
          </cell>
          <cell r="AL278">
            <v>0</v>
          </cell>
          <cell r="AM278">
            <v>0</v>
          </cell>
        </row>
        <row r="279">
          <cell r="A279" t="str">
            <v>Total Direct MAT</v>
          </cell>
          <cell r="C279">
            <v>0.18829444013794777</v>
          </cell>
          <cell r="D279">
            <v>0.23768885050905558</v>
          </cell>
          <cell r="E279">
            <v>0.2971695520304462</v>
          </cell>
          <cell r="F279">
            <v>0.28422789809080123</v>
          </cell>
          <cell r="G279">
            <v>0.41523336780165188</v>
          </cell>
          <cell r="H279">
            <v>0.38078266187145121</v>
          </cell>
          <cell r="I279">
            <v>0.33662794579932637</v>
          </cell>
          <cell r="J279">
            <v>0.18603191349658971</v>
          </cell>
          <cell r="K279">
            <v>0.27428916453871477</v>
          </cell>
          <cell r="L279">
            <v>0.15498581393898131</v>
          </cell>
          <cell r="M279">
            <v>0.15504918157739275</v>
          </cell>
          <cell r="N279">
            <v>0.21226916246740352</v>
          </cell>
          <cell r="O279">
            <v>3.1226499522597622</v>
          </cell>
          <cell r="Q279">
            <v>3.1226499522597622</v>
          </cell>
          <cell r="S279">
            <v>3.1226499522597622</v>
          </cell>
          <cell r="U279" t="str">
            <v>Total Direct MAT</v>
          </cell>
          <cell r="V279">
            <v>0.18829444013794777</v>
          </cell>
          <cell r="W279">
            <v>0.42598329064700335</v>
          </cell>
          <cell r="X279">
            <v>0.72315284267744961</v>
          </cell>
          <cell r="Y279">
            <v>1.0073807407682509</v>
          </cell>
          <cell r="Z279">
            <v>1.4226141085699027</v>
          </cell>
          <cell r="AA279">
            <v>1.8033967704413538</v>
          </cell>
          <cell r="AB279">
            <v>2.14002471624068</v>
          </cell>
          <cell r="AC279">
            <v>2.3260566297372698</v>
          </cell>
          <cell r="AD279">
            <v>2.6003457942759844</v>
          </cell>
          <cell r="AE279">
            <v>2.7553316082149659</v>
          </cell>
          <cell r="AF279">
            <v>2.9103807897923586</v>
          </cell>
          <cell r="AI279" t="str">
            <v>Total Direct MAT</v>
          </cell>
          <cell r="AJ279">
            <v>0.72315284267744961</v>
          </cell>
          <cell r="AK279">
            <v>1.0802439277639042</v>
          </cell>
          <cell r="AL279">
            <v>0.79694902383463084</v>
          </cell>
          <cell r="AM279">
            <v>0.5223041579837775</v>
          </cell>
        </row>
        <row r="281">
          <cell r="A281" t="str">
            <v>Marketing</v>
          </cell>
          <cell r="C281">
            <v>0</v>
          </cell>
          <cell r="D281">
            <v>0</v>
          </cell>
          <cell r="E281">
            <v>0</v>
          </cell>
          <cell r="F281">
            <v>0</v>
          </cell>
          <cell r="G281">
            <v>0</v>
          </cell>
          <cell r="H281">
            <v>0</v>
          </cell>
          <cell r="I281">
            <v>0</v>
          </cell>
          <cell r="J281">
            <v>0</v>
          </cell>
          <cell r="K281">
            <v>0</v>
          </cell>
          <cell r="L281">
            <v>0</v>
          </cell>
          <cell r="M281">
            <v>0</v>
          </cell>
          <cell r="N281">
            <v>0</v>
          </cell>
          <cell r="O281">
            <v>0</v>
          </cell>
          <cell r="Q281">
            <v>0</v>
          </cell>
          <cell r="S281">
            <v>0</v>
          </cell>
          <cell r="U281" t="str">
            <v>Marketing</v>
          </cell>
          <cell r="V281">
            <v>0</v>
          </cell>
          <cell r="W281">
            <v>0</v>
          </cell>
          <cell r="X281">
            <v>0</v>
          </cell>
          <cell r="Y281">
            <v>0</v>
          </cell>
          <cell r="Z281">
            <v>0</v>
          </cell>
          <cell r="AA281">
            <v>0</v>
          </cell>
          <cell r="AB281">
            <v>0</v>
          </cell>
          <cell r="AC281">
            <v>0</v>
          </cell>
          <cell r="AD281">
            <v>0</v>
          </cell>
          <cell r="AE281">
            <v>0</v>
          </cell>
          <cell r="AF281">
            <v>0</v>
          </cell>
          <cell r="AI281" t="str">
            <v>Marketing</v>
          </cell>
          <cell r="AJ281">
            <v>0</v>
          </cell>
          <cell r="AK281">
            <v>0</v>
          </cell>
          <cell r="AL281">
            <v>0</v>
          </cell>
          <cell r="AM281">
            <v>0</v>
          </cell>
        </row>
        <row r="286">
          <cell r="A286" t="str">
            <v>Amort of Intangible  Assets</v>
          </cell>
          <cell r="C286">
            <v>0</v>
          </cell>
          <cell r="D286">
            <v>0</v>
          </cell>
          <cell r="E286">
            <v>0</v>
          </cell>
          <cell r="F286">
            <v>0</v>
          </cell>
          <cell r="G286">
            <v>0</v>
          </cell>
          <cell r="H286">
            <v>0</v>
          </cell>
          <cell r="I286">
            <v>0</v>
          </cell>
          <cell r="J286">
            <v>0</v>
          </cell>
          <cell r="K286">
            <v>0</v>
          </cell>
          <cell r="L286">
            <v>0</v>
          </cell>
          <cell r="M286">
            <v>0</v>
          </cell>
          <cell r="N286">
            <v>0</v>
          </cell>
          <cell r="O286">
            <v>0</v>
          </cell>
          <cell r="Q286">
            <v>0</v>
          </cell>
          <cell r="S286">
            <v>0</v>
          </cell>
          <cell r="U286" t="str">
            <v>Amort of Intangible  Assets</v>
          </cell>
          <cell r="V286">
            <v>0</v>
          </cell>
          <cell r="W286">
            <v>0</v>
          </cell>
          <cell r="X286">
            <v>0</v>
          </cell>
          <cell r="Y286">
            <v>0</v>
          </cell>
          <cell r="Z286">
            <v>0</v>
          </cell>
          <cell r="AA286">
            <v>0</v>
          </cell>
          <cell r="AB286">
            <v>0</v>
          </cell>
          <cell r="AC286">
            <v>0</v>
          </cell>
          <cell r="AD286">
            <v>0</v>
          </cell>
          <cell r="AE286">
            <v>0</v>
          </cell>
          <cell r="AF286">
            <v>0</v>
          </cell>
          <cell r="AI286" t="str">
            <v>Amort of Intangible  Assets</v>
          </cell>
          <cell r="AJ286">
            <v>0</v>
          </cell>
          <cell r="AK286">
            <v>0</v>
          </cell>
          <cell r="AL286">
            <v>0</v>
          </cell>
          <cell r="AM286">
            <v>0</v>
          </cell>
        </row>
        <row r="288">
          <cell r="A288" t="str">
            <v>Interest Expense</v>
          </cell>
          <cell r="C288">
            <v>0</v>
          </cell>
          <cell r="D288">
            <v>0</v>
          </cell>
          <cell r="E288">
            <v>0</v>
          </cell>
          <cell r="F288">
            <v>0</v>
          </cell>
          <cell r="G288">
            <v>0</v>
          </cell>
          <cell r="H288">
            <v>0</v>
          </cell>
          <cell r="I288">
            <v>0</v>
          </cell>
          <cell r="J288">
            <v>0</v>
          </cell>
          <cell r="K288">
            <v>0</v>
          </cell>
          <cell r="L288">
            <v>0</v>
          </cell>
          <cell r="M288">
            <v>0</v>
          </cell>
          <cell r="N288">
            <v>0</v>
          </cell>
          <cell r="O288">
            <v>0</v>
          </cell>
          <cell r="Q288">
            <v>0</v>
          </cell>
          <cell r="S288">
            <v>0</v>
          </cell>
          <cell r="U288" t="str">
            <v>Interest Expense</v>
          </cell>
          <cell r="V288">
            <v>0</v>
          </cell>
          <cell r="W288">
            <v>0</v>
          </cell>
          <cell r="X288">
            <v>0</v>
          </cell>
          <cell r="Y288">
            <v>0</v>
          </cell>
          <cell r="Z288">
            <v>0</v>
          </cell>
          <cell r="AA288">
            <v>0</v>
          </cell>
          <cell r="AB288">
            <v>0</v>
          </cell>
          <cell r="AC288">
            <v>0</v>
          </cell>
          <cell r="AD288">
            <v>0</v>
          </cell>
          <cell r="AE288">
            <v>0</v>
          </cell>
          <cell r="AF288">
            <v>0</v>
          </cell>
          <cell r="AI288" t="str">
            <v>Interest Expense</v>
          </cell>
          <cell r="AJ288">
            <v>0</v>
          </cell>
          <cell r="AK288">
            <v>0</v>
          </cell>
          <cell r="AL288">
            <v>0</v>
          </cell>
          <cell r="AM288">
            <v>0</v>
          </cell>
        </row>
        <row r="289">
          <cell r="A289" t="str">
            <v>Interest Income</v>
          </cell>
          <cell r="C289">
            <v>0</v>
          </cell>
          <cell r="D289">
            <v>0</v>
          </cell>
          <cell r="E289">
            <v>0</v>
          </cell>
          <cell r="F289">
            <v>0</v>
          </cell>
          <cell r="G289">
            <v>0</v>
          </cell>
          <cell r="H289">
            <v>0</v>
          </cell>
          <cell r="I289">
            <v>0</v>
          </cell>
          <cell r="J289">
            <v>0</v>
          </cell>
          <cell r="K289">
            <v>0</v>
          </cell>
          <cell r="L289">
            <v>0</v>
          </cell>
          <cell r="M289">
            <v>0</v>
          </cell>
          <cell r="N289">
            <v>0</v>
          </cell>
          <cell r="O289">
            <v>0</v>
          </cell>
          <cell r="Q289">
            <v>0</v>
          </cell>
          <cell r="S289">
            <v>0</v>
          </cell>
          <cell r="U289" t="str">
            <v>Interest Income</v>
          </cell>
          <cell r="V289">
            <v>0</v>
          </cell>
          <cell r="W289">
            <v>0</v>
          </cell>
          <cell r="X289">
            <v>0</v>
          </cell>
          <cell r="Y289">
            <v>0</v>
          </cell>
          <cell r="Z289">
            <v>0</v>
          </cell>
          <cell r="AA289">
            <v>0</v>
          </cell>
          <cell r="AB289">
            <v>0</v>
          </cell>
          <cell r="AC289">
            <v>0</v>
          </cell>
          <cell r="AD289">
            <v>0</v>
          </cell>
          <cell r="AE289">
            <v>0</v>
          </cell>
          <cell r="AF289">
            <v>0</v>
          </cell>
          <cell r="AI289" t="str">
            <v>Interest Income</v>
          </cell>
          <cell r="AJ289">
            <v>0</v>
          </cell>
          <cell r="AK289">
            <v>0</v>
          </cell>
          <cell r="AL289">
            <v>0</v>
          </cell>
          <cell r="AM289">
            <v>0</v>
          </cell>
        </row>
        <row r="290">
          <cell r="A290" t="str">
            <v>Other Income/Exp.</v>
          </cell>
          <cell r="C290">
            <v>0</v>
          </cell>
          <cell r="D290">
            <v>0</v>
          </cell>
          <cell r="E290">
            <v>0</v>
          </cell>
          <cell r="F290">
            <v>0</v>
          </cell>
          <cell r="G290">
            <v>0</v>
          </cell>
          <cell r="H290">
            <v>0</v>
          </cell>
          <cell r="I290">
            <v>0</v>
          </cell>
          <cell r="J290">
            <v>0</v>
          </cell>
          <cell r="K290">
            <v>0</v>
          </cell>
          <cell r="L290">
            <v>0</v>
          </cell>
          <cell r="M290">
            <v>0</v>
          </cell>
          <cell r="N290">
            <v>0</v>
          </cell>
          <cell r="O290">
            <v>0</v>
          </cell>
          <cell r="Q290">
            <v>0</v>
          </cell>
          <cell r="S290">
            <v>0</v>
          </cell>
          <cell r="U290" t="str">
            <v>Other Income/Exp.</v>
          </cell>
          <cell r="V290">
            <v>0</v>
          </cell>
          <cell r="W290">
            <v>0</v>
          </cell>
          <cell r="X290">
            <v>0</v>
          </cell>
          <cell r="Y290">
            <v>0</v>
          </cell>
          <cell r="Z290">
            <v>0</v>
          </cell>
          <cell r="AA290">
            <v>0</v>
          </cell>
          <cell r="AB290">
            <v>0</v>
          </cell>
          <cell r="AC290">
            <v>0</v>
          </cell>
          <cell r="AD290">
            <v>0</v>
          </cell>
          <cell r="AE290">
            <v>0</v>
          </cell>
          <cell r="AF290">
            <v>0</v>
          </cell>
          <cell r="AI290" t="str">
            <v>Other Income/Exp.</v>
          </cell>
          <cell r="AJ290">
            <v>0</v>
          </cell>
          <cell r="AK290">
            <v>0</v>
          </cell>
          <cell r="AL290">
            <v>0</v>
          </cell>
          <cell r="AM290">
            <v>0</v>
          </cell>
        </row>
        <row r="292">
          <cell r="A292" t="str">
            <v>Income Before Tax</v>
          </cell>
          <cell r="C292">
            <v>-0.18829444013794777</v>
          </cell>
          <cell r="D292">
            <v>-0.23768885050905558</v>
          </cell>
          <cell r="E292">
            <v>-0.2971695520304462</v>
          </cell>
          <cell r="F292">
            <v>-0.28422789809080123</v>
          </cell>
          <cell r="G292">
            <v>-0.41523336780165188</v>
          </cell>
          <cell r="H292">
            <v>13.821053410449711</v>
          </cell>
          <cell r="I292">
            <v>13.914921662902577</v>
          </cell>
          <cell r="J292">
            <v>-0.18603191349658971</v>
          </cell>
          <cell r="K292">
            <v>-0.27428916453871477</v>
          </cell>
          <cell r="L292">
            <v>-0.15498581393898131</v>
          </cell>
          <cell r="M292">
            <v>-0.15504918157739275</v>
          </cell>
          <cell r="N292">
            <v>-0.21226916246740352</v>
          </cell>
          <cell r="O292">
            <v>25.330735728763301</v>
          </cell>
          <cell r="Q292">
            <v>25.330735728763301</v>
          </cell>
          <cell r="S292">
            <v>25.330735728763301</v>
          </cell>
          <cell r="U292" t="str">
            <v>Income Before Tax</v>
          </cell>
          <cell r="V292">
            <v>-0.18829444013794777</v>
          </cell>
          <cell r="W292">
            <v>-0.42598329064700335</v>
          </cell>
          <cell r="X292">
            <v>-0.72315284267744961</v>
          </cell>
          <cell r="Y292">
            <v>-1.0073807407682509</v>
          </cell>
          <cell r="Z292">
            <v>-1.4226141085699027</v>
          </cell>
          <cell r="AA292">
            <v>12.398439301879808</v>
          </cell>
          <cell r="AB292">
            <v>26.313360964782383</v>
          </cell>
          <cell r="AC292">
            <v>26.127329051285795</v>
          </cell>
          <cell r="AD292">
            <v>25.85303988674708</v>
          </cell>
          <cell r="AE292">
            <v>25.698054072808098</v>
          </cell>
          <cell r="AF292">
            <v>25.543004891230705</v>
          </cell>
          <cell r="AI292" t="str">
            <v>Income Before Tax</v>
          </cell>
          <cell r="AJ292">
            <v>-0.72315284267744961</v>
          </cell>
          <cell r="AK292">
            <v>13.121592144557258</v>
          </cell>
          <cell r="AL292">
            <v>13.454600584867272</v>
          </cell>
          <cell r="AM292">
            <v>-0.5223041579837775</v>
          </cell>
        </row>
        <row r="293">
          <cell r="A293" t="str">
            <v>Privision for Taxes</v>
          </cell>
          <cell r="C293">
            <v>-5.8371276442763811E-2</v>
          </cell>
          <cell r="D293">
            <v>-7.3683543657807229E-2</v>
          </cell>
          <cell r="E293">
            <v>-9.2122561129438327E-2</v>
          </cell>
          <cell r="F293">
            <v>-8.8110648408148376E-2</v>
          </cell>
          <cell r="G293">
            <v>-0.12872234401851207</v>
          </cell>
          <cell r="H293">
            <v>4.2845265572394107</v>
          </cell>
          <cell r="I293">
            <v>4.313625715499799</v>
          </cell>
          <cell r="J293">
            <v>-5.7669893183942812E-2</v>
          </cell>
          <cell r="K293">
            <v>-8.5029641007001583E-2</v>
          </cell>
          <cell r="L293">
            <v>-4.8045602321084208E-2</v>
          </cell>
          <cell r="M293">
            <v>-4.8065246288991753E-2</v>
          </cell>
          <cell r="N293">
            <v>-6.5803440364895091E-2</v>
          </cell>
          <cell r="O293">
            <v>7.8525280759166236</v>
          </cell>
          <cell r="Q293">
            <v>7.8525280759166236</v>
          </cell>
          <cell r="S293">
            <v>7.8525280759166236</v>
          </cell>
          <cell r="U293" t="str">
            <v>Privision for Taxes</v>
          </cell>
          <cell r="V293">
            <v>-5.8371276442763811E-2</v>
          </cell>
          <cell r="W293">
            <v>-0.13205482010057104</v>
          </cell>
          <cell r="X293">
            <v>-0.22417738123000935</v>
          </cell>
          <cell r="Y293">
            <v>-0.31228802963815772</v>
          </cell>
          <cell r="Z293">
            <v>-0.44101037365666979</v>
          </cell>
          <cell r="AA293">
            <v>3.8435161835827407</v>
          </cell>
          <cell r="AB293">
            <v>8.1571418990825393</v>
          </cell>
          <cell r="AC293">
            <v>8.0994720058985958</v>
          </cell>
          <cell r="AD293">
            <v>8.014442364891595</v>
          </cell>
          <cell r="AE293">
            <v>7.9663967625705112</v>
          </cell>
          <cell r="AF293">
            <v>7.9183315162815191</v>
          </cell>
          <cell r="AI293" t="str">
            <v>Privision for Taxes</v>
          </cell>
          <cell r="AJ293">
            <v>-0.22417738123000935</v>
          </cell>
          <cell r="AK293">
            <v>4.0676935648127506</v>
          </cell>
          <cell r="AL293">
            <v>4.1709261813088547</v>
          </cell>
          <cell r="AM293">
            <v>-0.16191428897497107</v>
          </cell>
        </row>
        <row r="294">
          <cell r="A294" t="str">
            <v>Tax rate %</v>
          </cell>
          <cell r="C294">
            <v>0.31</v>
          </cell>
          <cell r="D294">
            <v>0.31</v>
          </cell>
          <cell r="E294">
            <v>0.31</v>
          </cell>
          <cell r="F294">
            <v>0.31</v>
          </cell>
          <cell r="G294">
            <v>0.31</v>
          </cell>
          <cell r="H294">
            <v>0.31000000000000005</v>
          </cell>
          <cell r="I294">
            <v>0.31</v>
          </cell>
          <cell r="J294">
            <v>0.31</v>
          </cell>
          <cell r="K294">
            <v>0.31</v>
          </cell>
          <cell r="L294">
            <v>0.31</v>
          </cell>
          <cell r="M294">
            <v>0.31</v>
          </cell>
          <cell r="N294">
            <v>0.31</v>
          </cell>
          <cell r="O294">
            <v>0.31</v>
          </cell>
          <cell r="Q294">
            <v>0.31</v>
          </cell>
          <cell r="S294">
            <v>0.31</v>
          </cell>
          <cell r="U294" t="str">
            <v>Tax rate %</v>
          </cell>
          <cell r="V294">
            <v>0.31</v>
          </cell>
          <cell r="W294">
            <v>0.31</v>
          </cell>
          <cell r="X294">
            <v>0.30999999999999994</v>
          </cell>
          <cell r="Y294">
            <v>0.30999999999999994</v>
          </cell>
          <cell r="Z294">
            <v>0.31</v>
          </cell>
          <cell r="AA294">
            <v>0.31</v>
          </cell>
          <cell r="AB294">
            <v>0.31</v>
          </cell>
          <cell r="AC294">
            <v>0.31</v>
          </cell>
          <cell r="AD294">
            <v>0.31</v>
          </cell>
          <cell r="AE294">
            <v>0.31000000000000005</v>
          </cell>
          <cell r="AF294">
            <v>0.31</v>
          </cell>
          <cell r="AI294" t="str">
            <v>Tax rate %</v>
          </cell>
          <cell r="AJ294">
            <v>0.30999999999999994</v>
          </cell>
          <cell r="AK294">
            <v>0.31000000000000005</v>
          </cell>
          <cell r="AL294">
            <v>0.31000000000000005</v>
          </cell>
          <cell r="AM294">
            <v>0.31000000000000005</v>
          </cell>
        </row>
        <row r="296">
          <cell r="A296" t="str">
            <v>Net Income</v>
          </cell>
          <cell r="C296">
            <v>-0.12992316369518397</v>
          </cell>
          <cell r="D296">
            <v>-0.16400530685124837</v>
          </cell>
          <cell r="E296">
            <v>-0.20504699090100786</v>
          </cell>
          <cell r="F296">
            <v>-0.19611724968265287</v>
          </cell>
          <cell r="G296">
            <v>-0.28651102378313981</v>
          </cell>
          <cell r="H296">
            <v>9.5365268532103009</v>
          </cell>
          <cell r="I296">
            <v>9.6012959474027788</v>
          </cell>
          <cell r="J296">
            <v>-0.1283620203126469</v>
          </cell>
          <cell r="K296">
            <v>-0.18925952353171319</v>
          </cell>
          <cell r="L296">
            <v>-0.1069402116178971</v>
          </cell>
          <cell r="M296">
            <v>-0.106983935288401</v>
          </cell>
          <cell r="N296">
            <v>-0.14646572210250841</v>
          </cell>
          <cell r="O296">
            <v>17.478207652846677</v>
          </cell>
          <cell r="Q296">
            <v>17.478207652846677</v>
          </cell>
          <cell r="S296">
            <v>17.478207652846677</v>
          </cell>
          <cell r="U296" t="str">
            <v>Net Income</v>
          </cell>
          <cell r="V296">
            <v>-0.12992316369518397</v>
          </cell>
          <cell r="W296">
            <v>-0.29392847054643234</v>
          </cell>
          <cell r="X296">
            <v>-0.49897546144744026</v>
          </cell>
          <cell r="Y296">
            <v>-0.69509271113009319</v>
          </cell>
          <cell r="Z296">
            <v>-0.98160373491323294</v>
          </cell>
          <cell r="AA296">
            <v>8.5549231182970669</v>
          </cell>
          <cell r="AB296">
            <v>18.156219065699844</v>
          </cell>
          <cell r="AC296">
            <v>18.027857045387201</v>
          </cell>
          <cell r="AD296">
            <v>17.838597521855483</v>
          </cell>
          <cell r="AE296">
            <v>17.731657310237587</v>
          </cell>
          <cell r="AF296">
            <v>17.624673374949186</v>
          </cell>
          <cell r="AI296" t="str">
            <v>Net Income</v>
          </cell>
          <cell r="AJ296">
            <v>-0.49897546144744026</v>
          </cell>
          <cell r="AK296">
            <v>9.0538985797445086</v>
          </cell>
          <cell r="AL296">
            <v>9.2836744035584182</v>
          </cell>
          <cell r="AM296">
            <v>-0.36038986900880643</v>
          </cell>
        </row>
        <row r="297">
          <cell r="A297" t="str">
            <v>% Sales</v>
          </cell>
          <cell r="C297">
            <v>0</v>
          </cell>
          <cell r="D297">
            <v>0</v>
          </cell>
          <cell r="E297">
            <v>0</v>
          </cell>
          <cell r="F297">
            <v>0</v>
          </cell>
          <cell r="G297">
            <v>0</v>
          </cell>
          <cell r="H297">
            <v>0.45750232772111527</v>
          </cell>
          <cell r="I297">
            <v>0.45732488591576398</v>
          </cell>
          <cell r="J297">
            <v>0</v>
          </cell>
          <cell r="K297">
            <v>0</v>
          </cell>
          <cell r="L297">
            <v>0</v>
          </cell>
          <cell r="M297">
            <v>0</v>
          </cell>
          <cell r="N297">
            <v>0</v>
          </cell>
          <cell r="O297">
            <v>0.4177468115198581</v>
          </cell>
          <cell r="Q297">
            <v>0.4177468115198581</v>
          </cell>
          <cell r="S297">
            <v>0.4177468115198581</v>
          </cell>
          <cell r="U297" t="str">
            <v>% Sales</v>
          </cell>
          <cell r="V297">
            <v>0</v>
          </cell>
          <cell r="W297">
            <v>0</v>
          </cell>
          <cell r="X297">
            <v>0</v>
          </cell>
          <cell r="Y297">
            <v>0</v>
          </cell>
          <cell r="Z297">
            <v>0</v>
          </cell>
          <cell r="AA297">
            <v>0.4104111801225146</v>
          </cell>
          <cell r="AB297">
            <v>0.43395196890894278</v>
          </cell>
          <cell r="AC297">
            <v>0.43088398700994518</v>
          </cell>
          <cell r="AD297">
            <v>0.42636049329276959</v>
          </cell>
          <cell r="AE297">
            <v>0.42380451425224375</v>
          </cell>
          <cell r="AF297">
            <v>0.42124749017184282</v>
          </cell>
          <cell r="AI297" t="str">
            <v>% Sales</v>
          </cell>
          <cell r="AJ297">
            <v>0</v>
          </cell>
          <cell r="AK297">
            <v>0.43434887133879579</v>
          </cell>
          <cell r="AL297">
            <v>0.44219607027475633</v>
          </cell>
          <cell r="AM297">
            <v>0</v>
          </cell>
        </row>
        <row r="299">
          <cell r="A299" t="str">
            <v>EBIT</v>
          </cell>
          <cell r="C299">
            <v>-0.18829444013794777</v>
          </cell>
          <cell r="D299">
            <v>-0.23768885050905558</v>
          </cell>
          <cell r="E299">
            <v>-0.2971695520304462</v>
          </cell>
          <cell r="F299">
            <v>-0.28422789809080123</v>
          </cell>
          <cell r="G299">
            <v>-0.41523336780165188</v>
          </cell>
          <cell r="H299">
            <v>13.821053410449711</v>
          </cell>
          <cell r="I299">
            <v>13.914921662902577</v>
          </cell>
          <cell r="J299">
            <v>-0.18603191349658971</v>
          </cell>
          <cell r="K299">
            <v>-0.27428916453871477</v>
          </cell>
          <cell r="L299">
            <v>-0.15498581393898131</v>
          </cell>
          <cell r="M299">
            <v>-0.15504918157739275</v>
          </cell>
          <cell r="N299">
            <v>-0.21226916246740352</v>
          </cell>
          <cell r="O299">
            <v>25.330735728763301</v>
          </cell>
          <cell r="Q299">
            <v>25.330735728763301</v>
          </cell>
          <cell r="S299">
            <v>25.330735728763301</v>
          </cell>
          <cell r="U299" t="str">
            <v>EBIT</v>
          </cell>
          <cell r="V299">
            <v>-0.18829444013794777</v>
          </cell>
          <cell r="W299">
            <v>-0.42598329064700335</v>
          </cell>
          <cell r="X299">
            <v>-0.72315284267744961</v>
          </cell>
          <cell r="Y299">
            <v>-1.0073807407682509</v>
          </cell>
          <cell r="Z299">
            <v>-1.4226141085699027</v>
          </cell>
          <cell r="AA299">
            <v>12.398439301879808</v>
          </cell>
          <cell r="AB299">
            <v>26.313360964782383</v>
          </cell>
          <cell r="AC299">
            <v>26.127329051285795</v>
          </cell>
          <cell r="AD299">
            <v>25.85303988674708</v>
          </cell>
          <cell r="AE299">
            <v>25.698054072808098</v>
          </cell>
          <cell r="AF299">
            <v>25.543004891230705</v>
          </cell>
          <cell r="AI299" t="str">
            <v>EBIT</v>
          </cell>
          <cell r="AJ299">
            <v>-0.72315284267744961</v>
          </cell>
          <cell r="AK299">
            <v>13.121592144557258</v>
          </cell>
          <cell r="AL299">
            <v>13.454600584867272</v>
          </cell>
          <cell r="AM299">
            <v>-0.5223041579837775</v>
          </cell>
        </row>
        <row r="300">
          <cell r="A300" t="str">
            <v>EBITDA</v>
          </cell>
          <cell r="C300">
            <v>-0.18829444013794777</v>
          </cell>
          <cell r="D300">
            <v>-0.23768885050905558</v>
          </cell>
          <cell r="E300">
            <v>-0.2971695520304462</v>
          </cell>
          <cell r="F300">
            <v>-0.28422789809080123</v>
          </cell>
          <cell r="G300">
            <v>-0.41523336780165188</v>
          </cell>
          <cell r="H300">
            <v>13.821053410449711</v>
          </cell>
          <cell r="I300">
            <v>13.914921662902577</v>
          </cell>
          <cell r="J300">
            <v>-0.18603191349658971</v>
          </cell>
          <cell r="K300">
            <v>-0.27428916453871477</v>
          </cell>
          <cell r="L300">
            <v>-0.15498581393898131</v>
          </cell>
          <cell r="M300">
            <v>-0.15504918157739275</v>
          </cell>
          <cell r="N300">
            <v>-0.21226916246740352</v>
          </cell>
          <cell r="O300">
            <v>25.330735728763301</v>
          </cell>
          <cell r="Q300">
            <v>25.330735728763301</v>
          </cell>
          <cell r="S300">
            <v>25.330735728763301</v>
          </cell>
          <cell r="U300" t="str">
            <v>EBITDA</v>
          </cell>
          <cell r="V300">
            <v>-0.18829444013794777</v>
          </cell>
          <cell r="W300">
            <v>-0.42598329064700335</v>
          </cell>
          <cell r="X300">
            <v>-0.72315284267744961</v>
          </cell>
          <cell r="Y300">
            <v>-1.0073807407682509</v>
          </cell>
          <cell r="Z300">
            <v>-1.4226141085699027</v>
          </cell>
          <cell r="AA300">
            <v>12.398439301879808</v>
          </cell>
          <cell r="AB300">
            <v>26.313360964782383</v>
          </cell>
          <cell r="AC300">
            <v>26.127329051285795</v>
          </cell>
          <cell r="AD300">
            <v>25.85303988674708</v>
          </cell>
          <cell r="AE300">
            <v>25.698054072808098</v>
          </cell>
          <cell r="AF300">
            <v>25.543004891230705</v>
          </cell>
          <cell r="AI300" t="str">
            <v>EBITDA</v>
          </cell>
          <cell r="AJ300">
            <v>-0.72315284267744961</v>
          </cell>
          <cell r="AK300">
            <v>13.121592144557258</v>
          </cell>
          <cell r="AL300">
            <v>13.454600584867272</v>
          </cell>
          <cell r="AM300">
            <v>-0.5223041579837775</v>
          </cell>
        </row>
        <row r="303">
          <cell r="A303" t="str">
            <v>MEX Forecast '01</v>
          </cell>
          <cell r="U303" t="str">
            <v>MEX Forecast YTD '00</v>
          </cell>
          <cell r="AI303" t="str">
            <v>MEX Forecast Qtr.'00</v>
          </cell>
        </row>
        <row r="304">
          <cell r="A304" t="str">
            <v>Butachlor</v>
          </cell>
          <cell r="C304" t="str">
            <v>Jan</v>
          </cell>
          <cell r="D304" t="str">
            <v>Feb</v>
          </cell>
          <cell r="E304" t="str">
            <v>Mar</v>
          </cell>
          <cell r="F304" t="str">
            <v>Apr</v>
          </cell>
          <cell r="G304" t="str">
            <v>May</v>
          </cell>
          <cell r="H304" t="str">
            <v>Jun</v>
          </cell>
          <cell r="I304" t="str">
            <v>Jul</v>
          </cell>
          <cell r="J304" t="str">
            <v>Aug</v>
          </cell>
          <cell r="K304" t="str">
            <v>Sep</v>
          </cell>
          <cell r="L304" t="str">
            <v>Oct</v>
          </cell>
          <cell r="M304" t="str">
            <v>Nov</v>
          </cell>
          <cell r="N304" t="str">
            <v>Dec</v>
          </cell>
          <cell r="O304" t="str">
            <v>Total</v>
          </cell>
          <cell r="Q304" t="str">
            <v>Changes</v>
          </cell>
          <cell r="S304" t="str">
            <v>Changes</v>
          </cell>
          <cell r="U304" t="str">
            <v>Butachlor</v>
          </cell>
          <cell r="V304" t="str">
            <v>Jan</v>
          </cell>
          <cell r="W304" t="str">
            <v>Feb</v>
          </cell>
          <cell r="X304" t="str">
            <v>Mar</v>
          </cell>
          <cell r="Y304" t="str">
            <v>Apr</v>
          </cell>
          <cell r="Z304" t="str">
            <v>May</v>
          </cell>
          <cell r="AA304" t="str">
            <v>Jun</v>
          </cell>
          <cell r="AB304" t="str">
            <v>Jul</v>
          </cell>
          <cell r="AC304" t="str">
            <v>Aug</v>
          </cell>
          <cell r="AD304" t="str">
            <v>Sep</v>
          </cell>
          <cell r="AE304" t="str">
            <v>Oct</v>
          </cell>
          <cell r="AF304" t="str">
            <v>Nov</v>
          </cell>
          <cell r="AI304" t="str">
            <v>Butachlor</v>
          </cell>
          <cell r="AJ304" t="str">
            <v>1st Qtr.</v>
          </cell>
          <cell r="AK304" t="str">
            <v>2nd Qtr.</v>
          </cell>
          <cell r="AL304" t="str">
            <v>3er Qtr.</v>
          </cell>
          <cell r="AM304" t="str">
            <v>4 Qtr.</v>
          </cell>
        </row>
        <row r="306">
          <cell r="A306" t="str">
            <v>Butachlor Volume (K Galls)</v>
          </cell>
          <cell r="B306">
            <v>1</v>
          </cell>
          <cell r="C306">
            <v>0</v>
          </cell>
          <cell r="D306">
            <v>0</v>
          </cell>
          <cell r="E306">
            <v>0</v>
          </cell>
          <cell r="F306">
            <v>0</v>
          </cell>
          <cell r="G306">
            <v>0</v>
          </cell>
          <cell r="H306">
            <v>0</v>
          </cell>
          <cell r="I306">
            <v>0</v>
          </cell>
          <cell r="J306">
            <v>0</v>
          </cell>
          <cell r="K306">
            <v>0</v>
          </cell>
          <cell r="L306">
            <v>0</v>
          </cell>
          <cell r="M306">
            <v>0</v>
          </cell>
          <cell r="N306">
            <v>0</v>
          </cell>
          <cell r="O306">
            <v>0</v>
          </cell>
          <cell r="Q306">
            <v>0</v>
          </cell>
          <cell r="S306">
            <v>0</v>
          </cell>
          <cell r="U306" t="str">
            <v>Butachlor Volume (K Galls)</v>
          </cell>
          <cell r="V306">
            <v>0</v>
          </cell>
          <cell r="W306">
            <v>0</v>
          </cell>
          <cell r="X306">
            <v>0</v>
          </cell>
          <cell r="Y306">
            <v>0</v>
          </cell>
          <cell r="Z306">
            <v>0</v>
          </cell>
          <cell r="AA306">
            <v>0</v>
          </cell>
          <cell r="AB306">
            <v>0</v>
          </cell>
          <cell r="AC306">
            <v>0</v>
          </cell>
          <cell r="AD306">
            <v>0</v>
          </cell>
          <cell r="AE306">
            <v>0</v>
          </cell>
          <cell r="AF306">
            <v>0</v>
          </cell>
          <cell r="AI306" t="str">
            <v>Butachlor Volume (K Galls)</v>
          </cell>
          <cell r="AJ306">
            <v>0</v>
          </cell>
          <cell r="AK306">
            <v>0</v>
          </cell>
          <cell r="AL306">
            <v>0</v>
          </cell>
          <cell r="AM306">
            <v>0</v>
          </cell>
        </row>
        <row r="307">
          <cell r="A307" t="str">
            <v>Butachlor Netback (K Galls)</v>
          </cell>
          <cell r="C307">
            <v>0</v>
          </cell>
          <cell r="D307">
            <v>0</v>
          </cell>
          <cell r="E307">
            <v>0</v>
          </cell>
          <cell r="F307">
            <v>0</v>
          </cell>
          <cell r="G307">
            <v>0</v>
          </cell>
          <cell r="H307">
            <v>0</v>
          </cell>
          <cell r="I307">
            <v>0</v>
          </cell>
          <cell r="J307">
            <v>0</v>
          </cell>
          <cell r="K307">
            <v>0</v>
          </cell>
          <cell r="L307">
            <v>0</v>
          </cell>
          <cell r="M307">
            <v>0</v>
          </cell>
          <cell r="N307">
            <v>0</v>
          </cell>
          <cell r="O307">
            <v>0</v>
          </cell>
          <cell r="Q307">
            <v>0</v>
          </cell>
          <cell r="S307">
            <v>0</v>
          </cell>
          <cell r="U307" t="str">
            <v>Butachlor Netback (K Galls)</v>
          </cell>
          <cell r="V307">
            <v>0</v>
          </cell>
          <cell r="W307">
            <v>0</v>
          </cell>
          <cell r="X307">
            <v>0</v>
          </cell>
          <cell r="Y307">
            <v>0</v>
          </cell>
          <cell r="Z307">
            <v>0</v>
          </cell>
          <cell r="AA307">
            <v>0</v>
          </cell>
          <cell r="AB307">
            <v>0</v>
          </cell>
          <cell r="AC307">
            <v>0</v>
          </cell>
          <cell r="AD307">
            <v>0</v>
          </cell>
          <cell r="AE307">
            <v>0</v>
          </cell>
          <cell r="AF307">
            <v>0</v>
          </cell>
          <cell r="AI307" t="str">
            <v>Butachlor Netback (K Galls)</v>
          </cell>
          <cell r="AJ307">
            <v>0</v>
          </cell>
          <cell r="AK307">
            <v>0</v>
          </cell>
          <cell r="AL307">
            <v>0</v>
          </cell>
          <cell r="AM307">
            <v>0</v>
          </cell>
        </row>
        <row r="308">
          <cell r="A308" t="str">
            <v>Butachlor Unit COGS (K Galls)</v>
          </cell>
          <cell r="C308">
            <v>0</v>
          </cell>
          <cell r="D308">
            <v>0</v>
          </cell>
          <cell r="E308">
            <v>0</v>
          </cell>
          <cell r="F308">
            <v>0</v>
          </cell>
          <cell r="G308">
            <v>0</v>
          </cell>
          <cell r="H308">
            <v>0</v>
          </cell>
          <cell r="I308">
            <v>0</v>
          </cell>
          <cell r="J308">
            <v>0</v>
          </cell>
          <cell r="K308">
            <v>0</v>
          </cell>
          <cell r="L308">
            <v>0</v>
          </cell>
          <cell r="M308">
            <v>0</v>
          </cell>
          <cell r="N308">
            <v>0</v>
          </cell>
          <cell r="O308">
            <v>0</v>
          </cell>
          <cell r="Q308">
            <v>0</v>
          </cell>
          <cell r="S308">
            <v>0</v>
          </cell>
          <cell r="U308" t="str">
            <v>Butachlor Unit COGS (K Galls)</v>
          </cell>
          <cell r="V308">
            <v>0</v>
          </cell>
          <cell r="W308">
            <v>0</v>
          </cell>
          <cell r="X308">
            <v>0</v>
          </cell>
          <cell r="Y308">
            <v>0</v>
          </cell>
          <cell r="Z308">
            <v>0</v>
          </cell>
          <cell r="AA308">
            <v>0</v>
          </cell>
          <cell r="AB308">
            <v>0</v>
          </cell>
          <cell r="AC308">
            <v>0</v>
          </cell>
          <cell r="AD308">
            <v>0</v>
          </cell>
          <cell r="AE308">
            <v>0</v>
          </cell>
          <cell r="AF308">
            <v>0</v>
          </cell>
          <cell r="AI308" t="str">
            <v>Butachlor Unit COGS (K Galls)</v>
          </cell>
          <cell r="AJ308">
            <v>0</v>
          </cell>
          <cell r="AK308">
            <v>0</v>
          </cell>
          <cell r="AL308">
            <v>0</v>
          </cell>
          <cell r="AM308">
            <v>0</v>
          </cell>
        </row>
        <row r="309">
          <cell r="A309" t="str">
            <v>Factor de conversión</v>
          </cell>
          <cell r="B309">
            <v>5.0066979742185698</v>
          </cell>
        </row>
        <row r="310">
          <cell r="A310" t="str">
            <v>Butachlor Volume (K TE Lbs)</v>
          </cell>
          <cell r="C310">
            <v>0</v>
          </cell>
          <cell r="D310">
            <v>0</v>
          </cell>
          <cell r="E310">
            <v>0</v>
          </cell>
          <cell r="F310">
            <v>0</v>
          </cell>
          <cell r="G310">
            <v>0</v>
          </cell>
          <cell r="H310">
            <v>0</v>
          </cell>
          <cell r="I310">
            <v>0</v>
          </cell>
          <cell r="J310">
            <v>0</v>
          </cell>
          <cell r="K310">
            <v>0</v>
          </cell>
          <cell r="L310">
            <v>0</v>
          </cell>
          <cell r="M310">
            <v>0</v>
          </cell>
          <cell r="N310">
            <v>0</v>
          </cell>
          <cell r="O310">
            <v>0</v>
          </cell>
          <cell r="Q310">
            <v>0</v>
          </cell>
          <cell r="S310">
            <v>0</v>
          </cell>
          <cell r="U310" t="str">
            <v>Butachlor Volume (K TE Lbs)</v>
          </cell>
          <cell r="V310">
            <v>0</v>
          </cell>
          <cell r="W310">
            <v>0</v>
          </cell>
          <cell r="X310">
            <v>0</v>
          </cell>
          <cell r="Y310">
            <v>0</v>
          </cell>
          <cell r="Z310">
            <v>0</v>
          </cell>
          <cell r="AA310">
            <v>0</v>
          </cell>
          <cell r="AB310">
            <v>0</v>
          </cell>
          <cell r="AC310">
            <v>0</v>
          </cell>
          <cell r="AD310">
            <v>0</v>
          </cell>
          <cell r="AE310">
            <v>0</v>
          </cell>
          <cell r="AF310">
            <v>0</v>
          </cell>
          <cell r="AI310" t="str">
            <v>Butachlor Volume (K TE Lbs)</v>
          </cell>
          <cell r="AJ310">
            <v>0</v>
          </cell>
          <cell r="AK310">
            <v>0</v>
          </cell>
          <cell r="AL310">
            <v>0</v>
          </cell>
          <cell r="AM310">
            <v>0</v>
          </cell>
        </row>
        <row r="311">
          <cell r="A311" t="str">
            <v>Butachlor Netback (K TE Lbs)</v>
          </cell>
          <cell r="C311">
            <v>0</v>
          </cell>
          <cell r="D311">
            <v>0</v>
          </cell>
          <cell r="E311">
            <v>0</v>
          </cell>
          <cell r="F311">
            <v>0</v>
          </cell>
          <cell r="G311">
            <v>0</v>
          </cell>
          <cell r="H311">
            <v>0</v>
          </cell>
          <cell r="I311">
            <v>0</v>
          </cell>
          <cell r="J311">
            <v>0</v>
          </cell>
          <cell r="K311">
            <v>0</v>
          </cell>
          <cell r="L311">
            <v>0</v>
          </cell>
          <cell r="M311">
            <v>0</v>
          </cell>
          <cell r="N311">
            <v>0</v>
          </cell>
          <cell r="O311">
            <v>0</v>
          </cell>
          <cell r="Q311">
            <v>0</v>
          </cell>
          <cell r="S311">
            <v>0</v>
          </cell>
          <cell r="U311" t="str">
            <v>Butachlor Netback (K TE Lbs)</v>
          </cell>
          <cell r="V311">
            <v>0</v>
          </cell>
          <cell r="W311">
            <v>0</v>
          </cell>
          <cell r="X311">
            <v>0</v>
          </cell>
          <cell r="Y311">
            <v>0</v>
          </cell>
          <cell r="Z311">
            <v>0</v>
          </cell>
          <cell r="AA311">
            <v>0</v>
          </cell>
          <cell r="AB311">
            <v>0</v>
          </cell>
          <cell r="AC311">
            <v>0</v>
          </cell>
          <cell r="AD311">
            <v>0</v>
          </cell>
          <cell r="AE311">
            <v>0</v>
          </cell>
          <cell r="AF311">
            <v>0</v>
          </cell>
          <cell r="AI311" t="str">
            <v>Butachlor Netback (K TE Lbs)</v>
          </cell>
          <cell r="AJ311">
            <v>0</v>
          </cell>
          <cell r="AK311">
            <v>0</v>
          </cell>
          <cell r="AL311">
            <v>0</v>
          </cell>
          <cell r="AM311">
            <v>0</v>
          </cell>
        </row>
        <row r="312">
          <cell r="A312" t="str">
            <v>Butachlor Unit COGS (K TE Lbs)</v>
          </cell>
          <cell r="C312">
            <v>0</v>
          </cell>
          <cell r="D312">
            <v>0</v>
          </cell>
          <cell r="E312">
            <v>0</v>
          </cell>
          <cell r="F312">
            <v>0</v>
          </cell>
          <cell r="G312">
            <v>0</v>
          </cell>
          <cell r="H312">
            <v>0</v>
          </cell>
          <cell r="I312">
            <v>0</v>
          </cell>
          <cell r="J312">
            <v>0</v>
          </cell>
          <cell r="K312">
            <v>0</v>
          </cell>
          <cell r="L312">
            <v>0</v>
          </cell>
          <cell r="M312">
            <v>0</v>
          </cell>
          <cell r="N312">
            <v>0</v>
          </cell>
          <cell r="O312">
            <v>0</v>
          </cell>
          <cell r="Q312">
            <v>0</v>
          </cell>
          <cell r="S312">
            <v>0</v>
          </cell>
          <cell r="U312" t="str">
            <v>Butachlor Unit COGS (K TE Lbs)</v>
          </cell>
          <cell r="V312">
            <v>0</v>
          </cell>
          <cell r="W312">
            <v>0</v>
          </cell>
          <cell r="X312">
            <v>0</v>
          </cell>
          <cell r="Y312">
            <v>0</v>
          </cell>
          <cell r="Z312">
            <v>0</v>
          </cell>
          <cell r="AA312">
            <v>0</v>
          </cell>
          <cell r="AB312">
            <v>0</v>
          </cell>
          <cell r="AC312">
            <v>0</v>
          </cell>
          <cell r="AD312">
            <v>0</v>
          </cell>
          <cell r="AE312">
            <v>0</v>
          </cell>
          <cell r="AF312">
            <v>0</v>
          </cell>
          <cell r="AI312" t="str">
            <v>Butachlor Unit COGS (K TE Lbs)</v>
          </cell>
          <cell r="AJ312">
            <v>0</v>
          </cell>
          <cell r="AK312">
            <v>0</v>
          </cell>
          <cell r="AL312">
            <v>0</v>
          </cell>
          <cell r="AM312">
            <v>0</v>
          </cell>
        </row>
        <row r="314">
          <cell r="A314" t="str">
            <v>Net Sales</v>
          </cell>
          <cell r="C314">
            <v>0</v>
          </cell>
          <cell r="D314">
            <v>0</v>
          </cell>
          <cell r="E314">
            <v>0</v>
          </cell>
          <cell r="F314">
            <v>0</v>
          </cell>
          <cell r="G314">
            <v>0</v>
          </cell>
          <cell r="H314">
            <v>0</v>
          </cell>
          <cell r="I314">
            <v>0</v>
          </cell>
          <cell r="J314">
            <v>0</v>
          </cell>
          <cell r="K314">
            <v>0</v>
          </cell>
          <cell r="L314">
            <v>0</v>
          </cell>
          <cell r="M314">
            <v>0</v>
          </cell>
          <cell r="N314">
            <v>0</v>
          </cell>
          <cell r="O314">
            <v>0</v>
          </cell>
          <cell r="Q314">
            <v>0</v>
          </cell>
          <cell r="S314">
            <v>0</v>
          </cell>
          <cell r="U314" t="str">
            <v>Net Sales</v>
          </cell>
          <cell r="V314">
            <v>0</v>
          </cell>
          <cell r="W314">
            <v>0</v>
          </cell>
          <cell r="X314">
            <v>0</v>
          </cell>
          <cell r="Y314">
            <v>0</v>
          </cell>
          <cell r="Z314">
            <v>0</v>
          </cell>
          <cell r="AA314">
            <v>0</v>
          </cell>
          <cell r="AB314">
            <v>0</v>
          </cell>
          <cell r="AC314">
            <v>0</v>
          </cell>
          <cell r="AD314">
            <v>0</v>
          </cell>
          <cell r="AE314">
            <v>0</v>
          </cell>
          <cell r="AF314">
            <v>0</v>
          </cell>
          <cell r="AI314" t="str">
            <v>Net Sales</v>
          </cell>
          <cell r="AJ314">
            <v>0</v>
          </cell>
          <cell r="AK314">
            <v>0</v>
          </cell>
          <cell r="AL314">
            <v>0</v>
          </cell>
          <cell r="AM314">
            <v>0</v>
          </cell>
        </row>
        <row r="316">
          <cell r="A316" t="str">
            <v>Inventory Cost</v>
          </cell>
          <cell r="C316">
            <v>0</v>
          </cell>
          <cell r="D316">
            <v>0</v>
          </cell>
          <cell r="E316">
            <v>0</v>
          </cell>
          <cell r="F316">
            <v>0</v>
          </cell>
          <cell r="G316">
            <v>0</v>
          </cell>
          <cell r="H316">
            <v>0</v>
          </cell>
          <cell r="I316">
            <v>0</v>
          </cell>
          <cell r="J316">
            <v>0</v>
          </cell>
          <cell r="K316">
            <v>0</v>
          </cell>
          <cell r="L316">
            <v>0</v>
          </cell>
          <cell r="M316">
            <v>0</v>
          </cell>
          <cell r="N316">
            <v>0</v>
          </cell>
          <cell r="O316">
            <v>0</v>
          </cell>
          <cell r="Q316">
            <v>0</v>
          </cell>
          <cell r="S316">
            <v>0</v>
          </cell>
          <cell r="U316" t="str">
            <v>Inventory Cost</v>
          </cell>
          <cell r="V316">
            <v>0</v>
          </cell>
          <cell r="W316">
            <v>0</v>
          </cell>
          <cell r="X316">
            <v>0</v>
          </cell>
          <cell r="Y316">
            <v>0</v>
          </cell>
          <cell r="Z316">
            <v>0</v>
          </cell>
          <cell r="AA316">
            <v>0</v>
          </cell>
          <cell r="AB316">
            <v>0</v>
          </cell>
          <cell r="AC316">
            <v>0</v>
          </cell>
          <cell r="AD316">
            <v>0</v>
          </cell>
          <cell r="AE316">
            <v>0</v>
          </cell>
          <cell r="AF316">
            <v>0</v>
          </cell>
          <cell r="AI316" t="str">
            <v>Inventory Cost</v>
          </cell>
          <cell r="AJ316">
            <v>0</v>
          </cell>
          <cell r="AK316">
            <v>0</v>
          </cell>
          <cell r="AL316">
            <v>0</v>
          </cell>
          <cell r="AM316">
            <v>0</v>
          </cell>
        </row>
        <row r="317">
          <cell r="A317" t="str">
            <v>Non Std. Cost</v>
          </cell>
          <cell r="C317">
            <v>0</v>
          </cell>
          <cell r="D317">
            <v>0</v>
          </cell>
          <cell r="E317">
            <v>0</v>
          </cell>
          <cell r="F317">
            <v>0</v>
          </cell>
          <cell r="G317">
            <v>0</v>
          </cell>
          <cell r="H317">
            <v>0</v>
          </cell>
          <cell r="I317">
            <v>0</v>
          </cell>
          <cell r="J317">
            <v>0</v>
          </cell>
          <cell r="K317">
            <v>0</v>
          </cell>
          <cell r="L317">
            <v>0</v>
          </cell>
          <cell r="M317">
            <v>0</v>
          </cell>
          <cell r="N317">
            <v>0</v>
          </cell>
          <cell r="O317">
            <v>0</v>
          </cell>
          <cell r="Q317">
            <v>0</v>
          </cell>
          <cell r="S317">
            <v>0</v>
          </cell>
          <cell r="U317" t="str">
            <v>Non Std. Cost</v>
          </cell>
          <cell r="V317">
            <v>0</v>
          </cell>
          <cell r="W317">
            <v>0</v>
          </cell>
          <cell r="X317">
            <v>0</v>
          </cell>
          <cell r="Y317">
            <v>0</v>
          </cell>
          <cell r="Z317">
            <v>0</v>
          </cell>
          <cell r="AA317">
            <v>0</v>
          </cell>
          <cell r="AB317">
            <v>0</v>
          </cell>
          <cell r="AC317">
            <v>0</v>
          </cell>
          <cell r="AD317">
            <v>0</v>
          </cell>
          <cell r="AE317">
            <v>0</v>
          </cell>
          <cell r="AF317">
            <v>0</v>
          </cell>
          <cell r="AI317" t="str">
            <v>Non Std. Cost</v>
          </cell>
          <cell r="AJ317">
            <v>0</v>
          </cell>
          <cell r="AK317">
            <v>0</v>
          </cell>
          <cell r="AL317">
            <v>0</v>
          </cell>
          <cell r="AM317">
            <v>0</v>
          </cell>
        </row>
        <row r="318">
          <cell r="A318" t="str">
            <v>Alloc. NSC (STL)</v>
          </cell>
          <cell r="C318">
            <v>0</v>
          </cell>
          <cell r="D318">
            <v>0</v>
          </cell>
          <cell r="E318">
            <v>0</v>
          </cell>
          <cell r="F318">
            <v>0</v>
          </cell>
          <cell r="G318">
            <v>0</v>
          </cell>
          <cell r="H318">
            <v>0</v>
          </cell>
          <cell r="I318">
            <v>0</v>
          </cell>
          <cell r="J318">
            <v>0</v>
          </cell>
          <cell r="K318">
            <v>0</v>
          </cell>
          <cell r="L318">
            <v>0</v>
          </cell>
          <cell r="M318">
            <v>0</v>
          </cell>
          <cell r="N318">
            <v>0</v>
          </cell>
          <cell r="O318">
            <v>0</v>
          </cell>
          <cell r="Q318">
            <v>0</v>
          </cell>
          <cell r="S318">
            <v>0</v>
          </cell>
          <cell r="U318" t="str">
            <v>Alloc. NSC (STL)</v>
          </cell>
          <cell r="V318">
            <v>0</v>
          </cell>
          <cell r="W318">
            <v>0</v>
          </cell>
          <cell r="X318">
            <v>0</v>
          </cell>
          <cell r="Y318">
            <v>0</v>
          </cell>
          <cell r="Z318">
            <v>0</v>
          </cell>
          <cell r="AA318">
            <v>0</v>
          </cell>
          <cell r="AB318">
            <v>0</v>
          </cell>
          <cell r="AC318">
            <v>0</v>
          </cell>
          <cell r="AD318">
            <v>0</v>
          </cell>
          <cell r="AE318">
            <v>0</v>
          </cell>
          <cell r="AF318">
            <v>0</v>
          </cell>
          <cell r="AI318" t="str">
            <v>Alloc. NSC (STL)</v>
          </cell>
          <cell r="AJ318">
            <v>0</v>
          </cell>
          <cell r="AK318">
            <v>0</v>
          </cell>
          <cell r="AL318">
            <v>0</v>
          </cell>
          <cell r="AM318">
            <v>0</v>
          </cell>
        </row>
        <row r="319">
          <cell r="A319" t="str">
            <v>COGS</v>
          </cell>
          <cell r="C319">
            <v>0</v>
          </cell>
          <cell r="D319">
            <v>0</v>
          </cell>
          <cell r="E319">
            <v>0</v>
          </cell>
          <cell r="F319">
            <v>0</v>
          </cell>
          <cell r="G319">
            <v>0</v>
          </cell>
          <cell r="H319">
            <v>0</v>
          </cell>
          <cell r="I319">
            <v>0</v>
          </cell>
          <cell r="J319">
            <v>0</v>
          </cell>
          <cell r="K319">
            <v>0</v>
          </cell>
          <cell r="L319">
            <v>0</v>
          </cell>
          <cell r="M319">
            <v>0</v>
          </cell>
          <cell r="N319">
            <v>0</v>
          </cell>
          <cell r="O319">
            <v>0</v>
          </cell>
          <cell r="Q319">
            <v>0</v>
          </cell>
          <cell r="S319">
            <v>0</v>
          </cell>
          <cell r="U319" t="str">
            <v>COGS</v>
          </cell>
          <cell r="V319">
            <v>0</v>
          </cell>
          <cell r="W319">
            <v>0</v>
          </cell>
          <cell r="X319">
            <v>0</v>
          </cell>
          <cell r="Y319">
            <v>0</v>
          </cell>
          <cell r="Z319">
            <v>0</v>
          </cell>
          <cell r="AA319">
            <v>0</v>
          </cell>
          <cell r="AB319">
            <v>0</v>
          </cell>
          <cell r="AC319">
            <v>0</v>
          </cell>
          <cell r="AD319">
            <v>0</v>
          </cell>
          <cell r="AE319">
            <v>0</v>
          </cell>
          <cell r="AF319">
            <v>0</v>
          </cell>
          <cell r="AI319" t="str">
            <v>COGS</v>
          </cell>
          <cell r="AJ319">
            <v>0</v>
          </cell>
          <cell r="AK319">
            <v>0</v>
          </cell>
          <cell r="AL319">
            <v>0</v>
          </cell>
          <cell r="AM319">
            <v>0</v>
          </cell>
        </row>
        <row r="321">
          <cell r="A321" t="str">
            <v>Gross Profit</v>
          </cell>
          <cell r="C321">
            <v>0</v>
          </cell>
          <cell r="D321">
            <v>0</v>
          </cell>
          <cell r="E321">
            <v>0</v>
          </cell>
          <cell r="F321">
            <v>0</v>
          </cell>
          <cell r="G321">
            <v>0</v>
          </cell>
          <cell r="H321">
            <v>0</v>
          </cell>
          <cell r="I321">
            <v>0</v>
          </cell>
          <cell r="J321">
            <v>0</v>
          </cell>
          <cell r="K321">
            <v>0</v>
          </cell>
          <cell r="L321">
            <v>0</v>
          </cell>
          <cell r="M321">
            <v>0</v>
          </cell>
          <cell r="N321">
            <v>0</v>
          </cell>
          <cell r="O321">
            <v>0</v>
          </cell>
          <cell r="Q321">
            <v>0</v>
          </cell>
          <cell r="S321">
            <v>0</v>
          </cell>
          <cell r="U321" t="str">
            <v>Gross Profit</v>
          </cell>
          <cell r="V321">
            <v>0</v>
          </cell>
          <cell r="W321">
            <v>0</v>
          </cell>
          <cell r="X321">
            <v>0</v>
          </cell>
          <cell r="Y321">
            <v>0</v>
          </cell>
          <cell r="Z321">
            <v>0</v>
          </cell>
          <cell r="AA321">
            <v>0</v>
          </cell>
          <cell r="AB321">
            <v>0</v>
          </cell>
          <cell r="AC321">
            <v>0</v>
          </cell>
          <cell r="AD321">
            <v>0</v>
          </cell>
          <cell r="AE321">
            <v>0</v>
          </cell>
          <cell r="AF321">
            <v>0</v>
          </cell>
          <cell r="AI321" t="str">
            <v>Gross Profit</v>
          </cell>
          <cell r="AJ321">
            <v>0</v>
          </cell>
          <cell r="AK321">
            <v>0</v>
          </cell>
          <cell r="AL321">
            <v>0</v>
          </cell>
          <cell r="AM321">
            <v>0</v>
          </cell>
        </row>
        <row r="322">
          <cell r="A322" t="str">
            <v>% of Sales</v>
          </cell>
          <cell r="C322">
            <v>0</v>
          </cell>
          <cell r="D322">
            <v>0</v>
          </cell>
          <cell r="E322">
            <v>0</v>
          </cell>
          <cell r="F322">
            <v>0</v>
          </cell>
          <cell r="G322">
            <v>0</v>
          </cell>
          <cell r="H322">
            <v>0</v>
          </cell>
          <cell r="I322">
            <v>0</v>
          </cell>
          <cell r="J322">
            <v>0</v>
          </cell>
          <cell r="K322">
            <v>0</v>
          </cell>
          <cell r="L322">
            <v>0</v>
          </cell>
          <cell r="M322">
            <v>0</v>
          </cell>
          <cell r="N322">
            <v>0</v>
          </cell>
          <cell r="O322">
            <v>0</v>
          </cell>
          <cell r="Q322">
            <v>0</v>
          </cell>
          <cell r="S322">
            <v>0</v>
          </cell>
          <cell r="U322" t="str">
            <v>% of Sales</v>
          </cell>
          <cell r="V322">
            <v>0</v>
          </cell>
          <cell r="W322">
            <v>0</v>
          </cell>
          <cell r="X322">
            <v>0</v>
          </cell>
          <cell r="Y322">
            <v>0</v>
          </cell>
          <cell r="Z322">
            <v>0</v>
          </cell>
          <cell r="AA322">
            <v>0</v>
          </cell>
          <cell r="AB322">
            <v>0</v>
          </cell>
          <cell r="AC322">
            <v>0</v>
          </cell>
          <cell r="AD322">
            <v>0</v>
          </cell>
          <cell r="AE322">
            <v>0</v>
          </cell>
          <cell r="AF322">
            <v>0</v>
          </cell>
          <cell r="AI322" t="str">
            <v>% of Sales</v>
          </cell>
          <cell r="AJ322">
            <v>0</v>
          </cell>
          <cell r="AK322">
            <v>0</v>
          </cell>
          <cell r="AL322">
            <v>0</v>
          </cell>
          <cell r="AM322">
            <v>0</v>
          </cell>
        </row>
        <row r="324">
          <cell r="A324" t="str">
            <v>Marketing</v>
          </cell>
          <cell r="C324">
            <v>0</v>
          </cell>
          <cell r="D324">
            <v>0</v>
          </cell>
          <cell r="E324">
            <v>0</v>
          </cell>
          <cell r="F324">
            <v>0</v>
          </cell>
          <cell r="G324">
            <v>0</v>
          </cell>
          <cell r="H324">
            <v>0</v>
          </cell>
          <cell r="I324">
            <v>0</v>
          </cell>
          <cell r="J324">
            <v>0</v>
          </cell>
          <cell r="K324">
            <v>0</v>
          </cell>
          <cell r="L324">
            <v>0</v>
          </cell>
          <cell r="M324">
            <v>0</v>
          </cell>
          <cell r="N324">
            <v>0</v>
          </cell>
          <cell r="O324">
            <v>0</v>
          </cell>
          <cell r="Q324">
            <v>0</v>
          </cell>
          <cell r="S324">
            <v>0</v>
          </cell>
          <cell r="U324" t="str">
            <v>Marketing</v>
          </cell>
          <cell r="V324">
            <v>0</v>
          </cell>
          <cell r="W324">
            <v>0</v>
          </cell>
          <cell r="X324">
            <v>0</v>
          </cell>
          <cell r="Y324">
            <v>0</v>
          </cell>
          <cell r="Z324">
            <v>0</v>
          </cell>
          <cell r="AA324">
            <v>0</v>
          </cell>
          <cell r="AB324">
            <v>0</v>
          </cell>
          <cell r="AC324">
            <v>0</v>
          </cell>
          <cell r="AD324">
            <v>0</v>
          </cell>
          <cell r="AE324">
            <v>0</v>
          </cell>
          <cell r="AF324">
            <v>0</v>
          </cell>
          <cell r="AI324" t="str">
            <v>Marketing</v>
          </cell>
          <cell r="AJ324">
            <v>0</v>
          </cell>
          <cell r="AK324">
            <v>0</v>
          </cell>
          <cell r="AL324">
            <v>0</v>
          </cell>
          <cell r="AM324">
            <v>0</v>
          </cell>
        </row>
        <row r="325">
          <cell r="A325" t="str">
            <v>Administration</v>
          </cell>
          <cell r="C325">
            <v>0</v>
          </cell>
          <cell r="D325">
            <v>0</v>
          </cell>
          <cell r="E325">
            <v>0</v>
          </cell>
          <cell r="F325">
            <v>0</v>
          </cell>
          <cell r="G325">
            <v>0</v>
          </cell>
          <cell r="H325">
            <v>0</v>
          </cell>
          <cell r="I325">
            <v>0</v>
          </cell>
          <cell r="J325">
            <v>0</v>
          </cell>
          <cell r="K325">
            <v>0</v>
          </cell>
          <cell r="L325">
            <v>0</v>
          </cell>
          <cell r="M325">
            <v>0</v>
          </cell>
          <cell r="N325">
            <v>0</v>
          </cell>
          <cell r="O325">
            <v>0</v>
          </cell>
          <cell r="Q325">
            <v>0</v>
          </cell>
          <cell r="S325">
            <v>0</v>
          </cell>
          <cell r="U325" t="str">
            <v>Administration</v>
          </cell>
          <cell r="V325">
            <v>0</v>
          </cell>
          <cell r="W325">
            <v>0</v>
          </cell>
          <cell r="X325">
            <v>0</v>
          </cell>
          <cell r="Y325">
            <v>0</v>
          </cell>
          <cell r="Z325">
            <v>0</v>
          </cell>
          <cell r="AA325">
            <v>0</v>
          </cell>
          <cell r="AB325">
            <v>0</v>
          </cell>
          <cell r="AC325">
            <v>0</v>
          </cell>
          <cell r="AD325">
            <v>0</v>
          </cell>
          <cell r="AE325">
            <v>0</v>
          </cell>
          <cell r="AF325">
            <v>0</v>
          </cell>
          <cell r="AI325" t="str">
            <v>Administration</v>
          </cell>
          <cell r="AJ325">
            <v>0</v>
          </cell>
          <cell r="AK325">
            <v>0</v>
          </cell>
          <cell r="AL325">
            <v>0</v>
          </cell>
          <cell r="AM325">
            <v>0</v>
          </cell>
        </row>
        <row r="326">
          <cell r="A326" t="str">
            <v>Technology</v>
          </cell>
          <cell r="C326">
            <v>0</v>
          </cell>
          <cell r="D326">
            <v>0</v>
          </cell>
          <cell r="E326">
            <v>0</v>
          </cell>
          <cell r="F326">
            <v>0</v>
          </cell>
          <cell r="G326">
            <v>0</v>
          </cell>
          <cell r="H326">
            <v>0</v>
          </cell>
          <cell r="I326">
            <v>0</v>
          </cell>
          <cell r="J326">
            <v>0</v>
          </cell>
          <cell r="K326">
            <v>0</v>
          </cell>
          <cell r="L326">
            <v>0</v>
          </cell>
          <cell r="M326">
            <v>0</v>
          </cell>
          <cell r="N326">
            <v>0</v>
          </cell>
          <cell r="O326">
            <v>0</v>
          </cell>
          <cell r="Q326">
            <v>0</v>
          </cell>
          <cell r="S326">
            <v>0</v>
          </cell>
          <cell r="U326" t="str">
            <v>Technology</v>
          </cell>
          <cell r="V326">
            <v>0</v>
          </cell>
          <cell r="W326">
            <v>0</v>
          </cell>
          <cell r="X326">
            <v>0</v>
          </cell>
          <cell r="Y326">
            <v>0</v>
          </cell>
          <cell r="Z326">
            <v>0</v>
          </cell>
          <cell r="AA326">
            <v>0</v>
          </cell>
          <cell r="AB326">
            <v>0</v>
          </cell>
          <cell r="AC326">
            <v>0</v>
          </cell>
          <cell r="AD326">
            <v>0</v>
          </cell>
          <cell r="AE326">
            <v>0</v>
          </cell>
          <cell r="AF326">
            <v>0</v>
          </cell>
          <cell r="AI326" t="str">
            <v>Technology</v>
          </cell>
          <cell r="AJ326">
            <v>0</v>
          </cell>
          <cell r="AK326">
            <v>0</v>
          </cell>
          <cell r="AL326">
            <v>0</v>
          </cell>
          <cell r="AM326">
            <v>0</v>
          </cell>
        </row>
        <row r="327">
          <cell r="A327" t="str">
            <v>Bad Debt Reserve</v>
          </cell>
          <cell r="C327">
            <v>0</v>
          </cell>
          <cell r="D327">
            <v>0</v>
          </cell>
          <cell r="E327">
            <v>0</v>
          </cell>
          <cell r="F327">
            <v>0</v>
          </cell>
          <cell r="G327">
            <v>0</v>
          </cell>
          <cell r="H327">
            <v>0</v>
          </cell>
          <cell r="I327">
            <v>0</v>
          </cell>
          <cell r="J327">
            <v>0</v>
          </cell>
          <cell r="K327">
            <v>0</v>
          </cell>
          <cell r="L327">
            <v>0</v>
          </cell>
          <cell r="M327">
            <v>0</v>
          </cell>
          <cell r="N327">
            <v>0</v>
          </cell>
          <cell r="O327">
            <v>0</v>
          </cell>
          <cell r="Q327">
            <v>0</v>
          </cell>
          <cell r="S327">
            <v>0</v>
          </cell>
          <cell r="U327" t="str">
            <v>Bad Debt Reserve</v>
          </cell>
          <cell r="V327">
            <v>0</v>
          </cell>
          <cell r="W327">
            <v>0</v>
          </cell>
          <cell r="X327">
            <v>0</v>
          </cell>
          <cell r="Y327">
            <v>0</v>
          </cell>
          <cell r="Z327">
            <v>0</v>
          </cell>
          <cell r="AA327">
            <v>0</v>
          </cell>
          <cell r="AB327">
            <v>0</v>
          </cell>
          <cell r="AC327">
            <v>0</v>
          </cell>
          <cell r="AD327">
            <v>0</v>
          </cell>
          <cell r="AE327">
            <v>0</v>
          </cell>
          <cell r="AF327">
            <v>0</v>
          </cell>
          <cell r="AI327" t="str">
            <v>Bad Debt Reserve</v>
          </cell>
          <cell r="AJ327">
            <v>0</v>
          </cell>
          <cell r="AK327">
            <v>0</v>
          </cell>
          <cell r="AL327">
            <v>0</v>
          </cell>
          <cell r="AM327">
            <v>0</v>
          </cell>
        </row>
        <row r="328">
          <cell r="A328" t="str">
            <v>Total Direct MAT</v>
          </cell>
          <cell r="C328">
            <v>0</v>
          </cell>
          <cell r="D328">
            <v>0</v>
          </cell>
          <cell r="E328">
            <v>0</v>
          </cell>
          <cell r="F328">
            <v>0</v>
          </cell>
          <cell r="G328">
            <v>0</v>
          </cell>
          <cell r="H328">
            <v>0</v>
          </cell>
          <cell r="I328">
            <v>0</v>
          </cell>
          <cell r="J328">
            <v>0</v>
          </cell>
          <cell r="K328">
            <v>0</v>
          </cell>
          <cell r="L328">
            <v>0</v>
          </cell>
          <cell r="M328">
            <v>0</v>
          </cell>
          <cell r="N328">
            <v>0</v>
          </cell>
          <cell r="O328">
            <v>0</v>
          </cell>
          <cell r="Q328">
            <v>0</v>
          </cell>
          <cell r="S328">
            <v>0</v>
          </cell>
          <cell r="U328" t="str">
            <v>Total Direct MAT</v>
          </cell>
          <cell r="V328">
            <v>0</v>
          </cell>
          <cell r="W328">
            <v>0</v>
          </cell>
          <cell r="X328">
            <v>0</v>
          </cell>
          <cell r="Y328">
            <v>0</v>
          </cell>
          <cell r="Z328">
            <v>0</v>
          </cell>
          <cell r="AA328">
            <v>0</v>
          </cell>
          <cell r="AB328">
            <v>0</v>
          </cell>
          <cell r="AC328">
            <v>0</v>
          </cell>
          <cell r="AD328">
            <v>0</v>
          </cell>
          <cell r="AE328">
            <v>0</v>
          </cell>
          <cell r="AF328">
            <v>0</v>
          </cell>
          <cell r="AI328" t="str">
            <v>Total Direct MAT</v>
          </cell>
          <cell r="AJ328">
            <v>0</v>
          </cell>
          <cell r="AK328">
            <v>0</v>
          </cell>
          <cell r="AL328">
            <v>0</v>
          </cell>
          <cell r="AM328">
            <v>0</v>
          </cell>
        </row>
        <row r="330">
          <cell r="A330" t="str">
            <v>Marketing</v>
          </cell>
          <cell r="C330">
            <v>0</v>
          </cell>
          <cell r="D330">
            <v>0</v>
          </cell>
          <cell r="E330">
            <v>0</v>
          </cell>
          <cell r="F330">
            <v>0</v>
          </cell>
          <cell r="G330">
            <v>0</v>
          </cell>
          <cell r="H330">
            <v>0</v>
          </cell>
          <cell r="I330">
            <v>0</v>
          </cell>
          <cell r="J330">
            <v>0</v>
          </cell>
          <cell r="K330">
            <v>0</v>
          </cell>
          <cell r="L330">
            <v>0</v>
          </cell>
          <cell r="M330">
            <v>0</v>
          </cell>
          <cell r="N330">
            <v>0</v>
          </cell>
          <cell r="O330">
            <v>0</v>
          </cell>
          <cell r="Q330">
            <v>0</v>
          </cell>
          <cell r="S330">
            <v>0</v>
          </cell>
          <cell r="U330" t="str">
            <v>Marketing</v>
          </cell>
          <cell r="V330">
            <v>0</v>
          </cell>
          <cell r="W330">
            <v>0</v>
          </cell>
          <cell r="X330">
            <v>0</v>
          </cell>
          <cell r="Y330">
            <v>0</v>
          </cell>
          <cell r="Z330">
            <v>0</v>
          </cell>
          <cell r="AA330">
            <v>0</v>
          </cell>
          <cell r="AB330">
            <v>0</v>
          </cell>
          <cell r="AC330">
            <v>0</v>
          </cell>
          <cell r="AD330">
            <v>0</v>
          </cell>
          <cell r="AE330">
            <v>0</v>
          </cell>
          <cell r="AF330">
            <v>0</v>
          </cell>
          <cell r="AI330" t="str">
            <v>Marketing</v>
          </cell>
          <cell r="AJ330">
            <v>0</v>
          </cell>
          <cell r="AK330">
            <v>0</v>
          </cell>
          <cell r="AL330">
            <v>0</v>
          </cell>
          <cell r="AM330">
            <v>0</v>
          </cell>
        </row>
        <row r="335">
          <cell r="A335" t="str">
            <v>Amort of Intangible  Assets</v>
          </cell>
          <cell r="C335">
            <v>0</v>
          </cell>
          <cell r="D335">
            <v>0</v>
          </cell>
          <cell r="E335">
            <v>0</v>
          </cell>
          <cell r="F335">
            <v>0</v>
          </cell>
          <cell r="G335">
            <v>0</v>
          </cell>
          <cell r="H335">
            <v>0</v>
          </cell>
          <cell r="I335">
            <v>0</v>
          </cell>
          <cell r="J335">
            <v>0</v>
          </cell>
          <cell r="K335">
            <v>0</v>
          </cell>
          <cell r="L335">
            <v>0</v>
          </cell>
          <cell r="M335">
            <v>0</v>
          </cell>
          <cell r="N335">
            <v>0</v>
          </cell>
          <cell r="O335">
            <v>0</v>
          </cell>
          <cell r="Q335">
            <v>0</v>
          </cell>
          <cell r="S335">
            <v>0</v>
          </cell>
          <cell r="U335" t="str">
            <v>Amort of Intangible  Assets</v>
          </cell>
          <cell r="V335">
            <v>0</v>
          </cell>
          <cell r="W335">
            <v>0</v>
          </cell>
          <cell r="X335">
            <v>0</v>
          </cell>
          <cell r="Y335">
            <v>0</v>
          </cell>
          <cell r="Z335">
            <v>0</v>
          </cell>
          <cell r="AA335">
            <v>0</v>
          </cell>
          <cell r="AB335">
            <v>0</v>
          </cell>
          <cell r="AC335">
            <v>0</v>
          </cell>
          <cell r="AD335">
            <v>0</v>
          </cell>
          <cell r="AE335">
            <v>0</v>
          </cell>
          <cell r="AF335">
            <v>0</v>
          </cell>
          <cell r="AI335" t="str">
            <v>Amort of Intangible  Assets</v>
          </cell>
          <cell r="AJ335">
            <v>0</v>
          </cell>
          <cell r="AK335">
            <v>0</v>
          </cell>
          <cell r="AL335">
            <v>0</v>
          </cell>
          <cell r="AM335">
            <v>0</v>
          </cell>
        </row>
        <row r="337">
          <cell r="A337" t="str">
            <v>Interest Expense</v>
          </cell>
          <cell r="C337">
            <v>0</v>
          </cell>
          <cell r="D337">
            <v>0</v>
          </cell>
          <cell r="E337">
            <v>0</v>
          </cell>
          <cell r="F337">
            <v>0</v>
          </cell>
          <cell r="G337">
            <v>0</v>
          </cell>
          <cell r="H337">
            <v>0</v>
          </cell>
          <cell r="I337">
            <v>0</v>
          </cell>
          <cell r="J337">
            <v>0</v>
          </cell>
          <cell r="K337">
            <v>0</v>
          </cell>
          <cell r="L337">
            <v>0</v>
          </cell>
          <cell r="M337">
            <v>0</v>
          </cell>
          <cell r="N337">
            <v>0</v>
          </cell>
          <cell r="O337">
            <v>0</v>
          </cell>
          <cell r="Q337">
            <v>0</v>
          </cell>
          <cell r="S337">
            <v>0</v>
          </cell>
          <cell r="U337" t="str">
            <v>Interest Expense</v>
          </cell>
          <cell r="V337">
            <v>0</v>
          </cell>
          <cell r="W337">
            <v>0</v>
          </cell>
          <cell r="X337">
            <v>0</v>
          </cell>
          <cell r="Y337">
            <v>0</v>
          </cell>
          <cell r="Z337">
            <v>0</v>
          </cell>
          <cell r="AA337">
            <v>0</v>
          </cell>
          <cell r="AB337">
            <v>0</v>
          </cell>
          <cell r="AC337">
            <v>0</v>
          </cell>
          <cell r="AD337">
            <v>0</v>
          </cell>
          <cell r="AE337">
            <v>0</v>
          </cell>
          <cell r="AF337">
            <v>0</v>
          </cell>
          <cell r="AI337" t="str">
            <v>Interest Expense</v>
          </cell>
          <cell r="AJ337">
            <v>0</v>
          </cell>
          <cell r="AK337">
            <v>0</v>
          </cell>
          <cell r="AL337">
            <v>0</v>
          </cell>
          <cell r="AM337">
            <v>0</v>
          </cell>
        </row>
        <row r="338">
          <cell r="A338" t="str">
            <v>Interest Income</v>
          </cell>
          <cell r="C338">
            <v>0</v>
          </cell>
          <cell r="D338">
            <v>0</v>
          </cell>
          <cell r="E338">
            <v>0</v>
          </cell>
          <cell r="F338">
            <v>0</v>
          </cell>
          <cell r="G338">
            <v>0</v>
          </cell>
          <cell r="H338">
            <v>0</v>
          </cell>
          <cell r="I338">
            <v>0</v>
          </cell>
          <cell r="J338">
            <v>0</v>
          </cell>
          <cell r="K338">
            <v>0</v>
          </cell>
          <cell r="L338">
            <v>0</v>
          </cell>
          <cell r="M338">
            <v>0</v>
          </cell>
          <cell r="N338">
            <v>0</v>
          </cell>
          <cell r="O338">
            <v>0</v>
          </cell>
          <cell r="Q338">
            <v>0</v>
          </cell>
          <cell r="S338">
            <v>0</v>
          </cell>
          <cell r="U338" t="str">
            <v>Interest Income</v>
          </cell>
          <cell r="V338">
            <v>0</v>
          </cell>
          <cell r="W338">
            <v>0</v>
          </cell>
          <cell r="X338">
            <v>0</v>
          </cell>
          <cell r="Y338">
            <v>0</v>
          </cell>
          <cell r="Z338">
            <v>0</v>
          </cell>
          <cell r="AA338">
            <v>0</v>
          </cell>
          <cell r="AB338">
            <v>0</v>
          </cell>
          <cell r="AC338">
            <v>0</v>
          </cell>
          <cell r="AD338">
            <v>0</v>
          </cell>
          <cell r="AE338">
            <v>0</v>
          </cell>
          <cell r="AF338">
            <v>0</v>
          </cell>
          <cell r="AI338" t="str">
            <v>Interest Income</v>
          </cell>
          <cell r="AJ338">
            <v>0</v>
          </cell>
          <cell r="AK338">
            <v>0</v>
          </cell>
          <cell r="AL338">
            <v>0</v>
          </cell>
          <cell r="AM338">
            <v>0</v>
          </cell>
        </row>
        <row r="339">
          <cell r="A339" t="str">
            <v>Other Income/Exp.</v>
          </cell>
          <cell r="C339">
            <v>0</v>
          </cell>
          <cell r="D339">
            <v>0</v>
          </cell>
          <cell r="E339">
            <v>0</v>
          </cell>
          <cell r="F339">
            <v>0</v>
          </cell>
          <cell r="G339">
            <v>0</v>
          </cell>
          <cell r="H339">
            <v>0</v>
          </cell>
          <cell r="I339">
            <v>0</v>
          </cell>
          <cell r="J339">
            <v>0</v>
          </cell>
          <cell r="K339">
            <v>0</v>
          </cell>
          <cell r="L339">
            <v>0</v>
          </cell>
          <cell r="M339">
            <v>0</v>
          </cell>
          <cell r="N339">
            <v>0</v>
          </cell>
          <cell r="O339">
            <v>0</v>
          </cell>
          <cell r="Q339">
            <v>0</v>
          </cell>
          <cell r="S339">
            <v>0</v>
          </cell>
          <cell r="U339" t="str">
            <v>Other Income/Exp.</v>
          </cell>
          <cell r="V339">
            <v>0</v>
          </cell>
          <cell r="W339">
            <v>0</v>
          </cell>
          <cell r="X339">
            <v>0</v>
          </cell>
          <cell r="Y339">
            <v>0</v>
          </cell>
          <cell r="Z339">
            <v>0</v>
          </cell>
          <cell r="AA339">
            <v>0</v>
          </cell>
          <cell r="AB339">
            <v>0</v>
          </cell>
          <cell r="AC339">
            <v>0</v>
          </cell>
          <cell r="AD339">
            <v>0</v>
          </cell>
          <cell r="AE339">
            <v>0</v>
          </cell>
          <cell r="AF339">
            <v>0</v>
          </cell>
          <cell r="AI339" t="str">
            <v>Other Income/Exp.</v>
          </cell>
          <cell r="AJ339">
            <v>0</v>
          </cell>
          <cell r="AK339">
            <v>0</v>
          </cell>
          <cell r="AL339">
            <v>0</v>
          </cell>
          <cell r="AM339">
            <v>0</v>
          </cell>
        </row>
        <row r="341">
          <cell r="A341" t="str">
            <v>Income Before Tax</v>
          </cell>
          <cell r="C341">
            <v>0</v>
          </cell>
          <cell r="D341">
            <v>0</v>
          </cell>
          <cell r="E341">
            <v>0</v>
          </cell>
          <cell r="F341">
            <v>0</v>
          </cell>
          <cell r="G341">
            <v>0</v>
          </cell>
          <cell r="H341">
            <v>0</v>
          </cell>
          <cell r="I341">
            <v>0</v>
          </cell>
          <cell r="J341">
            <v>0</v>
          </cell>
          <cell r="K341">
            <v>0</v>
          </cell>
          <cell r="L341">
            <v>0</v>
          </cell>
          <cell r="M341">
            <v>0</v>
          </cell>
          <cell r="N341">
            <v>0</v>
          </cell>
          <cell r="O341">
            <v>0</v>
          </cell>
          <cell r="Q341">
            <v>0</v>
          </cell>
          <cell r="S341">
            <v>0</v>
          </cell>
          <cell r="U341" t="str">
            <v>Income Before Tax</v>
          </cell>
          <cell r="V341">
            <v>0</v>
          </cell>
          <cell r="W341">
            <v>0</v>
          </cell>
          <cell r="X341">
            <v>0</v>
          </cell>
          <cell r="Y341">
            <v>0</v>
          </cell>
          <cell r="Z341">
            <v>0</v>
          </cell>
          <cell r="AA341">
            <v>0</v>
          </cell>
          <cell r="AB341">
            <v>0</v>
          </cell>
          <cell r="AC341">
            <v>0</v>
          </cell>
          <cell r="AD341">
            <v>0</v>
          </cell>
          <cell r="AE341">
            <v>0</v>
          </cell>
          <cell r="AF341">
            <v>0</v>
          </cell>
          <cell r="AI341" t="str">
            <v>Income Before Tax</v>
          </cell>
          <cell r="AJ341">
            <v>0</v>
          </cell>
          <cell r="AK341">
            <v>0</v>
          </cell>
          <cell r="AL341">
            <v>0</v>
          </cell>
          <cell r="AM341">
            <v>0</v>
          </cell>
        </row>
        <row r="342">
          <cell r="A342" t="str">
            <v>Privision for Taxes</v>
          </cell>
          <cell r="C342">
            <v>0</v>
          </cell>
          <cell r="D342">
            <v>0</v>
          </cell>
          <cell r="E342">
            <v>0</v>
          </cell>
          <cell r="F342">
            <v>0</v>
          </cell>
          <cell r="G342">
            <v>0</v>
          </cell>
          <cell r="H342">
            <v>0</v>
          </cell>
          <cell r="I342">
            <v>0</v>
          </cell>
          <cell r="J342">
            <v>0</v>
          </cell>
          <cell r="K342">
            <v>0</v>
          </cell>
          <cell r="L342">
            <v>0</v>
          </cell>
          <cell r="M342">
            <v>0</v>
          </cell>
          <cell r="N342">
            <v>0</v>
          </cell>
          <cell r="O342">
            <v>0</v>
          </cell>
          <cell r="Q342">
            <v>0</v>
          </cell>
          <cell r="S342">
            <v>0</v>
          </cell>
          <cell r="U342" t="str">
            <v>Privision for Taxes</v>
          </cell>
          <cell r="V342">
            <v>0</v>
          </cell>
          <cell r="W342">
            <v>0</v>
          </cell>
          <cell r="X342">
            <v>0</v>
          </cell>
          <cell r="Y342">
            <v>0</v>
          </cell>
          <cell r="Z342">
            <v>0</v>
          </cell>
          <cell r="AA342">
            <v>0</v>
          </cell>
          <cell r="AB342">
            <v>0</v>
          </cell>
          <cell r="AC342">
            <v>0</v>
          </cell>
          <cell r="AD342">
            <v>0</v>
          </cell>
          <cell r="AE342">
            <v>0</v>
          </cell>
          <cell r="AF342">
            <v>0</v>
          </cell>
          <cell r="AI342" t="str">
            <v>Privision for Taxes</v>
          </cell>
          <cell r="AJ342">
            <v>0</v>
          </cell>
          <cell r="AK342">
            <v>0</v>
          </cell>
          <cell r="AL342">
            <v>0</v>
          </cell>
          <cell r="AM342">
            <v>0</v>
          </cell>
        </row>
        <row r="343">
          <cell r="A343" t="str">
            <v>Tax rate %</v>
          </cell>
          <cell r="C343">
            <v>0</v>
          </cell>
          <cell r="D343">
            <v>0</v>
          </cell>
          <cell r="E343">
            <v>0</v>
          </cell>
          <cell r="F343">
            <v>0</v>
          </cell>
          <cell r="G343">
            <v>0</v>
          </cell>
          <cell r="H343">
            <v>0</v>
          </cell>
          <cell r="I343">
            <v>0</v>
          </cell>
          <cell r="J343">
            <v>0</v>
          </cell>
          <cell r="K343">
            <v>0</v>
          </cell>
          <cell r="L343">
            <v>0</v>
          </cell>
          <cell r="M343">
            <v>0</v>
          </cell>
          <cell r="N343">
            <v>0</v>
          </cell>
          <cell r="O343">
            <v>0</v>
          </cell>
          <cell r="Q343">
            <v>0</v>
          </cell>
          <cell r="S343">
            <v>0</v>
          </cell>
          <cell r="U343" t="str">
            <v>Tax rate %</v>
          </cell>
          <cell r="V343">
            <v>0</v>
          </cell>
          <cell r="W343">
            <v>0</v>
          </cell>
          <cell r="X343">
            <v>0</v>
          </cell>
          <cell r="Y343">
            <v>0</v>
          </cell>
          <cell r="Z343">
            <v>0</v>
          </cell>
          <cell r="AA343">
            <v>0</v>
          </cell>
          <cell r="AB343">
            <v>0</v>
          </cell>
          <cell r="AC343">
            <v>0</v>
          </cell>
          <cell r="AD343">
            <v>0</v>
          </cell>
          <cell r="AE343">
            <v>0</v>
          </cell>
          <cell r="AF343">
            <v>0</v>
          </cell>
          <cell r="AI343" t="str">
            <v>Tax rate %</v>
          </cell>
          <cell r="AJ343">
            <v>0</v>
          </cell>
          <cell r="AK343">
            <v>0</v>
          </cell>
          <cell r="AL343">
            <v>0</v>
          </cell>
          <cell r="AM343">
            <v>0</v>
          </cell>
        </row>
        <row r="345">
          <cell r="A345" t="str">
            <v>Net Income</v>
          </cell>
          <cell r="C345">
            <v>0</v>
          </cell>
          <cell r="D345">
            <v>0</v>
          </cell>
          <cell r="E345">
            <v>0</v>
          </cell>
          <cell r="F345">
            <v>0</v>
          </cell>
          <cell r="G345">
            <v>0</v>
          </cell>
          <cell r="H345">
            <v>0</v>
          </cell>
          <cell r="I345">
            <v>0</v>
          </cell>
          <cell r="J345">
            <v>0</v>
          </cell>
          <cell r="K345">
            <v>0</v>
          </cell>
          <cell r="L345">
            <v>0</v>
          </cell>
          <cell r="M345">
            <v>0</v>
          </cell>
          <cell r="N345">
            <v>0</v>
          </cell>
          <cell r="O345">
            <v>0</v>
          </cell>
          <cell r="Q345">
            <v>0</v>
          </cell>
          <cell r="S345">
            <v>0</v>
          </cell>
          <cell r="U345" t="str">
            <v>Net Income</v>
          </cell>
          <cell r="V345">
            <v>0</v>
          </cell>
          <cell r="W345">
            <v>0</v>
          </cell>
          <cell r="X345">
            <v>0</v>
          </cell>
          <cell r="Y345">
            <v>0</v>
          </cell>
          <cell r="Z345">
            <v>0</v>
          </cell>
          <cell r="AA345">
            <v>0</v>
          </cell>
          <cell r="AB345">
            <v>0</v>
          </cell>
          <cell r="AC345">
            <v>0</v>
          </cell>
          <cell r="AD345">
            <v>0</v>
          </cell>
          <cell r="AE345">
            <v>0</v>
          </cell>
          <cell r="AF345">
            <v>0</v>
          </cell>
          <cell r="AI345" t="str">
            <v>Net Income</v>
          </cell>
          <cell r="AJ345">
            <v>0</v>
          </cell>
          <cell r="AK345">
            <v>0</v>
          </cell>
          <cell r="AL345">
            <v>0</v>
          </cell>
          <cell r="AM345">
            <v>0</v>
          </cell>
        </row>
        <row r="346">
          <cell r="A346" t="str">
            <v>% Sales</v>
          </cell>
          <cell r="C346">
            <v>0</v>
          </cell>
          <cell r="D346">
            <v>0</v>
          </cell>
          <cell r="E346">
            <v>0</v>
          </cell>
          <cell r="F346">
            <v>0</v>
          </cell>
          <cell r="G346">
            <v>0</v>
          </cell>
          <cell r="H346">
            <v>0</v>
          </cell>
          <cell r="I346">
            <v>0</v>
          </cell>
          <cell r="J346">
            <v>0</v>
          </cell>
          <cell r="K346">
            <v>0</v>
          </cell>
          <cell r="L346">
            <v>0</v>
          </cell>
          <cell r="M346">
            <v>0</v>
          </cell>
          <cell r="N346">
            <v>0</v>
          </cell>
          <cell r="O346">
            <v>0</v>
          </cell>
          <cell r="Q346">
            <v>0</v>
          </cell>
          <cell r="S346">
            <v>0</v>
          </cell>
          <cell r="U346" t="str">
            <v>% Sales</v>
          </cell>
          <cell r="V346">
            <v>0</v>
          </cell>
          <cell r="W346">
            <v>0</v>
          </cell>
          <cell r="X346">
            <v>0</v>
          </cell>
          <cell r="Y346">
            <v>0</v>
          </cell>
          <cell r="Z346">
            <v>0</v>
          </cell>
          <cell r="AA346">
            <v>0</v>
          </cell>
          <cell r="AB346">
            <v>0</v>
          </cell>
          <cell r="AC346">
            <v>0</v>
          </cell>
          <cell r="AD346">
            <v>0</v>
          </cell>
          <cell r="AE346">
            <v>0</v>
          </cell>
          <cell r="AF346">
            <v>0</v>
          </cell>
          <cell r="AI346" t="str">
            <v>% Sales</v>
          </cell>
          <cell r="AJ346">
            <v>0</v>
          </cell>
          <cell r="AK346">
            <v>0</v>
          </cell>
          <cell r="AL346">
            <v>0</v>
          </cell>
          <cell r="AM346">
            <v>0</v>
          </cell>
        </row>
        <row r="348">
          <cell r="A348" t="str">
            <v>EBIT</v>
          </cell>
          <cell r="C348">
            <v>0</v>
          </cell>
          <cell r="D348">
            <v>0</v>
          </cell>
          <cell r="E348">
            <v>0</v>
          </cell>
          <cell r="F348">
            <v>0</v>
          </cell>
          <cell r="G348">
            <v>0</v>
          </cell>
          <cell r="H348">
            <v>0</v>
          </cell>
          <cell r="I348">
            <v>0</v>
          </cell>
          <cell r="J348">
            <v>0</v>
          </cell>
          <cell r="K348">
            <v>0</v>
          </cell>
          <cell r="L348">
            <v>0</v>
          </cell>
          <cell r="M348">
            <v>0</v>
          </cell>
          <cell r="N348">
            <v>0</v>
          </cell>
          <cell r="O348">
            <v>0</v>
          </cell>
          <cell r="Q348">
            <v>0</v>
          </cell>
          <cell r="S348">
            <v>0</v>
          </cell>
          <cell r="U348" t="str">
            <v>EBIT</v>
          </cell>
          <cell r="V348">
            <v>0</v>
          </cell>
          <cell r="W348">
            <v>0</v>
          </cell>
          <cell r="X348">
            <v>0</v>
          </cell>
          <cell r="Y348">
            <v>0</v>
          </cell>
          <cell r="Z348">
            <v>0</v>
          </cell>
          <cell r="AA348">
            <v>0</v>
          </cell>
          <cell r="AB348">
            <v>0</v>
          </cell>
          <cell r="AC348">
            <v>0</v>
          </cell>
          <cell r="AD348">
            <v>0</v>
          </cell>
          <cell r="AE348">
            <v>0</v>
          </cell>
          <cell r="AF348">
            <v>0</v>
          </cell>
          <cell r="AI348" t="str">
            <v>EBIT</v>
          </cell>
          <cell r="AJ348">
            <v>0</v>
          </cell>
          <cell r="AK348">
            <v>0</v>
          </cell>
          <cell r="AL348">
            <v>0</v>
          </cell>
          <cell r="AM348">
            <v>0</v>
          </cell>
        </row>
        <row r="349">
          <cell r="A349" t="str">
            <v>EBITDA</v>
          </cell>
          <cell r="C349">
            <v>0</v>
          </cell>
          <cell r="D349">
            <v>0</v>
          </cell>
          <cell r="E349">
            <v>0</v>
          </cell>
          <cell r="F349">
            <v>0</v>
          </cell>
          <cell r="G349">
            <v>0</v>
          </cell>
          <cell r="H349">
            <v>0</v>
          </cell>
          <cell r="I349">
            <v>0</v>
          </cell>
          <cell r="J349">
            <v>0</v>
          </cell>
          <cell r="K349">
            <v>0</v>
          </cell>
          <cell r="L349">
            <v>0</v>
          </cell>
          <cell r="M349">
            <v>0</v>
          </cell>
          <cell r="N349">
            <v>0</v>
          </cell>
          <cell r="O349">
            <v>0</v>
          </cell>
          <cell r="Q349">
            <v>0</v>
          </cell>
          <cell r="S349">
            <v>0</v>
          </cell>
          <cell r="U349" t="str">
            <v>EBITDA</v>
          </cell>
          <cell r="V349">
            <v>0</v>
          </cell>
          <cell r="W349">
            <v>0</v>
          </cell>
          <cell r="X349">
            <v>0</v>
          </cell>
          <cell r="Y349">
            <v>0</v>
          </cell>
          <cell r="Z349">
            <v>0</v>
          </cell>
          <cell r="AA349">
            <v>0</v>
          </cell>
          <cell r="AB349">
            <v>0</v>
          </cell>
          <cell r="AC349">
            <v>0</v>
          </cell>
          <cell r="AD349">
            <v>0</v>
          </cell>
          <cell r="AE349">
            <v>0</v>
          </cell>
          <cell r="AF349">
            <v>0</v>
          </cell>
          <cell r="AI349" t="str">
            <v>EBITDA</v>
          </cell>
          <cell r="AJ349">
            <v>0</v>
          </cell>
          <cell r="AK349">
            <v>0</v>
          </cell>
          <cell r="AL349">
            <v>0</v>
          </cell>
          <cell r="AM349">
            <v>0</v>
          </cell>
        </row>
        <row r="352">
          <cell r="A352" t="str">
            <v>MEX Forecast '01</v>
          </cell>
          <cell r="U352" t="str">
            <v>MEX Forecast YTD '00</v>
          </cell>
          <cell r="AI352" t="str">
            <v>MEX Forecast Qtr.'00</v>
          </cell>
        </row>
        <row r="353">
          <cell r="A353" t="str">
            <v>Halosulfuron ( Sempra)</v>
          </cell>
          <cell r="C353" t="str">
            <v>Jan</v>
          </cell>
          <cell r="D353" t="str">
            <v>Feb</v>
          </cell>
          <cell r="E353" t="str">
            <v>Mar</v>
          </cell>
          <cell r="F353" t="str">
            <v>Apr</v>
          </cell>
          <cell r="G353" t="str">
            <v>May</v>
          </cell>
          <cell r="H353" t="str">
            <v>Jun</v>
          </cell>
          <cell r="I353" t="str">
            <v>Jul</v>
          </cell>
          <cell r="J353" t="str">
            <v>Aug</v>
          </cell>
          <cell r="K353" t="str">
            <v>Sep</v>
          </cell>
          <cell r="L353" t="str">
            <v>Oct</v>
          </cell>
          <cell r="M353" t="str">
            <v>Nov</v>
          </cell>
          <cell r="N353" t="str">
            <v>Dec</v>
          </cell>
          <cell r="O353" t="str">
            <v>Total</v>
          </cell>
          <cell r="Q353" t="str">
            <v>Changes</v>
          </cell>
          <cell r="S353" t="str">
            <v>Changes</v>
          </cell>
          <cell r="U353" t="str">
            <v>Halosulfuron ( Sempra)</v>
          </cell>
          <cell r="V353" t="str">
            <v>Jan</v>
          </cell>
          <cell r="W353" t="str">
            <v>Feb</v>
          </cell>
          <cell r="X353" t="str">
            <v>Mar</v>
          </cell>
          <cell r="Y353" t="str">
            <v>Apr</v>
          </cell>
          <cell r="Z353" t="str">
            <v>May</v>
          </cell>
          <cell r="AA353" t="str">
            <v>Jun</v>
          </cell>
          <cell r="AB353" t="str">
            <v>Jul</v>
          </cell>
          <cell r="AC353" t="str">
            <v>Aug</v>
          </cell>
          <cell r="AD353" t="str">
            <v>Sep</v>
          </cell>
          <cell r="AE353" t="str">
            <v>Oct</v>
          </cell>
          <cell r="AF353" t="str">
            <v>Nov</v>
          </cell>
          <cell r="AI353" t="str">
            <v>Halosulfuron ( Sempra)</v>
          </cell>
          <cell r="AJ353" t="str">
            <v>1st Qtr.</v>
          </cell>
          <cell r="AK353" t="str">
            <v>2nd Qtr.</v>
          </cell>
          <cell r="AL353" t="str">
            <v>3er Qtr.</v>
          </cell>
          <cell r="AM353" t="str">
            <v>4 Qtr.</v>
          </cell>
        </row>
        <row r="355">
          <cell r="A355" t="str">
            <v>Halosulfuron Volume (K  Kg)</v>
          </cell>
          <cell r="B355">
            <v>1</v>
          </cell>
          <cell r="C355">
            <v>5</v>
          </cell>
          <cell r="D355">
            <v>62</v>
          </cell>
          <cell r="E355">
            <v>33</v>
          </cell>
          <cell r="F355">
            <v>77</v>
          </cell>
          <cell r="G355">
            <v>169</v>
          </cell>
          <cell r="H355">
            <v>312.2</v>
          </cell>
          <cell r="I355">
            <v>246</v>
          </cell>
          <cell r="J355">
            <v>3</v>
          </cell>
          <cell r="K355">
            <v>6.8000000000000007</v>
          </cell>
          <cell r="L355">
            <v>8</v>
          </cell>
          <cell r="M355">
            <v>113</v>
          </cell>
          <cell r="N355">
            <v>0</v>
          </cell>
          <cell r="O355">
            <v>1035</v>
          </cell>
          <cell r="Q355">
            <v>1035</v>
          </cell>
          <cell r="S355">
            <v>1035</v>
          </cell>
          <cell r="U355" t="str">
            <v>Halosulfuron Volume (Kg)</v>
          </cell>
          <cell r="V355">
            <v>5</v>
          </cell>
          <cell r="W355">
            <v>67</v>
          </cell>
          <cell r="X355">
            <v>100</v>
          </cell>
          <cell r="Y355">
            <v>177</v>
          </cell>
          <cell r="Z355">
            <v>346</v>
          </cell>
          <cell r="AA355">
            <v>658.2</v>
          </cell>
          <cell r="AB355">
            <v>904.2</v>
          </cell>
          <cell r="AC355">
            <v>907.2</v>
          </cell>
          <cell r="AD355">
            <v>914</v>
          </cell>
          <cell r="AE355">
            <v>922</v>
          </cell>
          <cell r="AF355">
            <v>1035</v>
          </cell>
          <cell r="AI355" t="str">
            <v>Halosulfuron Volume (K Galls)</v>
          </cell>
          <cell r="AJ355">
            <v>100</v>
          </cell>
          <cell r="AK355">
            <v>558.20000000000005</v>
          </cell>
          <cell r="AL355">
            <v>255.8</v>
          </cell>
          <cell r="AM355">
            <v>121</v>
          </cell>
        </row>
        <row r="356">
          <cell r="A356" t="str">
            <v>Halosulfuron Netback (USD/Kg)</v>
          </cell>
          <cell r="C356">
            <v>0.31152179587575041</v>
          </cell>
          <cell r="D356">
            <v>0.30970052421238387</v>
          </cell>
          <cell r="E356">
            <v>0.30829399653992784</v>
          </cell>
          <cell r="F356">
            <v>0.31312972292191432</v>
          </cell>
          <cell r="G356">
            <v>0.31989524029162947</v>
          </cell>
          <cell r="H356">
            <v>0.31704889793488644</v>
          </cell>
          <cell r="I356">
            <v>0.29859946997260023</v>
          </cell>
          <cell r="J356">
            <v>0.29885558583106264</v>
          </cell>
          <cell r="K356">
            <v>0.35322739888148136</v>
          </cell>
          <cell r="L356">
            <v>0.23039999999999999</v>
          </cell>
          <cell r="M356">
            <v>0.23039999999999999</v>
          </cell>
          <cell r="N356">
            <v>0</v>
          </cell>
          <cell r="O356">
            <v>0.30214596740005351</v>
          </cell>
          <cell r="Q356">
            <v>0.30214596740005351</v>
          </cell>
          <cell r="S356">
            <v>0.30214596740005351</v>
          </cell>
          <cell r="U356" t="str">
            <v>Halosulfuron Netback (Kg)</v>
          </cell>
          <cell r="V356">
            <v>0.31152179587575041</v>
          </cell>
          <cell r="W356">
            <v>0.30983644000815752</v>
          </cell>
          <cell r="X356">
            <v>0.30932743366364174</v>
          </cell>
          <cell r="Y356">
            <v>0.3109815369002914</v>
          </cell>
          <cell r="Z356">
            <v>0.31533534000184094</v>
          </cell>
          <cell r="AA356">
            <v>0.31614812150700167</v>
          </cell>
          <cell r="AB356">
            <v>0.31137377039279823</v>
          </cell>
          <cell r="AC356">
            <v>0.31133237427982952</v>
          </cell>
          <cell r="AD356">
            <v>0.31164406592894461</v>
          </cell>
          <cell r="AE356">
            <v>0.31093912826361758</v>
          </cell>
          <cell r="AF356">
            <v>0.30214596740005351</v>
          </cell>
          <cell r="AI356" t="str">
            <v>Halosulfuron Netback (K Galls)</v>
          </cell>
          <cell r="AJ356">
            <v>0.30932743366364174</v>
          </cell>
          <cell r="AK356">
            <v>0.31737002903895434</v>
          </cell>
          <cell r="AL356">
            <v>0.30005466256116853</v>
          </cell>
          <cell r="AM356">
            <v>0.23039999999999999</v>
          </cell>
        </row>
        <row r="357">
          <cell r="A357" t="str">
            <v>Halosulfuron Unit COGS (USD/Kg)</v>
          </cell>
          <cell r="C357">
            <v>0.17227730775254504</v>
          </cell>
          <cell r="D357">
            <v>0.19260648228878732</v>
          </cell>
          <cell r="E357">
            <v>0.16922754121947972</v>
          </cell>
          <cell r="F357">
            <v>0.15517820779220781</v>
          </cell>
          <cell r="G357">
            <v>0.16139457834312554</v>
          </cell>
          <cell r="H357">
            <v>0.17210262011109384</v>
          </cell>
          <cell r="I357">
            <v>0.17208753440844513</v>
          </cell>
          <cell r="J357">
            <v>0.16265266666666667</v>
          </cell>
          <cell r="K357">
            <v>0.16799482352941178</v>
          </cell>
          <cell r="L357">
            <v>0.19374779149551877</v>
          </cell>
          <cell r="M357">
            <v>0.1937477905289979</v>
          </cell>
          <cell r="N357">
            <v>0</v>
          </cell>
          <cell r="O357">
            <v>0.17270500479787487</v>
          </cell>
          <cell r="Q357">
            <v>0.17270500479787487</v>
          </cell>
          <cell r="S357">
            <v>0.17270500479787487</v>
          </cell>
          <cell r="U357" t="str">
            <v>Halosulfuron Unit COGS (Kg)</v>
          </cell>
          <cell r="V357">
            <v>0.17227730775254504</v>
          </cell>
          <cell r="W357">
            <v>0.19108937971145581</v>
          </cell>
          <cell r="X357">
            <v>0.18387497300910369</v>
          </cell>
          <cell r="Y357">
            <v>0.17139106949666877</v>
          </cell>
          <cell r="Z357">
            <v>0.16650839029161443</v>
          </cell>
          <cell r="AA357">
            <v>0.16916186727374977</v>
          </cell>
          <cell r="AB357">
            <v>0.16995783510734305</v>
          </cell>
          <cell r="AC357">
            <v>0.16993367780429849</v>
          </cell>
          <cell r="AD357">
            <v>0.1699192530678989</v>
          </cell>
          <cell r="AE357">
            <v>0.1701260082820214</v>
          </cell>
          <cell r="AF357">
            <v>0.1727050047978749</v>
          </cell>
          <cell r="AI357" t="str">
            <v>Halosulfuron Unit COGS (K Galls)</v>
          </cell>
          <cell r="AJ357">
            <v>0.18387497300910369</v>
          </cell>
          <cell r="AK357">
            <v>0.16652605470919332</v>
          </cell>
          <cell r="AL357">
            <v>0.17186808547489249</v>
          </cell>
          <cell r="AM357">
            <v>0.19374779059290009</v>
          </cell>
        </row>
        <row r="358">
          <cell r="A358" t="str">
            <v>Factor de conversión</v>
          </cell>
          <cell r="B358">
            <v>1.6534669663865817</v>
          </cell>
        </row>
        <row r="359">
          <cell r="A359" t="str">
            <v>Halosulfuron Volume (K TE Lbs)</v>
          </cell>
          <cell r="C359">
            <v>8.2673348319329083</v>
          </cell>
          <cell r="D359">
            <v>102.51495191596807</v>
          </cell>
          <cell r="E359">
            <v>54.564409890757197</v>
          </cell>
          <cell r="F359">
            <v>127.3169564117668</v>
          </cell>
          <cell r="G359">
            <v>279.4359173193323</v>
          </cell>
          <cell r="H359">
            <v>516.21238690589075</v>
          </cell>
          <cell r="I359">
            <v>406.7528737310991</v>
          </cell>
          <cell r="J359">
            <v>4.9604008991597457</v>
          </cell>
          <cell r="K359">
            <v>11.243575371428758</v>
          </cell>
          <cell r="L359">
            <v>13.227735731092654</v>
          </cell>
          <cell r="M359">
            <v>186.84176720168375</v>
          </cell>
          <cell r="N359">
            <v>0</v>
          </cell>
          <cell r="O359">
            <v>1711.338310210112</v>
          </cell>
          <cell r="Q359">
            <v>1711.338310210112</v>
          </cell>
          <cell r="S359">
            <v>1711.338310210112</v>
          </cell>
          <cell r="U359" t="str">
            <v>Halosulfuron Volume (K TE Lbs)</v>
          </cell>
          <cell r="V359">
            <v>8.2673348319329083</v>
          </cell>
          <cell r="W359">
            <v>110.78228674790098</v>
          </cell>
          <cell r="X359">
            <v>165.34669663865819</v>
          </cell>
          <cell r="Y359">
            <v>292.66365305042495</v>
          </cell>
          <cell r="Z359">
            <v>572.0995703697572</v>
          </cell>
          <cell r="AA359">
            <v>1088.311957275648</v>
          </cell>
          <cell r="AB359">
            <v>1495.064831006747</v>
          </cell>
          <cell r="AC359">
            <v>1500.0252319059068</v>
          </cell>
          <cell r="AD359">
            <v>1511.2688072773356</v>
          </cell>
          <cell r="AE359">
            <v>1524.4965430084283</v>
          </cell>
          <cell r="AF359">
            <v>1711.338310210112</v>
          </cell>
          <cell r="AI359" t="str">
            <v>Halosulfuron Volume (K TE Lbs)</v>
          </cell>
          <cell r="AJ359">
            <v>165.34669663865819</v>
          </cell>
          <cell r="AK359">
            <v>922.9652606369898</v>
          </cell>
          <cell r="AL359">
            <v>422.9568500016876</v>
          </cell>
          <cell r="AM359">
            <v>200.0695029327764</v>
          </cell>
        </row>
        <row r="360">
          <cell r="A360" t="str">
            <v>Halosulfuron Netback (K TE Lbs)</v>
          </cell>
          <cell r="C360">
            <v>0.18840521293058382</v>
          </cell>
          <cell r="D360">
            <v>0.18730372635698345</v>
          </cell>
          <cell r="E360">
            <v>0.18645307272975689</v>
          </cell>
          <cell r="F360">
            <v>0.18937767085012594</v>
          </cell>
          <cell r="G360">
            <v>0.19346938692746629</v>
          </cell>
          <cell r="H360">
            <v>0.19174794802689768</v>
          </cell>
          <cell r="I360">
            <v>0.18058992168748744</v>
          </cell>
          <cell r="J360">
            <v>0.18074481795313352</v>
          </cell>
          <cell r="K360">
            <v>0.21362833734344866</v>
          </cell>
          <cell r="L360">
            <v>0.139343576064</v>
          </cell>
          <cell r="M360">
            <v>0.139343576064</v>
          </cell>
          <cell r="N360">
            <v>0</v>
          </cell>
          <cell r="O360">
            <v>0.18273480725191069</v>
          </cell>
          <cell r="Q360">
            <v>0.18273480725191069</v>
          </cell>
          <cell r="S360">
            <v>0.18273480725191069</v>
          </cell>
          <cell r="U360" t="str">
            <v>Halosulfuron Netback (K TE Lbs)</v>
          </cell>
          <cell r="V360">
            <v>0.18840521293058382</v>
          </cell>
          <cell r="W360">
            <v>0.18738592684755062</v>
          </cell>
          <cell r="X360">
            <v>0.18707808498867867</v>
          </cell>
          <cell r="Y360">
            <v>0.18807846979846082</v>
          </cell>
          <cell r="Z360">
            <v>0.19071160562158779</v>
          </cell>
          <cell r="AA360">
            <v>0.19120316760721187</v>
          </cell>
          <cell r="AB360">
            <v>0.18831568862440695</v>
          </cell>
          <cell r="AC360">
            <v>0.18829065267641992</v>
          </cell>
          <cell r="AD360">
            <v>0.18847916061486172</v>
          </cell>
          <cell r="AE360">
            <v>0.18805282148643779</v>
          </cell>
          <cell r="AF360">
            <v>0.18273480725191074</v>
          </cell>
          <cell r="AI360" t="str">
            <v>Halosulfuron Netback (K TE Lbs)</v>
          </cell>
          <cell r="AJ360">
            <v>0.18707808498867867</v>
          </cell>
          <cell r="AK360">
            <v>0.19194216485166421</v>
          </cell>
          <cell r="AL360">
            <v>0.1814700073608943</v>
          </cell>
          <cell r="AM360">
            <v>0.139343576064</v>
          </cell>
        </row>
        <row r="361">
          <cell r="A361" t="str">
            <v>Halosulfuron Unit COGS (K TE Lbs)</v>
          </cell>
          <cell r="C361">
            <v>0.10419156309426171</v>
          </cell>
          <cell r="D361">
            <v>0.1164864410383121</v>
          </cell>
          <cell r="E361">
            <v>0.10234709532135533</v>
          </cell>
          <cell r="F361">
            <v>9.3850201393093358E-2</v>
          </cell>
          <cell r="G361">
            <v>9.7609799061078653E-2</v>
          </cell>
          <cell r="H361">
            <v>0.10408591378586764</v>
          </cell>
          <cell r="I361">
            <v>0.10407679010637758</v>
          </cell>
          <cell r="J361">
            <v>9.8370678080204457E-2</v>
          </cell>
          <cell r="K361">
            <v>0.10160156020325022</v>
          </cell>
          <cell r="L361">
            <v>0.11717669323562428</v>
          </cell>
          <cell r="M361">
            <v>0.1171766926510823</v>
          </cell>
          <cell r="N361">
            <v>0</v>
          </cell>
          <cell r="O361">
            <v>0.10445022991617259</v>
          </cell>
          <cell r="Q361">
            <v>0.10445022991617259</v>
          </cell>
          <cell r="S361">
            <v>0.10445022991617259</v>
          </cell>
          <cell r="U361" t="str">
            <v>Halosulfuron Unit COGS (K TE Lbs)</v>
          </cell>
          <cell r="V361">
            <v>0.10419156309426171</v>
          </cell>
          <cell r="W361">
            <v>0.11556891283353221</v>
          </cell>
          <cell r="X361">
            <v>0.11120571305451382</v>
          </cell>
          <cell r="Y361">
            <v>0.10365557521310494</v>
          </cell>
          <cell r="Z361">
            <v>0.10070258050301117</v>
          </cell>
          <cell r="AA361">
            <v>0.10230737638710079</v>
          </cell>
          <cell r="AB361">
            <v>0.10278876963521194</v>
          </cell>
          <cell r="AC361">
            <v>0.10277415954409087</v>
          </cell>
          <cell r="AD361">
            <v>0.10276543561026404</v>
          </cell>
          <cell r="AE361">
            <v>0.10289047906037563</v>
          </cell>
          <cell r="AF361">
            <v>0.10445022991617259</v>
          </cell>
          <cell r="AI361" t="str">
            <v>Halosulfuron Unit COGS (K TE Lbs)</v>
          </cell>
          <cell r="AJ361">
            <v>0.11120571305451382</v>
          </cell>
          <cell r="AK361">
            <v>0.10071326376305691</v>
          </cell>
          <cell r="AL361">
            <v>0.1039440696238921</v>
          </cell>
          <cell r="AM361">
            <v>0.1171766926897297</v>
          </cell>
        </row>
        <row r="363">
          <cell r="A363" t="str">
            <v>Net Sales</v>
          </cell>
          <cell r="C363">
            <v>1.557608979378752</v>
          </cell>
          <cell r="D363">
            <v>19.201432501167801</v>
          </cell>
          <cell r="E363">
            <v>10.173701885817618</v>
          </cell>
          <cell r="F363">
            <v>24.110988664987403</v>
          </cell>
          <cell r="G363">
            <v>54.062295609285378</v>
          </cell>
          <cell r="H363">
            <v>98.982665935271541</v>
          </cell>
          <cell r="I363">
            <v>73.455469613259652</v>
          </cell>
          <cell r="J363">
            <v>0.89656675749318793</v>
          </cell>
          <cell r="K363">
            <v>2.4019463123940734</v>
          </cell>
          <cell r="L363">
            <v>1.8431999999999999</v>
          </cell>
          <cell r="M363">
            <v>26.0352</v>
          </cell>
          <cell r="N363">
            <v>0</v>
          </cell>
          <cell r="O363">
            <v>312.72107625905539</v>
          </cell>
          <cell r="Q363">
            <v>312.72107625905539</v>
          </cell>
          <cell r="S363">
            <v>312.72107625905539</v>
          </cell>
          <cell r="U363" t="str">
            <v>Net Sales</v>
          </cell>
          <cell r="V363">
            <v>1.557608979378752</v>
          </cell>
          <cell r="W363">
            <v>20.759041480546554</v>
          </cell>
          <cell r="X363">
            <v>30.932743366364171</v>
          </cell>
          <cell r="Y363">
            <v>55.043732031351574</v>
          </cell>
          <cell r="Z363">
            <v>109.10602764063695</v>
          </cell>
          <cell r="AA363">
            <v>208.08869357590851</v>
          </cell>
          <cell r="AB363">
            <v>281.54416318916816</v>
          </cell>
          <cell r="AC363">
            <v>282.44072994666135</v>
          </cell>
          <cell r="AD363">
            <v>284.84267625905539</v>
          </cell>
          <cell r="AE363">
            <v>286.68587625905542</v>
          </cell>
          <cell r="AF363">
            <v>312.72107625905539</v>
          </cell>
          <cell r="AI363" t="str">
            <v>Net Sales</v>
          </cell>
          <cell r="AJ363">
            <v>30.932743366364171</v>
          </cell>
          <cell r="AK363">
            <v>177.15595020954433</v>
          </cell>
          <cell r="AL363">
            <v>76.753982683146916</v>
          </cell>
          <cell r="AM363">
            <v>27.878399999999999</v>
          </cell>
        </row>
        <row r="365">
          <cell r="A365" t="str">
            <v>Inventory Cost</v>
          </cell>
          <cell r="C365">
            <v>0.76793000000000011</v>
          </cell>
          <cell r="D365">
            <v>10.789515951834746</v>
          </cell>
          <cell r="E365">
            <v>4.9740867470937742</v>
          </cell>
          <cell r="F365">
            <v>11.948722000000002</v>
          </cell>
          <cell r="G365">
            <v>27.275683739988217</v>
          </cell>
          <cell r="H365">
            <v>53.730437998683499</v>
          </cell>
          <cell r="I365">
            <v>42.333533464477497</v>
          </cell>
          <cell r="J365">
            <v>0.487958</v>
          </cell>
          <cell r="K365">
            <v>1.1423648000000002</v>
          </cell>
          <cell r="L365">
            <v>1.5499823319641501</v>
          </cell>
          <cell r="M365">
            <v>21.893500329776764</v>
          </cell>
          <cell r="N365">
            <v>0</v>
          </cell>
          <cell r="O365">
            <v>176.89371536381861</v>
          </cell>
          <cell r="Q365">
            <v>178.74967996580048</v>
          </cell>
          <cell r="S365">
            <v>178.74967996580048</v>
          </cell>
          <cell r="U365" t="str">
            <v>Inventory Cost</v>
          </cell>
          <cell r="V365">
            <v>0.76793000000000011</v>
          </cell>
          <cell r="W365">
            <v>11.557445951834746</v>
          </cell>
          <cell r="X365">
            <v>16.531532698928519</v>
          </cell>
          <cell r="Y365">
            <v>28.480254698928519</v>
          </cell>
          <cell r="Z365">
            <v>55.755938438916736</v>
          </cell>
          <cell r="AA365">
            <v>109.48637643760023</v>
          </cell>
          <cell r="AB365">
            <v>151.81990990207771</v>
          </cell>
          <cell r="AC365">
            <v>152.3078679020777</v>
          </cell>
          <cell r="AD365">
            <v>153.4502327020777</v>
          </cell>
          <cell r="AE365">
            <v>155.00021503404184</v>
          </cell>
          <cell r="AF365">
            <v>176.89371536381861</v>
          </cell>
          <cell r="AI365" t="str">
            <v>Inventory Cost</v>
          </cell>
          <cell r="AJ365">
            <v>16.531532698928519</v>
          </cell>
          <cell r="AK365">
            <v>92.954843738671713</v>
          </cell>
          <cell r="AL365">
            <v>43.963856264477499</v>
          </cell>
          <cell r="AM365">
            <v>23.443482661740912</v>
          </cell>
        </row>
        <row r="366">
          <cell r="A366" t="str">
            <v>Non Std. Cost</v>
          </cell>
          <cell r="C366">
            <v>9.3456538762725111E-2</v>
          </cell>
          <cell r="D366">
            <v>1.152085950070068</v>
          </cell>
          <cell r="E366">
            <v>0.61042211314905703</v>
          </cell>
          <cell r="F366">
            <v>0</v>
          </cell>
          <cell r="G366">
            <v>0</v>
          </cell>
          <cell r="H366">
            <v>0</v>
          </cell>
          <cell r="I366">
            <v>0</v>
          </cell>
          <cell r="J366">
            <v>0</v>
          </cell>
          <cell r="K366">
            <v>0</v>
          </cell>
          <cell r="L366">
            <v>0</v>
          </cell>
          <cell r="M366">
            <v>0</v>
          </cell>
          <cell r="N366">
            <v>0</v>
          </cell>
          <cell r="O366">
            <v>1.8559646019818501</v>
          </cell>
          <cell r="Q366">
            <v>0</v>
          </cell>
          <cell r="S366">
            <v>0</v>
          </cell>
          <cell r="U366" t="str">
            <v>Non Std. Cost</v>
          </cell>
          <cell r="V366">
            <v>9.3456538762725111E-2</v>
          </cell>
          <cell r="W366">
            <v>1.2455424888327931</v>
          </cell>
          <cell r="X366">
            <v>1.8559646019818501</v>
          </cell>
          <cell r="Y366">
            <v>1.8559646019818501</v>
          </cell>
          <cell r="Z366">
            <v>1.8559646019818501</v>
          </cell>
          <cell r="AA366">
            <v>1.8559646019818501</v>
          </cell>
          <cell r="AB366">
            <v>1.8559646019818501</v>
          </cell>
          <cell r="AC366">
            <v>1.8559646019818501</v>
          </cell>
          <cell r="AD366">
            <v>1.8559646019818501</v>
          </cell>
          <cell r="AE366">
            <v>1.8559646019818501</v>
          </cell>
          <cell r="AF366">
            <v>1.8559646019818501</v>
          </cell>
          <cell r="AI366" t="str">
            <v>Non Std. Cost</v>
          </cell>
          <cell r="AJ366">
            <v>1.8559646019818501</v>
          </cell>
          <cell r="AK366">
            <v>0</v>
          </cell>
          <cell r="AL366">
            <v>0</v>
          </cell>
          <cell r="AM366">
            <v>0</v>
          </cell>
        </row>
        <row r="367">
          <cell r="A367" t="str">
            <v>Alloc. NSC (STL)</v>
          </cell>
          <cell r="C367">
            <v>0</v>
          </cell>
          <cell r="D367">
            <v>0</v>
          </cell>
          <cell r="E367">
            <v>0</v>
          </cell>
          <cell r="F367">
            <v>0</v>
          </cell>
          <cell r="G367">
            <v>0</v>
          </cell>
          <cell r="H367">
            <v>0</v>
          </cell>
          <cell r="I367">
            <v>0</v>
          </cell>
          <cell r="J367">
            <v>0</v>
          </cell>
          <cell r="K367">
            <v>0</v>
          </cell>
          <cell r="L367">
            <v>0</v>
          </cell>
          <cell r="M367">
            <v>0</v>
          </cell>
          <cell r="N367">
            <v>0</v>
          </cell>
          <cell r="O367">
            <v>0</v>
          </cell>
          <cell r="Q367">
            <v>0</v>
          </cell>
          <cell r="S367">
            <v>0</v>
          </cell>
          <cell r="U367" t="str">
            <v>Alloc. NSC (STL)</v>
          </cell>
          <cell r="V367">
            <v>0</v>
          </cell>
          <cell r="W367">
            <v>0</v>
          </cell>
          <cell r="X367">
            <v>0</v>
          </cell>
          <cell r="Y367">
            <v>0</v>
          </cell>
          <cell r="Z367">
            <v>0</v>
          </cell>
          <cell r="AA367">
            <v>0</v>
          </cell>
          <cell r="AB367">
            <v>0</v>
          </cell>
          <cell r="AC367">
            <v>0</v>
          </cell>
          <cell r="AD367">
            <v>0</v>
          </cell>
          <cell r="AE367">
            <v>0</v>
          </cell>
          <cell r="AF367">
            <v>0</v>
          </cell>
          <cell r="AI367" t="str">
            <v>Alloc. NSC (STL)</v>
          </cell>
          <cell r="AJ367">
            <v>0</v>
          </cell>
          <cell r="AK367">
            <v>0</v>
          </cell>
          <cell r="AL367">
            <v>0</v>
          </cell>
          <cell r="AM367">
            <v>0</v>
          </cell>
        </row>
        <row r="368">
          <cell r="A368" t="str">
            <v>COGS</v>
          </cell>
          <cell r="C368">
            <v>0.8613865387627252</v>
          </cell>
          <cell r="D368">
            <v>11.941601901904814</v>
          </cell>
          <cell r="E368">
            <v>5.5845088602428312</v>
          </cell>
          <cell r="F368">
            <v>11.948722000000002</v>
          </cell>
          <cell r="G368">
            <v>27.275683739988217</v>
          </cell>
          <cell r="H368">
            <v>53.730437998683499</v>
          </cell>
          <cell r="I368">
            <v>42.333533464477497</v>
          </cell>
          <cell r="J368">
            <v>0.487958</v>
          </cell>
          <cell r="K368">
            <v>1.1423648000000002</v>
          </cell>
          <cell r="L368">
            <v>1.5499823319641501</v>
          </cell>
          <cell r="M368">
            <v>21.893500329776764</v>
          </cell>
          <cell r="N368">
            <v>0</v>
          </cell>
          <cell r="O368">
            <v>178.74967996580045</v>
          </cell>
          <cell r="Q368">
            <v>178.74967996580048</v>
          </cell>
          <cell r="S368">
            <v>178.74967996580048</v>
          </cell>
          <cell r="U368" t="str">
            <v>COGS</v>
          </cell>
          <cell r="V368">
            <v>0.8613865387627252</v>
          </cell>
          <cell r="W368">
            <v>12.802988440667539</v>
          </cell>
          <cell r="X368">
            <v>18.387497300910368</v>
          </cell>
          <cell r="Y368">
            <v>30.336219300910368</v>
          </cell>
          <cell r="Z368">
            <v>57.611903040898589</v>
          </cell>
          <cell r="AA368">
            <v>111.34234103958208</v>
          </cell>
          <cell r="AB368">
            <v>153.67587450405955</v>
          </cell>
          <cell r="AC368">
            <v>154.16383250405954</v>
          </cell>
          <cell r="AD368">
            <v>155.30619730405954</v>
          </cell>
          <cell r="AE368">
            <v>156.85617963602368</v>
          </cell>
          <cell r="AF368">
            <v>178.74967996580045</v>
          </cell>
          <cell r="AI368" t="str">
            <v>COGS</v>
          </cell>
          <cell r="AJ368">
            <v>18.387497300910368</v>
          </cell>
          <cell r="AK368">
            <v>92.954843738671713</v>
          </cell>
          <cell r="AL368">
            <v>43.963856264477499</v>
          </cell>
          <cell r="AM368">
            <v>23.443482661740912</v>
          </cell>
        </row>
        <row r="370">
          <cell r="A370" t="str">
            <v>Gross Profit</v>
          </cell>
          <cell r="C370">
            <v>0.69622244061602678</v>
          </cell>
          <cell r="D370">
            <v>7.2598305992629868</v>
          </cell>
          <cell r="E370">
            <v>4.5891930255747866</v>
          </cell>
          <cell r="F370">
            <v>12.162266664987401</v>
          </cell>
          <cell r="G370">
            <v>26.786611869297161</v>
          </cell>
          <cell r="H370">
            <v>45.252227936588042</v>
          </cell>
          <cell r="I370">
            <v>31.121936148782154</v>
          </cell>
          <cell r="J370">
            <v>0.40860875749318792</v>
          </cell>
          <cell r="K370">
            <v>1.2595815123940732</v>
          </cell>
          <cell r="L370">
            <v>0.29321766803584981</v>
          </cell>
          <cell r="M370">
            <v>4.141699670223236</v>
          </cell>
          <cell r="N370">
            <v>0</v>
          </cell>
          <cell r="O370">
            <v>133.97139629325494</v>
          </cell>
          <cell r="Q370">
            <v>133.97139629325491</v>
          </cell>
          <cell r="S370">
            <v>133.97139629325491</v>
          </cell>
          <cell r="U370" t="str">
            <v>Gross Profit</v>
          </cell>
          <cell r="V370">
            <v>0.69622244061602678</v>
          </cell>
          <cell r="W370">
            <v>7.9560530398790146</v>
          </cell>
          <cell r="X370">
            <v>12.545246065453803</v>
          </cell>
          <cell r="Y370">
            <v>24.707512730441206</v>
          </cell>
          <cell r="Z370">
            <v>51.494124599738363</v>
          </cell>
          <cell r="AA370">
            <v>96.746352536326427</v>
          </cell>
          <cell r="AB370">
            <v>127.86828868510861</v>
          </cell>
          <cell r="AC370">
            <v>128.27689744260181</v>
          </cell>
          <cell r="AD370">
            <v>129.53647895499586</v>
          </cell>
          <cell r="AE370">
            <v>129.82969662303174</v>
          </cell>
          <cell r="AF370">
            <v>133.97139629325494</v>
          </cell>
          <cell r="AI370" t="str">
            <v>Gross Profit</v>
          </cell>
          <cell r="AJ370">
            <v>12.545246065453803</v>
          </cell>
          <cell r="AK370">
            <v>84.201106470872617</v>
          </cell>
          <cell r="AL370">
            <v>32.790126418669416</v>
          </cell>
          <cell r="AM370">
            <v>4.434917338259087</v>
          </cell>
        </row>
        <row r="371">
          <cell r="A371" t="str">
            <v>% of Sales</v>
          </cell>
          <cell r="C371">
            <v>0.44698152734951052</v>
          </cell>
          <cell r="D371">
            <v>0.37808796811495471</v>
          </cell>
          <cell r="E371">
            <v>0.45108389031648655</v>
          </cell>
          <cell r="F371">
            <v>0.50442836807636793</v>
          </cell>
          <cell r="G371">
            <v>0.49547677484669134</v>
          </cell>
          <cell r="H371">
            <v>0.45717325866106862</v>
          </cell>
          <cell r="I371">
            <v>0.42368439426822813</v>
          </cell>
          <cell r="J371">
            <v>0.45574827984439575</v>
          </cell>
          <cell r="K371">
            <v>0.52440036061364759</v>
          </cell>
          <cell r="L371">
            <v>0.15908076607847754</v>
          </cell>
          <cell r="M371">
            <v>0.15908077027344658</v>
          </cell>
          <cell r="N371">
            <v>0</v>
          </cell>
          <cell r="O371">
            <v>0.42840539529952953</v>
          </cell>
          <cell r="Q371">
            <v>0.42840539529952942</v>
          </cell>
          <cell r="S371">
            <v>0.42840539529952942</v>
          </cell>
          <cell r="U371" t="str">
            <v>% of Sales</v>
          </cell>
          <cell r="V371">
            <v>0.44698152734951052</v>
          </cell>
          <cell r="W371">
            <v>0.38325724467262562</v>
          </cell>
          <cell r="X371">
            <v>0.40556525869268117</v>
          </cell>
          <cell r="Y371">
            <v>0.44887059468221385</v>
          </cell>
          <cell r="Z371">
            <v>0.47196406755220538</v>
          </cell>
          <cell r="AA371">
            <v>0.46492844408691719</v>
          </cell>
          <cell r="AB371">
            <v>0.45416778396927565</v>
          </cell>
          <cell r="AC371">
            <v>0.45417280102210034</v>
          </cell>
          <cell r="AD371">
            <v>0.45476499749351651</v>
          </cell>
          <cell r="AE371">
            <v>0.45286394403927621</v>
          </cell>
          <cell r="AF371">
            <v>0.42840539529952953</v>
          </cell>
          <cell r="AI371" t="str">
            <v>% of Sales</v>
          </cell>
          <cell r="AJ371">
            <v>0.40556525869268117</v>
          </cell>
          <cell r="AK371">
            <v>0.47529369671906319</v>
          </cell>
          <cell r="AL371">
            <v>0.42721074884195209</v>
          </cell>
          <cell r="AM371">
            <v>0.15908076999609327</v>
          </cell>
        </row>
        <row r="373">
          <cell r="A373" t="str">
            <v>Marketing</v>
          </cell>
          <cell r="C373">
            <v>3.3282189837704137</v>
          </cell>
          <cell r="D373">
            <v>4.2012952900534266</v>
          </cell>
          <cell r="E373">
            <v>5.2526529394159969</v>
          </cell>
          <cell r="F373">
            <v>5.0239013188596076</v>
          </cell>
          <cell r="G373">
            <v>7.3395028360896486</v>
          </cell>
          <cell r="H373">
            <v>6.7305656131042841</v>
          </cell>
          <cell r="I373">
            <v>5.9501040968397803</v>
          </cell>
          <cell r="J373">
            <v>3.2882274465081478</v>
          </cell>
          <cell r="K373">
            <v>4.8482281462558037</v>
          </cell>
          <cell r="L373">
            <v>2.739468716064708</v>
          </cell>
          <cell r="M373">
            <v>2.7405887776924605</v>
          </cell>
          <cell r="N373">
            <v>3.7519868121197861</v>
          </cell>
          <cell r="O373">
            <v>55.194740976774064</v>
          </cell>
          <cell r="Q373">
            <v>55.194740976774064</v>
          </cell>
          <cell r="S373">
            <v>55.194740976774064</v>
          </cell>
          <cell r="U373" t="str">
            <v>Marketing</v>
          </cell>
          <cell r="V373">
            <v>3.3282189837704137</v>
          </cell>
          <cell r="W373">
            <v>7.5295142738238408</v>
          </cell>
          <cell r="X373">
            <v>12.782167213239838</v>
          </cell>
          <cell r="Y373">
            <v>17.806068532099445</v>
          </cell>
          <cell r="Z373">
            <v>25.145571368189096</v>
          </cell>
          <cell r="AA373">
            <v>31.876136981293378</v>
          </cell>
          <cell r="AB373">
            <v>37.826241078133158</v>
          </cell>
          <cell r="AC373">
            <v>41.114468524641303</v>
          </cell>
          <cell r="AD373">
            <v>45.96269667089711</v>
          </cell>
          <cell r="AE373">
            <v>48.702165386961816</v>
          </cell>
          <cell r="AF373">
            <v>51.442754164654275</v>
          </cell>
          <cell r="AI373" t="str">
            <v>Marketing</v>
          </cell>
          <cell r="AJ373">
            <v>12.782167213239838</v>
          </cell>
          <cell r="AK373">
            <v>19.09396976805354</v>
          </cell>
          <cell r="AL373">
            <v>14.086559689603732</v>
          </cell>
          <cell r="AM373">
            <v>9.2320443058769541</v>
          </cell>
        </row>
        <row r="374">
          <cell r="A374" t="str">
            <v>Administration</v>
          </cell>
          <cell r="C374">
            <v>0</v>
          </cell>
          <cell r="D374">
            <v>0</v>
          </cell>
          <cell r="E374">
            <v>0</v>
          </cell>
          <cell r="F374">
            <v>0</v>
          </cell>
          <cell r="G374">
            <v>0</v>
          </cell>
          <cell r="H374">
            <v>0</v>
          </cell>
          <cell r="I374">
            <v>0</v>
          </cell>
          <cell r="J374">
            <v>0</v>
          </cell>
          <cell r="K374">
            <v>0</v>
          </cell>
          <cell r="L374">
            <v>0</v>
          </cell>
          <cell r="M374">
            <v>0</v>
          </cell>
          <cell r="N374">
            <v>0</v>
          </cell>
          <cell r="O374">
            <v>0</v>
          </cell>
          <cell r="Q374">
            <v>0</v>
          </cell>
          <cell r="S374">
            <v>0</v>
          </cell>
          <cell r="U374" t="str">
            <v>Administration</v>
          </cell>
          <cell r="V374">
            <v>0</v>
          </cell>
          <cell r="W374">
            <v>0</v>
          </cell>
          <cell r="X374">
            <v>0</v>
          </cell>
          <cell r="Y374">
            <v>0</v>
          </cell>
          <cell r="Z374">
            <v>0</v>
          </cell>
          <cell r="AA374">
            <v>0</v>
          </cell>
          <cell r="AB374">
            <v>0</v>
          </cell>
          <cell r="AC374">
            <v>0</v>
          </cell>
          <cell r="AD374">
            <v>0</v>
          </cell>
          <cell r="AE374">
            <v>0</v>
          </cell>
          <cell r="AF374">
            <v>0</v>
          </cell>
          <cell r="AI374" t="str">
            <v>Administration</v>
          </cell>
          <cell r="AJ374">
            <v>0</v>
          </cell>
          <cell r="AK374">
            <v>0</v>
          </cell>
          <cell r="AL374">
            <v>0</v>
          </cell>
          <cell r="AM374">
            <v>0</v>
          </cell>
        </row>
        <row r="375">
          <cell r="A375" t="str">
            <v>Technology</v>
          </cell>
          <cell r="C375">
            <v>0</v>
          </cell>
          <cell r="D375">
            <v>0</v>
          </cell>
          <cell r="E375">
            <v>0</v>
          </cell>
          <cell r="F375">
            <v>0</v>
          </cell>
          <cell r="G375">
            <v>0</v>
          </cell>
          <cell r="H375">
            <v>0</v>
          </cell>
          <cell r="I375">
            <v>0</v>
          </cell>
          <cell r="J375">
            <v>0</v>
          </cell>
          <cell r="K375">
            <v>0</v>
          </cell>
          <cell r="L375">
            <v>0</v>
          </cell>
          <cell r="M375">
            <v>0</v>
          </cell>
          <cell r="N375">
            <v>0</v>
          </cell>
          <cell r="O375">
            <v>0</v>
          </cell>
          <cell r="Q375">
            <v>0</v>
          </cell>
          <cell r="S375">
            <v>0</v>
          </cell>
          <cell r="U375" t="str">
            <v>Technology</v>
          </cell>
          <cell r="V375">
            <v>0</v>
          </cell>
          <cell r="W375">
            <v>0</v>
          </cell>
          <cell r="X375">
            <v>0</v>
          </cell>
          <cell r="Y375">
            <v>0</v>
          </cell>
          <cell r="Z375">
            <v>0</v>
          </cell>
          <cell r="AA375">
            <v>0</v>
          </cell>
          <cell r="AB375">
            <v>0</v>
          </cell>
          <cell r="AC375">
            <v>0</v>
          </cell>
          <cell r="AD375">
            <v>0</v>
          </cell>
          <cell r="AE375">
            <v>0</v>
          </cell>
          <cell r="AF375">
            <v>0</v>
          </cell>
          <cell r="AI375" t="str">
            <v>Technology</v>
          </cell>
          <cell r="AJ375">
            <v>0</v>
          </cell>
          <cell r="AK375">
            <v>0</v>
          </cell>
          <cell r="AL375">
            <v>0</v>
          </cell>
          <cell r="AM375">
            <v>0</v>
          </cell>
        </row>
        <row r="376">
          <cell r="A376" t="str">
            <v>Bad Debt Reserve</v>
          </cell>
          <cell r="C376">
            <v>0</v>
          </cell>
          <cell r="D376">
            <v>0</v>
          </cell>
          <cell r="E376">
            <v>0</v>
          </cell>
          <cell r="F376">
            <v>0</v>
          </cell>
          <cell r="G376">
            <v>0</v>
          </cell>
          <cell r="H376">
            <v>0</v>
          </cell>
          <cell r="I376">
            <v>0</v>
          </cell>
          <cell r="J376">
            <v>0</v>
          </cell>
          <cell r="K376">
            <v>0</v>
          </cell>
          <cell r="L376">
            <v>0</v>
          </cell>
          <cell r="M376">
            <v>0</v>
          </cell>
          <cell r="N376">
            <v>0</v>
          </cell>
          <cell r="O376">
            <v>0</v>
          </cell>
          <cell r="Q376">
            <v>0</v>
          </cell>
          <cell r="S376">
            <v>0</v>
          </cell>
          <cell r="U376" t="str">
            <v>Bad Debt Reserve</v>
          </cell>
          <cell r="V376">
            <v>0</v>
          </cell>
          <cell r="W376">
            <v>0</v>
          </cell>
          <cell r="X376">
            <v>0</v>
          </cell>
          <cell r="Y376">
            <v>0</v>
          </cell>
          <cell r="Z376">
            <v>0</v>
          </cell>
          <cell r="AA376">
            <v>0</v>
          </cell>
          <cell r="AB376">
            <v>0</v>
          </cell>
          <cell r="AC376">
            <v>0</v>
          </cell>
          <cell r="AD376">
            <v>0</v>
          </cell>
          <cell r="AE376">
            <v>0</v>
          </cell>
          <cell r="AF376">
            <v>0</v>
          </cell>
          <cell r="AI376" t="str">
            <v>Bad Debt Reserve</v>
          </cell>
          <cell r="AJ376">
            <v>0</v>
          </cell>
          <cell r="AK376">
            <v>0</v>
          </cell>
          <cell r="AL376">
            <v>0</v>
          </cell>
          <cell r="AM376">
            <v>0</v>
          </cell>
        </row>
        <row r="377">
          <cell r="A377" t="str">
            <v>Total Direct MAT</v>
          </cell>
          <cell r="C377">
            <v>3.3282189837704137</v>
          </cell>
          <cell r="D377">
            <v>4.2012952900534266</v>
          </cell>
          <cell r="E377">
            <v>5.2526529394159969</v>
          </cell>
          <cell r="F377">
            <v>5.0239013188596076</v>
          </cell>
          <cell r="G377">
            <v>7.3395028360896486</v>
          </cell>
          <cell r="H377">
            <v>6.7305656131042841</v>
          </cell>
          <cell r="I377">
            <v>5.9501040968397803</v>
          </cell>
          <cell r="J377">
            <v>3.2882274465081478</v>
          </cell>
          <cell r="K377">
            <v>4.8482281462558037</v>
          </cell>
          <cell r="L377">
            <v>2.739468716064708</v>
          </cell>
          <cell r="M377">
            <v>2.7405887776924605</v>
          </cell>
          <cell r="N377">
            <v>3.7519868121197861</v>
          </cell>
          <cell r="O377">
            <v>55.194740976774064</v>
          </cell>
          <cell r="Q377">
            <v>55.194740976774064</v>
          </cell>
          <cell r="S377">
            <v>55.194740976774064</v>
          </cell>
          <cell r="U377" t="str">
            <v>Total Direct MAT</v>
          </cell>
          <cell r="V377">
            <v>3.3282189837704137</v>
          </cell>
          <cell r="W377">
            <v>7.5295142738238408</v>
          </cell>
          <cell r="X377">
            <v>12.782167213239838</v>
          </cell>
          <cell r="Y377">
            <v>17.806068532099445</v>
          </cell>
          <cell r="Z377">
            <v>25.145571368189096</v>
          </cell>
          <cell r="AA377">
            <v>31.876136981293378</v>
          </cell>
          <cell r="AB377">
            <v>37.826241078133158</v>
          </cell>
          <cell r="AC377">
            <v>41.114468524641303</v>
          </cell>
          <cell r="AD377">
            <v>45.96269667089711</v>
          </cell>
          <cell r="AE377">
            <v>48.702165386961816</v>
          </cell>
          <cell r="AF377">
            <v>51.442754164654275</v>
          </cell>
          <cell r="AI377" t="str">
            <v>Total Direct MAT</v>
          </cell>
          <cell r="AJ377">
            <v>12.782167213239838</v>
          </cell>
          <cell r="AK377">
            <v>19.09396976805354</v>
          </cell>
          <cell r="AL377">
            <v>14.086559689603732</v>
          </cell>
          <cell r="AM377">
            <v>9.2320443058769541</v>
          </cell>
        </row>
        <row r="379">
          <cell r="A379" t="str">
            <v>Marketing</v>
          </cell>
          <cell r="C379">
            <v>0</v>
          </cell>
          <cell r="D379">
            <v>0</v>
          </cell>
          <cell r="E379">
            <v>0</v>
          </cell>
          <cell r="F379">
            <v>0</v>
          </cell>
          <cell r="G379">
            <v>0</v>
          </cell>
          <cell r="H379">
            <v>0</v>
          </cell>
          <cell r="I379">
            <v>0</v>
          </cell>
          <cell r="J379">
            <v>0</v>
          </cell>
          <cell r="K379">
            <v>0</v>
          </cell>
          <cell r="L379">
            <v>0</v>
          </cell>
          <cell r="M379">
            <v>0</v>
          </cell>
          <cell r="N379">
            <v>0</v>
          </cell>
          <cell r="O379">
            <v>0</v>
          </cell>
          <cell r="Q379">
            <v>0</v>
          </cell>
          <cell r="S379">
            <v>0</v>
          </cell>
          <cell r="U379" t="str">
            <v>Marketing</v>
          </cell>
          <cell r="V379">
            <v>0</v>
          </cell>
          <cell r="W379">
            <v>0</v>
          </cell>
          <cell r="X379">
            <v>0</v>
          </cell>
          <cell r="Y379">
            <v>0</v>
          </cell>
          <cell r="Z379">
            <v>0</v>
          </cell>
          <cell r="AA379">
            <v>0</v>
          </cell>
          <cell r="AB379">
            <v>0</v>
          </cell>
          <cell r="AC379">
            <v>0</v>
          </cell>
          <cell r="AD379">
            <v>0</v>
          </cell>
          <cell r="AE379">
            <v>0</v>
          </cell>
          <cell r="AF379">
            <v>0</v>
          </cell>
          <cell r="AI379" t="str">
            <v>Marketing</v>
          </cell>
          <cell r="AJ379">
            <v>0</v>
          </cell>
          <cell r="AK379">
            <v>0</v>
          </cell>
          <cell r="AL379">
            <v>0</v>
          </cell>
          <cell r="AM379">
            <v>0</v>
          </cell>
        </row>
        <row r="475">
          <cell r="A475" t="str">
            <v>Technology</v>
          </cell>
          <cell r="C475">
            <v>0</v>
          </cell>
          <cell r="D475">
            <v>0</v>
          </cell>
          <cell r="E475">
            <v>0</v>
          </cell>
          <cell r="F475">
            <v>0</v>
          </cell>
          <cell r="G475">
            <v>0</v>
          </cell>
          <cell r="H475">
            <v>0</v>
          </cell>
          <cell r="I475">
            <v>0</v>
          </cell>
          <cell r="J475">
            <v>0</v>
          </cell>
          <cell r="K475">
            <v>0</v>
          </cell>
          <cell r="L475">
            <v>0</v>
          </cell>
          <cell r="M475">
            <v>0</v>
          </cell>
          <cell r="N475">
            <v>0</v>
          </cell>
          <cell r="O475">
            <v>0</v>
          </cell>
          <cell r="Q475">
            <v>0</v>
          </cell>
          <cell r="S475">
            <v>0</v>
          </cell>
          <cell r="U475" t="str">
            <v>Technology</v>
          </cell>
          <cell r="V475">
            <v>0</v>
          </cell>
          <cell r="W475">
            <v>0</v>
          </cell>
          <cell r="X475">
            <v>0</v>
          </cell>
          <cell r="Y475">
            <v>0</v>
          </cell>
          <cell r="Z475">
            <v>0</v>
          </cell>
          <cell r="AA475">
            <v>0</v>
          </cell>
          <cell r="AB475">
            <v>0</v>
          </cell>
          <cell r="AC475">
            <v>0</v>
          </cell>
          <cell r="AD475">
            <v>0</v>
          </cell>
          <cell r="AE475">
            <v>0</v>
          </cell>
          <cell r="AF475">
            <v>0</v>
          </cell>
          <cell r="AI475" t="str">
            <v>Technology</v>
          </cell>
          <cell r="AJ475">
            <v>0</v>
          </cell>
          <cell r="AK475">
            <v>0</v>
          </cell>
          <cell r="AL475">
            <v>0</v>
          </cell>
          <cell r="AM475">
            <v>0</v>
          </cell>
        </row>
        <row r="476">
          <cell r="A476" t="str">
            <v>Total Foundation MAT</v>
          </cell>
          <cell r="C476">
            <v>0</v>
          </cell>
          <cell r="D476">
            <v>0</v>
          </cell>
          <cell r="E476">
            <v>0</v>
          </cell>
          <cell r="F476">
            <v>0</v>
          </cell>
          <cell r="G476">
            <v>0</v>
          </cell>
          <cell r="H476">
            <v>0</v>
          </cell>
          <cell r="I476">
            <v>0</v>
          </cell>
          <cell r="J476">
            <v>0</v>
          </cell>
          <cell r="K476">
            <v>0</v>
          </cell>
          <cell r="L476">
            <v>0</v>
          </cell>
          <cell r="M476">
            <v>0</v>
          </cell>
          <cell r="N476">
            <v>0</v>
          </cell>
          <cell r="O476">
            <v>0</v>
          </cell>
          <cell r="Q476">
            <v>0</v>
          </cell>
          <cell r="S476">
            <v>0</v>
          </cell>
          <cell r="U476" t="str">
            <v>Total Foundation MAT</v>
          </cell>
          <cell r="V476">
            <v>0</v>
          </cell>
          <cell r="W476">
            <v>0</v>
          </cell>
          <cell r="X476">
            <v>0</v>
          </cell>
          <cell r="Y476">
            <v>0</v>
          </cell>
          <cell r="Z476">
            <v>0</v>
          </cell>
          <cell r="AA476">
            <v>0</v>
          </cell>
          <cell r="AB476">
            <v>0</v>
          </cell>
          <cell r="AC476">
            <v>0</v>
          </cell>
          <cell r="AD476">
            <v>0</v>
          </cell>
          <cell r="AE476">
            <v>0</v>
          </cell>
          <cell r="AF476">
            <v>0</v>
          </cell>
          <cell r="AI476" t="str">
            <v>Total Foundation MAT</v>
          </cell>
          <cell r="AJ476">
            <v>0</v>
          </cell>
          <cell r="AK476">
            <v>0</v>
          </cell>
          <cell r="AL476">
            <v>0</v>
          </cell>
          <cell r="AM476">
            <v>0</v>
          </cell>
        </row>
        <row r="478">
          <cell r="A478" t="str">
            <v>Amort of Intangible  Assets</v>
          </cell>
          <cell r="C478">
            <v>0</v>
          </cell>
          <cell r="D478">
            <v>0</v>
          </cell>
          <cell r="E478">
            <v>0</v>
          </cell>
          <cell r="F478">
            <v>0</v>
          </cell>
          <cell r="G478">
            <v>0</v>
          </cell>
          <cell r="H478">
            <v>0</v>
          </cell>
          <cell r="I478">
            <v>0</v>
          </cell>
          <cell r="J478">
            <v>0</v>
          </cell>
          <cell r="K478">
            <v>0</v>
          </cell>
          <cell r="L478">
            <v>0</v>
          </cell>
          <cell r="M478">
            <v>0</v>
          </cell>
          <cell r="N478">
            <v>0</v>
          </cell>
          <cell r="O478">
            <v>0</v>
          </cell>
          <cell r="Q478">
            <v>0</v>
          </cell>
          <cell r="S478">
            <v>0</v>
          </cell>
          <cell r="U478" t="str">
            <v>Amort of Intangible  Assets</v>
          </cell>
          <cell r="V478">
            <v>0</v>
          </cell>
          <cell r="W478">
            <v>0</v>
          </cell>
          <cell r="X478">
            <v>0</v>
          </cell>
          <cell r="Y478">
            <v>0</v>
          </cell>
          <cell r="Z478">
            <v>0</v>
          </cell>
          <cell r="AA478">
            <v>0</v>
          </cell>
          <cell r="AB478">
            <v>0</v>
          </cell>
          <cell r="AC478">
            <v>0</v>
          </cell>
          <cell r="AD478">
            <v>0</v>
          </cell>
          <cell r="AE478">
            <v>0</v>
          </cell>
          <cell r="AF478">
            <v>0</v>
          </cell>
          <cell r="AI478" t="str">
            <v>Amort of Intangible  Assets</v>
          </cell>
          <cell r="AJ478">
            <v>0</v>
          </cell>
          <cell r="AK478">
            <v>0</v>
          </cell>
          <cell r="AL478">
            <v>0</v>
          </cell>
          <cell r="AM478">
            <v>0</v>
          </cell>
        </row>
        <row r="480">
          <cell r="A480" t="str">
            <v>Interest Expense</v>
          </cell>
          <cell r="C480">
            <v>0</v>
          </cell>
          <cell r="D480">
            <v>0</v>
          </cell>
          <cell r="E480">
            <v>0</v>
          </cell>
          <cell r="F480">
            <v>0</v>
          </cell>
          <cell r="G480">
            <v>0</v>
          </cell>
          <cell r="H480">
            <v>0</v>
          </cell>
          <cell r="I480">
            <v>0</v>
          </cell>
          <cell r="J480">
            <v>0</v>
          </cell>
          <cell r="K480">
            <v>0</v>
          </cell>
          <cell r="L480">
            <v>0</v>
          </cell>
          <cell r="M480">
            <v>0</v>
          </cell>
          <cell r="N480">
            <v>0</v>
          </cell>
          <cell r="O480">
            <v>0</v>
          </cell>
          <cell r="Q480">
            <v>0</v>
          </cell>
          <cell r="S480">
            <v>0</v>
          </cell>
          <cell r="U480" t="str">
            <v>Interest Expense</v>
          </cell>
          <cell r="V480">
            <v>0</v>
          </cell>
          <cell r="W480">
            <v>0</v>
          </cell>
          <cell r="X480">
            <v>0</v>
          </cell>
          <cell r="Y480">
            <v>0</v>
          </cell>
          <cell r="Z480">
            <v>0</v>
          </cell>
          <cell r="AA480">
            <v>0</v>
          </cell>
          <cell r="AB480">
            <v>0</v>
          </cell>
          <cell r="AC480">
            <v>0</v>
          </cell>
          <cell r="AD480">
            <v>0</v>
          </cell>
          <cell r="AE480">
            <v>0</v>
          </cell>
          <cell r="AF480">
            <v>0</v>
          </cell>
          <cell r="AI480" t="str">
            <v>Interest Expense</v>
          </cell>
          <cell r="AJ480">
            <v>0</v>
          </cell>
          <cell r="AK480">
            <v>0</v>
          </cell>
          <cell r="AL480">
            <v>0</v>
          </cell>
          <cell r="AM480">
            <v>0</v>
          </cell>
        </row>
        <row r="481">
          <cell r="A481" t="str">
            <v>Interest Income</v>
          </cell>
          <cell r="C481">
            <v>0</v>
          </cell>
          <cell r="D481">
            <v>0</v>
          </cell>
          <cell r="E481">
            <v>0</v>
          </cell>
          <cell r="F481">
            <v>0</v>
          </cell>
          <cell r="G481">
            <v>0</v>
          </cell>
          <cell r="H481">
            <v>0</v>
          </cell>
          <cell r="I481">
            <v>0</v>
          </cell>
          <cell r="J481">
            <v>0</v>
          </cell>
          <cell r="K481">
            <v>0</v>
          </cell>
          <cell r="L481">
            <v>0</v>
          </cell>
          <cell r="M481">
            <v>0</v>
          </cell>
          <cell r="N481">
            <v>0</v>
          </cell>
          <cell r="O481">
            <v>0</v>
          </cell>
          <cell r="Q481">
            <v>0</v>
          </cell>
          <cell r="S481">
            <v>0</v>
          </cell>
          <cell r="U481" t="str">
            <v>Interest Income</v>
          </cell>
          <cell r="V481">
            <v>0</v>
          </cell>
          <cell r="W481">
            <v>0</v>
          </cell>
          <cell r="X481">
            <v>0</v>
          </cell>
          <cell r="Y481">
            <v>0</v>
          </cell>
          <cell r="Z481">
            <v>0</v>
          </cell>
          <cell r="AA481">
            <v>0</v>
          </cell>
          <cell r="AB481">
            <v>0</v>
          </cell>
          <cell r="AC481">
            <v>0</v>
          </cell>
          <cell r="AD481">
            <v>0</v>
          </cell>
          <cell r="AE481">
            <v>0</v>
          </cell>
          <cell r="AF481">
            <v>0</v>
          </cell>
          <cell r="AI481" t="str">
            <v>Interest Income</v>
          </cell>
          <cell r="AJ481">
            <v>0</v>
          </cell>
          <cell r="AK481">
            <v>0</v>
          </cell>
          <cell r="AL481">
            <v>0</v>
          </cell>
          <cell r="AM481">
            <v>0</v>
          </cell>
        </row>
        <row r="482">
          <cell r="A482" t="str">
            <v>Other Income/Exp.</v>
          </cell>
          <cell r="C482">
            <v>0</v>
          </cell>
          <cell r="D482">
            <v>0</v>
          </cell>
          <cell r="E482">
            <v>0</v>
          </cell>
          <cell r="F482">
            <v>0</v>
          </cell>
          <cell r="G482">
            <v>0</v>
          </cell>
          <cell r="H482">
            <v>0</v>
          </cell>
          <cell r="I482">
            <v>0</v>
          </cell>
          <cell r="J482">
            <v>0</v>
          </cell>
          <cell r="K482">
            <v>0</v>
          </cell>
          <cell r="L482">
            <v>0</v>
          </cell>
          <cell r="M482">
            <v>0</v>
          </cell>
          <cell r="N482">
            <v>0</v>
          </cell>
          <cell r="O482">
            <v>0</v>
          </cell>
          <cell r="Q482">
            <v>0</v>
          </cell>
          <cell r="S482">
            <v>0</v>
          </cell>
          <cell r="U482" t="str">
            <v>Other Income/Exp.</v>
          </cell>
          <cell r="V482">
            <v>0</v>
          </cell>
          <cell r="W482">
            <v>0</v>
          </cell>
          <cell r="X482">
            <v>0</v>
          </cell>
          <cell r="Y482">
            <v>0</v>
          </cell>
          <cell r="Z482">
            <v>0</v>
          </cell>
          <cell r="AA482">
            <v>0</v>
          </cell>
          <cell r="AB482">
            <v>0</v>
          </cell>
          <cell r="AC482">
            <v>0</v>
          </cell>
          <cell r="AD482">
            <v>0</v>
          </cell>
          <cell r="AE482">
            <v>0</v>
          </cell>
          <cell r="AF482">
            <v>0</v>
          </cell>
          <cell r="AI482" t="str">
            <v>Other Income/Exp.</v>
          </cell>
          <cell r="AJ482">
            <v>0</v>
          </cell>
          <cell r="AK482">
            <v>0</v>
          </cell>
          <cell r="AL482">
            <v>0</v>
          </cell>
          <cell r="AM482">
            <v>0</v>
          </cell>
        </row>
        <row r="484">
          <cell r="A484" t="str">
            <v>Income Before Tax</v>
          </cell>
          <cell r="C484">
            <v>0</v>
          </cell>
          <cell r="D484">
            <v>0</v>
          </cell>
          <cell r="E484">
            <v>0</v>
          </cell>
          <cell r="F484">
            <v>0</v>
          </cell>
          <cell r="G484">
            <v>0</v>
          </cell>
          <cell r="H484">
            <v>0</v>
          </cell>
          <cell r="I484">
            <v>0</v>
          </cell>
          <cell r="J484">
            <v>0</v>
          </cell>
          <cell r="K484">
            <v>0</v>
          </cell>
          <cell r="L484">
            <v>0</v>
          </cell>
          <cell r="M484">
            <v>0</v>
          </cell>
          <cell r="N484">
            <v>0</v>
          </cell>
          <cell r="O484">
            <v>0</v>
          </cell>
          <cell r="Q484">
            <v>0</v>
          </cell>
          <cell r="S484">
            <v>0</v>
          </cell>
          <cell r="U484" t="str">
            <v>Income Before Tax</v>
          </cell>
          <cell r="V484">
            <v>0</v>
          </cell>
          <cell r="W484">
            <v>0</v>
          </cell>
          <cell r="X484">
            <v>0</v>
          </cell>
          <cell r="Y484">
            <v>0</v>
          </cell>
          <cell r="Z484">
            <v>0</v>
          </cell>
          <cell r="AA484">
            <v>0</v>
          </cell>
          <cell r="AB484">
            <v>0</v>
          </cell>
          <cell r="AC484">
            <v>0</v>
          </cell>
          <cell r="AD484">
            <v>0</v>
          </cell>
          <cell r="AE484">
            <v>0</v>
          </cell>
          <cell r="AF484">
            <v>0</v>
          </cell>
          <cell r="AI484" t="str">
            <v>Income Before Tax</v>
          </cell>
          <cell r="AJ484">
            <v>0</v>
          </cell>
          <cell r="AK484">
            <v>0</v>
          </cell>
          <cell r="AL484">
            <v>0</v>
          </cell>
          <cell r="AM484">
            <v>0</v>
          </cell>
        </row>
        <row r="485">
          <cell r="A485" t="str">
            <v>Privision for Taxes</v>
          </cell>
          <cell r="C485">
            <v>0</v>
          </cell>
          <cell r="D485">
            <v>0</v>
          </cell>
          <cell r="E485">
            <v>0</v>
          </cell>
          <cell r="F485">
            <v>0</v>
          </cell>
          <cell r="G485">
            <v>0</v>
          </cell>
          <cell r="H485">
            <v>0</v>
          </cell>
          <cell r="I485">
            <v>0</v>
          </cell>
          <cell r="J485">
            <v>0</v>
          </cell>
          <cell r="K485">
            <v>0</v>
          </cell>
          <cell r="L485">
            <v>0</v>
          </cell>
          <cell r="M485">
            <v>0</v>
          </cell>
          <cell r="N485">
            <v>0</v>
          </cell>
          <cell r="O485">
            <v>0</v>
          </cell>
          <cell r="Q485">
            <v>0</v>
          </cell>
          <cell r="S485">
            <v>0</v>
          </cell>
          <cell r="U485" t="str">
            <v>Privision for Taxes</v>
          </cell>
          <cell r="V485">
            <v>0</v>
          </cell>
          <cell r="W485">
            <v>0</v>
          </cell>
          <cell r="X485">
            <v>0</v>
          </cell>
          <cell r="Y485">
            <v>0</v>
          </cell>
          <cell r="Z485">
            <v>0</v>
          </cell>
          <cell r="AA485">
            <v>0</v>
          </cell>
          <cell r="AB485">
            <v>0</v>
          </cell>
          <cell r="AC485">
            <v>0</v>
          </cell>
          <cell r="AD485">
            <v>0</v>
          </cell>
          <cell r="AE485">
            <v>0</v>
          </cell>
          <cell r="AF485">
            <v>0</v>
          </cell>
          <cell r="AI485" t="str">
            <v>Privision for Taxes</v>
          </cell>
          <cell r="AJ485">
            <v>0</v>
          </cell>
          <cell r="AK485">
            <v>0</v>
          </cell>
          <cell r="AL485">
            <v>0</v>
          </cell>
          <cell r="AM485">
            <v>0</v>
          </cell>
        </row>
        <row r="486">
          <cell r="A486" t="str">
            <v>Tax rate %</v>
          </cell>
          <cell r="C486">
            <v>0</v>
          </cell>
          <cell r="D486">
            <v>0</v>
          </cell>
          <cell r="E486">
            <v>0</v>
          </cell>
          <cell r="F486">
            <v>0</v>
          </cell>
          <cell r="G486">
            <v>0</v>
          </cell>
          <cell r="H486">
            <v>0</v>
          </cell>
          <cell r="I486">
            <v>0</v>
          </cell>
          <cell r="J486">
            <v>0</v>
          </cell>
          <cell r="K486">
            <v>0</v>
          </cell>
          <cell r="L486">
            <v>0</v>
          </cell>
          <cell r="M486">
            <v>0</v>
          </cell>
          <cell r="N486">
            <v>0</v>
          </cell>
          <cell r="O486">
            <v>0</v>
          </cell>
          <cell r="Q486">
            <v>0</v>
          </cell>
          <cell r="S486">
            <v>0</v>
          </cell>
          <cell r="U486" t="str">
            <v>Tax rate %</v>
          </cell>
          <cell r="V486">
            <v>0</v>
          </cell>
          <cell r="W486">
            <v>0</v>
          </cell>
          <cell r="X486">
            <v>0</v>
          </cell>
          <cell r="Y486">
            <v>0</v>
          </cell>
          <cell r="Z486">
            <v>0</v>
          </cell>
          <cell r="AA486">
            <v>0</v>
          </cell>
          <cell r="AB486">
            <v>0</v>
          </cell>
          <cell r="AC486">
            <v>0</v>
          </cell>
          <cell r="AD486">
            <v>0</v>
          </cell>
          <cell r="AE486">
            <v>0</v>
          </cell>
          <cell r="AF486">
            <v>0</v>
          </cell>
          <cell r="AI486" t="str">
            <v>Tax rate %</v>
          </cell>
          <cell r="AJ486">
            <v>0</v>
          </cell>
          <cell r="AK486">
            <v>0</v>
          </cell>
          <cell r="AL486">
            <v>0</v>
          </cell>
          <cell r="AM486">
            <v>0</v>
          </cell>
        </row>
        <row r="488">
          <cell r="A488" t="str">
            <v>Net Income</v>
          </cell>
          <cell r="C488">
            <v>0</v>
          </cell>
          <cell r="D488">
            <v>0</v>
          </cell>
          <cell r="E488">
            <v>0</v>
          </cell>
          <cell r="F488">
            <v>0</v>
          </cell>
          <cell r="G488">
            <v>0</v>
          </cell>
          <cell r="H488">
            <v>0</v>
          </cell>
          <cell r="I488">
            <v>0</v>
          </cell>
          <cell r="J488">
            <v>0</v>
          </cell>
          <cell r="K488">
            <v>0</v>
          </cell>
          <cell r="L488">
            <v>0</v>
          </cell>
          <cell r="M488">
            <v>0</v>
          </cell>
          <cell r="N488">
            <v>0</v>
          </cell>
          <cell r="O488">
            <v>0</v>
          </cell>
          <cell r="Q488">
            <v>0</v>
          </cell>
          <cell r="S488">
            <v>0</v>
          </cell>
          <cell r="U488" t="str">
            <v>Net Income</v>
          </cell>
          <cell r="V488">
            <v>0</v>
          </cell>
          <cell r="W488">
            <v>0</v>
          </cell>
          <cell r="X488">
            <v>0</v>
          </cell>
          <cell r="Y488">
            <v>0</v>
          </cell>
          <cell r="Z488">
            <v>0</v>
          </cell>
          <cell r="AA488">
            <v>0</v>
          </cell>
          <cell r="AB488">
            <v>0</v>
          </cell>
          <cell r="AC488">
            <v>0</v>
          </cell>
          <cell r="AD488">
            <v>0</v>
          </cell>
          <cell r="AE488">
            <v>0</v>
          </cell>
          <cell r="AF488">
            <v>0</v>
          </cell>
          <cell r="AI488" t="str">
            <v>Net Income</v>
          </cell>
          <cell r="AJ488">
            <v>0</v>
          </cell>
          <cell r="AK488">
            <v>0</v>
          </cell>
          <cell r="AL488">
            <v>0</v>
          </cell>
          <cell r="AM488">
            <v>0</v>
          </cell>
        </row>
        <row r="489">
          <cell r="A489" t="str">
            <v>% Sales</v>
          </cell>
          <cell r="C489">
            <v>0</v>
          </cell>
          <cell r="D489">
            <v>0</v>
          </cell>
          <cell r="E489">
            <v>0</v>
          </cell>
          <cell r="F489">
            <v>0</v>
          </cell>
          <cell r="G489">
            <v>0</v>
          </cell>
          <cell r="H489">
            <v>0</v>
          </cell>
          <cell r="I489">
            <v>0</v>
          </cell>
          <cell r="J489">
            <v>0</v>
          </cell>
          <cell r="K489">
            <v>0</v>
          </cell>
          <cell r="L489">
            <v>0</v>
          </cell>
          <cell r="M489">
            <v>0</v>
          </cell>
          <cell r="N489">
            <v>0</v>
          </cell>
          <cell r="O489">
            <v>0</v>
          </cell>
          <cell r="Q489">
            <v>0</v>
          </cell>
          <cell r="S489">
            <v>0</v>
          </cell>
          <cell r="U489" t="str">
            <v>% Sales</v>
          </cell>
          <cell r="V489">
            <v>0</v>
          </cell>
          <cell r="W489">
            <v>0</v>
          </cell>
          <cell r="X489">
            <v>0</v>
          </cell>
          <cell r="Y489">
            <v>0</v>
          </cell>
          <cell r="Z489">
            <v>0</v>
          </cell>
          <cell r="AA489">
            <v>0</v>
          </cell>
          <cell r="AB489">
            <v>0</v>
          </cell>
          <cell r="AC489">
            <v>0</v>
          </cell>
          <cell r="AD489">
            <v>0</v>
          </cell>
          <cell r="AE489">
            <v>0</v>
          </cell>
          <cell r="AF489">
            <v>0</v>
          </cell>
          <cell r="AI489" t="str">
            <v>% Sales</v>
          </cell>
          <cell r="AJ489">
            <v>0</v>
          </cell>
          <cell r="AK489">
            <v>0</v>
          </cell>
          <cell r="AL489">
            <v>0</v>
          </cell>
          <cell r="AM489">
            <v>0</v>
          </cell>
        </row>
        <row r="491">
          <cell r="A491" t="str">
            <v>MEX Forecast '01</v>
          </cell>
          <cell r="U491" t="str">
            <v>MEX Forecast '01</v>
          </cell>
          <cell r="AI491" t="str">
            <v>MEX Forecast '01</v>
          </cell>
        </row>
        <row r="492">
          <cell r="A492" t="str">
            <v>Acetanilides</v>
          </cell>
          <cell r="Q492" t="str">
            <v>Changes</v>
          </cell>
          <cell r="S492" t="str">
            <v>Changes</v>
          </cell>
          <cell r="U492" t="str">
            <v>Acetanilides</v>
          </cell>
          <cell r="V492" t="str">
            <v>Jan</v>
          </cell>
          <cell r="W492" t="str">
            <v>Feb</v>
          </cell>
          <cell r="X492" t="str">
            <v>Mar</v>
          </cell>
          <cell r="Y492" t="str">
            <v>Apr</v>
          </cell>
          <cell r="Z492" t="str">
            <v>May</v>
          </cell>
          <cell r="AA492" t="str">
            <v>Jun</v>
          </cell>
          <cell r="AB492" t="str">
            <v>Jul</v>
          </cell>
          <cell r="AC492" t="str">
            <v>Aug</v>
          </cell>
          <cell r="AD492" t="str">
            <v>Sep</v>
          </cell>
          <cell r="AE492" t="str">
            <v>Oct</v>
          </cell>
          <cell r="AF492" t="str">
            <v>Nov</v>
          </cell>
          <cell r="AI492" t="str">
            <v>Acetanilides</v>
          </cell>
          <cell r="AJ492" t="str">
            <v>1st Qtr.</v>
          </cell>
          <cell r="AK492" t="str">
            <v>2nd Qtr.</v>
          </cell>
          <cell r="AL492" t="str">
            <v>3er Qtr.</v>
          </cell>
          <cell r="AM492" t="str">
            <v>4 Qtr.</v>
          </cell>
        </row>
        <row r="494">
          <cell r="A494" t="str">
            <v>Surfactante Volume (K Galls)</v>
          </cell>
          <cell r="C494">
            <v>0</v>
          </cell>
          <cell r="D494">
            <v>0</v>
          </cell>
          <cell r="E494">
            <v>0</v>
          </cell>
          <cell r="F494">
            <v>0</v>
          </cell>
          <cell r="G494">
            <v>0</v>
          </cell>
          <cell r="H494">
            <v>0</v>
          </cell>
          <cell r="I494">
            <v>0</v>
          </cell>
          <cell r="J494">
            <v>0</v>
          </cell>
          <cell r="K494">
            <v>0</v>
          </cell>
          <cell r="L494">
            <v>0</v>
          </cell>
          <cell r="M494">
            <v>0</v>
          </cell>
          <cell r="N494">
            <v>0</v>
          </cell>
          <cell r="O494">
            <v>0</v>
          </cell>
          <cell r="Q494">
            <v>0</v>
          </cell>
          <cell r="S494">
            <v>0</v>
          </cell>
          <cell r="U494" t="str">
            <v>Surfactante Volume (K Galls)</v>
          </cell>
          <cell r="V494">
            <v>0</v>
          </cell>
          <cell r="W494">
            <v>0</v>
          </cell>
          <cell r="X494">
            <v>0</v>
          </cell>
          <cell r="Y494">
            <v>0</v>
          </cell>
          <cell r="Z494">
            <v>0</v>
          </cell>
          <cell r="AA494">
            <v>0</v>
          </cell>
          <cell r="AB494">
            <v>0</v>
          </cell>
          <cell r="AC494">
            <v>0</v>
          </cell>
          <cell r="AD494">
            <v>0</v>
          </cell>
          <cell r="AE494">
            <v>0</v>
          </cell>
          <cell r="AF494">
            <v>0</v>
          </cell>
          <cell r="AI494" t="str">
            <v>Surfactante Volume (K Galls)</v>
          </cell>
          <cell r="AJ494">
            <v>0</v>
          </cell>
          <cell r="AK494">
            <v>0</v>
          </cell>
          <cell r="AL494">
            <v>0</v>
          </cell>
          <cell r="AM494">
            <v>0</v>
          </cell>
        </row>
        <row r="495">
          <cell r="A495" t="str">
            <v>Surfactante Netback (K Galls)</v>
          </cell>
          <cell r="C495">
            <v>0</v>
          </cell>
          <cell r="D495">
            <v>0</v>
          </cell>
          <cell r="E495">
            <v>0</v>
          </cell>
          <cell r="F495">
            <v>0</v>
          </cell>
          <cell r="G495">
            <v>0</v>
          </cell>
          <cell r="H495">
            <v>0</v>
          </cell>
          <cell r="I495">
            <v>0</v>
          </cell>
          <cell r="J495">
            <v>0</v>
          </cell>
          <cell r="K495">
            <v>0</v>
          </cell>
          <cell r="L495">
            <v>0</v>
          </cell>
          <cell r="M495">
            <v>0</v>
          </cell>
          <cell r="N495">
            <v>0</v>
          </cell>
          <cell r="O495">
            <v>0</v>
          </cell>
          <cell r="Q495">
            <v>0</v>
          </cell>
          <cell r="S495">
            <v>0</v>
          </cell>
          <cell r="U495" t="str">
            <v>Surfactante Netback (K Galls)</v>
          </cell>
          <cell r="V495">
            <v>0</v>
          </cell>
          <cell r="W495">
            <v>0</v>
          </cell>
          <cell r="X495">
            <v>0</v>
          </cell>
          <cell r="Y495">
            <v>0</v>
          </cell>
          <cell r="Z495">
            <v>0</v>
          </cell>
          <cell r="AA495">
            <v>0</v>
          </cell>
          <cell r="AB495">
            <v>0</v>
          </cell>
          <cell r="AC495">
            <v>0</v>
          </cell>
          <cell r="AD495">
            <v>0</v>
          </cell>
          <cell r="AE495">
            <v>0</v>
          </cell>
          <cell r="AF495">
            <v>0</v>
          </cell>
          <cell r="AI495" t="str">
            <v>Surfactante Netback (K Galls)</v>
          </cell>
          <cell r="AJ495">
            <v>0</v>
          </cell>
          <cell r="AK495">
            <v>0</v>
          </cell>
          <cell r="AL495">
            <v>0</v>
          </cell>
          <cell r="AM495">
            <v>0</v>
          </cell>
        </row>
        <row r="496">
          <cell r="A496" t="str">
            <v>Surfactante Unit COGS (K Galls)</v>
          </cell>
          <cell r="C496">
            <v>0</v>
          </cell>
          <cell r="D496">
            <v>0</v>
          </cell>
          <cell r="E496">
            <v>0</v>
          </cell>
          <cell r="F496">
            <v>0</v>
          </cell>
          <cell r="G496">
            <v>0</v>
          </cell>
          <cell r="H496">
            <v>0</v>
          </cell>
          <cell r="I496">
            <v>0</v>
          </cell>
          <cell r="J496">
            <v>0</v>
          </cell>
          <cell r="K496">
            <v>0</v>
          </cell>
          <cell r="L496">
            <v>0</v>
          </cell>
          <cell r="M496">
            <v>0</v>
          </cell>
          <cell r="N496">
            <v>0</v>
          </cell>
          <cell r="O496">
            <v>0</v>
          </cell>
          <cell r="Q496">
            <v>0</v>
          </cell>
          <cell r="S496">
            <v>0</v>
          </cell>
          <cell r="U496" t="str">
            <v>Surfactante Unit COGS (K Galls)</v>
          </cell>
          <cell r="V496">
            <v>0</v>
          </cell>
          <cell r="W496">
            <v>0</v>
          </cell>
          <cell r="X496">
            <v>0</v>
          </cell>
          <cell r="Y496">
            <v>0</v>
          </cell>
          <cell r="Z496">
            <v>0</v>
          </cell>
          <cell r="AA496">
            <v>0</v>
          </cell>
          <cell r="AB496">
            <v>0</v>
          </cell>
          <cell r="AC496">
            <v>0</v>
          </cell>
          <cell r="AD496">
            <v>0</v>
          </cell>
          <cell r="AE496">
            <v>0</v>
          </cell>
          <cell r="AF496">
            <v>0</v>
          </cell>
          <cell r="AI496" t="str">
            <v>Surfactante Unit COGS (K Galls)</v>
          </cell>
          <cell r="AJ496">
            <v>0</v>
          </cell>
          <cell r="AK496">
            <v>0</v>
          </cell>
          <cell r="AL496">
            <v>0</v>
          </cell>
          <cell r="AM496">
            <v>0</v>
          </cell>
        </row>
        <row r="497">
          <cell r="A497" t="str">
            <v>Factor de conversion</v>
          </cell>
          <cell r="B497">
            <v>0</v>
          </cell>
          <cell r="U497" t="str">
            <v>Factor de conversion</v>
          </cell>
          <cell r="AI497" t="str">
            <v>Factor de conversion</v>
          </cell>
        </row>
        <row r="498">
          <cell r="A498" t="str">
            <v>Surfactante Volume (K Te Lbs)</v>
          </cell>
          <cell r="C498">
            <v>0</v>
          </cell>
          <cell r="D498">
            <v>0</v>
          </cell>
          <cell r="E498">
            <v>0</v>
          </cell>
          <cell r="F498">
            <v>0</v>
          </cell>
          <cell r="G498">
            <v>0</v>
          </cell>
          <cell r="H498">
            <v>0</v>
          </cell>
          <cell r="I498">
            <v>0</v>
          </cell>
          <cell r="J498">
            <v>0</v>
          </cell>
          <cell r="K498">
            <v>0</v>
          </cell>
          <cell r="L498">
            <v>0</v>
          </cell>
          <cell r="M498">
            <v>0</v>
          </cell>
          <cell r="N498">
            <v>0</v>
          </cell>
          <cell r="O498">
            <v>0</v>
          </cell>
          <cell r="Q498">
            <v>0</v>
          </cell>
          <cell r="S498">
            <v>0</v>
          </cell>
          <cell r="U498" t="str">
            <v>Surfactante Volume (K Te Lbs)</v>
          </cell>
          <cell r="V498">
            <v>0</v>
          </cell>
          <cell r="W498">
            <v>0</v>
          </cell>
          <cell r="X498">
            <v>0</v>
          </cell>
          <cell r="Y498">
            <v>0</v>
          </cell>
          <cell r="Z498">
            <v>0</v>
          </cell>
          <cell r="AA498">
            <v>0</v>
          </cell>
          <cell r="AB498">
            <v>0</v>
          </cell>
          <cell r="AC498">
            <v>0</v>
          </cell>
          <cell r="AD498">
            <v>0</v>
          </cell>
          <cell r="AE498">
            <v>0</v>
          </cell>
          <cell r="AF498">
            <v>0</v>
          </cell>
          <cell r="AI498" t="str">
            <v>Surfactante Volume (K Te Lbs)</v>
          </cell>
          <cell r="AJ498">
            <v>0</v>
          </cell>
          <cell r="AK498">
            <v>0</v>
          </cell>
          <cell r="AL498">
            <v>0</v>
          </cell>
          <cell r="AM498">
            <v>0</v>
          </cell>
        </row>
        <row r="499">
          <cell r="A499" t="str">
            <v>Surfactante Netback (K TE Lbs)</v>
          </cell>
          <cell r="C499" t="e">
            <v>#DIV/0!</v>
          </cell>
          <cell r="D499" t="e">
            <v>#DIV/0!</v>
          </cell>
          <cell r="E499" t="e">
            <v>#DIV/0!</v>
          </cell>
          <cell r="F499" t="e">
            <v>#DIV/0!</v>
          </cell>
          <cell r="G499" t="e">
            <v>#DIV/0!</v>
          </cell>
          <cell r="H499" t="e">
            <v>#DIV/0!</v>
          </cell>
          <cell r="I499" t="e">
            <v>#DIV/0!</v>
          </cell>
          <cell r="J499" t="e">
            <v>#DIV/0!</v>
          </cell>
          <cell r="K499" t="e">
            <v>#DIV/0!</v>
          </cell>
          <cell r="L499" t="e">
            <v>#DIV/0!</v>
          </cell>
          <cell r="M499" t="e">
            <v>#DIV/0!</v>
          </cell>
          <cell r="N499" t="e">
            <v>#DIV/0!</v>
          </cell>
          <cell r="O499">
            <v>0</v>
          </cell>
          <cell r="Q499">
            <v>0</v>
          </cell>
          <cell r="S499">
            <v>0</v>
          </cell>
          <cell r="U499" t="str">
            <v>Surfactante Netback (K TE Lbs)</v>
          </cell>
          <cell r="V499" t="e">
            <v>#DIV/0!</v>
          </cell>
          <cell r="W499">
            <v>0</v>
          </cell>
          <cell r="X499">
            <v>0</v>
          </cell>
          <cell r="Y499">
            <v>0</v>
          </cell>
          <cell r="Z499">
            <v>0</v>
          </cell>
          <cell r="AA499">
            <v>0</v>
          </cell>
          <cell r="AB499">
            <v>0</v>
          </cell>
          <cell r="AC499">
            <v>0</v>
          </cell>
          <cell r="AD499">
            <v>0</v>
          </cell>
          <cell r="AE499">
            <v>0</v>
          </cell>
          <cell r="AF499">
            <v>0</v>
          </cell>
          <cell r="AI499" t="str">
            <v>Surfactante Netback (K TE Lbs)</v>
          </cell>
          <cell r="AJ499">
            <v>0</v>
          </cell>
          <cell r="AK499">
            <v>0</v>
          </cell>
          <cell r="AL499">
            <v>0</v>
          </cell>
          <cell r="AM499">
            <v>0</v>
          </cell>
        </row>
        <row r="500">
          <cell r="A500" t="str">
            <v>Surfactante Unit COGS (K TE Lbs)</v>
          </cell>
          <cell r="C500" t="e">
            <v>#DIV/0!</v>
          </cell>
          <cell r="D500" t="e">
            <v>#DIV/0!</v>
          </cell>
          <cell r="E500" t="e">
            <v>#DIV/0!</v>
          </cell>
          <cell r="F500" t="e">
            <v>#DIV/0!</v>
          </cell>
          <cell r="G500" t="e">
            <v>#DIV/0!</v>
          </cell>
          <cell r="H500" t="e">
            <v>#DIV/0!</v>
          </cell>
          <cell r="I500" t="e">
            <v>#DIV/0!</v>
          </cell>
          <cell r="J500" t="e">
            <v>#DIV/0!</v>
          </cell>
          <cell r="K500" t="e">
            <v>#DIV/0!</v>
          </cell>
          <cell r="L500" t="e">
            <v>#DIV/0!</v>
          </cell>
          <cell r="M500" t="e">
            <v>#DIV/0!</v>
          </cell>
          <cell r="N500" t="e">
            <v>#DIV/0!</v>
          </cell>
          <cell r="O500">
            <v>0</v>
          </cell>
          <cell r="Q500">
            <v>0</v>
          </cell>
          <cell r="S500">
            <v>0</v>
          </cell>
          <cell r="U500" t="str">
            <v>Surfactante Unit COGS (K TE Lbs)</v>
          </cell>
          <cell r="V500" t="e">
            <v>#DIV/0!</v>
          </cell>
          <cell r="W500">
            <v>0</v>
          </cell>
          <cell r="X500">
            <v>0</v>
          </cell>
          <cell r="Y500">
            <v>0</v>
          </cell>
          <cell r="Z500">
            <v>0</v>
          </cell>
          <cell r="AA500">
            <v>0</v>
          </cell>
          <cell r="AB500">
            <v>0</v>
          </cell>
          <cell r="AC500">
            <v>0</v>
          </cell>
          <cell r="AD500">
            <v>0</v>
          </cell>
          <cell r="AE500">
            <v>0</v>
          </cell>
          <cell r="AF500">
            <v>0</v>
          </cell>
          <cell r="AI500" t="str">
            <v>Surfactante Unit COGS (K TE Lbs)</v>
          </cell>
          <cell r="AJ500">
            <v>0</v>
          </cell>
          <cell r="AK500">
            <v>0</v>
          </cell>
          <cell r="AL500">
            <v>0</v>
          </cell>
          <cell r="AM500">
            <v>0</v>
          </cell>
        </row>
        <row r="502">
          <cell r="A502" t="str">
            <v>Net Sales</v>
          </cell>
          <cell r="C502">
            <v>0</v>
          </cell>
          <cell r="D502">
            <v>0</v>
          </cell>
          <cell r="E502">
            <v>0</v>
          </cell>
          <cell r="F502">
            <v>0</v>
          </cell>
          <cell r="G502">
            <v>0</v>
          </cell>
          <cell r="H502">
            <v>0</v>
          </cell>
          <cell r="I502">
            <v>0</v>
          </cell>
          <cell r="J502">
            <v>0</v>
          </cell>
          <cell r="K502">
            <v>0</v>
          </cell>
          <cell r="L502">
            <v>0</v>
          </cell>
          <cell r="M502">
            <v>0</v>
          </cell>
          <cell r="N502">
            <v>0</v>
          </cell>
          <cell r="O502">
            <v>0</v>
          </cell>
          <cell r="Q502">
            <v>0</v>
          </cell>
          <cell r="S502">
            <v>0</v>
          </cell>
          <cell r="U502" t="str">
            <v>Net Sales</v>
          </cell>
          <cell r="V502">
            <v>0</v>
          </cell>
          <cell r="W502">
            <v>0</v>
          </cell>
          <cell r="X502">
            <v>0</v>
          </cell>
          <cell r="Y502">
            <v>0</v>
          </cell>
          <cell r="Z502">
            <v>0</v>
          </cell>
          <cell r="AA502">
            <v>0</v>
          </cell>
          <cell r="AB502">
            <v>0</v>
          </cell>
          <cell r="AC502">
            <v>0</v>
          </cell>
          <cell r="AD502">
            <v>0</v>
          </cell>
          <cell r="AE502">
            <v>0</v>
          </cell>
          <cell r="AF502">
            <v>0</v>
          </cell>
          <cell r="AI502" t="str">
            <v>Net Sales</v>
          </cell>
          <cell r="AJ502">
            <v>0</v>
          </cell>
          <cell r="AK502">
            <v>0</v>
          </cell>
          <cell r="AL502">
            <v>0</v>
          </cell>
          <cell r="AM502">
            <v>0</v>
          </cell>
        </row>
        <row r="504">
          <cell r="A504" t="str">
            <v>Inventory Cost</v>
          </cell>
          <cell r="C504">
            <v>0</v>
          </cell>
          <cell r="D504">
            <v>0</v>
          </cell>
          <cell r="E504">
            <v>0</v>
          </cell>
          <cell r="F504">
            <v>0</v>
          </cell>
          <cell r="G504">
            <v>0</v>
          </cell>
          <cell r="H504">
            <v>0</v>
          </cell>
          <cell r="I504">
            <v>0</v>
          </cell>
          <cell r="J504">
            <v>0</v>
          </cell>
          <cell r="K504">
            <v>0</v>
          </cell>
          <cell r="L504">
            <v>0</v>
          </cell>
          <cell r="M504">
            <v>0</v>
          </cell>
          <cell r="N504">
            <v>0</v>
          </cell>
          <cell r="O504">
            <v>0</v>
          </cell>
          <cell r="Q504">
            <v>0</v>
          </cell>
          <cell r="S504">
            <v>0</v>
          </cell>
          <cell r="U504" t="str">
            <v>Inventory Cost</v>
          </cell>
          <cell r="V504">
            <v>0</v>
          </cell>
          <cell r="W504">
            <v>0</v>
          </cell>
          <cell r="X504">
            <v>0</v>
          </cell>
          <cell r="Y504">
            <v>0</v>
          </cell>
          <cell r="Z504">
            <v>0</v>
          </cell>
          <cell r="AA504">
            <v>0</v>
          </cell>
          <cell r="AB504">
            <v>0</v>
          </cell>
          <cell r="AC504">
            <v>0</v>
          </cell>
          <cell r="AD504">
            <v>0</v>
          </cell>
          <cell r="AE504">
            <v>0</v>
          </cell>
          <cell r="AF504">
            <v>0</v>
          </cell>
          <cell r="AI504" t="str">
            <v>Inventory Cost</v>
          </cell>
          <cell r="AJ504">
            <v>0</v>
          </cell>
          <cell r="AK504">
            <v>0</v>
          </cell>
          <cell r="AL504">
            <v>0</v>
          </cell>
          <cell r="AM504">
            <v>0</v>
          </cell>
        </row>
        <row r="505">
          <cell r="A505" t="str">
            <v>Non Std. Cost</v>
          </cell>
          <cell r="C505">
            <v>0</v>
          </cell>
          <cell r="D505">
            <v>0</v>
          </cell>
          <cell r="E505">
            <v>0</v>
          </cell>
          <cell r="F505">
            <v>0</v>
          </cell>
          <cell r="G505">
            <v>0</v>
          </cell>
          <cell r="H505">
            <v>0</v>
          </cell>
          <cell r="I505">
            <v>0</v>
          </cell>
          <cell r="J505">
            <v>0</v>
          </cell>
          <cell r="K505">
            <v>0</v>
          </cell>
          <cell r="L505">
            <v>0</v>
          </cell>
          <cell r="M505">
            <v>0</v>
          </cell>
          <cell r="N505">
            <v>0</v>
          </cell>
          <cell r="O505">
            <v>0</v>
          </cell>
          <cell r="Q505">
            <v>0</v>
          </cell>
          <cell r="S505">
            <v>0</v>
          </cell>
          <cell r="U505" t="str">
            <v>Non Std. Cost</v>
          </cell>
          <cell r="V505">
            <v>0</v>
          </cell>
          <cell r="W505">
            <v>0</v>
          </cell>
          <cell r="X505">
            <v>0</v>
          </cell>
          <cell r="Y505">
            <v>0</v>
          </cell>
          <cell r="Z505">
            <v>0</v>
          </cell>
          <cell r="AA505">
            <v>0</v>
          </cell>
          <cell r="AB505">
            <v>0</v>
          </cell>
          <cell r="AC505">
            <v>0</v>
          </cell>
          <cell r="AD505">
            <v>0</v>
          </cell>
          <cell r="AE505">
            <v>0</v>
          </cell>
          <cell r="AF505">
            <v>0</v>
          </cell>
          <cell r="AI505" t="str">
            <v>Non Std. Cost</v>
          </cell>
          <cell r="AJ505">
            <v>0</v>
          </cell>
          <cell r="AK505">
            <v>0</v>
          </cell>
          <cell r="AL505">
            <v>0</v>
          </cell>
          <cell r="AM505">
            <v>0</v>
          </cell>
        </row>
        <row r="506">
          <cell r="A506" t="str">
            <v>Alloc. NSC (STL)</v>
          </cell>
          <cell r="C506">
            <v>0</v>
          </cell>
          <cell r="D506">
            <v>0</v>
          </cell>
          <cell r="E506">
            <v>0</v>
          </cell>
          <cell r="F506">
            <v>0</v>
          </cell>
          <cell r="G506">
            <v>0</v>
          </cell>
          <cell r="H506">
            <v>0</v>
          </cell>
          <cell r="I506">
            <v>0</v>
          </cell>
          <cell r="J506">
            <v>0</v>
          </cell>
          <cell r="K506">
            <v>0</v>
          </cell>
          <cell r="L506">
            <v>0</v>
          </cell>
          <cell r="M506">
            <v>0</v>
          </cell>
          <cell r="N506">
            <v>0</v>
          </cell>
          <cell r="O506">
            <v>0</v>
          </cell>
          <cell r="Q506">
            <v>0</v>
          </cell>
          <cell r="S506">
            <v>0</v>
          </cell>
          <cell r="U506" t="str">
            <v>Alloc. NSC (STL)</v>
          </cell>
          <cell r="V506">
            <v>0</v>
          </cell>
          <cell r="W506">
            <v>0</v>
          </cell>
          <cell r="X506">
            <v>0</v>
          </cell>
          <cell r="Y506">
            <v>0</v>
          </cell>
          <cell r="Z506">
            <v>0</v>
          </cell>
          <cell r="AA506">
            <v>0</v>
          </cell>
          <cell r="AB506">
            <v>0</v>
          </cell>
          <cell r="AC506">
            <v>0</v>
          </cell>
          <cell r="AD506">
            <v>0</v>
          </cell>
          <cell r="AE506">
            <v>0</v>
          </cell>
          <cell r="AF506">
            <v>0</v>
          </cell>
          <cell r="AI506" t="str">
            <v>Alloc. NSC (STL)</v>
          </cell>
          <cell r="AJ506">
            <v>0</v>
          </cell>
          <cell r="AK506">
            <v>0</v>
          </cell>
          <cell r="AL506">
            <v>0</v>
          </cell>
          <cell r="AM506">
            <v>0</v>
          </cell>
        </row>
        <row r="507">
          <cell r="A507" t="str">
            <v>COGS</v>
          </cell>
          <cell r="C507">
            <v>0</v>
          </cell>
          <cell r="D507">
            <v>0</v>
          </cell>
          <cell r="E507">
            <v>0</v>
          </cell>
          <cell r="F507">
            <v>0</v>
          </cell>
          <cell r="G507">
            <v>0</v>
          </cell>
          <cell r="H507">
            <v>0</v>
          </cell>
          <cell r="I507">
            <v>0</v>
          </cell>
          <cell r="J507">
            <v>0</v>
          </cell>
          <cell r="K507">
            <v>0</v>
          </cell>
          <cell r="L507">
            <v>0</v>
          </cell>
          <cell r="M507">
            <v>0</v>
          </cell>
          <cell r="N507">
            <v>0</v>
          </cell>
          <cell r="O507">
            <v>0</v>
          </cell>
          <cell r="Q507">
            <v>0</v>
          </cell>
          <cell r="S507">
            <v>0</v>
          </cell>
          <cell r="U507" t="str">
            <v>COGS</v>
          </cell>
          <cell r="V507">
            <v>0</v>
          </cell>
          <cell r="W507">
            <v>0</v>
          </cell>
          <cell r="X507">
            <v>0</v>
          </cell>
          <cell r="Y507">
            <v>0</v>
          </cell>
          <cell r="Z507">
            <v>0</v>
          </cell>
          <cell r="AA507">
            <v>0</v>
          </cell>
          <cell r="AB507">
            <v>0</v>
          </cell>
          <cell r="AC507">
            <v>0</v>
          </cell>
          <cell r="AD507">
            <v>0</v>
          </cell>
          <cell r="AE507">
            <v>0</v>
          </cell>
          <cell r="AF507">
            <v>0</v>
          </cell>
          <cell r="AI507" t="str">
            <v>COGS</v>
          </cell>
          <cell r="AJ507">
            <v>0</v>
          </cell>
          <cell r="AK507">
            <v>0</v>
          </cell>
          <cell r="AL507">
            <v>0</v>
          </cell>
          <cell r="AM507">
            <v>0</v>
          </cell>
        </row>
        <row r="509">
          <cell r="A509" t="str">
            <v>Gross Profit</v>
          </cell>
          <cell r="C509">
            <v>0</v>
          </cell>
          <cell r="D509">
            <v>0</v>
          </cell>
          <cell r="E509">
            <v>0</v>
          </cell>
          <cell r="F509">
            <v>0</v>
          </cell>
          <cell r="G509">
            <v>0</v>
          </cell>
          <cell r="H509">
            <v>0</v>
          </cell>
          <cell r="I509">
            <v>0</v>
          </cell>
          <cell r="J509">
            <v>0</v>
          </cell>
          <cell r="K509">
            <v>0</v>
          </cell>
          <cell r="L509">
            <v>0</v>
          </cell>
          <cell r="M509">
            <v>0</v>
          </cell>
          <cell r="N509">
            <v>0</v>
          </cell>
          <cell r="O509">
            <v>0</v>
          </cell>
          <cell r="Q509">
            <v>0</v>
          </cell>
          <cell r="S509">
            <v>0</v>
          </cell>
          <cell r="U509" t="str">
            <v>Gross Profit</v>
          </cell>
          <cell r="V509">
            <v>0</v>
          </cell>
          <cell r="W509">
            <v>0</v>
          </cell>
          <cell r="X509">
            <v>0</v>
          </cell>
          <cell r="Y509">
            <v>0</v>
          </cell>
          <cell r="Z509">
            <v>0</v>
          </cell>
          <cell r="AA509">
            <v>0</v>
          </cell>
          <cell r="AB509">
            <v>0</v>
          </cell>
          <cell r="AC509">
            <v>0</v>
          </cell>
          <cell r="AD509">
            <v>0</v>
          </cell>
          <cell r="AE509">
            <v>0</v>
          </cell>
          <cell r="AF509">
            <v>0</v>
          </cell>
          <cell r="AI509" t="str">
            <v>Gross Profit</v>
          </cell>
          <cell r="AJ509">
            <v>0</v>
          </cell>
          <cell r="AK509">
            <v>0</v>
          </cell>
          <cell r="AL509">
            <v>0</v>
          </cell>
          <cell r="AM509">
            <v>0</v>
          </cell>
        </row>
        <row r="510">
          <cell r="A510" t="str">
            <v>% of Sales</v>
          </cell>
          <cell r="C510">
            <v>0</v>
          </cell>
          <cell r="D510">
            <v>0</v>
          </cell>
          <cell r="E510">
            <v>0</v>
          </cell>
          <cell r="F510">
            <v>0</v>
          </cell>
          <cell r="G510">
            <v>0</v>
          </cell>
          <cell r="H510">
            <v>0</v>
          </cell>
          <cell r="I510">
            <v>0</v>
          </cell>
          <cell r="J510">
            <v>0</v>
          </cell>
          <cell r="K510">
            <v>0</v>
          </cell>
          <cell r="L510">
            <v>0</v>
          </cell>
          <cell r="M510">
            <v>0</v>
          </cell>
          <cell r="N510">
            <v>0</v>
          </cell>
          <cell r="O510">
            <v>0</v>
          </cell>
          <cell r="Q510">
            <v>0</v>
          </cell>
          <cell r="S510">
            <v>0</v>
          </cell>
          <cell r="U510" t="str">
            <v>% of Sales</v>
          </cell>
          <cell r="V510">
            <v>0</v>
          </cell>
          <cell r="W510">
            <v>0</v>
          </cell>
          <cell r="X510">
            <v>0</v>
          </cell>
          <cell r="Y510">
            <v>0</v>
          </cell>
          <cell r="Z510">
            <v>0</v>
          </cell>
          <cell r="AA510">
            <v>0</v>
          </cell>
          <cell r="AB510">
            <v>0</v>
          </cell>
          <cell r="AC510">
            <v>0</v>
          </cell>
          <cell r="AD510">
            <v>0</v>
          </cell>
          <cell r="AE510">
            <v>0</v>
          </cell>
          <cell r="AF510">
            <v>0</v>
          </cell>
          <cell r="AI510" t="str">
            <v>% of Sales</v>
          </cell>
          <cell r="AJ510">
            <v>0</v>
          </cell>
          <cell r="AK510">
            <v>0</v>
          </cell>
          <cell r="AL510">
            <v>0</v>
          </cell>
          <cell r="AM510">
            <v>0</v>
          </cell>
        </row>
        <row r="512">
          <cell r="A512" t="str">
            <v>Marketing</v>
          </cell>
          <cell r="C512">
            <v>0</v>
          </cell>
          <cell r="D512">
            <v>0</v>
          </cell>
          <cell r="E512">
            <v>0</v>
          </cell>
          <cell r="F512">
            <v>0</v>
          </cell>
          <cell r="G512">
            <v>0</v>
          </cell>
          <cell r="H512">
            <v>0</v>
          </cell>
          <cell r="I512">
            <v>0</v>
          </cell>
          <cell r="J512">
            <v>0</v>
          </cell>
          <cell r="K512">
            <v>0</v>
          </cell>
          <cell r="L512">
            <v>0</v>
          </cell>
          <cell r="M512">
            <v>0</v>
          </cell>
          <cell r="N512">
            <v>0</v>
          </cell>
          <cell r="O512">
            <v>0</v>
          </cell>
          <cell r="Q512">
            <v>0</v>
          </cell>
          <cell r="S512">
            <v>0</v>
          </cell>
          <cell r="U512" t="str">
            <v>Marketing</v>
          </cell>
          <cell r="V512">
            <v>0</v>
          </cell>
          <cell r="W512">
            <v>0</v>
          </cell>
          <cell r="X512">
            <v>0</v>
          </cell>
          <cell r="Y512">
            <v>0</v>
          </cell>
          <cell r="Z512">
            <v>0</v>
          </cell>
          <cell r="AA512">
            <v>0</v>
          </cell>
          <cell r="AB512">
            <v>0</v>
          </cell>
          <cell r="AC512">
            <v>0</v>
          </cell>
          <cell r="AD512">
            <v>0</v>
          </cell>
          <cell r="AE512">
            <v>0</v>
          </cell>
          <cell r="AF512">
            <v>0</v>
          </cell>
          <cell r="AI512" t="str">
            <v>Marketing</v>
          </cell>
          <cell r="AJ512">
            <v>0</v>
          </cell>
          <cell r="AK512">
            <v>0</v>
          </cell>
          <cell r="AL512">
            <v>0</v>
          </cell>
          <cell r="AM512">
            <v>0</v>
          </cell>
        </row>
        <row r="513">
          <cell r="A513" t="str">
            <v>Administration</v>
          </cell>
          <cell r="C513">
            <v>0</v>
          </cell>
          <cell r="D513">
            <v>0</v>
          </cell>
          <cell r="E513">
            <v>0</v>
          </cell>
          <cell r="F513">
            <v>0</v>
          </cell>
          <cell r="G513">
            <v>0</v>
          </cell>
          <cell r="H513">
            <v>0</v>
          </cell>
          <cell r="I513">
            <v>0</v>
          </cell>
          <cell r="J513">
            <v>0</v>
          </cell>
          <cell r="K513">
            <v>0</v>
          </cell>
          <cell r="L513">
            <v>0</v>
          </cell>
          <cell r="M513">
            <v>0</v>
          </cell>
          <cell r="N513">
            <v>0</v>
          </cell>
          <cell r="O513">
            <v>0</v>
          </cell>
          <cell r="Q513">
            <v>0</v>
          </cell>
          <cell r="S513">
            <v>0</v>
          </cell>
          <cell r="U513" t="str">
            <v>Administration</v>
          </cell>
          <cell r="V513">
            <v>0</v>
          </cell>
          <cell r="W513">
            <v>0</v>
          </cell>
          <cell r="X513">
            <v>0</v>
          </cell>
          <cell r="Y513">
            <v>0</v>
          </cell>
          <cell r="Z513">
            <v>0</v>
          </cell>
          <cell r="AA513">
            <v>0</v>
          </cell>
          <cell r="AB513">
            <v>0</v>
          </cell>
          <cell r="AC513">
            <v>0</v>
          </cell>
          <cell r="AD513">
            <v>0</v>
          </cell>
          <cell r="AE513">
            <v>0</v>
          </cell>
          <cell r="AF513">
            <v>0</v>
          </cell>
          <cell r="AI513" t="str">
            <v>Administration</v>
          </cell>
          <cell r="AJ513">
            <v>0</v>
          </cell>
          <cell r="AK513">
            <v>0</v>
          </cell>
          <cell r="AL513">
            <v>0</v>
          </cell>
          <cell r="AM513">
            <v>0</v>
          </cell>
        </row>
      </sheetData>
      <sheetData sheetId="2" refreshError="1">
        <row r="55">
          <cell r="A55" t="str">
            <v>MEX Budget '02</v>
          </cell>
          <cell r="U55" t="str">
            <v>MEX Forecast YTD '00</v>
          </cell>
          <cell r="AI55" t="str">
            <v>MEX Forecast Qtr.'00</v>
          </cell>
        </row>
        <row r="56">
          <cell r="A56" t="str">
            <v>Glyphosate</v>
          </cell>
          <cell r="C56" t="str">
            <v>Jan</v>
          </cell>
          <cell r="D56" t="str">
            <v>Feb</v>
          </cell>
          <cell r="E56" t="str">
            <v>Mar</v>
          </cell>
          <cell r="F56" t="str">
            <v>Apr</v>
          </cell>
          <cell r="G56" t="str">
            <v>May</v>
          </cell>
          <cell r="H56" t="str">
            <v>Jun</v>
          </cell>
          <cell r="I56" t="str">
            <v>Jul</v>
          </cell>
          <cell r="J56" t="str">
            <v>Aug</v>
          </cell>
          <cell r="K56" t="str">
            <v>Sep</v>
          </cell>
          <cell r="L56" t="str">
            <v>Oct</v>
          </cell>
          <cell r="M56" t="str">
            <v>Nov</v>
          </cell>
          <cell r="N56" t="str">
            <v>Dec</v>
          </cell>
          <cell r="O56" t="str">
            <v>Total</v>
          </cell>
          <cell r="Q56" t="str">
            <v>Changes</v>
          </cell>
          <cell r="S56" t="str">
            <v>Changes</v>
          </cell>
          <cell r="U56" t="str">
            <v>Glyphosate</v>
          </cell>
          <cell r="V56" t="str">
            <v>Jan</v>
          </cell>
          <cell r="W56" t="str">
            <v>Feb</v>
          </cell>
          <cell r="X56" t="str">
            <v>Mar</v>
          </cell>
          <cell r="Y56" t="str">
            <v>Apr</v>
          </cell>
          <cell r="Z56" t="str">
            <v>May</v>
          </cell>
          <cell r="AA56" t="str">
            <v>Jun</v>
          </cell>
          <cell r="AB56" t="str">
            <v>Jul</v>
          </cell>
          <cell r="AC56" t="str">
            <v>Aug</v>
          </cell>
          <cell r="AD56" t="str">
            <v>Sep</v>
          </cell>
          <cell r="AE56" t="str">
            <v>Oct</v>
          </cell>
          <cell r="AF56" t="str">
            <v>Nov</v>
          </cell>
          <cell r="AG56" t="str">
            <v>Dec</v>
          </cell>
          <cell r="AI56" t="str">
            <v>Glyphosate</v>
          </cell>
          <cell r="AJ56" t="str">
            <v>1st Qtr.</v>
          </cell>
          <cell r="AK56" t="str">
            <v>2nd Qtr.</v>
          </cell>
          <cell r="AL56" t="str">
            <v>3er Qtr.</v>
          </cell>
          <cell r="AM56" t="str">
            <v>4 Qtr.</v>
          </cell>
          <cell r="AN56" t="str">
            <v>Total</v>
          </cell>
          <cell r="AP56">
            <v>2003</v>
          </cell>
          <cell r="AQ56">
            <v>0</v>
          </cell>
          <cell r="AR56">
            <v>2004</v>
          </cell>
        </row>
        <row r="58">
          <cell r="A58" t="str">
            <v>Rup Classic Volume</v>
          </cell>
          <cell r="C58">
            <v>1E-4</v>
          </cell>
          <cell r="D58">
            <v>3.4550000000000001</v>
          </cell>
          <cell r="E58">
            <v>97.161249933949819</v>
          </cell>
          <cell r="F58">
            <v>64.865000000000009</v>
          </cell>
          <cell r="G58">
            <v>90.969858199830028</v>
          </cell>
          <cell r="H58">
            <v>266.18532715623689</v>
          </cell>
          <cell r="I58">
            <v>11.91</v>
          </cell>
          <cell r="J58">
            <v>93.349858199830038</v>
          </cell>
          <cell r="K58">
            <v>41.13</v>
          </cell>
          <cell r="L58">
            <v>16.975667107001321</v>
          </cell>
          <cell r="M58">
            <v>25.815000000000005</v>
          </cell>
          <cell r="N58">
            <v>1.0000000000000001E-5</v>
          </cell>
          <cell r="O58">
            <v>711.81707059684811</v>
          </cell>
          <cell r="P58">
            <v>0.47118762583394502</v>
          </cell>
          <cell r="Q58">
            <v>711.81707059684811</v>
          </cell>
          <cell r="R58">
            <v>0</v>
          </cell>
          <cell r="S58">
            <v>711.81707059684811</v>
          </cell>
          <cell r="U58" t="str">
            <v>Rup Classic Volume</v>
          </cell>
          <cell r="V58">
            <v>1E-4</v>
          </cell>
          <cell r="W58">
            <v>3.4551000000000003</v>
          </cell>
          <cell r="X58">
            <v>100.61634993394982</v>
          </cell>
          <cell r="Y58">
            <v>165.48134993394984</v>
          </cell>
          <cell r="Z58">
            <v>256.45120813377986</v>
          </cell>
          <cell r="AA58">
            <v>522.63653529001681</v>
          </cell>
          <cell r="AB58">
            <v>534.54653529001678</v>
          </cell>
          <cell r="AC58">
            <v>627.89639348984679</v>
          </cell>
          <cell r="AD58">
            <v>669.02639348984678</v>
          </cell>
          <cell r="AE58">
            <v>686.00206059684808</v>
          </cell>
          <cell r="AF58">
            <v>711.81706059684814</v>
          </cell>
          <cell r="AG58">
            <v>711.81707059684811</v>
          </cell>
          <cell r="AI58" t="str">
            <v>Rup Classic Volume</v>
          </cell>
          <cell r="AJ58">
            <v>100.61634993394982</v>
          </cell>
          <cell r="AK58">
            <v>422.02018535606692</v>
          </cell>
          <cell r="AL58">
            <v>146.38985819983003</v>
          </cell>
          <cell r="AM58">
            <v>42.790677107001329</v>
          </cell>
          <cell r="AN58">
            <v>711.817070596848</v>
          </cell>
        </row>
        <row r="59">
          <cell r="A59" t="str">
            <v>Rup Classic Netback</v>
          </cell>
          <cell r="C59">
            <v>-4000000</v>
          </cell>
          <cell r="D59">
            <v>25.003216928349556</v>
          </cell>
          <cell r="E59">
            <v>19.798001551236933</v>
          </cell>
          <cell r="F59">
            <v>20.497964737238409</v>
          </cell>
          <cell r="G59">
            <v>19.791836560406082</v>
          </cell>
          <cell r="H59">
            <v>19.931776675130145</v>
          </cell>
          <cell r="I59">
            <v>20.801597905433237</v>
          </cell>
          <cell r="J59">
            <v>20.258978500317266</v>
          </cell>
          <cell r="K59">
            <v>19.00433336702476</v>
          </cell>
          <cell r="L59">
            <v>19.955931142608371</v>
          </cell>
          <cell r="M59">
            <v>20.834904734646873</v>
          </cell>
          <cell r="N59">
            <v>0</v>
          </cell>
          <cell r="O59">
            <v>19.447101156610874</v>
          </cell>
          <cell r="Q59">
            <v>19.447101156610874</v>
          </cell>
          <cell r="S59">
            <v>19.447101156610874</v>
          </cell>
          <cell r="U59" t="str">
            <v>Rup Classic Netback</v>
          </cell>
          <cell r="V59">
            <v>-4000000</v>
          </cell>
          <cell r="W59">
            <v>-90.768396142673808</v>
          </cell>
          <cell r="X59">
            <v>16.001223384239136</v>
          </cell>
          <cell r="Y59">
            <v>17.763845746086673</v>
          </cell>
          <cell r="Z59">
            <v>18.48322639612033</v>
          </cell>
          <cell r="AA59">
            <v>19.220991178879959</v>
          </cell>
          <cell r="AB59">
            <v>19.256207993264582</v>
          </cell>
          <cell r="AC59">
            <v>19.405290685267421</v>
          </cell>
          <cell r="AD59">
            <v>19.380640873750576</v>
          </cell>
          <cell r="AE59">
            <v>19.394876889434745</v>
          </cell>
          <cell r="AF59">
            <v>19.447101429814516</v>
          </cell>
          <cell r="AG59">
            <v>19.447101156610877</v>
          </cell>
          <cell r="AI59" t="str">
            <v>Rup Classic Netback</v>
          </cell>
          <cell r="AJ59">
            <v>16.001223384239136</v>
          </cell>
          <cell r="AK59">
            <v>19.988635226186162</v>
          </cell>
          <cell r="AL59">
            <v>19.950617267015371</v>
          </cell>
          <cell r="AM59">
            <v>20.486198603962702</v>
          </cell>
          <cell r="AN59">
            <v>19.447101156610874</v>
          </cell>
        </row>
        <row r="60">
          <cell r="A60" t="str">
            <v>Rup Classic Unit COGS</v>
          </cell>
          <cell r="C60">
            <v>266680.14426800521</v>
          </cell>
          <cell r="D60">
            <v>19.760506385384165</v>
          </cell>
          <cell r="E60">
            <v>9.3718693426104718</v>
          </cell>
          <cell r="F60">
            <v>9.0895669015234404</v>
          </cell>
          <cell r="G60">
            <v>8.7613405023816764</v>
          </cell>
          <cell r="H60">
            <v>8.5066600656461695</v>
          </cell>
          <cell r="I60">
            <v>11.267755768762537</v>
          </cell>
          <cell r="J60">
            <v>8.7289792686421261</v>
          </cell>
          <cell r="K60">
            <v>9.1540648051934443</v>
          </cell>
          <cell r="L60">
            <v>10.576440994740699</v>
          </cell>
          <cell r="M60">
            <v>9.8715288295449781</v>
          </cell>
          <cell r="N60">
            <v>6119225.0460673291</v>
          </cell>
          <cell r="O60">
            <v>9.1000998236702237</v>
          </cell>
          <cell r="P60">
            <v>6477.6063986238323</v>
          </cell>
          <cell r="Q60">
            <v>9.1000998236702237</v>
          </cell>
          <cell r="S60">
            <v>9.1000998236702237</v>
          </cell>
          <cell r="U60" t="str">
            <v>Rup Classic Unit COGS</v>
          </cell>
          <cell r="V60">
            <v>266680.14426800521</v>
          </cell>
          <cell r="W60">
            <v>27.47838383499835</v>
          </cell>
          <cell r="X60">
            <v>9.9936352709483334</v>
          </cell>
          <cell r="Y60">
            <v>9.6392606250673794</v>
          </cell>
          <cell r="Z60">
            <v>9.3278397132585571</v>
          </cell>
          <cell r="AA60">
            <v>8.9096026433368145</v>
          </cell>
          <cell r="AB60">
            <v>8.9621436325110935</v>
          </cell>
          <cell r="AC60">
            <v>8.9274789003513071</v>
          </cell>
          <cell r="AD60">
            <v>8.9414088115728116</v>
          </cell>
          <cell r="AE60">
            <v>8.9818689845736657</v>
          </cell>
          <cell r="AF60">
            <v>9.0141336915739139</v>
          </cell>
          <cell r="AG60">
            <v>9.1000998236702237</v>
          </cell>
          <cell r="AI60" t="str">
            <v>Rup Classic Unit COGS</v>
          </cell>
          <cell r="AJ60">
            <v>9.9936352709483334</v>
          </cell>
          <cell r="AK60">
            <v>8.6511519578380813</v>
          </cell>
          <cell r="AL60">
            <v>9.0549622077720269</v>
          </cell>
          <cell r="AM60">
            <v>11.581212128514158</v>
          </cell>
          <cell r="AN60">
            <v>9.1000998236702255</v>
          </cell>
        </row>
        <row r="62">
          <cell r="A62" t="str">
            <v>Honcho Volume</v>
          </cell>
          <cell r="C62">
            <v>0</v>
          </cell>
          <cell r="D62">
            <v>0</v>
          </cell>
          <cell r="E62">
            <v>0</v>
          </cell>
          <cell r="F62">
            <v>0</v>
          </cell>
          <cell r="G62">
            <v>0</v>
          </cell>
          <cell r="H62">
            <v>0</v>
          </cell>
          <cell r="I62">
            <v>0</v>
          </cell>
          <cell r="J62">
            <v>0</v>
          </cell>
          <cell r="K62">
            <v>0</v>
          </cell>
          <cell r="L62">
            <v>0</v>
          </cell>
          <cell r="M62">
            <v>0</v>
          </cell>
          <cell r="N62">
            <v>0</v>
          </cell>
          <cell r="O62">
            <v>0</v>
          </cell>
          <cell r="Q62">
            <v>0</v>
          </cell>
          <cell r="S62">
            <v>0</v>
          </cell>
          <cell r="U62" t="str">
            <v>Honcho Volume</v>
          </cell>
          <cell r="V62">
            <v>0</v>
          </cell>
          <cell r="W62">
            <v>0</v>
          </cell>
          <cell r="X62">
            <v>0</v>
          </cell>
          <cell r="Y62">
            <v>0</v>
          </cell>
          <cell r="Z62">
            <v>0</v>
          </cell>
          <cell r="AA62">
            <v>0</v>
          </cell>
          <cell r="AB62">
            <v>0</v>
          </cell>
          <cell r="AC62">
            <v>0</v>
          </cell>
          <cell r="AD62">
            <v>0</v>
          </cell>
          <cell r="AE62">
            <v>0</v>
          </cell>
          <cell r="AF62">
            <v>0</v>
          </cell>
          <cell r="AG62">
            <v>0</v>
          </cell>
          <cell r="AI62" t="str">
            <v>Honcho Volume</v>
          </cell>
          <cell r="AJ62">
            <v>0</v>
          </cell>
          <cell r="AK62">
            <v>0</v>
          </cell>
          <cell r="AL62">
            <v>0</v>
          </cell>
          <cell r="AM62">
            <v>0</v>
          </cell>
          <cell r="AN62">
            <v>0</v>
          </cell>
        </row>
        <row r="63">
          <cell r="A63" t="str">
            <v>Honcho Netback</v>
          </cell>
          <cell r="C63">
            <v>0</v>
          </cell>
          <cell r="D63">
            <v>0</v>
          </cell>
          <cell r="E63">
            <v>0</v>
          </cell>
          <cell r="F63">
            <v>0</v>
          </cell>
          <cell r="G63">
            <v>0</v>
          </cell>
          <cell r="H63">
            <v>0</v>
          </cell>
          <cell r="I63">
            <v>0</v>
          </cell>
          <cell r="J63">
            <v>0</v>
          </cell>
          <cell r="K63">
            <v>0</v>
          </cell>
          <cell r="L63">
            <v>0</v>
          </cell>
          <cell r="M63">
            <v>0</v>
          </cell>
          <cell r="N63">
            <v>0</v>
          </cell>
          <cell r="O63">
            <v>0</v>
          </cell>
          <cell r="Q63">
            <v>0</v>
          </cell>
          <cell r="S63">
            <v>0</v>
          </cell>
          <cell r="U63" t="str">
            <v>Honcho Netback</v>
          </cell>
          <cell r="V63">
            <v>0</v>
          </cell>
          <cell r="W63">
            <v>0</v>
          </cell>
          <cell r="X63">
            <v>0</v>
          </cell>
          <cell r="Y63">
            <v>0</v>
          </cell>
          <cell r="Z63">
            <v>0</v>
          </cell>
          <cell r="AA63">
            <v>0</v>
          </cell>
          <cell r="AB63">
            <v>0</v>
          </cell>
          <cell r="AC63">
            <v>0</v>
          </cell>
          <cell r="AD63">
            <v>0</v>
          </cell>
          <cell r="AE63">
            <v>0</v>
          </cell>
          <cell r="AF63">
            <v>0</v>
          </cell>
          <cell r="AG63">
            <v>0</v>
          </cell>
          <cell r="AI63" t="str">
            <v>Honcho Netback</v>
          </cell>
          <cell r="AJ63">
            <v>0</v>
          </cell>
          <cell r="AK63">
            <v>0</v>
          </cell>
          <cell r="AL63">
            <v>0</v>
          </cell>
          <cell r="AM63">
            <v>0</v>
          </cell>
          <cell r="AN63">
            <v>0</v>
          </cell>
        </row>
        <row r="64">
          <cell r="A64" t="str">
            <v>Honcho Unit COGS</v>
          </cell>
          <cell r="C64">
            <v>0</v>
          </cell>
          <cell r="D64">
            <v>0</v>
          </cell>
          <cell r="E64">
            <v>0</v>
          </cell>
          <cell r="F64">
            <v>0</v>
          </cell>
          <cell r="G64">
            <v>0</v>
          </cell>
          <cell r="H64">
            <v>0</v>
          </cell>
          <cell r="I64">
            <v>0</v>
          </cell>
          <cell r="J64">
            <v>0</v>
          </cell>
          <cell r="K64">
            <v>0</v>
          </cell>
          <cell r="L64">
            <v>0</v>
          </cell>
          <cell r="M64">
            <v>0</v>
          </cell>
          <cell r="N64">
            <v>0</v>
          </cell>
          <cell r="O64">
            <v>0</v>
          </cell>
          <cell r="Q64">
            <v>0</v>
          </cell>
          <cell r="S64">
            <v>0</v>
          </cell>
          <cell r="U64" t="str">
            <v>Honcho Unit COGS</v>
          </cell>
          <cell r="V64">
            <v>0</v>
          </cell>
          <cell r="W64">
            <v>0</v>
          </cell>
          <cell r="X64">
            <v>0</v>
          </cell>
          <cell r="Y64">
            <v>0</v>
          </cell>
          <cell r="Z64">
            <v>0</v>
          </cell>
          <cell r="AA64">
            <v>0</v>
          </cell>
          <cell r="AB64">
            <v>0</v>
          </cell>
          <cell r="AC64">
            <v>0</v>
          </cell>
          <cell r="AD64">
            <v>0</v>
          </cell>
          <cell r="AE64">
            <v>0</v>
          </cell>
          <cell r="AF64">
            <v>0</v>
          </cell>
          <cell r="AG64">
            <v>0</v>
          </cell>
          <cell r="AI64" t="str">
            <v>Honcho Unit COGS</v>
          </cell>
          <cell r="AJ64">
            <v>0</v>
          </cell>
          <cell r="AK64">
            <v>0</v>
          </cell>
          <cell r="AL64">
            <v>0</v>
          </cell>
          <cell r="AM64">
            <v>0</v>
          </cell>
          <cell r="AN64">
            <v>0</v>
          </cell>
        </row>
        <row r="66">
          <cell r="A66" t="str">
            <v>Private Labels Volume</v>
          </cell>
          <cell r="C66">
            <v>0</v>
          </cell>
          <cell r="D66">
            <v>0</v>
          </cell>
          <cell r="E66">
            <v>5.2840158520475562</v>
          </cell>
          <cell r="F66">
            <v>21.136063408190225</v>
          </cell>
          <cell r="G66">
            <v>40.951122853368553</v>
          </cell>
          <cell r="H66">
            <v>36.98811096433289</v>
          </cell>
          <cell r="I66">
            <v>17.173051519154555</v>
          </cell>
          <cell r="J66">
            <v>11.889035667107002</v>
          </cell>
          <cell r="K66">
            <v>15.852047556142669</v>
          </cell>
          <cell r="L66">
            <v>0</v>
          </cell>
          <cell r="M66">
            <v>6.6050198150594452</v>
          </cell>
          <cell r="N66">
            <v>2.6420079260237781</v>
          </cell>
          <cell r="O66">
            <v>158.52047556142668</v>
          </cell>
          <cell r="P66">
            <v>0.10493269915995082</v>
          </cell>
          <cell r="Q66">
            <v>158.52047556142668</v>
          </cell>
          <cell r="R66">
            <v>0</v>
          </cell>
          <cell r="S66">
            <v>158.52047556142668</v>
          </cell>
          <cell r="U66" t="str">
            <v>Private Labels Volume</v>
          </cell>
          <cell r="V66">
            <v>0</v>
          </cell>
          <cell r="W66">
            <v>0</v>
          </cell>
          <cell r="X66">
            <v>5.2840158520475562</v>
          </cell>
          <cell r="Y66">
            <v>26.420079260237781</v>
          </cell>
          <cell r="Z66">
            <v>67.37120211360633</v>
          </cell>
          <cell r="AA66">
            <v>104.35931307793922</v>
          </cell>
          <cell r="AB66">
            <v>121.53236459709377</v>
          </cell>
          <cell r="AC66">
            <v>133.42140026420077</v>
          </cell>
          <cell r="AD66">
            <v>149.27344782034345</v>
          </cell>
          <cell r="AE66">
            <v>149.27344782034345</v>
          </cell>
          <cell r="AF66">
            <v>155.8784676354029</v>
          </cell>
          <cell r="AG66">
            <v>158.52047556142668</v>
          </cell>
          <cell r="AI66" t="str">
            <v>Private Labels Volume</v>
          </cell>
          <cell r="AJ66">
            <v>5.2840158520475562</v>
          </cell>
          <cell r="AK66">
            <v>99.07529722589166</v>
          </cell>
          <cell r="AL66">
            <v>44.914134742404229</v>
          </cell>
          <cell r="AM66">
            <v>9.2470277410832225</v>
          </cell>
          <cell r="AN66">
            <v>158.52047556142668</v>
          </cell>
        </row>
        <row r="67">
          <cell r="A67" t="str">
            <v>Private Labels Netback</v>
          </cell>
          <cell r="C67">
            <v>0</v>
          </cell>
          <cell r="D67">
            <v>0</v>
          </cell>
          <cell r="E67">
            <v>13.024504692387904</v>
          </cell>
          <cell r="F67">
            <v>11.88419178794179</v>
          </cell>
          <cell r="G67">
            <v>12.390355340130371</v>
          </cell>
          <cell r="H67">
            <v>11.85116521994998</v>
          </cell>
          <cell r="I67">
            <v>11.08589874813007</v>
          </cell>
          <cell r="J67">
            <v>10.780185128674601</v>
          </cell>
          <cell r="K67">
            <v>12.141353028028719</v>
          </cell>
          <cell r="L67">
            <v>0</v>
          </cell>
          <cell r="M67">
            <v>11.179631202564595</v>
          </cell>
          <cell r="N67">
            <v>9.0839999999999996</v>
          </cell>
          <cell r="O67">
            <v>11.825662260934926</v>
          </cell>
          <cell r="Q67">
            <v>11.825662260934926</v>
          </cell>
          <cell r="S67">
            <v>11.825662260934926</v>
          </cell>
          <cell r="U67" t="str">
            <v>Private Labels Netback</v>
          </cell>
          <cell r="V67">
            <v>0</v>
          </cell>
          <cell r="W67">
            <v>0</v>
          </cell>
          <cell r="X67">
            <v>13.024504692387904</v>
          </cell>
          <cell r="Y67">
            <v>12.112254368831014</v>
          </cell>
          <cell r="Z67">
            <v>12.281296135699252</v>
          </cell>
          <cell r="AA67">
            <v>12.128844671889382</v>
          </cell>
          <cell r="AB67">
            <v>11.981471878314697</v>
          </cell>
          <cell r="AC67">
            <v>11.874426524386372</v>
          </cell>
          <cell r="AD67">
            <v>11.90277270176432</v>
          </cell>
          <cell r="AE67">
            <v>11.90277270176432</v>
          </cell>
          <cell r="AF67">
            <v>11.872131112815179</v>
          </cell>
          <cell r="AG67">
            <v>11.825662260934926</v>
          </cell>
          <cell r="AI67" t="str">
            <v>Private Labels Netback</v>
          </cell>
          <cell r="AJ67">
            <v>13.024504692387904</v>
          </cell>
          <cell r="AK67">
            <v>12.081076137462794</v>
          </cell>
          <cell r="AL67">
            <v>11.377487830003146</v>
          </cell>
          <cell r="AM67">
            <v>10.580879430403284</v>
          </cell>
          <cell r="AN67">
            <v>11.825662260934926</v>
          </cell>
        </row>
        <row r="68">
          <cell r="A68" t="str">
            <v>Private Labels Unit COGS</v>
          </cell>
          <cell r="C68">
            <v>0</v>
          </cell>
          <cell r="D68">
            <v>0</v>
          </cell>
          <cell r="E68">
            <v>7.6737433620525684</v>
          </cell>
          <cell r="F68">
            <v>7.2698621324708537</v>
          </cell>
          <cell r="G68">
            <v>7.0834554111254464</v>
          </cell>
          <cell r="H68">
            <v>7.0834554111254464</v>
          </cell>
          <cell r="I68">
            <v>7.0834554111254473</v>
          </cell>
          <cell r="J68">
            <v>7.0834554111254464</v>
          </cell>
          <cell r="K68">
            <v>7.0834554111254464</v>
          </cell>
          <cell r="L68">
            <v>0</v>
          </cell>
          <cell r="M68">
            <v>7.0834554111254482</v>
          </cell>
          <cell r="N68">
            <v>7.0834554111254464</v>
          </cell>
          <cell r="O68">
            <v>7.1279859056690711</v>
          </cell>
          <cell r="Q68">
            <v>7.1279859056690711</v>
          </cell>
          <cell r="S68">
            <v>7.1279859056690711</v>
          </cell>
          <cell r="U68" t="str">
            <v>Private Labels Unit COGS</v>
          </cell>
          <cell r="V68">
            <v>0</v>
          </cell>
          <cell r="W68">
            <v>0</v>
          </cell>
          <cell r="X68">
            <v>7.6737433620525684</v>
          </cell>
          <cell r="Y68">
            <v>7.3506383783871962</v>
          </cell>
          <cell r="Z68">
            <v>7.1882330453457408</v>
          </cell>
          <cell r="AA68">
            <v>7.1510966686600659</v>
          </cell>
          <cell r="AB68">
            <v>7.1415386648780004</v>
          </cell>
          <cell r="AC68">
            <v>7.1363629293951005</v>
          </cell>
          <cell r="AD68">
            <v>7.1307444318797382</v>
          </cell>
          <cell r="AE68">
            <v>7.1307444318797382</v>
          </cell>
          <cell r="AF68">
            <v>7.1287406598138778</v>
          </cell>
          <cell r="AG68">
            <v>7.1279859056690711</v>
          </cell>
          <cell r="AI68" t="str">
            <v>Private Labels Unit COGS</v>
          </cell>
          <cell r="AJ68">
            <v>7.6737433620525684</v>
          </cell>
          <cell r="AK68">
            <v>7.1232221783457996</v>
          </cell>
          <cell r="AL68">
            <v>7.0834554111254464</v>
          </cell>
          <cell r="AM68">
            <v>7.0834554111254473</v>
          </cell>
          <cell r="AN68">
            <v>7.1279859056690711</v>
          </cell>
        </row>
        <row r="70">
          <cell r="A70" t="str">
            <v>NAS Volume</v>
          </cell>
          <cell r="C70">
            <v>0</v>
          </cell>
          <cell r="D70">
            <v>0</v>
          </cell>
          <cell r="E70">
            <v>0</v>
          </cell>
          <cell r="F70">
            <v>0</v>
          </cell>
          <cell r="G70">
            <v>0</v>
          </cell>
          <cell r="H70">
            <v>0</v>
          </cell>
          <cell r="I70">
            <v>0</v>
          </cell>
          <cell r="J70">
            <v>0</v>
          </cell>
          <cell r="K70">
            <v>0</v>
          </cell>
          <cell r="L70">
            <v>0</v>
          </cell>
          <cell r="M70">
            <v>0</v>
          </cell>
          <cell r="N70">
            <v>0</v>
          </cell>
          <cell r="O70">
            <v>0</v>
          </cell>
          <cell r="Q70">
            <v>0</v>
          </cell>
          <cell r="S70">
            <v>0</v>
          </cell>
          <cell r="U70" t="str">
            <v>NAS Volume</v>
          </cell>
          <cell r="V70">
            <v>0</v>
          </cell>
          <cell r="W70">
            <v>0</v>
          </cell>
          <cell r="X70">
            <v>0</v>
          </cell>
          <cell r="Y70">
            <v>0</v>
          </cell>
          <cell r="Z70">
            <v>0</v>
          </cell>
          <cell r="AA70">
            <v>0</v>
          </cell>
          <cell r="AB70">
            <v>0</v>
          </cell>
          <cell r="AC70">
            <v>0</v>
          </cell>
          <cell r="AD70">
            <v>0</v>
          </cell>
          <cell r="AE70">
            <v>0</v>
          </cell>
          <cell r="AF70">
            <v>0</v>
          </cell>
          <cell r="AG70">
            <v>0</v>
          </cell>
          <cell r="AI70" t="str">
            <v>NAS Volume</v>
          </cell>
          <cell r="AJ70">
            <v>0</v>
          </cell>
          <cell r="AK70">
            <v>0</v>
          </cell>
          <cell r="AL70">
            <v>0</v>
          </cell>
          <cell r="AM70">
            <v>0</v>
          </cell>
          <cell r="AN70">
            <v>0</v>
          </cell>
        </row>
        <row r="71">
          <cell r="A71" t="str">
            <v>NAS Netback</v>
          </cell>
          <cell r="C71">
            <v>0</v>
          </cell>
          <cell r="D71">
            <v>0</v>
          </cell>
          <cell r="E71">
            <v>0</v>
          </cell>
          <cell r="F71">
            <v>0</v>
          </cell>
          <cell r="G71">
            <v>0</v>
          </cell>
          <cell r="H71">
            <v>0</v>
          </cell>
          <cell r="I71">
            <v>0</v>
          </cell>
          <cell r="J71">
            <v>0</v>
          </cell>
          <cell r="K71">
            <v>0</v>
          </cell>
          <cell r="L71">
            <v>0</v>
          </cell>
          <cell r="M71">
            <v>0</v>
          </cell>
          <cell r="N71">
            <v>0</v>
          </cell>
          <cell r="O71">
            <v>0</v>
          </cell>
          <cell r="Q71">
            <v>0</v>
          </cell>
          <cell r="S71">
            <v>0</v>
          </cell>
          <cell r="U71" t="str">
            <v>NAS Netback</v>
          </cell>
          <cell r="V71">
            <v>0</v>
          </cell>
          <cell r="W71">
            <v>0</v>
          </cell>
          <cell r="X71">
            <v>0</v>
          </cell>
          <cell r="Y71">
            <v>0</v>
          </cell>
          <cell r="Z71">
            <v>0</v>
          </cell>
          <cell r="AA71">
            <v>0</v>
          </cell>
          <cell r="AB71">
            <v>0</v>
          </cell>
          <cell r="AC71">
            <v>0</v>
          </cell>
          <cell r="AD71">
            <v>0</v>
          </cell>
          <cell r="AE71">
            <v>0</v>
          </cell>
          <cell r="AF71">
            <v>0</v>
          </cell>
          <cell r="AG71">
            <v>0</v>
          </cell>
          <cell r="AI71" t="str">
            <v>NAS Netback</v>
          </cell>
          <cell r="AJ71">
            <v>0</v>
          </cell>
          <cell r="AK71">
            <v>0</v>
          </cell>
          <cell r="AL71">
            <v>0</v>
          </cell>
          <cell r="AM71">
            <v>0</v>
          </cell>
          <cell r="AN71">
            <v>0</v>
          </cell>
        </row>
        <row r="72">
          <cell r="A72" t="str">
            <v>NAS Unit COGS</v>
          </cell>
          <cell r="C72">
            <v>0</v>
          </cell>
          <cell r="D72">
            <v>0</v>
          </cell>
          <cell r="E72">
            <v>0</v>
          </cell>
          <cell r="F72">
            <v>0</v>
          </cell>
          <cell r="G72">
            <v>0</v>
          </cell>
          <cell r="H72">
            <v>0</v>
          </cell>
          <cell r="I72">
            <v>0</v>
          </cell>
          <cell r="J72">
            <v>0</v>
          </cell>
          <cell r="K72">
            <v>0</v>
          </cell>
          <cell r="L72">
            <v>0</v>
          </cell>
          <cell r="M72">
            <v>0</v>
          </cell>
          <cell r="N72">
            <v>0</v>
          </cell>
          <cell r="O72">
            <v>0</v>
          </cell>
          <cell r="Q72">
            <v>0</v>
          </cell>
          <cell r="S72">
            <v>0</v>
          </cell>
          <cell r="U72" t="str">
            <v>NAS Unit COGS</v>
          </cell>
          <cell r="V72">
            <v>0</v>
          </cell>
          <cell r="W72">
            <v>0</v>
          </cell>
          <cell r="X72">
            <v>0</v>
          </cell>
          <cell r="Y72">
            <v>0</v>
          </cell>
          <cell r="Z72">
            <v>0</v>
          </cell>
          <cell r="AA72">
            <v>0</v>
          </cell>
          <cell r="AB72">
            <v>0</v>
          </cell>
          <cell r="AC72">
            <v>0</v>
          </cell>
          <cell r="AD72">
            <v>0</v>
          </cell>
          <cell r="AE72">
            <v>0</v>
          </cell>
          <cell r="AF72">
            <v>0</v>
          </cell>
          <cell r="AG72">
            <v>0</v>
          </cell>
          <cell r="AI72" t="str">
            <v>NAS Unit COGS</v>
          </cell>
          <cell r="AJ72">
            <v>0</v>
          </cell>
          <cell r="AK72">
            <v>0</v>
          </cell>
          <cell r="AL72">
            <v>0</v>
          </cell>
          <cell r="AM72">
            <v>0</v>
          </cell>
          <cell r="AN72">
            <v>0</v>
          </cell>
        </row>
        <row r="74">
          <cell r="A74" t="str">
            <v>Agroisleña Volume</v>
          </cell>
          <cell r="C74">
            <v>0</v>
          </cell>
          <cell r="D74">
            <v>0</v>
          </cell>
          <cell r="E74">
            <v>0</v>
          </cell>
          <cell r="F74">
            <v>0</v>
          </cell>
          <cell r="G74">
            <v>0</v>
          </cell>
          <cell r="H74">
            <v>0</v>
          </cell>
          <cell r="I74">
            <v>0</v>
          </cell>
          <cell r="J74">
            <v>0</v>
          </cell>
          <cell r="K74">
            <v>0</v>
          </cell>
          <cell r="L74">
            <v>0</v>
          </cell>
          <cell r="M74">
            <v>0</v>
          </cell>
          <cell r="N74">
            <v>0</v>
          </cell>
          <cell r="O74">
            <v>0</v>
          </cell>
          <cell r="Q74">
            <v>0</v>
          </cell>
          <cell r="S74">
            <v>0</v>
          </cell>
          <cell r="U74" t="str">
            <v>Agroisleña Volume</v>
          </cell>
          <cell r="V74">
            <v>0</v>
          </cell>
          <cell r="W74">
            <v>0</v>
          </cell>
          <cell r="X74">
            <v>0</v>
          </cell>
          <cell r="Y74">
            <v>0</v>
          </cell>
          <cell r="Z74">
            <v>0</v>
          </cell>
          <cell r="AA74">
            <v>0</v>
          </cell>
          <cell r="AB74">
            <v>0</v>
          </cell>
          <cell r="AC74">
            <v>0</v>
          </cell>
          <cell r="AD74">
            <v>0</v>
          </cell>
          <cell r="AE74">
            <v>0</v>
          </cell>
          <cell r="AF74">
            <v>0</v>
          </cell>
          <cell r="AG74">
            <v>0</v>
          </cell>
          <cell r="AI74" t="str">
            <v>Agroisleña Volume</v>
          </cell>
          <cell r="AJ74">
            <v>0</v>
          </cell>
          <cell r="AK74">
            <v>0</v>
          </cell>
          <cell r="AL74">
            <v>0</v>
          </cell>
          <cell r="AM74">
            <v>0</v>
          </cell>
          <cell r="AN74">
            <v>0</v>
          </cell>
        </row>
        <row r="75">
          <cell r="A75" t="str">
            <v>Agroisleña Netback</v>
          </cell>
          <cell r="C75">
            <v>0</v>
          </cell>
          <cell r="D75">
            <v>0</v>
          </cell>
          <cell r="E75">
            <v>0</v>
          </cell>
          <cell r="F75">
            <v>0</v>
          </cell>
          <cell r="G75">
            <v>0</v>
          </cell>
          <cell r="H75">
            <v>0</v>
          </cell>
          <cell r="I75">
            <v>0</v>
          </cell>
          <cell r="J75">
            <v>0</v>
          </cell>
          <cell r="K75">
            <v>0</v>
          </cell>
          <cell r="L75">
            <v>0</v>
          </cell>
          <cell r="M75">
            <v>0</v>
          </cell>
          <cell r="N75">
            <v>0</v>
          </cell>
          <cell r="O75">
            <v>0</v>
          </cell>
          <cell r="Q75">
            <v>0</v>
          </cell>
          <cell r="S75">
            <v>0</v>
          </cell>
          <cell r="U75" t="str">
            <v>Agroisleña Netback</v>
          </cell>
          <cell r="V75">
            <v>0</v>
          </cell>
          <cell r="W75">
            <v>0</v>
          </cell>
          <cell r="X75">
            <v>0</v>
          </cell>
          <cell r="Y75">
            <v>0</v>
          </cell>
          <cell r="Z75">
            <v>0</v>
          </cell>
          <cell r="AA75">
            <v>0</v>
          </cell>
          <cell r="AB75">
            <v>0</v>
          </cell>
          <cell r="AC75">
            <v>0</v>
          </cell>
          <cell r="AD75">
            <v>0</v>
          </cell>
          <cell r="AE75">
            <v>0</v>
          </cell>
          <cell r="AF75">
            <v>0</v>
          </cell>
          <cell r="AG75">
            <v>0</v>
          </cell>
          <cell r="AI75" t="str">
            <v>Agroisleña Netback</v>
          </cell>
          <cell r="AJ75">
            <v>0</v>
          </cell>
          <cell r="AK75">
            <v>0</v>
          </cell>
          <cell r="AL75">
            <v>0</v>
          </cell>
          <cell r="AM75">
            <v>0</v>
          </cell>
          <cell r="AN75">
            <v>0</v>
          </cell>
        </row>
        <row r="76">
          <cell r="A76" t="str">
            <v>Agroisleña COGS</v>
          </cell>
          <cell r="C76">
            <v>0</v>
          </cell>
          <cell r="D76">
            <v>0</v>
          </cell>
          <cell r="E76">
            <v>0</v>
          </cell>
          <cell r="F76">
            <v>0</v>
          </cell>
          <cell r="G76">
            <v>0</v>
          </cell>
          <cell r="H76">
            <v>0</v>
          </cell>
          <cell r="I76">
            <v>0</v>
          </cell>
          <cell r="J76">
            <v>0</v>
          </cell>
          <cell r="K76">
            <v>0</v>
          </cell>
          <cell r="L76">
            <v>0</v>
          </cell>
          <cell r="M76">
            <v>0</v>
          </cell>
          <cell r="N76">
            <v>0</v>
          </cell>
          <cell r="O76">
            <v>0</v>
          </cell>
          <cell r="Q76">
            <v>0</v>
          </cell>
          <cell r="S76">
            <v>0</v>
          </cell>
          <cell r="U76" t="str">
            <v>Agroisleña COGS</v>
          </cell>
          <cell r="V76">
            <v>0</v>
          </cell>
          <cell r="W76">
            <v>0</v>
          </cell>
          <cell r="X76">
            <v>0</v>
          </cell>
          <cell r="Y76">
            <v>0</v>
          </cell>
          <cell r="Z76">
            <v>0</v>
          </cell>
          <cell r="AA76">
            <v>0</v>
          </cell>
          <cell r="AB76">
            <v>0</v>
          </cell>
          <cell r="AC76">
            <v>0</v>
          </cell>
          <cell r="AD76">
            <v>0</v>
          </cell>
          <cell r="AE76">
            <v>0</v>
          </cell>
          <cell r="AF76">
            <v>0</v>
          </cell>
          <cell r="AG76">
            <v>0</v>
          </cell>
          <cell r="AI76" t="str">
            <v>Agroisleña COGS</v>
          </cell>
          <cell r="AJ76">
            <v>0</v>
          </cell>
          <cell r="AK76">
            <v>0</v>
          </cell>
          <cell r="AL76">
            <v>0</v>
          </cell>
          <cell r="AM76">
            <v>0</v>
          </cell>
          <cell r="AN76">
            <v>0</v>
          </cell>
        </row>
        <row r="78">
          <cell r="A78" t="str">
            <v>Salt Volume</v>
          </cell>
          <cell r="C78">
            <v>0</v>
          </cell>
          <cell r="D78">
            <v>0</v>
          </cell>
          <cell r="E78">
            <v>0</v>
          </cell>
          <cell r="F78">
            <v>0</v>
          </cell>
          <cell r="G78">
            <v>0</v>
          </cell>
          <cell r="H78">
            <v>0</v>
          </cell>
          <cell r="I78">
            <v>0</v>
          </cell>
          <cell r="J78">
            <v>0</v>
          </cell>
          <cell r="K78">
            <v>0</v>
          </cell>
          <cell r="L78">
            <v>0</v>
          </cell>
          <cell r="M78">
            <v>0</v>
          </cell>
          <cell r="N78">
            <v>0</v>
          </cell>
          <cell r="O78">
            <v>0</v>
          </cell>
          <cell r="Q78">
            <v>0</v>
          </cell>
          <cell r="S78">
            <v>0</v>
          </cell>
          <cell r="U78" t="str">
            <v>Salt Volume</v>
          </cell>
          <cell r="V78">
            <v>0</v>
          </cell>
          <cell r="W78">
            <v>0</v>
          </cell>
          <cell r="X78">
            <v>0</v>
          </cell>
          <cell r="Y78">
            <v>0</v>
          </cell>
          <cell r="Z78">
            <v>0</v>
          </cell>
          <cell r="AA78">
            <v>0</v>
          </cell>
          <cell r="AB78">
            <v>0</v>
          </cell>
          <cell r="AC78">
            <v>0</v>
          </cell>
          <cell r="AD78">
            <v>0</v>
          </cell>
          <cell r="AE78">
            <v>0</v>
          </cell>
          <cell r="AF78">
            <v>0</v>
          </cell>
          <cell r="AG78">
            <v>0</v>
          </cell>
          <cell r="AI78" t="str">
            <v>Salt Volume</v>
          </cell>
          <cell r="AJ78">
            <v>0</v>
          </cell>
          <cell r="AK78">
            <v>0</v>
          </cell>
          <cell r="AL78">
            <v>0</v>
          </cell>
          <cell r="AM78">
            <v>0</v>
          </cell>
          <cell r="AN78">
            <v>0</v>
          </cell>
        </row>
        <row r="79">
          <cell r="A79" t="str">
            <v>Salt Netback</v>
          </cell>
          <cell r="C79">
            <v>0</v>
          </cell>
          <cell r="D79">
            <v>0</v>
          </cell>
          <cell r="E79">
            <v>0</v>
          </cell>
          <cell r="F79">
            <v>0</v>
          </cell>
          <cell r="G79">
            <v>0</v>
          </cell>
          <cell r="H79">
            <v>0</v>
          </cell>
          <cell r="I79">
            <v>0</v>
          </cell>
          <cell r="J79">
            <v>0</v>
          </cell>
          <cell r="K79">
            <v>0</v>
          </cell>
          <cell r="L79">
            <v>0</v>
          </cell>
          <cell r="M79">
            <v>0</v>
          </cell>
          <cell r="N79">
            <v>0</v>
          </cell>
          <cell r="O79">
            <v>0</v>
          </cell>
          <cell r="Q79">
            <v>0</v>
          </cell>
          <cell r="S79">
            <v>0</v>
          </cell>
          <cell r="U79" t="str">
            <v>Salt Netback</v>
          </cell>
          <cell r="V79">
            <v>0</v>
          </cell>
          <cell r="W79">
            <v>0</v>
          </cell>
          <cell r="X79">
            <v>0</v>
          </cell>
          <cell r="Y79">
            <v>0</v>
          </cell>
          <cell r="Z79">
            <v>0</v>
          </cell>
          <cell r="AA79">
            <v>0</v>
          </cell>
          <cell r="AB79">
            <v>0</v>
          </cell>
          <cell r="AC79">
            <v>0</v>
          </cell>
          <cell r="AD79">
            <v>0</v>
          </cell>
          <cell r="AE79">
            <v>0</v>
          </cell>
          <cell r="AF79">
            <v>0</v>
          </cell>
          <cell r="AG79">
            <v>0</v>
          </cell>
          <cell r="AI79" t="str">
            <v>Salt Netback</v>
          </cell>
          <cell r="AJ79">
            <v>0</v>
          </cell>
          <cell r="AK79">
            <v>0</v>
          </cell>
          <cell r="AL79">
            <v>0</v>
          </cell>
          <cell r="AM79">
            <v>0</v>
          </cell>
          <cell r="AN79">
            <v>0</v>
          </cell>
        </row>
        <row r="80">
          <cell r="A80" t="str">
            <v>Salt Unit COGS</v>
          </cell>
          <cell r="C80">
            <v>0</v>
          </cell>
          <cell r="D80">
            <v>0</v>
          </cell>
          <cell r="E80">
            <v>0</v>
          </cell>
          <cell r="F80">
            <v>0</v>
          </cell>
          <cell r="G80">
            <v>0</v>
          </cell>
          <cell r="H80">
            <v>0</v>
          </cell>
          <cell r="I80">
            <v>0</v>
          </cell>
          <cell r="J80">
            <v>0</v>
          </cell>
          <cell r="K80">
            <v>0</v>
          </cell>
          <cell r="L80">
            <v>0</v>
          </cell>
          <cell r="M80">
            <v>0</v>
          </cell>
          <cell r="N80">
            <v>0</v>
          </cell>
          <cell r="O80">
            <v>0</v>
          </cell>
          <cell r="Q80">
            <v>0</v>
          </cell>
          <cell r="S80">
            <v>0</v>
          </cell>
          <cell r="U80" t="str">
            <v>Salt Unit COGS</v>
          </cell>
          <cell r="V80">
            <v>0</v>
          </cell>
          <cell r="W80">
            <v>0</v>
          </cell>
          <cell r="X80">
            <v>0</v>
          </cell>
          <cell r="Y80">
            <v>0</v>
          </cell>
          <cell r="Z80">
            <v>0</v>
          </cell>
          <cell r="AA80">
            <v>0</v>
          </cell>
          <cell r="AB80">
            <v>0</v>
          </cell>
          <cell r="AC80">
            <v>0</v>
          </cell>
          <cell r="AD80">
            <v>0</v>
          </cell>
          <cell r="AE80">
            <v>0</v>
          </cell>
          <cell r="AF80">
            <v>0</v>
          </cell>
          <cell r="AG80">
            <v>0</v>
          </cell>
          <cell r="AI80" t="str">
            <v>Salt Unit COGS</v>
          </cell>
          <cell r="AJ80">
            <v>0</v>
          </cell>
          <cell r="AK80">
            <v>0</v>
          </cell>
          <cell r="AL80">
            <v>0</v>
          </cell>
          <cell r="AM80">
            <v>0</v>
          </cell>
          <cell r="AN80">
            <v>0</v>
          </cell>
        </row>
        <row r="82">
          <cell r="A82" t="str">
            <v>Acid Volume</v>
          </cell>
          <cell r="C82">
            <v>0</v>
          </cell>
          <cell r="D82">
            <v>0</v>
          </cell>
          <cell r="E82">
            <v>0</v>
          </cell>
          <cell r="F82">
            <v>0</v>
          </cell>
          <cell r="G82">
            <v>0</v>
          </cell>
          <cell r="H82">
            <v>0</v>
          </cell>
          <cell r="I82">
            <v>0</v>
          </cell>
          <cell r="J82">
            <v>0</v>
          </cell>
          <cell r="K82">
            <v>0</v>
          </cell>
          <cell r="L82">
            <v>0</v>
          </cell>
          <cell r="M82">
            <v>0</v>
          </cell>
          <cell r="N82">
            <v>0</v>
          </cell>
          <cell r="O82">
            <v>0</v>
          </cell>
          <cell r="Q82">
            <v>0</v>
          </cell>
          <cell r="S82">
            <v>0</v>
          </cell>
          <cell r="U82" t="str">
            <v>Acid Volume</v>
          </cell>
          <cell r="V82">
            <v>0</v>
          </cell>
          <cell r="W82">
            <v>0</v>
          </cell>
          <cell r="X82">
            <v>0</v>
          </cell>
          <cell r="Y82">
            <v>0</v>
          </cell>
          <cell r="Z82">
            <v>0</v>
          </cell>
          <cell r="AA82">
            <v>0</v>
          </cell>
          <cell r="AB82">
            <v>0</v>
          </cell>
          <cell r="AC82">
            <v>0</v>
          </cell>
          <cell r="AD82">
            <v>0</v>
          </cell>
          <cell r="AE82">
            <v>0</v>
          </cell>
          <cell r="AF82">
            <v>0</v>
          </cell>
          <cell r="AG82">
            <v>0</v>
          </cell>
          <cell r="AI82" t="str">
            <v>Acid Volume</v>
          </cell>
          <cell r="AJ82">
            <v>0</v>
          </cell>
          <cell r="AK82">
            <v>0</v>
          </cell>
          <cell r="AL82">
            <v>0</v>
          </cell>
          <cell r="AM82">
            <v>0</v>
          </cell>
          <cell r="AN82">
            <v>0</v>
          </cell>
        </row>
        <row r="83">
          <cell r="A83" t="str">
            <v>Acid Netback</v>
          </cell>
          <cell r="C83">
            <v>0</v>
          </cell>
          <cell r="D83">
            <v>0</v>
          </cell>
          <cell r="E83">
            <v>0</v>
          </cell>
          <cell r="F83">
            <v>0</v>
          </cell>
          <cell r="G83">
            <v>0</v>
          </cell>
          <cell r="H83">
            <v>0</v>
          </cell>
          <cell r="I83">
            <v>0</v>
          </cell>
          <cell r="J83">
            <v>0</v>
          </cell>
          <cell r="K83">
            <v>0</v>
          </cell>
          <cell r="L83">
            <v>0</v>
          </cell>
          <cell r="M83">
            <v>0</v>
          </cell>
          <cell r="N83">
            <v>0</v>
          </cell>
          <cell r="O83">
            <v>0</v>
          </cell>
          <cell r="Q83">
            <v>0</v>
          </cell>
          <cell r="S83">
            <v>0</v>
          </cell>
          <cell r="U83" t="str">
            <v>Acid Netback</v>
          </cell>
          <cell r="V83">
            <v>0</v>
          </cell>
          <cell r="W83">
            <v>0</v>
          </cell>
          <cell r="X83">
            <v>0</v>
          </cell>
          <cell r="Y83">
            <v>0</v>
          </cell>
          <cell r="Z83">
            <v>0</v>
          </cell>
          <cell r="AA83">
            <v>0</v>
          </cell>
          <cell r="AB83">
            <v>0</v>
          </cell>
          <cell r="AC83">
            <v>0</v>
          </cell>
          <cell r="AD83">
            <v>0</v>
          </cell>
          <cell r="AE83">
            <v>0</v>
          </cell>
          <cell r="AF83">
            <v>0</v>
          </cell>
          <cell r="AG83">
            <v>0</v>
          </cell>
          <cell r="AI83" t="str">
            <v>Acid Netback</v>
          </cell>
          <cell r="AJ83">
            <v>0</v>
          </cell>
          <cell r="AK83">
            <v>0</v>
          </cell>
          <cell r="AL83">
            <v>0</v>
          </cell>
          <cell r="AM83">
            <v>0</v>
          </cell>
          <cell r="AN83">
            <v>0</v>
          </cell>
        </row>
        <row r="84">
          <cell r="A84" t="str">
            <v>Acid Unit COGS</v>
          </cell>
          <cell r="C84">
            <v>0</v>
          </cell>
          <cell r="D84">
            <v>0</v>
          </cell>
          <cell r="E84">
            <v>0</v>
          </cell>
          <cell r="F84">
            <v>0</v>
          </cell>
          <cell r="G84">
            <v>0</v>
          </cell>
          <cell r="H84">
            <v>0</v>
          </cell>
          <cell r="I84">
            <v>0</v>
          </cell>
          <cell r="J84">
            <v>0</v>
          </cell>
          <cell r="K84">
            <v>0</v>
          </cell>
          <cell r="L84">
            <v>0</v>
          </cell>
          <cell r="M84">
            <v>0</v>
          </cell>
          <cell r="N84">
            <v>0</v>
          </cell>
          <cell r="O84">
            <v>0</v>
          </cell>
          <cell r="Q84">
            <v>0</v>
          </cell>
          <cell r="S84">
            <v>0</v>
          </cell>
          <cell r="U84" t="str">
            <v>Acid Unit COGS</v>
          </cell>
          <cell r="V84">
            <v>0</v>
          </cell>
          <cell r="W84">
            <v>0</v>
          </cell>
          <cell r="X84">
            <v>0</v>
          </cell>
          <cell r="Y84">
            <v>0</v>
          </cell>
          <cell r="Z84">
            <v>0</v>
          </cell>
          <cell r="AA84">
            <v>0</v>
          </cell>
          <cell r="AB84">
            <v>0</v>
          </cell>
          <cell r="AC84">
            <v>0</v>
          </cell>
          <cell r="AD84">
            <v>0</v>
          </cell>
          <cell r="AE84">
            <v>0</v>
          </cell>
          <cell r="AF84">
            <v>0</v>
          </cell>
          <cell r="AG84">
            <v>0</v>
          </cell>
          <cell r="AI84" t="str">
            <v>Acid Unit COGS</v>
          </cell>
          <cell r="AJ84">
            <v>0</v>
          </cell>
          <cell r="AK84">
            <v>0</v>
          </cell>
          <cell r="AL84">
            <v>0</v>
          </cell>
          <cell r="AM84">
            <v>0</v>
          </cell>
          <cell r="AN84">
            <v>0</v>
          </cell>
        </row>
        <row r="86">
          <cell r="A86" t="str">
            <v>Antigeneric Volume</v>
          </cell>
          <cell r="C86">
            <v>0</v>
          </cell>
          <cell r="D86">
            <v>0</v>
          </cell>
          <cell r="E86">
            <v>2</v>
          </cell>
          <cell r="F86">
            <v>39</v>
          </cell>
          <cell r="G86">
            <v>32</v>
          </cell>
          <cell r="H86">
            <v>90</v>
          </cell>
          <cell r="I86">
            <v>1.5</v>
          </cell>
          <cell r="J86">
            <v>30.75</v>
          </cell>
          <cell r="K86">
            <v>22.5</v>
          </cell>
          <cell r="L86">
            <v>0</v>
          </cell>
          <cell r="M86">
            <v>1.5</v>
          </cell>
          <cell r="N86">
            <v>0</v>
          </cell>
          <cell r="O86">
            <v>219.25</v>
          </cell>
          <cell r="P86">
            <v>0.14513263481791791</v>
          </cell>
          <cell r="Q86">
            <v>219.25</v>
          </cell>
          <cell r="R86">
            <v>0</v>
          </cell>
          <cell r="S86">
            <v>219.25</v>
          </cell>
          <cell r="U86" t="str">
            <v>Antigeneric Volume</v>
          </cell>
          <cell r="V86">
            <v>0</v>
          </cell>
          <cell r="W86">
            <v>0</v>
          </cell>
          <cell r="X86">
            <v>2</v>
          </cell>
          <cell r="Y86">
            <v>41</v>
          </cell>
          <cell r="Z86">
            <v>73</v>
          </cell>
          <cell r="AA86">
            <v>163</v>
          </cell>
          <cell r="AB86">
            <v>164.5</v>
          </cell>
          <cell r="AC86">
            <v>195.25</v>
          </cell>
          <cell r="AD86">
            <v>217.75</v>
          </cell>
          <cell r="AE86">
            <v>217.75</v>
          </cell>
          <cell r="AF86">
            <v>219.25</v>
          </cell>
          <cell r="AG86">
            <v>219.25</v>
          </cell>
          <cell r="AI86" t="str">
            <v>Antigeneric Volume</v>
          </cell>
          <cell r="AJ86">
            <v>2</v>
          </cell>
          <cell r="AK86">
            <v>161</v>
          </cell>
          <cell r="AL86">
            <v>54.75</v>
          </cell>
          <cell r="AM86">
            <v>1.5</v>
          </cell>
          <cell r="AN86">
            <v>219.25</v>
          </cell>
        </row>
        <row r="87">
          <cell r="A87" t="str">
            <v>Antigeneric Netback</v>
          </cell>
          <cell r="C87">
            <v>0</v>
          </cell>
          <cell r="D87">
            <v>0</v>
          </cell>
          <cell r="E87">
            <v>16.846806256517208</v>
          </cell>
          <cell r="F87">
            <v>15.074908028146492</v>
          </cell>
          <cell r="G87">
            <v>19.308741899222795</v>
          </cell>
          <cell r="H87">
            <v>15.870849361483005</v>
          </cell>
          <cell r="I87">
            <v>16.912252814738999</v>
          </cell>
          <cell r="J87">
            <v>19.471278444740509</v>
          </cell>
          <cell r="K87">
            <v>15.473041677487082</v>
          </cell>
          <cell r="L87">
            <v>0</v>
          </cell>
          <cell r="M87">
            <v>16.581069128969506</v>
          </cell>
          <cell r="N87">
            <v>0</v>
          </cell>
          <cell r="O87">
            <v>16.716061307886616</v>
          </cell>
          <cell r="Q87">
            <v>16.716061307886616</v>
          </cell>
          <cell r="S87">
            <v>16.716061307886616</v>
          </cell>
          <cell r="U87" t="str">
            <v>Antigeneric Netback</v>
          </cell>
          <cell r="V87">
            <v>0</v>
          </cell>
          <cell r="W87">
            <v>0</v>
          </cell>
          <cell r="X87">
            <v>16.846806256517208</v>
          </cell>
          <cell r="Y87">
            <v>15.161342088067014</v>
          </cell>
          <cell r="Z87">
            <v>16.979380361450371</v>
          </cell>
          <cell r="AA87">
            <v>16.367308030180048</v>
          </cell>
          <cell r="AB87">
            <v>16.372277131559006</v>
          </cell>
          <cell r="AC87">
            <v>16.860340078449305</v>
          </cell>
          <cell r="AD87">
            <v>16.716991219566872</v>
          </cell>
          <cell r="AE87">
            <v>16.716991219566872</v>
          </cell>
          <cell r="AF87">
            <v>16.716061307886616</v>
          </cell>
          <cell r="AG87">
            <v>16.716061307886616</v>
          </cell>
          <cell r="AI87" t="str">
            <v>Antigeneric Netback</v>
          </cell>
          <cell r="AJ87">
            <v>16.846806256517208</v>
          </cell>
          <cell r="AK87">
            <v>16.361351530473996</v>
          </cell>
          <cell r="AL87">
            <v>17.758057153266456</v>
          </cell>
          <cell r="AM87">
            <v>16.581069128969506</v>
          </cell>
          <cell r="AN87">
            <v>16.716061307886619</v>
          </cell>
        </row>
        <row r="88">
          <cell r="A88" t="str">
            <v>Antigeneric Unit COGS</v>
          </cell>
          <cell r="C88">
            <v>0</v>
          </cell>
          <cell r="D88">
            <v>0</v>
          </cell>
          <cell r="E88">
            <v>9.0974115038651391</v>
          </cell>
          <cell r="F88">
            <v>8.6784566468920232</v>
          </cell>
          <cell r="G88">
            <v>8.468203113862403</v>
          </cell>
          <cell r="H88">
            <v>8.4064792369297372</v>
          </cell>
          <cell r="I88">
            <v>9.0287409352892656</v>
          </cell>
          <cell r="J88">
            <v>8.4433155602990198</v>
          </cell>
          <cell r="K88">
            <v>8.5057140474334965</v>
          </cell>
          <cell r="L88">
            <v>0</v>
          </cell>
          <cell r="M88">
            <v>8.8385376745317448</v>
          </cell>
          <cell r="N88">
            <v>0</v>
          </cell>
          <cell r="O88">
            <v>8.492732956282655</v>
          </cell>
          <cell r="Q88">
            <v>8.492732956282655</v>
          </cell>
          <cell r="S88">
            <v>8.492732956282655</v>
          </cell>
          <cell r="U88" t="str">
            <v>Antigeneric Unit COGS</v>
          </cell>
          <cell r="V88">
            <v>0</v>
          </cell>
          <cell r="W88">
            <v>0</v>
          </cell>
          <cell r="X88">
            <v>9.0974115038651391</v>
          </cell>
          <cell r="Y88">
            <v>8.6988934691833961</v>
          </cell>
          <cell r="Z88">
            <v>8.5977689298646052</v>
          </cell>
          <cell r="AA88">
            <v>8.4921488540109973</v>
          </cell>
          <cell r="AB88">
            <v>8.4970417909223475</v>
          </cell>
          <cell r="AC88">
            <v>8.488580425536087</v>
          </cell>
          <cell r="AD88">
            <v>8.490350834228126</v>
          </cell>
          <cell r="AE88">
            <v>8.490350834228126</v>
          </cell>
          <cell r="AF88">
            <v>8.492732956282655</v>
          </cell>
          <cell r="AG88">
            <v>8.492732956282655</v>
          </cell>
          <cell r="AI88" t="str">
            <v>Antigeneric Unit COGS</v>
          </cell>
          <cell r="AJ88">
            <v>9.0974115038651391</v>
          </cell>
          <cell r="AK88">
            <v>8.484630063329579</v>
          </cell>
          <cell r="AL88">
            <v>8.4849978255594962</v>
          </cell>
          <cell r="AM88">
            <v>8.8385376745317448</v>
          </cell>
          <cell r="AN88">
            <v>8.492732956282655</v>
          </cell>
        </row>
        <row r="90">
          <cell r="A90" t="str">
            <v>Ranger Volume</v>
          </cell>
          <cell r="C90">
            <v>0</v>
          </cell>
          <cell r="D90">
            <v>0</v>
          </cell>
          <cell r="E90">
            <v>9.5400000000000009</v>
          </cell>
          <cell r="F90">
            <v>5.0030000000000001</v>
          </cell>
          <cell r="G90">
            <v>7.3500000000000005</v>
          </cell>
          <cell r="H90">
            <v>30.941000000000003</v>
          </cell>
          <cell r="I90">
            <v>0.5282</v>
          </cell>
          <cell r="J90">
            <v>8.3742000000000019</v>
          </cell>
          <cell r="K90">
            <v>3.125</v>
          </cell>
          <cell r="L90">
            <v>1.0900000000000001</v>
          </cell>
          <cell r="M90">
            <v>0</v>
          </cell>
          <cell r="N90">
            <v>0</v>
          </cell>
          <cell r="O90">
            <v>65.951400000000007</v>
          </cell>
          <cell r="P90">
            <v>4.365655850367358E-2</v>
          </cell>
          <cell r="Q90">
            <v>65.951400000000007</v>
          </cell>
          <cell r="R90">
            <v>0</v>
          </cell>
          <cell r="S90">
            <v>65.951400000000007</v>
          </cell>
          <cell r="U90" t="str">
            <v>Ranger Volume</v>
          </cell>
          <cell r="V90">
            <v>0</v>
          </cell>
          <cell r="W90">
            <v>0</v>
          </cell>
          <cell r="X90">
            <v>9.5400000000000009</v>
          </cell>
          <cell r="Y90">
            <v>14.543000000000001</v>
          </cell>
          <cell r="Z90">
            <v>21.893000000000001</v>
          </cell>
          <cell r="AA90">
            <v>52.834000000000003</v>
          </cell>
          <cell r="AB90">
            <v>53.362200000000001</v>
          </cell>
          <cell r="AC90">
            <v>61.736400000000003</v>
          </cell>
          <cell r="AD90">
            <v>64.861400000000003</v>
          </cell>
          <cell r="AE90">
            <v>65.951400000000007</v>
          </cell>
          <cell r="AF90">
            <v>65.951400000000007</v>
          </cell>
          <cell r="AG90">
            <v>65.951400000000007</v>
          </cell>
          <cell r="AI90" t="str">
            <v>Ranger Volume</v>
          </cell>
          <cell r="AJ90">
            <v>9.5400000000000009</v>
          </cell>
          <cell r="AK90">
            <v>43.294000000000004</v>
          </cell>
          <cell r="AL90">
            <v>12.027400000000002</v>
          </cell>
          <cell r="AM90">
            <v>1.0900000000000001</v>
          </cell>
          <cell r="AN90">
            <v>65.951400000000007</v>
          </cell>
        </row>
        <row r="91">
          <cell r="A91" t="str">
            <v>Ranger Netback</v>
          </cell>
          <cell r="C91">
            <v>0</v>
          </cell>
          <cell r="D91">
            <v>0</v>
          </cell>
          <cell r="E91">
            <v>26.852246826675973</v>
          </cell>
          <cell r="F91">
            <v>27.70125409766489</v>
          </cell>
          <cell r="G91">
            <v>27.708400869940469</v>
          </cell>
          <cell r="H91">
            <v>23.95304782755608</v>
          </cell>
          <cell r="I91">
            <v>30.025231930332858</v>
          </cell>
          <cell r="J91">
            <v>24.438541047120587</v>
          </cell>
          <cell r="K91">
            <v>23.356081125552443</v>
          </cell>
          <cell r="L91">
            <v>27.387966177268481</v>
          </cell>
          <cell r="M91">
            <v>0</v>
          </cell>
          <cell r="N91">
            <v>0</v>
          </cell>
          <cell r="O91">
            <v>25.214036438901289</v>
          </cell>
          <cell r="Q91">
            <v>25.214036438901289</v>
          </cell>
          <cell r="S91">
            <v>25.214036438901289</v>
          </cell>
          <cell r="U91" t="str">
            <v>Ranger Netback</v>
          </cell>
          <cell r="V91">
            <v>0</v>
          </cell>
          <cell r="W91">
            <v>0</v>
          </cell>
          <cell r="X91">
            <v>26.852246826675973</v>
          </cell>
          <cell r="Y91">
            <v>27.14431747074924</v>
          </cell>
          <cell r="Z91">
            <v>27.333693663324745</v>
          </cell>
          <cell r="AA91">
            <v>25.353897266979246</v>
          </cell>
          <cell r="AB91">
            <v>25.40013597095291</v>
          </cell>
          <cell r="AC91">
            <v>25.269700956744813</v>
          </cell>
          <cell r="AD91">
            <v>25.177503409783508</v>
          </cell>
          <cell r="AE91">
            <v>25.214036438901289</v>
          </cell>
          <cell r="AF91">
            <v>25.214036438901289</v>
          </cell>
          <cell r="AG91">
            <v>25.214036438901289</v>
          </cell>
          <cell r="AI91" t="str">
            <v>Ranger Netback</v>
          </cell>
          <cell r="AJ91">
            <v>26.852246826675973</v>
          </cell>
          <cell r="AK91">
            <v>25.02373015838436</v>
          </cell>
          <cell r="AL91">
            <v>24.40263992714555</v>
          </cell>
          <cell r="AM91">
            <v>27.387966177268481</v>
          </cell>
          <cell r="AN91">
            <v>25.214036438901285</v>
          </cell>
        </row>
        <row r="92">
          <cell r="A92" t="str">
            <v>Ranger Unit COGS</v>
          </cell>
          <cell r="C92">
            <v>0</v>
          </cell>
          <cell r="D92">
            <v>0</v>
          </cell>
          <cell r="E92">
            <v>10.759579716981358</v>
          </cell>
          <cell r="F92">
            <v>10.193286047666549</v>
          </cell>
          <cell r="G92">
            <v>9.9319197387520237</v>
          </cell>
          <cell r="H92">
            <v>9.9319197387520219</v>
          </cell>
          <cell r="I92">
            <v>9.9319197387520237</v>
          </cell>
          <cell r="J92">
            <v>9.9319197387520237</v>
          </cell>
          <cell r="K92">
            <v>9.9319197387520237</v>
          </cell>
          <cell r="L92">
            <v>9.9319197387520219</v>
          </cell>
          <cell r="M92">
            <v>0</v>
          </cell>
          <cell r="N92">
            <v>0</v>
          </cell>
          <cell r="O92">
            <v>10.071469344003878</v>
          </cell>
          <cell r="Q92">
            <v>10.071469344003878</v>
          </cell>
          <cell r="S92">
            <v>10.071469344003878</v>
          </cell>
          <cell r="U92" t="str">
            <v>Ranger Unit COGS</v>
          </cell>
          <cell r="V92">
            <v>0</v>
          </cell>
          <cell r="W92">
            <v>0</v>
          </cell>
          <cell r="X92">
            <v>10.759579716981358</v>
          </cell>
          <cell r="Y92">
            <v>10.564766595370823</v>
          </cell>
          <cell r="Z92">
            <v>10.352304877189296</v>
          </cell>
          <cell r="AA92">
            <v>10.106116124333415</v>
          </cell>
          <cell r="AB92">
            <v>10.104391860137708</v>
          </cell>
          <cell r="AC92">
            <v>10.080996974156212</v>
          </cell>
          <cell r="AD92">
            <v>10.073814484098365</v>
          </cell>
          <cell r="AE92">
            <v>10.071469344003878</v>
          </cell>
          <cell r="AF92">
            <v>10.071469344003878</v>
          </cell>
          <cell r="AG92">
            <v>10.071469344003878</v>
          </cell>
          <cell r="AI92" t="str">
            <v>Ranger Unit COGS</v>
          </cell>
          <cell r="AJ92">
            <v>10.759579716981358</v>
          </cell>
          <cell r="AK92">
            <v>9.9621228995479605</v>
          </cell>
          <cell r="AL92">
            <v>9.9319197387520237</v>
          </cell>
          <cell r="AM92">
            <v>9.9319197387520219</v>
          </cell>
          <cell r="AN92">
            <v>10.071469344003878</v>
          </cell>
        </row>
        <row r="94">
          <cell r="A94" t="str">
            <v>Latigo Volume</v>
          </cell>
          <cell r="C94">
            <v>0</v>
          </cell>
          <cell r="D94">
            <v>0</v>
          </cell>
          <cell r="E94">
            <v>0</v>
          </cell>
          <cell r="F94">
            <v>0</v>
          </cell>
          <cell r="G94">
            <v>0</v>
          </cell>
          <cell r="H94">
            <v>0</v>
          </cell>
          <cell r="I94">
            <v>0</v>
          </cell>
          <cell r="J94">
            <v>0</v>
          </cell>
          <cell r="K94">
            <v>0</v>
          </cell>
          <cell r="L94">
            <v>0</v>
          </cell>
          <cell r="M94">
            <v>0</v>
          </cell>
          <cell r="N94">
            <v>0</v>
          </cell>
          <cell r="O94">
            <v>0</v>
          </cell>
          <cell r="Q94">
            <v>0</v>
          </cell>
          <cell r="S94">
            <v>0</v>
          </cell>
          <cell r="U94" t="str">
            <v>Latigo Volume</v>
          </cell>
          <cell r="V94">
            <v>0</v>
          </cell>
          <cell r="W94">
            <v>0</v>
          </cell>
          <cell r="X94">
            <v>0</v>
          </cell>
          <cell r="Y94">
            <v>0</v>
          </cell>
          <cell r="Z94">
            <v>0</v>
          </cell>
          <cell r="AA94">
            <v>0</v>
          </cell>
          <cell r="AB94">
            <v>0</v>
          </cell>
          <cell r="AC94">
            <v>0</v>
          </cell>
          <cell r="AD94">
            <v>0</v>
          </cell>
          <cell r="AE94">
            <v>0</v>
          </cell>
          <cell r="AF94">
            <v>0</v>
          </cell>
          <cell r="AG94">
            <v>0</v>
          </cell>
          <cell r="AI94" t="str">
            <v>Latigo Volume</v>
          </cell>
          <cell r="AJ94">
            <v>0</v>
          </cell>
          <cell r="AK94">
            <v>0</v>
          </cell>
          <cell r="AL94">
            <v>0</v>
          </cell>
          <cell r="AM94">
            <v>0</v>
          </cell>
          <cell r="AN94">
            <v>0</v>
          </cell>
        </row>
        <row r="95">
          <cell r="A95" t="str">
            <v>Latigo Netback</v>
          </cell>
          <cell r="C95">
            <v>0</v>
          </cell>
          <cell r="D95">
            <v>0</v>
          </cell>
          <cell r="E95">
            <v>0</v>
          </cell>
          <cell r="F95">
            <v>0</v>
          </cell>
          <cell r="G95">
            <v>0</v>
          </cell>
          <cell r="H95">
            <v>0</v>
          </cell>
          <cell r="I95">
            <v>0</v>
          </cell>
          <cell r="J95">
            <v>0</v>
          </cell>
          <cell r="K95">
            <v>0</v>
          </cell>
          <cell r="L95">
            <v>0</v>
          </cell>
          <cell r="M95">
            <v>0</v>
          </cell>
          <cell r="N95">
            <v>0</v>
          </cell>
          <cell r="O95">
            <v>0</v>
          </cell>
          <cell r="Q95">
            <v>0</v>
          </cell>
          <cell r="S95">
            <v>0</v>
          </cell>
          <cell r="U95" t="str">
            <v>Latigo Netback</v>
          </cell>
          <cell r="V95">
            <v>0</v>
          </cell>
          <cell r="W95">
            <v>0</v>
          </cell>
          <cell r="X95">
            <v>0</v>
          </cell>
          <cell r="Y95">
            <v>0</v>
          </cell>
          <cell r="Z95">
            <v>0</v>
          </cell>
          <cell r="AA95">
            <v>0</v>
          </cell>
          <cell r="AB95">
            <v>0</v>
          </cell>
          <cell r="AC95">
            <v>0</v>
          </cell>
          <cell r="AD95">
            <v>0</v>
          </cell>
          <cell r="AE95">
            <v>0</v>
          </cell>
          <cell r="AF95">
            <v>0</v>
          </cell>
          <cell r="AG95">
            <v>0</v>
          </cell>
          <cell r="AI95" t="str">
            <v>Latigo Netback</v>
          </cell>
          <cell r="AJ95">
            <v>0</v>
          </cell>
          <cell r="AK95">
            <v>0</v>
          </cell>
          <cell r="AL95">
            <v>0</v>
          </cell>
          <cell r="AM95">
            <v>0</v>
          </cell>
          <cell r="AN95">
            <v>0</v>
          </cell>
        </row>
        <row r="96">
          <cell r="A96" t="str">
            <v>Latigo Unit COGS</v>
          </cell>
          <cell r="C96">
            <v>0</v>
          </cell>
          <cell r="D96">
            <v>0</v>
          </cell>
          <cell r="E96">
            <v>0</v>
          </cell>
          <cell r="F96">
            <v>0</v>
          </cell>
          <cell r="G96">
            <v>0</v>
          </cell>
          <cell r="H96">
            <v>0</v>
          </cell>
          <cell r="I96">
            <v>0</v>
          </cell>
          <cell r="J96">
            <v>0</v>
          </cell>
          <cell r="K96">
            <v>0</v>
          </cell>
          <cell r="L96">
            <v>0</v>
          </cell>
          <cell r="M96">
            <v>0</v>
          </cell>
          <cell r="N96">
            <v>0</v>
          </cell>
          <cell r="O96">
            <v>0</v>
          </cell>
          <cell r="Q96">
            <v>0</v>
          </cell>
          <cell r="S96">
            <v>0</v>
          </cell>
          <cell r="U96" t="str">
            <v>Latigo Unit COGS</v>
          </cell>
          <cell r="V96">
            <v>0</v>
          </cell>
          <cell r="W96">
            <v>0</v>
          </cell>
          <cell r="X96">
            <v>0</v>
          </cell>
          <cell r="Y96">
            <v>0</v>
          </cell>
          <cell r="Z96">
            <v>0</v>
          </cell>
          <cell r="AA96">
            <v>0</v>
          </cell>
          <cell r="AB96">
            <v>0</v>
          </cell>
          <cell r="AC96">
            <v>0</v>
          </cell>
          <cell r="AD96">
            <v>0</v>
          </cell>
          <cell r="AE96">
            <v>0</v>
          </cell>
          <cell r="AF96">
            <v>0</v>
          </cell>
          <cell r="AG96">
            <v>0</v>
          </cell>
          <cell r="AI96" t="str">
            <v>Latigo Unit COGS</v>
          </cell>
          <cell r="AJ96">
            <v>0</v>
          </cell>
          <cell r="AK96">
            <v>0</v>
          </cell>
          <cell r="AL96">
            <v>0</v>
          </cell>
          <cell r="AM96">
            <v>0</v>
          </cell>
          <cell r="AN96">
            <v>0</v>
          </cell>
        </row>
        <row r="98">
          <cell r="A98" t="str">
            <v>Rival / Rocket Volume</v>
          </cell>
          <cell r="C98">
            <v>0</v>
          </cell>
          <cell r="D98">
            <v>0</v>
          </cell>
          <cell r="E98">
            <v>14.340000000000002</v>
          </cell>
          <cell r="F98">
            <v>5.9375</v>
          </cell>
          <cell r="G98">
            <v>9.6875</v>
          </cell>
          <cell r="H98">
            <v>28.908800000000003</v>
          </cell>
          <cell r="I98">
            <v>2.5996900000000003</v>
          </cell>
          <cell r="J98">
            <v>2.2111200000000002</v>
          </cell>
          <cell r="K98">
            <v>6.8500000000000005</v>
          </cell>
          <cell r="L98">
            <v>0.52500000000000002</v>
          </cell>
          <cell r="M98">
            <v>0</v>
          </cell>
          <cell r="N98">
            <v>0</v>
          </cell>
          <cell r="O98">
            <v>71.059610000000006</v>
          </cell>
          <cell r="P98">
            <v>4.7037940380541245E-2</v>
          </cell>
          <cell r="Q98">
            <v>71.059610000000006</v>
          </cell>
          <cell r="R98">
            <v>0</v>
          </cell>
          <cell r="S98">
            <v>71.059610000000006</v>
          </cell>
          <cell r="U98" t="str">
            <v>Rival / Rocket Volume</v>
          </cell>
          <cell r="V98">
            <v>0</v>
          </cell>
          <cell r="W98">
            <v>0</v>
          </cell>
          <cell r="X98">
            <v>14.340000000000002</v>
          </cell>
          <cell r="Y98">
            <v>20.277500000000003</v>
          </cell>
          <cell r="Z98">
            <v>29.965000000000003</v>
          </cell>
          <cell r="AA98">
            <v>58.873800000000003</v>
          </cell>
          <cell r="AB98">
            <v>61.473490000000005</v>
          </cell>
          <cell r="AC98">
            <v>63.684610000000006</v>
          </cell>
          <cell r="AD98">
            <v>70.534610000000001</v>
          </cell>
          <cell r="AE98">
            <v>71.059610000000006</v>
          </cell>
          <cell r="AF98">
            <v>71.059610000000006</v>
          </cell>
          <cell r="AG98">
            <v>71.059610000000006</v>
          </cell>
          <cell r="AI98" t="str">
            <v>Rival / Rocket Volume</v>
          </cell>
          <cell r="AJ98">
            <v>14.340000000000002</v>
          </cell>
          <cell r="AK98">
            <v>44.533799999999999</v>
          </cell>
          <cell r="AL98">
            <v>11.660810000000001</v>
          </cell>
          <cell r="AM98">
            <v>0.52500000000000002</v>
          </cell>
          <cell r="AN98">
            <v>71.059610000000006</v>
          </cell>
        </row>
        <row r="99">
          <cell r="A99" t="str">
            <v>Rival / Rocket Netback</v>
          </cell>
          <cell r="C99">
            <v>0</v>
          </cell>
          <cell r="D99">
            <v>0</v>
          </cell>
          <cell r="E99">
            <v>24.197909258685605</v>
          </cell>
          <cell r="F99">
            <v>24.995641915372097</v>
          </cell>
          <cell r="G99">
            <v>26.371198395453792</v>
          </cell>
          <cell r="H99">
            <v>23.364855298278773</v>
          </cell>
          <cell r="I99">
            <v>25.93615435372374</v>
          </cell>
          <cell r="J99">
            <v>24.153405795088801</v>
          </cell>
          <cell r="K99">
            <v>23.076458528139508</v>
          </cell>
          <cell r="L99">
            <v>26.580303345923621</v>
          </cell>
          <cell r="M99">
            <v>0</v>
          </cell>
          <cell r="N99">
            <v>0</v>
          </cell>
          <cell r="O99">
            <v>24.193645248724945</v>
          </cell>
          <cell r="Q99">
            <v>24.193645248724945</v>
          </cell>
          <cell r="S99">
            <v>24.193645248724945</v>
          </cell>
          <cell r="U99" t="str">
            <v>Rival / Rocket Netback</v>
          </cell>
          <cell r="V99">
            <v>0</v>
          </cell>
          <cell r="W99">
            <v>0</v>
          </cell>
          <cell r="X99">
            <v>24.197909258685605</v>
          </cell>
          <cell r="Y99">
            <v>24.431495137076727</v>
          </cell>
          <cell r="Z99">
            <v>25.058589257401366</v>
          </cell>
          <cell r="AA99">
            <v>24.226915129393952</v>
          </cell>
          <cell r="AB99">
            <v>24.299198191883129</v>
          </cell>
          <cell r="AC99">
            <v>24.294136301979115</v>
          </cell>
          <cell r="AD99">
            <v>24.17588098376298</v>
          </cell>
          <cell r="AE99">
            <v>24.193645248724945</v>
          </cell>
          <cell r="AF99">
            <v>24.193645248724945</v>
          </cell>
          <cell r="AG99">
            <v>24.193645248724945</v>
          </cell>
          <cell r="AI99" t="str">
            <v>Rival / Rocket Netback</v>
          </cell>
          <cell r="AJ99">
            <v>24.197909258685605</v>
          </cell>
          <cell r="AK99">
            <v>24.236255095575988</v>
          </cell>
          <cell r="AL99">
            <v>23.918216714895827</v>
          </cell>
          <cell r="AM99">
            <v>26.580303345923621</v>
          </cell>
          <cell r="AN99">
            <v>24.193645248724945</v>
          </cell>
        </row>
        <row r="100">
          <cell r="A100" t="str">
            <v>Rival / Rocket Unit COGS</v>
          </cell>
          <cell r="C100">
            <v>0</v>
          </cell>
          <cell r="D100">
            <v>0</v>
          </cell>
          <cell r="E100">
            <v>12.936285939446956</v>
          </cell>
          <cell r="F100">
            <v>12.347210235685278</v>
          </cell>
          <cell r="G100">
            <v>12.058439388753241</v>
          </cell>
          <cell r="H100">
            <v>11.996715511820575</v>
          </cell>
          <cell r="I100">
            <v>12.618977210180105</v>
          </cell>
          <cell r="J100">
            <v>12.03355183518986</v>
          </cell>
          <cell r="K100">
            <v>12.095950322324336</v>
          </cell>
          <cell r="L100">
            <v>12.595801350671721</v>
          </cell>
          <cell r="M100">
            <v>0</v>
          </cell>
          <cell r="N100">
            <v>0</v>
          </cell>
          <cell r="O100">
            <v>12.261927605950818</v>
          </cell>
          <cell r="Q100">
            <v>12.261927605950818</v>
          </cell>
          <cell r="S100">
            <v>12.261927605950818</v>
          </cell>
          <cell r="U100" t="str">
            <v>Rival / Rocket Unit COGS</v>
          </cell>
          <cell r="V100">
            <v>0</v>
          </cell>
          <cell r="W100">
            <v>0</v>
          </cell>
          <cell r="X100">
            <v>12.936285939446956</v>
          </cell>
          <cell r="Y100">
            <v>12.763797368810289</v>
          </cell>
          <cell r="Z100">
            <v>12.535759476876278</v>
          </cell>
          <cell r="AA100">
            <v>12.271072737155007</v>
          </cell>
          <cell r="AB100">
            <v>12.285785482103742</v>
          </cell>
          <cell r="AC100">
            <v>12.277027968139784</v>
          </cell>
          <cell r="AD100">
            <v>12.259442532084551</v>
          </cell>
          <cell r="AE100">
            <v>12.261927605950818</v>
          </cell>
          <cell r="AF100">
            <v>12.261927605950818</v>
          </cell>
          <cell r="AG100">
            <v>12.261927605950818</v>
          </cell>
          <cell r="AI100" t="str">
            <v>Rival / Rocket Unit COGS</v>
          </cell>
          <cell r="AJ100">
            <v>12.936285939446956</v>
          </cell>
          <cell r="AK100">
            <v>12.056872347319272</v>
          </cell>
          <cell r="AL100">
            <v>12.200723252096537</v>
          </cell>
          <cell r="AM100">
            <v>12.595801350671721</v>
          </cell>
          <cell r="AN100">
            <v>12.261927605950817</v>
          </cell>
        </row>
        <row r="102">
          <cell r="A102" t="str">
            <v>Dry Faena / Rup 747 / Rup Max / Volume</v>
          </cell>
          <cell r="C102">
            <v>3.2150000000000003</v>
          </cell>
          <cell r="D102">
            <v>1.5</v>
          </cell>
          <cell r="E102">
            <v>17.083000000000002</v>
          </cell>
          <cell r="F102">
            <v>6.4550000000000001</v>
          </cell>
          <cell r="G102">
            <v>2.3275000000000001</v>
          </cell>
          <cell r="H102">
            <v>53.784000000000006</v>
          </cell>
          <cell r="I102">
            <v>0</v>
          </cell>
          <cell r="J102">
            <v>60.65</v>
          </cell>
          <cell r="K102">
            <v>27.375</v>
          </cell>
          <cell r="L102">
            <v>1.5960000000000001</v>
          </cell>
          <cell r="M102">
            <v>0</v>
          </cell>
          <cell r="N102">
            <v>0</v>
          </cell>
          <cell r="O102">
            <v>173.9855</v>
          </cell>
          <cell r="P102">
            <v>0.11516977895148395</v>
          </cell>
          <cell r="Q102">
            <v>173.9855</v>
          </cell>
          <cell r="R102">
            <v>0</v>
          </cell>
          <cell r="S102">
            <v>173.9855</v>
          </cell>
          <cell r="U102" t="str">
            <v>Dry Faena / Rup 747 / Rup Max / Volume</v>
          </cell>
          <cell r="V102">
            <v>3.2150000000000003</v>
          </cell>
          <cell r="W102">
            <v>4.7149999999999999</v>
          </cell>
          <cell r="X102">
            <v>21.798000000000002</v>
          </cell>
          <cell r="Y102">
            <v>28.253</v>
          </cell>
          <cell r="Z102">
            <v>30.580500000000001</v>
          </cell>
          <cell r="AA102">
            <v>84.364500000000007</v>
          </cell>
          <cell r="AB102">
            <v>84.364500000000007</v>
          </cell>
          <cell r="AC102">
            <v>145.0145</v>
          </cell>
          <cell r="AD102">
            <v>172.3895</v>
          </cell>
          <cell r="AE102">
            <v>173.9855</v>
          </cell>
          <cell r="AF102">
            <v>173.9855</v>
          </cell>
          <cell r="AG102">
            <v>173.9855</v>
          </cell>
          <cell r="AI102" t="str">
            <v>Dry Faena / Rup 747 / Rup Max / Volume</v>
          </cell>
          <cell r="AJ102">
            <v>21.798000000000002</v>
          </cell>
          <cell r="AK102">
            <v>62.566500000000005</v>
          </cell>
          <cell r="AL102">
            <v>88.025000000000006</v>
          </cell>
          <cell r="AM102">
            <v>1.5960000000000001</v>
          </cell>
          <cell r="AN102">
            <v>173.9855</v>
          </cell>
        </row>
        <row r="103">
          <cell r="A103" t="str">
            <v>Dry Faena / Rup 747 / Rup Max / Netback</v>
          </cell>
          <cell r="C103">
            <v>21.853820484220254</v>
          </cell>
          <cell r="D103">
            <v>24.361583158995817</v>
          </cell>
          <cell r="E103">
            <v>21.663563475892168</v>
          </cell>
          <cell r="F103">
            <v>21.578216317064641</v>
          </cell>
          <cell r="G103">
            <v>22.25495122808363</v>
          </cell>
          <cell r="H103">
            <v>22.951271980438573</v>
          </cell>
          <cell r="I103">
            <v>0</v>
          </cell>
          <cell r="J103">
            <v>23.636432024593134</v>
          </cell>
          <cell r="K103">
            <v>21.667418841245357</v>
          </cell>
          <cell r="L103">
            <v>22.409103486107224</v>
          </cell>
          <cell r="M103">
            <v>0</v>
          </cell>
          <cell r="N103">
            <v>0</v>
          </cell>
          <cell r="O103">
            <v>22.788325361563725</v>
          </cell>
          <cell r="Q103">
            <v>22.788325361563725</v>
          </cell>
          <cell r="S103">
            <v>22.788325361563725</v>
          </cell>
          <cell r="U103" t="str">
            <v>Dry Faena / Rup 747 / Rup Max / Netback</v>
          </cell>
          <cell r="V103">
            <v>21.853820484220254</v>
          </cell>
          <cell r="W103">
            <v>22.651624092314286</v>
          </cell>
          <cell r="X103">
            <v>21.87728518460078</v>
          </cell>
          <cell r="Y103">
            <v>21.80895652782289</v>
          </cell>
          <cell r="Z103">
            <v>21.84290144909157</v>
          </cell>
          <cell r="AA103">
            <v>22.549509093989212</v>
          </cell>
          <cell r="AB103">
            <v>22.549509093989212</v>
          </cell>
          <cell r="AC103">
            <v>23.004097260973396</v>
          </cell>
          <cell r="AD103">
            <v>22.791836237302839</v>
          </cell>
          <cell r="AE103">
            <v>22.788325361563722</v>
          </cell>
          <cell r="AF103">
            <v>22.788325361563722</v>
          </cell>
          <cell r="AG103">
            <v>22.788325361563722</v>
          </cell>
          <cell r="AI103" t="str">
            <v>Dry Faena / Rup 747 / Rup Max / Netback</v>
          </cell>
          <cell r="AJ103">
            <v>21.87728518460078</v>
          </cell>
          <cell r="AK103">
            <v>22.783710092556323</v>
          </cell>
          <cell r="AL103">
            <v>23.024086260388131</v>
          </cell>
          <cell r="AM103">
            <v>22.409103486107224</v>
          </cell>
          <cell r="AN103">
            <v>22.788325361563725</v>
          </cell>
        </row>
        <row r="104">
          <cell r="A104" t="str">
            <v>Dry Faena / Rup 747 / Rup Max / Unit COGS</v>
          </cell>
          <cell r="C104">
            <v>13.095367175624899</v>
          </cell>
          <cell r="D104">
            <v>11.673401265457315</v>
          </cell>
          <cell r="E104">
            <v>8.7470301879326975</v>
          </cell>
          <cell r="F104">
            <v>8.3465164528507643</v>
          </cell>
          <cell r="G104">
            <v>8.1447742068478401</v>
          </cell>
          <cell r="H104">
            <v>8.0830503299151761</v>
          </cell>
          <cell r="I104">
            <v>0</v>
          </cell>
          <cell r="J104">
            <v>8.1198866532844569</v>
          </cell>
          <cell r="K104">
            <v>8.1822851404189354</v>
          </cell>
          <cell r="L104">
            <v>8.6821361687663199</v>
          </cell>
          <cell r="M104">
            <v>0</v>
          </cell>
          <cell r="N104">
            <v>0</v>
          </cell>
          <cell r="O104">
            <v>8.3163688884880855</v>
          </cell>
          <cell r="Q104">
            <v>8.3163688884880855</v>
          </cell>
          <cell r="S104">
            <v>8.3163688884880855</v>
          </cell>
          <cell r="U104" t="str">
            <v>Dry Faena / Rup 747 / Rup Max / Unit COGS</v>
          </cell>
          <cell r="V104">
            <v>13.095367175624899</v>
          </cell>
          <cell r="W104">
            <v>12.642992018625668</v>
          </cell>
          <cell r="X104">
            <v>9.5897432823320639</v>
          </cell>
          <cell r="Y104">
            <v>9.3057016165159823</v>
          </cell>
          <cell r="Z104">
            <v>9.2173427425275722</v>
          </cell>
          <cell r="AA104">
            <v>8.4942093971044947</v>
          </cell>
          <cell r="AB104">
            <v>8.4942093971044947</v>
          </cell>
          <cell r="AC104">
            <v>8.3376548841924407</v>
          </cell>
          <cell r="AD104">
            <v>8.3129825767966885</v>
          </cell>
          <cell r="AE104">
            <v>8.3163688884880838</v>
          </cell>
          <cell r="AF104">
            <v>8.3163688884880838</v>
          </cell>
          <cell r="AG104">
            <v>8.3163688884880838</v>
          </cell>
          <cell r="AI104" t="str">
            <v>Dry Faena / Rup 747 / Rup Max / Unit COGS</v>
          </cell>
          <cell r="AJ104">
            <v>9.5897432823320639</v>
          </cell>
          <cell r="AK104">
            <v>8.1125283436623086</v>
          </cell>
          <cell r="AL104">
            <v>8.1392920334072194</v>
          </cell>
          <cell r="AM104">
            <v>8.6821361687663199</v>
          </cell>
          <cell r="AN104">
            <v>8.3163688884880855</v>
          </cell>
        </row>
        <row r="106">
          <cell r="A106" t="str">
            <v>Ranger Plus Volume</v>
          </cell>
          <cell r="C106">
            <v>0</v>
          </cell>
          <cell r="D106">
            <v>0</v>
          </cell>
          <cell r="E106">
            <v>0</v>
          </cell>
          <cell r="F106">
            <v>0</v>
          </cell>
          <cell r="G106">
            <v>0</v>
          </cell>
          <cell r="H106">
            <v>0</v>
          </cell>
          <cell r="I106">
            <v>0</v>
          </cell>
          <cell r="J106">
            <v>0</v>
          </cell>
          <cell r="K106">
            <v>0</v>
          </cell>
          <cell r="L106">
            <v>0</v>
          </cell>
          <cell r="M106">
            <v>0</v>
          </cell>
          <cell r="N106">
            <v>0</v>
          </cell>
          <cell r="O106">
            <v>0</v>
          </cell>
          <cell r="Q106">
            <v>0</v>
          </cell>
          <cell r="S106">
            <v>0</v>
          </cell>
          <cell r="U106" t="str">
            <v>Ranger Plus Volume</v>
          </cell>
          <cell r="V106">
            <v>0</v>
          </cell>
          <cell r="W106">
            <v>0</v>
          </cell>
          <cell r="X106">
            <v>0</v>
          </cell>
          <cell r="Y106">
            <v>0</v>
          </cell>
          <cell r="Z106">
            <v>0</v>
          </cell>
          <cell r="AA106">
            <v>0</v>
          </cell>
          <cell r="AB106">
            <v>0</v>
          </cell>
          <cell r="AC106">
            <v>0</v>
          </cell>
          <cell r="AD106">
            <v>0</v>
          </cell>
          <cell r="AE106">
            <v>0</v>
          </cell>
          <cell r="AF106">
            <v>0</v>
          </cell>
          <cell r="AG106">
            <v>0</v>
          </cell>
          <cell r="AI106" t="str">
            <v>Ranger Plus Volume</v>
          </cell>
          <cell r="AJ106">
            <v>0</v>
          </cell>
          <cell r="AK106">
            <v>0</v>
          </cell>
          <cell r="AL106">
            <v>0</v>
          </cell>
          <cell r="AM106">
            <v>0</v>
          </cell>
          <cell r="AN106">
            <v>0</v>
          </cell>
        </row>
        <row r="107">
          <cell r="A107" t="str">
            <v>Ranger Plus Netback</v>
          </cell>
          <cell r="C107">
            <v>0</v>
          </cell>
          <cell r="D107">
            <v>0</v>
          </cell>
          <cell r="E107">
            <v>0</v>
          </cell>
          <cell r="F107">
            <v>0</v>
          </cell>
          <cell r="G107">
            <v>0</v>
          </cell>
          <cell r="H107">
            <v>0</v>
          </cell>
          <cell r="I107">
            <v>0</v>
          </cell>
          <cell r="J107">
            <v>0</v>
          </cell>
          <cell r="K107">
            <v>0</v>
          </cell>
          <cell r="L107">
            <v>0</v>
          </cell>
          <cell r="M107">
            <v>0</v>
          </cell>
          <cell r="N107">
            <v>0</v>
          </cell>
          <cell r="O107">
            <v>0</v>
          </cell>
          <cell r="Q107">
            <v>0</v>
          </cell>
          <cell r="S107">
            <v>0</v>
          </cell>
          <cell r="U107" t="str">
            <v>Ranger Plus Netback</v>
          </cell>
          <cell r="V107">
            <v>0</v>
          </cell>
          <cell r="W107">
            <v>0</v>
          </cell>
          <cell r="X107">
            <v>0</v>
          </cell>
          <cell r="Y107">
            <v>0</v>
          </cell>
          <cell r="Z107">
            <v>0</v>
          </cell>
          <cell r="AA107">
            <v>0</v>
          </cell>
          <cell r="AB107">
            <v>0</v>
          </cell>
          <cell r="AC107">
            <v>0</v>
          </cell>
          <cell r="AD107">
            <v>0</v>
          </cell>
          <cell r="AE107">
            <v>0</v>
          </cell>
          <cell r="AF107">
            <v>0</v>
          </cell>
          <cell r="AG107">
            <v>0</v>
          </cell>
          <cell r="AI107" t="str">
            <v>Ranger Plus Netback</v>
          </cell>
          <cell r="AJ107">
            <v>0</v>
          </cell>
          <cell r="AK107">
            <v>0</v>
          </cell>
          <cell r="AL107">
            <v>0</v>
          </cell>
          <cell r="AM107">
            <v>0</v>
          </cell>
          <cell r="AN107">
            <v>0</v>
          </cell>
        </row>
        <row r="108">
          <cell r="A108" t="str">
            <v>Ranger Plus Unit COGS</v>
          </cell>
          <cell r="C108">
            <v>0</v>
          </cell>
          <cell r="D108">
            <v>0</v>
          </cell>
          <cell r="E108">
            <v>0</v>
          </cell>
          <cell r="F108">
            <v>0</v>
          </cell>
          <cell r="G108">
            <v>0</v>
          </cell>
          <cell r="H108">
            <v>0</v>
          </cell>
          <cell r="I108">
            <v>0</v>
          </cell>
          <cell r="J108">
            <v>0</v>
          </cell>
          <cell r="K108">
            <v>0</v>
          </cell>
          <cell r="L108">
            <v>0</v>
          </cell>
          <cell r="M108">
            <v>0</v>
          </cell>
          <cell r="N108">
            <v>0</v>
          </cell>
          <cell r="O108">
            <v>0</v>
          </cell>
          <cell r="Q108">
            <v>0</v>
          </cell>
          <cell r="S108">
            <v>0</v>
          </cell>
          <cell r="U108" t="str">
            <v>Ranger Plus Unit COGS</v>
          </cell>
          <cell r="V108">
            <v>0</v>
          </cell>
          <cell r="W108">
            <v>0</v>
          </cell>
          <cell r="X108">
            <v>0</v>
          </cell>
          <cell r="Y108">
            <v>0</v>
          </cell>
          <cell r="Z108">
            <v>0</v>
          </cell>
          <cell r="AA108">
            <v>0</v>
          </cell>
          <cell r="AB108">
            <v>0</v>
          </cell>
          <cell r="AC108">
            <v>0</v>
          </cell>
          <cell r="AD108">
            <v>0</v>
          </cell>
          <cell r="AE108">
            <v>0</v>
          </cell>
          <cell r="AF108">
            <v>0</v>
          </cell>
          <cell r="AG108">
            <v>0</v>
          </cell>
          <cell r="AI108" t="str">
            <v>Ranger Plus Unit COGS</v>
          </cell>
          <cell r="AJ108">
            <v>0</v>
          </cell>
          <cell r="AK108">
            <v>0</v>
          </cell>
          <cell r="AL108">
            <v>0</v>
          </cell>
          <cell r="AM108">
            <v>0</v>
          </cell>
          <cell r="AN108">
            <v>0</v>
          </cell>
        </row>
        <row r="110">
          <cell r="A110" t="str">
            <v>Acuamaster / Rodeo Volume</v>
          </cell>
          <cell r="C110">
            <v>0</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U110" t="str">
            <v>Defense / Rodeo Volume</v>
          </cell>
          <cell r="V110">
            <v>0</v>
          </cell>
          <cell r="W110">
            <v>0</v>
          </cell>
          <cell r="X110">
            <v>0</v>
          </cell>
          <cell r="Y110">
            <v>0</v>
          </cell>
          <cell r="Z110">
            <v>0</v>
          </cell>
          <cell r="AA110">
            <v>0</v>
          </cell>
          <cell r="AB110">
            <v>0</v>
          </cell>
          <cell r="AC110">
            <v>0</v>
          </cell>
          <cell r="AD110">
            <v>0</v>
          </cell>
          <cell r="AE110">
            <v>0</v>
          </cell>
          <cell r="AF110">
            <v>0</v>
          </cell>
          <cell r="AG110">
            <v>0</v>
          </cell>
          <cell r="AI110" t="str">
            <v>Defense / Rodeo Volume</v>
          </cell>
          <cell r="AJ110">
            <v>0</v>
          </cell>
          <cell r="AK110">
            <v>0</v>
          </cell>
          <cell r="AL110">
            <v>0</v>
          </cell>
          <cell r="AM110">
            <v>0</v>
          </cell>
          <cell r="AN110">
            <v>0</v>
          </cell>
        </row>
        <row r="111">
          <cell r="A111" t="str">
            <v>Acuamaster / Rodeo Netback</v>
          </cell>
          <cell r="C111">
            <v>0</v>
          </cell>
          <cell r="D111">
            <v>0</v>
          </cell>
          <cell r="E111">
            <v>0</v>
          </cell>
          <cell r="F111">
            <v>0</v>
          </cell>
          <cell r="G111">
            <v>0</v>
          </cell>
          <cell r="H111">
            <v>0</v>
          </cell>
          <cell r="I111">
            <v>0</v>
          </cell>
          <cell r="J111">
            <v>0</v>
          </cell>
          <cell r="K111">
            <v>0</v>
          </cell>
          <cell r="L111">
            <v>0</v>
          </cell>
          <cell r="M111">
            <v>0</v>
          </cell>
          <cell r="N111">
            <v>0</v>
          </cell>
          <cell r="O111">
            <v>0</v>
          </cell>
          <cell r="Q111">
            <v>0</v>
          </cell>
          <cell r="S111">
            <v>0</v>
          </cell>
          <cell r="U111" t="str">
            <v>Defense / Rodeo Netback</v>
          </cell>
          <cell r="V111">
            <v>0</v>
          </cell>
          <cell r="W111">
            <v>0</v>
          </cell>
          <cell r="X111">
            <v>0</v>
          </cell>
          <cell r="Y111">
            <v>0</v>
          </cell>
          <cell r="Z111">
            <v>0</v>
          </cell>
          <cell r="AA111">
            <v>0</v>
          </cell>
          <cell r="AB111">
            <v>0</v>
          </cell>
          <cell r="AC111">
            <v>0</v>
          </cell>
          <cell r="AD111">
            <v>0</v>
          </cell>
          <cell r="AE111">
            <v>0</v>
          </cell>
          <cell r="AF111">
            <v>0</v>
          </cell>
          <cell r="AG111">
            <v>0</v>
          </cell>
          <cell r="AI111" t="str">
            <v>Defense / Rodeo Netback</v>
          </cell>
          <cell r="AJ111">
            <v>0</v>
          </cell>
          <cell r="AK111">
            <v>0</v>
          </cell>
          <cell r="AL111">
            <v>0</v>
          </cell>
          <cell r="AM111">
            <v>0</v>
          </cell>
          <cell r="AN111">
            <v>0</v>
          </cell>
        </row>
        <row r="112">
          <cell r="A112" t="str">
            <v>Acuamaster / Rodeo Unit COGS</v>
          </cell>
          <cell r="C112">
            <v>0</v>
          </cell>
          <cell r="D112">
            <v>0</v>
          </cell>
          <cell r="E112">
            <v>0</v>
          </cell>
          <cell r="F112">
            <v>0</v>
          </cell>
          <cell r="G112">
            <v>0</v>
          </cell>
          <cell r="H112">
            <v>0</v>
          </cell>
          <cell r="I112">
            <v>0</v>
          </cell>
          <cell r="J112">
            <v>0</v>
          </cell>
          <cell r="K112">
            <v>0</v>
          </cell>
          <cell r="L112">
            <v>0</v>
          </cell>
          <cell r="M112">
            <v>0</v>
          </cell>
          <cell r="N112">
            <v>0</v>
          </cell>
          <cell r="O112">
            <v>0</v>
          </cell>
          <cell r="Q112">
            <v>0</v>
          </cell>
          <cell r="S112">
            <v>0</v>
          </cell>
          <cell r="U112" t="str">
            <v>Defense / Rodeo Unit COGS</v>
          </cell>
          <cell r="V112">
            <v>0</v>
          </cell>
          <cell r="W112">
            <v>0</v>
          </cell>
          <cell r="X112">
            <v>0</v>
          </cell>
          <cell r="Y112">
            <v>0</v>
          </cell>
          <cell r="Z112">
            <v>0</v>
          </cell>
          <cell r="AA112">
            <v>0</v>
          </cell>
          <cell r="AB112">
            <v>0</v>
          </cell>
          <cell r="AC112">
            <v>0</v>
          </cell>
          <cell r="AD112">
            <v>0</v>
          </cell>
          <cell r="AE112">
            <v>0</v>
          </cell>
          <cell r="AF112">
            <v>0</v>
          </cell>
          <cell r="AG112">
            <v>0</v>
          </cell>
          <cell r="AI112" t="str">
            <v>Defense / Rodeo Unit COGS</v>
          </cell>
          <cell r="AJ112">
            <v>0</v>
          </cell>
          <cell r="AK112">
            <v>0</v>
          </cell>
          <cell r="AL112">
            <v>0</v>
          </cell>
          <cell r="AM112">
            <v>0</v>
          </cell>
          <cell r="AN112">
            <v>0</v>
          </cell>
        </row>
        <row r="114">
          <cell r="A114" t="str">
            <v>Faena Full</v>
          </cell>
          <cell r="C114">
            <v>0</v>
          </cell>
          <cell r="D114">
            <v>0</v>
          </cell>
          <cell r="E114">
            <v>17.489000000000001</v>
          </cell>
          <cell r="F114">
            <v>12.49218309859155</v>
          </cell>
          <cell r="G114">
            <v>8.84</v>
          </cell>
          <cell r="H114">
            <v>46.376366197183103</v>
          </cell>
          <cell r="I114">
            <v>3.3900000000000006</v>
          </cell>
          <cell r="J114">
            <v>5.9205000000000005</v>
          </cell>
          <cell r="K114">
            <v>11.595000000000001</v>
          </cell>
          <cell r="L114">
            <v>2.2300000000000004</v>
          </cell>
          <cell r="M114">
            <v>1.7700000000000002</v>
          </cell>
          <cell r="N114">
            <v>0</v>
          </cell>
          <cell r="O114">
            <v>110.10304929577465</v>
          </cell>
          <cell r="P114">
            <v>7.288276235248746E-2</v>
          </cell>
          <cell r="Q114">
            <v>110.10304929577465</v>
          </cell>
          <cell r="R114">
            <v>0</v>
          </cell>
          <cell r="S114">
            <v>110.10304929577465</v>
          </cell>
          <cell r="U114" t="str">
            <v>Other 1 Volume</v>
          </cell>
          <cell r="V114">
            <v>0</v>
          </cell>
          <cell r="W114">
            <v>0</v>
          </cell>
          <cell r="X114">
            <v>17.489000000000001</v>
          </cell>
          <cell r="Y114">
            <v>29.981183098591551</v>
          </cell>
          <cell r="Z114">
            <v>38.821183098591547</v>
          </cell>
          <cell r="AA114">
            <v>85.19754929577465</v>
          </cell>
          <cell r="AB114">
            <v>88.58754929577465</v>
          </cell>
          <cell r="AC114">
            <v>94.508049295774654</v>
          </cell>
          <cell r="AD114">
            <v>106.10304929577465</v>
          </cell>
          <cell r="AE114">
            <v>108.33304929577466</v>
          </cell>
          <cell r="AF114">
            <v>110.10304929577465</v>
          </cell>
          <cell r="AG114">
            <v>110.10304929577465</v>
          </cell>
          <cell r="AI114" t="str">
            <v>Other 1 Volume</v>
          </cell>
          <cell r="AJ114">
            <v>17.489000000000001</v>
          </cell>
          <cell r="AK114">
            <v>67.708549295774645</v>
          </cell>
          <cell r="AL114">
            <v>20.905500000000004</v>
          </cell>
          <cell r="AM114">
            <v>4.0000000000000009</v>
          </cell>
          <cell r="AN114">
            <v>110.10304929577465</v>
          </cell>
        </row>
        <row r="115">
          <cell r="A115" t="str">
            <v>Faena Full Netback</v>
          </cell>
          <cell r="C115">
            <v>0</v>
          </cell>
          <cell r="D115">
            <v>0</v>
          </cell>
          <cell r="E115">
            <v>18.274495450998128</v>
          </cell>
          <cell r="F115">
            <v>20.061279772794272</v>
          </cell>
          <cell r="G115">
            <v>21.346635189967632</v>
          </cell>
          <cell r="H115">
            <v>18.77241789683853</v>
          </cell>
          <cell r="I115">
            <v>21.259423287810794</v>
          </cell>
          <cell r="J115">
            <v>19.183488381689592</v>
          </cell>
          <cell r="K115">
            <v>18.596077401002308</v>
          </cell>
          <cell r="L115">
            <v>20.868889546981968</v>
          </cell>
          <cell r="M115">
            <v>18.528130481297087</v>
          </cell>
          <cell r="N115">
            <v>0</v>
          </cell>
          <cell r="O115">
            <v>19.164880958684879</v>
          </cell>
          <cell r="Q115">
            <v>19.164880958684879</v>
          </cell>
          <cell r="S115">
            <v>19.164880958684879</v>
          </cell>
          <cell r="U115" t="str">
            <v>Other 1 Netback</v>
          </cell>
          <cell r="V115">
            <v>0</v>
          </cell>
          <cell r="W115">
            <v>0</v>
          </cell>
          <cell r="X115">
            <v>18.274495450998128</v>
          </cell>
          <cell r="Y115">
            <v>19.018990317400473</v>
          </cell>
          <cell r="Z115">
            <v>19.549020033940469</v>
          </cell>
          <cell r="AA115">
            <v>19.126285044525218</v>
          </cell>
          <cell r="AB115">
            <v>19.207914333316065</v>
          </cell>
          <cell r="AC115">
            <v>19.206384158397821</v>
          </cell>
          <cell r="AD115">
            <v>19.139689497886469</v>
          </cell>
          <cell r="AE115">
            <v>19.175284509146184</v>
          </cell>
          <cell r="AF115">
            <v>19.164880958684872</v>
          </cell>
          <cell r="AG115">
            <v>19.164880958684872</v>
          </cell>
          <cell r="AI115" t="str">
            <v>Other 1 Netback</v>
          </cell>
          <cell r="AJ115">
            <v>18.274495450998128</v>
          </cell>
          <cell r="AK115">
            <v>19.346300808503859</v>
          </cell>
          <cell r="AL115">
            <v>19.194317541991033</v>
          </cell>
          <cell r="AM115">
            <v>19.833103660416409</v>
          </cell>
          <cell r="AN115">
            <v>19.164880958684872</v>
          </cell>
        </row>
        <row r="116">
          <cell r="A116" t="str">
            <v>Faena Full Unit COGS</v>
          </cell>
          <cell r="C116">
            <v>0</v>
          </cell>
          <cell r="D116">
            <v>0</v>
          </cell>
          <cell r="E116">
            <v>8.8966694561623498</v>
          </cell>
          <cell r="F116">
            <v>8.4882799701209617</v>
          </cell>
          <cell r="G116">
            <v>8.2829027621367501</v>
          </cell>
          <cell r="H116">
            <v>8.2211788852040861</v>
          </cell>
          <cell r="I116">
            <v>8.8434405835636163</v>
          </cell>
          <cell r="J116">
            <v>8.2580152085733687</v>
          </cell>
          <cell r="K116">
            <v>8.3204136957078454</v>
          </cell>
          <cell r="L116">
            <v>8.8202647240552317</v>
          </cell>
          <cell r="M116">
            <v>8.6532373228060955</v>
          </cell>
          <cell r="N116">
            <v>0</v>
          </cell>
          <cell r="O116">
            <v>8.4144056718843334</v>
          </cell>
          <cell r="Q116">
            <v>8.4144056718843334</v>
          </cell>
          <cell r="S116">
            <v>8.4144056718843334</v>
          </cell>
          <cell r="U116" t="str">
            <v>Other 1 Unit COGS</v>
          </cell>
          <cell r="V116">
            <v>0</v>
          </cell>
          <cell r="W116">
            <v>0</v>
          </cell>
          <cell r="X116">
            <v>8.8966694561623498</v>
          </cell>
          <cell r="Y116">
            <v>8.7265068505576231</v>
          </cell>
          <cell r="Z116">
            <v>8.6254934390992091</v>
          </cell>
          <cell r="AA116">
            <v>8.4054091765202994</v>
          </cell>
          <cell r="AB116">
            <v>8.4221714245075301</v>
          </cell>
          <cell r="AC116">
            <v>8.4118877832337962</v>
          </cell>
          <cell r="AD116">
            <v>8.4018914442793253</v>
          </cell>
          <cell r="AE116">
            <v>8.410503519910586</v>
          </cell>
          <cell r="AF116">
            <v>8.4144056718843334</v>
          </cell>
          <cell r="AG116">
            <v>8.4144056718843334</v>
          </cell>
          <cell r="AI116" t="str">
            <v>Other 1 Unit COGS</v>
          </cell>
          <cell r="AJ116">
            <v>8.8966694561623498</v>
          </cell>
          <cell r="AK116">
            <v>8.278517504493351</v>
          </cell>
          <cell r="AL116">
            <v>8.3875554003669723</v>
          </cell>
          <cell r="AM116">
            <v>8.7463550990024874</v>
          </cell>
          <cell r="AN116">
            <v>8.4144056718843334</v>
          </cell>
        </row>
        <row r="118">
          <cell r="A118" t="str">
            <v>Spectra Volume</v>
          </cell>
          <cell r="C118">
            <v>0</v>
          </cell>
          <cell r="D118">
            <v>0</v>
          </cell>
          <cell r="E118">
            <v>0</v>
          </cell>
          <cell r="F118">
            <v>0</v>
          </cell>
          <cell r="G118">
            <v>0</v>
          </cell>
          <cell r="H118">
            <v>0</v>
          </cell>
          <cell r="I118">
            <v>0</v>
          </cell>
          <cell r="J118">
            <v>0</v>
          </cell>
          <cell r="K118">
            <v>0</v>
          </cell>
          <cell r="L118">
            <v>0</v>
          </cell>
          <cell r="M118">
            <v>0</v>
          </cell>
          <cell r="N118">
            <v>0</v>
          </cell>
          <cell r="O118">
            <v>0</v>
          </cell>
          <cell r="Q118">
            <v>0</v>
          </cell>
          <cell r="S118">
            <v>0</v>
          </cell>
          <cell r="U118" t="str">
            <v>Spectra Volume</v>
          </cell>
          <cell r="V118">
            <v>0</v>
          </cell>
          <cell r="W118">
            <v>0</v>
          </cell>
          <cell r="X118">
            <v>0</v>
          </cell>
          <cell r="Y118">
            <v>0</v>
          </cell>
          <cell r="Z118">
            <v>0</v>
          </cell>
          <cell r="AA118">
            <v>0</v>
          </cell>
          <cell r="AB118">
            <v>0</v>
          </cell>
          <cell r="AC118">
            <v>0</v>
          </cell>
          <cell r="AD118">
            <v>0</v>
          </cell>
          <cell r="AE118">
            <v>0</v>
          </cell>
          <cell r="AF118">
            <v>0</v>
          </cell>
          <cell r="AG118">
            <v>0</v>
          </cell>
          <cell r="AI118" t="str">
            <v>Spectra Volume</v>
          </cell>
          <cell r="AJ118">
            <v>0</v>
          </cell>
          <cell r="AK118">
            <v>0</v>
          </cell>
          <cell r="AL118">
            <v>0</v>
          </cell>
          <cell r="AM118">
            <v>0</v>
          </cell>
          <cell r="AN118">
            <v>0</v>
          </cell>
        </row>
        <row r="119">
          <cell r="A119" t="str">
            <v>Spectra Netback</v>
          </cell>
          <cell r="C119">
            <v>0</v>
          </cell>
          <cell r="D119">
            <v>0</v>
          </cell>
          <cell r="E119">
            <v>0</v>
          </cell>
          <cell r="F119">
            <v>0</v>
          </cell>
          <cell r="G119">
            <v>0</v>
          </cell>
          <cell r="H119">
            <v>0</v>
          </cell>
          <cell r="I119">
            <v>0</v>
          </cell>
          <cell r="J119">
            <v>0</v>
          </cell>
          <cell r="K119">
            <v>0</v>
          </cell>
          <cell r="L119">
            <v>0</v>
          </cell>
          <cell r="M119">
            <v>0</v>
          </cell>
          <cell r="N119">
            <v>0</v>
          </cell>
          <cell r="O119">
            <v>0</v>
          </cell>
          <cell r="Q119">
            <v>0</v>
          </cell>
          <cell r="S119">
            <v>0</v>
          </cell>
          <cell r="U119" t="str">
            <v>Spectra Netback</v>
          </cell>
          <cell r="V119">
            <v>0</v>
          </cell>
          <cell r="W119">
            <v>0</v>
          </cell>
          <cell r="X119">
            <v>0</v>
          </cell>
          <cell r="Y119">
            <v>0</v>
          </cell>
          <cell r="Z119">
            <v>0</v>
          </cell>
          <cell r="AA119">
            <v>0</v>
          </cell>
          <cell r="AB119">
            <v>0</v>
          </cell>
          <cell r="AC119">
            <v>0</v>
          </cell>
          <cell r="AD119">
            <v>0</v>
          </cell>
          <cell r="AE119">
            <v>0</v>
          </cell>
          <cell r="AF119">
            <v>0</v>
          </cell>
          <cell r="AG119">
            <v>0</v>
          </cell>
          <cell r="AI119" t="str">
            <v>Spectra Netback</v>
          </cell>
          <cell r="AJ119">
            <v>0</v>
          </cell>
          <cell r="AK119">
            <v>0</v>
          </cell>
          <cell r="AL119">
            <v>0</v>
          </cell>
          <cell r="AM119">
            <v>0</v>
          </cell>
          <cell r="AN119">
            <v>0</v>
          </cell>
        </row>
        <row r="120">
          <cell r="A120" t="str">
            <v>Spectra Unit COGS</v>
          </cell>
          <cell r="C120">
            <v>0</v>
          </cell>
          <cell r="D120">
            <v>0</v>
          </cell>
          <cell r="E120">
            <v>0</v>
          </cell>
          <cell r="F120">
            <v>0</v>
          </cell>
          <cell r="G120">
            <v>0</v>
          </cell>
          <cell r="H120">
            <v>0</v>
          </cell>
          <cell r="I120">
            <v>0</v>
          </cell>
          <cell r="J120">
            <v>0</v>
          </cell>
          <cell r="K120">
            <v>0</v>
          </cell>
          <cell r="L120">
            <v>0</v>
          </cell>
          <cell r="M120">
            <v>0</v>
          </cell>
          <cell r="N120">
            <v>0</v>
          </cell>
          <cell r="O120">
            <v>0</v>
          </cell>
          <cell r="Q120">
            <v>0</v>
          </cell>
          <cell r="S120">
            <v>0</v>
          </cell>
          <cell r="U120" t="str">
            <v>Spectra Unit COGS</v>
          </cell>
          <cell r="V120">
            <v>0</v>
          </cell>
          <cell r="W120">
            <v>0</v>
          </cell>
          <cell r="X120">
            <v>0</v>
          </cell>
          <cell r="Y120">
            <v>0</v>
          </cell>
          <cell r="Z120">
            <v>0</v>
          </cell>
          <cell r="AA120">
            <v>0</v>
          </cell>
          <cell r="AB120">
            <v>0</v>
          </cell>
          <cell r="AC120">
            <v>0</v>
          </cell>
          <cell r="AD120">
            <v>0</v>
          </cell>
          <cell r="AE120">
            <v>0</v>
          </cell>
          <cell r="AF120">
            <v>0</v>
          </cell>
          <cell r="AG120">
            <v>0</v>
          </cell>
          <cell r="AI120" t="str">
            <v>Spectra Unit COGS</v>
          </cell>
          <cell r="AJ120">
            <v>0</v>
          </cell>
          <cell r="AK120">
            <v>0</v>
          </cell>
          <cell r="AL120">
            <v>0</v>
          </cell>
          <cell r="AM120">
            <v>0</v>
          </cell>
          <cell r="AN120">
            <v>0</v>
          </cell>
        </row>
        <row r="122">
          <cell r="A122" t="str">
            <v>Other 1 Volume</v>
          </cell>
          <cell r="C122">
            <v>0</v>
          </cell>
          <cell r="D122">
            <v>0</v>
          </cell>
          <cell r="E122">
            <v>0</v>
          </cell>
          <cell r="F122">
            <v>0</v>
          </cell>
          <cell r="G122">
            <v>0</v>
          </cell>
          <cell r="H122">
            <v>0</v>
          </cell>
          <cell r="I122">
            <v>0</v>
          </cell>
          <cell r="J122">
            <v>0</v>
          </cell>
          <cell r="K122">
            <v>0</v>
          </cell>
          <cell r="L122">
            <v>0</v>
          </cell>
          <cell r="M122">
            <v>0</v>
          </cell>
          <cell r="N122">
            <v>0</v>
          </cell>
          <cell r="O122">
            <v>0</v>
          </cell>
          <cell r="Q122">
            <v>0</v>
          </cell>
          <cell r="S122">
            <v>0</v>
          </cell>
          <cell r="U122" t="str">
            <v>Other 1 Volume</v>
          </cell>
          <cell r="V122">
            <v>0</v>
          </cell>
          <cell r="W122">
            <v>0</v>
          </cell>
          <cell r="X122">
            <v>0</v>
          </cell>
          <cell r="Y122">
            <v>0</v>
          </cell>
          <cell r="Z122">
            <v>0</v>
          </cell>
          <cell r="AA122">
            <v>0</v>
          </cell>
          <cell r="AB122">
            <v>0</v>
          </cell>
          <cell r="AC122">
            <v>0</v>
          </cell>
          <cell r="AD122">
            <v>0</v>
          </cell>
          <cell r="AE122">
            <v>0</v>
          </cell>
          <cell r="AF122">
            <v>0</v>
          </cell>
          <cell r="AG122">
            <v>0</v>
          </cell>
          <cell r="AI122" t="str">
            <v>Other 1 Volume</v>
          </cell>
          <cell r="AJ122">
            <v>0</v>
          </cell>
          <cell r="AK122">
            <v>0</v>
          </cell>
          <cell r="AL122">
            <v>0</v>
          </cell>
          <cell r="AM122">
            <v>0</v>
          </cell>
          <cell r="AN122">
            <v>0</v>
          </cell>
        </row>
        <row r="123">
          <cell r="A123" t="str">
            <v>Other 1 Netback</v>
          </cell>
          <cell r="C123">
            <v>0</v>
          </cell>
          <cell r="D123">
            <v>0</v>
          </cell>
          <cell r="E123">
            <v>0</v>
          </cell>
          <cell r="F123">
            <v>0</v>
          </cell>
          <cell r="G123">
            <v>0</v>
          </cell>
          <cell r="H123">
            <v>0</v>
          </cell>
          <cell r="I123">
            <v>0</v>
          </cell>
          <cell r="J123">
            <v>0</v>
          </cell>
          <cell r="K123">
            <v>0</v>
          </cell>
          <cell r="L123">
            <v>0</v>
          </cell>
          <cell r="M123">
            <v>0</v>
          </cell>
          <cell r="N123">
            <v>0</v>
          </cell>
          <cell r="O123">
            <v>0</v>
          </cell>
          <cell r="Q123">
            <v>0</v>
          </cell>
          <cell r="S123">
            <v>0</v>
          </cell>
          <cell r="U123" t="str">
            <v>Other 1 Netback</v>
          </cell>
          <cell r="V123">
            <v>0</v>
          </cell>
          <cell r="W123">
            <v>0</v>
          </cell>
          <cell r="X123">
            <v>0</v>
          </cell>
          <cell r="Y123">
            <v>0</v>
          </cell>
          <cell r="Z123">
            <v>0</v>
          </cell>
          <cell r="AA123">
            <v>0</v>
          </cell>
          <cell r="AB123">
            <v>0</v>
          </cell>
          <cell r="AC123">
            <v>0</v>
          </cell>
          <cell r="AD123">
            <v>0</v>
          </cell>
          <cell r="AE123">
            <v>0</v>
          </cell>
          <cell r="AF123">
            <v>0</v>
          </cell>
          <cell r="AG123">
            <v>0</v>
          </cell>
          <cell r="AI123" t="str">
            <v>Other 1 Netback</v>
          </cell>
          <cell r="AJ123">
            <v>0</v>
          </cell>
          <cell r="AK123">
            <v>0</v>
          </cell>
          <cell r="AL123">
            <v>0</v>
          </cell>
          <cell r="AM123">
            <v>0</v>
          </cell>
          <cell r="AN123">
            <v>0</v>
          </cell>
        </row>
        <row r="124">
          <cell r="A124" t="str">
            <v>Other 1 Unit COGS</v>
          </cell>
          <cell r="C124">
            <v>0</v>
          </cell>
          <cell r="D124">
            <v>0</v>
          </cell>
          <cell r="E124">
            <v>0</v>
          </cell>
          <cell r="F124">
            <v>0</v>
          </cell>
          <cell r="G124">
            <v>0</v>
          </cell>
          <cell r="H124">
            <v>0</v>
          </cell>
          <cell r="I124">
            <v>0</v>
          </cell>
          <cell r="J124">
            <v>0</v>
          </cell>
          <cell r="K124">
            <v>0</v>
          </cell>
          <cell r="L124">
            <v>0</v>
          </cell>
          <cell r="M124">
            <v>0</v>
          </cell>
          <cell r="N124">
            <v>0</v>
          </cell>
          <cell r="O124">
            <v>0</v>
          </cell>
          <cell r="Q124">
            <v>0</v>
          </cell>
          <cell r="S124">
            <v>0</v>
          </cell>
          <cell r="U124" t="str">
            <v>Other 1 Unit COGS</v>
          </cell>
          <cell r="V124">
            <v>0</v>
          </cell>
          <cell r="W124">
            <v>0</v>
          </cell>
          <cell r="X124">
            <v>0</v>
          </cell>
          <cell r="Y124">
            <v>0</v>
          </cell>
          <cell r="Z124">
            <v>0</v>
          </cell>
          <cell r="AA124">
            <v>0</v>
          </cell>
          <cell r="AB124">
            <v>0</v>
          </cell>
          <cell r="AC124">
            <v>0</v>
          </cell>
          <cell r="AD124">
            <v>0</v>
          </cell>
          <cell r="AE124">
            <v>0</v>
          </cell>
          <cell r="AF124">
            <v>0</v>
          </cell>
          <cell r="AG124">
            <v>0</v>
          </cell>
          <cell r="AI124" t="str">
            <v>Other 1 Unit COGS</v>
          </cell>
          <cell r="AJ124">
            <v>0</v>
          </cell>
          <cell r="AK124">
            <v>0</v>
          </cell>
          <cell r="AL124">
            <v>0</v>
          </cell>
          <cell r="AM124">
            <v>0</v>
          </cell>
          <cell r="AN124">
            <v>0</v>
          </cell>
        </row>
        <row r="133">
          <cell r="R133">
            <v>0</v>
          </cell>
        </row>
        <row r="135">
          <cell r="A135" t="str">
            <v>Branded Volume</v>
          </cell>
          <cell r="C135">
            <v>3.2151000000000005</v>
          </cell>
          <cell r="D135">
            <v>4.9550000000000001</v>
          </cell>
          <cell r="E135">
            <v>157.61324993394985</v>
          </cell>
          <cell r="F135">
            <v>133.75268309859155</v>
          </cell>
          <cell r="G135">
            <v>151.17485819983003</v>
          </cell>
          <cell r="H135">
            <v>516.19549335342003</v>
          </cell>
          <cell r="I135">
            <v>19.927890000000001</v>
          </cell>
          <cell r="J135">
            <v>201.25567819983004</v>
          </cell>
          <cell r="K135">
            <v>112.57499999999999</v>
          </cell>
          <cell r="L135">
            <v>22.41666710700132</v>
          </cell>
          <cell r="M135">
            <v>29.085000000000004</v>
          </cell>
          <cell r="N135">
            <v>1.0000000000000001E-5</v>
          </cell>
          <cell r="O135">
            <v>1352.166629892623</v>
          </cell>
          <cell r="Q135">
            <v>1352.166629892623</v>
          </cell>
          <cell r="U135" t="str">
            <v>Branded Volume</v>
          </cell>
          <cell r="V135">
            <v>3.2151000000000005</v>
          </cell>
          <cell r="W135">
            <v>8.1701000000000015</v>
          </cell>
          <cell r="X135">
            <v>165.78334993394984</v>
          </cell>
          <cell r="Y135">
            <v>299.53603303254135</v>
          </cell>
          <cell r="Z135">
            <v>450.71089123237141</v>
          </cell>
          <cell r="AA135">
            <v>966.90638458579144</v>
          </cell>
          <cell r="AB135">
            <v>986.83427458579149</v>
          </cell>
          <cell r="AC135">
            <v>1188.0899527856216</v>
          </cell>
          <cell r="AD135">
            <v>1300.6649527856216</v>
          </cell>
          <cell r="AE135">
            <v>1323.0816198926229</v>
          </cell>
          <cell r="AF135">
            <v>1352.166619892623</v>
          </cell>
          <cell r="AG135">
            <v>1352.166629892623</v>
          </cell>
          <cell r="AI135" t="str">
            <v>Branded Volume</v>
          </cell>
          <cell r="AJ135">
            <v>165.78334993394984</v>
          </cell>
          <cell r="AK135">
            <v>801.12303465184164</v>
          </cell>
          <cell r="AL135">
            <v>333.75856819983005</v>
          </cell>
          <cell r="AM135">
            <v>51.501677107001328</v>
          </cell>
          <cell r="AN135">
            <v>1352.166629892623</v>
          </cell>
        </row>
        <row r="136">
          <cell r="A136" t="str">
            <v>Branded Netback</v>
          </cell>
          <cell r="C136">
            <v>-102.55978574328383</v>
          </cell>
          <cell r="D136">
            <v>24.808978653065878</v>
          </cell>
          <cell r="E136">
            <v>20.62099442835374</v>
          </cell>
          <cell r="F136">
            <v>19.397139558164209</v>
          </cell>
          <cell r="G136">
            <v>20.624928828976987</v>
          </cell>
          <cell r="H136">
            <v>19.867495920294694</v>
          </cell>
          <cell r="I136">
            <v>21.501029152556079</v>
          </cell>
          <cell r="J136">
            <v>21.341506362384074</v>
          </cell>
          <cell r="K136">
            <v>19.272665083793104</v>
          </cell>
          <cell r="L136">
            <v>20.737932936756547</v>
          </cell>
          <cell r="M136">
            <v>20.475140463134235</v>
          </cell>
          <cell r="N136">
            <v>0</v>
          </cell>
          <cell r="O136">
            <v>19.941933513460658</v>
          </cell>
          <cell r="Q136">
            <v>19.941933513460658</v>
          </cell>
          <cell r="U136" t="str">
            <v>Branded Netback</v>
          </cell>
          <cell r="V136">
            <v>-102.55978574328383</v>
          </cell>
          <cell r="W136">
            <v>-25.313212557654179</v>
          </cell>
          <cell r="X136">
            <v>18.357274551503004</v>
          </cell>
          <cell r="Y136">
            <v>18.821608452480323</v>
          </cell>
          <cell r="Z136">
            <v>19.426467814676641</v>
          </cell>
          <cell r="AA136">
            <v>19.661916379492727</v>
          </cell>
          <cell r="AB136">
            <v>19.699054973057066</v>
          </cell>
          <cell r="AC136">
            <v>19.977276893454793</v>
          </cell>
          <cell r="AD136">
            <v>19.916291414986429</v>
          </cell>
          <cell r="AE136">
            <v>19.930212298020315</v>
          </cell>
          <cell r="AF136">
            <v>19.941933660941991</v>
          </cell>
          <cell r="AG136">
            <v>19.941933513460658</v>
          </cell>
          <cell r="AI136" t="str">
            <v>Branded Netback</v>
          </cell>
          <cell r="AJ136">
            <v>18.357274551503004</v>
          </cell>
          <cell r="AK136">
            <v>19.931897248039448</v>
          </cell>
          <cell r="AL136">
            <v>20.653221847138916</v>
          </cell>
          <cell r="AM136">
            <v>20.58951978005965</v>
          </cell>
          <cell r="AN136">
            <v>19.941933513460654</v>
          </cell>
        </row>
        <row r="137">
          <cell r="A137" t="str">
            <v>Branded Unit COGS</v>
          </cell>
          <cell r="C137">
            <v>21.389574164546847</v>
          </cell>
          <cell r="D137">
            <v>17.312341364215591</v>
          </cell>
          <cell r="E137">
            <v>9.6562279052184579</v>
          </cell>
          <cell r="F137">
            <v>9.0635718130258542</v>
          </cell>
          <cell r="G137">
            <v>8.9300164253721448</v>
          </cell>
          <cell r="H137">
            <v>8.700294057684685</v>
          </cell>
          <cell r="I137">
            <v>10.82767995290612</v>
          </cell>
          <cell r="J137">
            <v>8.5742830207102898</v>
          </cell>
          <cell r="K137">
            <v>8.9029092864053538</v>
          </cell>
          <cell r="L137">
            <v>10.282822521636289</v>
          </cell>
          <cell r="M137">
            <v>9.7441139180975789</v>
          </cell>
          <cell r="N137">
            <v>6119225.0460673291</v>
          </cell>
          <cell r="O137">
            <v>9.058478775516658</v>
          </cell>
          <cell r="Q137">
            <v>9.058478775516658</v>
          </cell>
          <cell r="U137" t="str">
            <v>Branded Unit COGS</v>
          </cell>
          <cell r="V137">
            <v>21.389574164546847</v>
          </cell>
          <cell r="W137">
            <v>18.916815137651046</v>
          </cell>
          <cell r="X137">
            <v>10.112606207248437</v>
          </cell>
          <cell r="Y137">
            <v>9.6441778733700474</v>
          </cell>
          <cell r="Z137">
            <v>9.4046379427114672</v>
          </cell>
          <cell r="AA137">
            <v>9.0286148395259236</v>
          </cell>
          <cell r="AB137">
            <v>9.0649447204447089</v>
          </cell>
          <cell r="AC137">
            <v>8.981829420197279</v>
          </cell>
          <cell r="AD137">
            <v>8.9749987340604687</v>
          </cell>
          <cell r="AE137">
            <v>8.997156891229249</v>
          </cell>
          <cell r="AF137">
            <v>9.0132238794294093</v>
          </cell>
          <cell r="AG137">
            <v>9.058478775516658</v>
          </cell>
          <cell r="AI137" t="str">
            <v>Branded Unit COGS</v>
          </cell>
          <cell r="AJ137">
            <v>10.112606207248437</v>
          </cell>
          <cell r="AK137">
            <v>8.8042950877931307</v>
          </cell>
          <cell r="AL137">
            <v>8.8196716214988751</v>
          </cell>
          <cell r="AM137">
            <v>11.166751171259545</v>
          </cell>
          <cell r="AN137">
            <v>9.058478775516658</v>
          </cell>
        </row>
        <row r="139">
          <cell r="A139" t="str">
            <v>Non Branded Volume</v>
          </cell>
          <cell r="C139">
            <v>0</v>
          </cell>
          <cell r="D139">
            <v>0</v>
          </cell>
          <cell r="E139">
            <v>5.2840158520475562</v>
          </cell>
          <cell r="F139">
            <v>21.136063408190225</v>
          </cell>
          <cell r="G139">
            <v>40.951122853368553</v>
          </cell>
          <cell r="H139">
            <v>36.98811096433289</v>
          </cell>
          <cell r="I139">
            <v>17.173051519154555</v>
          </cell>
          <cell r="J139">
            <v>11.889035667107002</v>
          </cell>
          <cell r="K139">
            <v>15.852047556142669</v>
          </cell>
          <cell r="L139">
            <v>0</v>
          </cell>
          <cell r="M139">
            <v>6.6050198150594452</v>
          </cell>
          <cell r="N139">
            <v>2.6420079260237781</v>
          </cell>
          <cell r="O139">
            <v>158.52047556142668</v>
          </cell>
          <cell r="Q139">
            <v>158.52047556142668</v>
          </cell>
          <cell r="U139" t="str">
            <v>Non Branded Volume</v>
          </cell>
          <cell r="V139">
            <v>0</v>
          </cell>
          <cell r="W139">
            <v>0</v>
          </cell>
          <cell r="X139">
            <v>5.2840158520475562</v>
          </cell>
          <cell r="Y139">
            <v>26.420079260237781</v>
          </cell>
          <cell r="Z139">
            <v>67.37120211360633</v>
          </cell>
          <cell r="AA139">
            <v>104.35931307793922</v>
          </cell>
          <cell r="AB139">
            <v>121.53236459709377</v>
          </cell>
          <cell r="AC139">
            <v>133.42140026420077</v>
          </cell>
          <cell r="AD139">
            <v>149.27344782034345</v>
          </cell>
          <cell r="AE139">
            <v>149.27344782034345</v>
          </cell>
          <cell r="AF139">
            <v>155.8784676354029</v>
          </cell>
          <cell r="AG139">
            <v>158.52047556142668</v>
          </cell>
          <cell r="AI139" t="str">
            <v>Non Branded Volume</v>
          </cell>
          <cell r="AJ139">
            <v>5.2840158520475562</v>
          </cell>
          <cell r="AK139">
            <v>99.07529722589166</v>
          </cell>
          <cell r="AL139">
            <v>44.914134742404229</v>
          </cell>
          <cell r="AM139">
            <v>9.2470277410832225</v>
          </cell>
          <cell r="AN139">
            <v>158.52047556142668</v>
          </cell>
        </row>
        <row r="140">
          <cell r="A140" t="str">
            <v>Non Branded Netback</v>
          </cell>
          <cell r="C140">
            <v>0</v>
          </cell>
          <cell r="D140">
            <v>0</v>
          </cell>
          <cell r="E140">
            <v>13.024504692387904</v>
          </cell>
          <cell r="F140">
            <v>11.88419178794179</v>
          </cell>
          <cell r="G140">
            <v>12.390355340130371</v>
          </cell>
          <cell r="H140">
            <v>11.85116521994998</v>
          </cell>
          <cell r="I140">
            <v>11.08589874813007</v>
          </cell>
          <cell r="J140">
            <v>10.780185128674601</v>
          </cell>
          <cell r="K140">
            <v>12.141353028028719</v>
          </cell>
          <cell r="L140">
            <v>0</v>
          </cell>
          <cell r="M140">
            <v>11.179631202564595</v>
          </cell>
          <cell r="N140">
            <v>9.0839999999999996</v>
          </cell>
          <cell r="O140">
            <v>11.825662260934926</v>
          </cell>
          <cell r="Q140">
            <v>11.825662260934926</v>
          </cell>
          <cell r="U140" t="str">
            <v>Non Branded Netback</v>
          </cell>
          <cell r="V140">
            <v>0</v>
          </cell>
          <cell r="W140">
            <v>0</v>
          </cell>
          <cell r="X140">
            <v>13.024504692387904</v>
          </cell>
          <cell r="Y140">
            <v>12.112254368831014</v>
          </cell>
          <cell r="Z140">
            <v>12.281296135699252</v>
          </cell>
          <cell r="AA140">
            <v>12.128844671889382</v>
          </cell>
          <cell r="AB140">
            <v>11.981471878314697</v>
          </cell>
          <cell r="AC140">
            <v>11.874426524386372</v>
          </cell>
          <cell r="AD140">
            <v>11.90277270176432</v>
          </cell>
          <cell r="AE140">
            <v>11.90277270176432</v>
          </cell>
          <cell r="AF140">
            <v>11.872131112815179</v>
          </cell>
          <cell r="AG140">
            <v>11.825662260934926</v>
          </cell>
          <cell r="AI140" t="str">
            <v>Non Branded Netback</v>
          </cell>
          <cell r="AJ140">
            <v>13.024504692387904</v>
          </cell>
          <cell r="AK140">
            <v>12.081076137462794</v>
          </cell>
          <cell r="AL140">
            <v>11.377487830003146</v>
          </cell>
          <cell r="AM140">
            <v>10.580879430403284</v>
          </cell>
          <cell r="AN140">
            <v>11.825662260934926</v>
          </cell>
        </row>
        <row r="141">
          <cell r="A141" t="str">
            <v>Non Branded Unit COGS</v>
          </cell>
          <cell r="C141">
            <v>0</v>
          </cell>
          <cell r="D141">
            <v>0</v>
          </cell>
          <cell r="E141">
            <v>7.6737433620525684</v>
          </cell>
          <cell r="F141">
            <v>7.2698621324708537</v>
          </cell>
          <cell r="G141">
            <v>7.0834554111254464</v>
          </cell>
          <cell r="H141">
            <v>7.0834554111254464</v>
          </cell>
          <cell r="I141">
            <v>7.0834554111254473</v>
          </cell>
          <cell r="J141">
            <v>7.0834554111254464</v>
          </cell>
          <cell r="K141">
            <v>7.0834554111254464</v>
          </cell>
          <cell r="L141">
            <v>0</v>
          </cell>
          <cell r="M141">
            <v>7.0834554111254482</v>
          </cell>
          <cell r="N141">
            <v>7.0834554111254464</v>
          </cell>
          <cell r="O141">
            <v>7.1279859056690711</v>
          </cell>
          <cell r="Q141">
            <v>7.1279859056690711</v>
          </cell>
          <cell r="U141" t="str">
            <v>Non Branded Unit COGS</v>
          </cell>
          <cell r="V141">
            <v>0</v>
          </cell>
          <cell r="W141">
            <v>0</v>
          </cell>
          <cell r="X141">
            <v>7.6737433620525684</v>
          </cell>
          <cell r="Y141">
            <v>7.3506383783871962</v>
          </cell>
          <cell r="Z141">
            <v>7.1882330453457408</v>
          </cell>
          <cell r="AA141">
            <v>7.1510966686600659</v>
          </cell>
          <cell r="AB141">
            <v>7.1415386648780004</v>
          </cell>
          <cell r="AC141">
            <v>7.1363629293951005</v>
          </cell>
          <cell r="AD141">
            <v>7.1307444318797382</v>
          </cell>
          <cell r="AE141">
            <v>7.1307444318797382</v>
          </cell>
          <cell r="AF141">
            <v>7.1287406598138778</v>
          </cell>
          <cell r="AG141">
            <v>7.1279859056690711</v>
          </cell>
          <cell r="AI141" t="str">
            <v>Non Branded Unit COGS</v>
          </cell>
          <cell r="AJ141">
            <v>7.6737433620525684</v>
          </cell>
          <cell r="AK141">
            <v>7.1232221783457996</v>
          </cell>
          <cell r="AL141">
            <v>7.0834554111254464</v>
          </cell>
          <cell r="AM141">
            <v>7.0834554111254473</v>
          </cell>
          <cell r="AN141">
            <v>7.1279859056690711</v>
          </cell>
        </row>
        <row r="143">
          <cell r="Q143">
            <v>0.47118762583394502</v>
          </cell>
        </row>
        <row r="144">
          <cell r="A144" t="str">
            <v xml:space="preserve"> Volume Total</v>
          </cell>
          <cell r="C144">
            <v>3.2151000000000005</v>
          </cell>
          <cell r="D144">
            <v>4.9550000000000001</v>
          </cell>
          <cell r="E144">
            <v>162.89726578599738</v>
          </cell>
          <cell r="F144">
            <v>154.88874650678179</v>
          </cell>
          <cell r="G144">
            <v>192.12598105319856</v>
          </cell>
          <cell r="H144">
            <v>553.18360431775295</v>
          </cell>
          <cell r="I144">
            <v>37.10094151915456</v>
          </cell>
          <cell r="J144">
            <v>213.14471386693705</v>
          </cell>
          <cell r="K144">
            <v>128.42704755614267</v>
          </cell>
          <cell r="L144">
            <v>22.41666710700132</v>
          </cell>
          <cell r="M144">
            <v>35.690019815059451</v>
          </cell>
          <cell r="N144">
            <v>2.6420179260237782</v>
          </cell>
          <cell r="O144">
            <v>1510.6871054540495</v>
          </cell>
          <cell r="P144">
            <v>0</v>
          </cell>
          <cell r="Q144">
            <v>1510.6871054540493</v>
          </cell>
          <cell r="S144">
            <v>1510.6871054540495</v>
          </cell>
          <cell r="U144" t="str">
            <v xml:space="preserve"> Volume Total</v>
          </cell>
          <cell r="V144">
            <v>3.2151000000000005</v>
          </cell>
          <cell r="W144">
            <v>8.1701000000000015</v>
          </cell>
          <cell r="X144">
            <v>171.06736578599737</v>
          </cell>
          <cell r="Y144">
            <v>325.95611229277915</v>
          </cell>
          <cell r="Z144">
            <v>518.08209334597768</v>
          </cell>
          <cell r="AA144">
            <v>1071.2656976637306</v>
          </cell>
          <cell r="AB144">
            <v>1108.3666391828851</v>
          </cell>
          <cell r="AC144">
            <v>1321.5113530498222</v>
          </cell>
          <cell r="AD144">
            <v>1449.9384006059649</v>
          </cell>
          <cell r="AE144">
            <v>1472.3550677129663</v>
          </cell>
          <cell r="AF144">
            <v>1508.0450875280258</v>
          </cell>
          <cell r="AG144">
            <v>1510.6871054540495</v>
          </cell>
          <cell r="AI144" t="str">
            <v xml:space="preserve"> Volume Total</v>
          </cell>
          <cell r="AJ144">
            <v>171.06736578599737</v>
          </cell>
          <cell r="AK144">
            <v>900.19833187773327</v>
          </cell>
          <cell r="AL144">
            <v>378.67270294223431</v>
          </cell>
          <cell r="AM144">
            <v>60.74870484808455</v>
          </cell>
          <cell r="AN144">
            <v>1510.6871054540495</v>
          </cell>
          <cell r="AP144">
            <v>0</v>
          </cell>
          <cell r="AR144">
            <v>0</v>
          </cell>
        </row>
        <row r="145">
          <cell r="A145" t="str">
            <v xml:space="preserve"> Netback Avg.</v>
          </cell>
          <cell r="C145">
            <v>-102.55978574328383</v>
          </cell>
          <cell r="D145">
            <v>24.808978653065878</v>
          </cell>
          <cell r="E145">
            <v>20.374581623380742</v>
          </cell>
          <cell r="F145">
            <v>18.371925370334949</v>
          </cell>
          <cell r="G145">
            <v>18.869752206126186</v>
          </cell>
          <cell r="H145">
            <v>19.331491369261723</v>
          </cell>
          <cell r="I145">
            <v>16.680138800714769</v>
          </cell>
          <cell r="J145">
            <v>20.752404608175269</v>
          </cell>
          <cell r="K145">
            <v>18.392430740663379</v>
          </cell>
          <cell r="L145">
            <v>20.737932936756547</v>
          </cell>
          <cell r="M145">
            <v>18.754854983460039</v>
          </cell>
          <cell r="N145">
            <v>9.0839656171901382</v>
          </cell>
          <cell r="O145">
            <v>19.090271263818821</v>
          </cell>
          <cell r="P145">
            <v>0</v>
          </cell>
          <cell r="Q145">
            <v>19.090271263818821</v>
          </cell>
          <cell r="R145">
            <v>1510.6871054540493</v>
          </cell>
          <cell r="S145">
            <v>19.090271263818821</v>
          </cell>
          <cell r="U145" t="str">
            <v xml:space="preserve"> Netback Avg.</v>
          </cell>
          <cell r="V145">
            <v>-102.55978574328383</v>
          </cell>
          <cell r="W145">
            <v>-25.313212557654179</v>
          </cell>
          <cell r="X145">
            <v>18.19255324220234</v>
          </cell>
          <cell r="Y145">
            <v>18.277787796907539</v>
          </cell>
          <cell r="Z145">
            <v>18.497312355525626</v>
          </cell>
          <cell r="AA145">
            <v>18.928068380357864</v>
          </cell>
          <cell r="AB145">
            <v>18.852822247061216</v>
          </cell>
          <cell r="AC145">
            <v>19.159203223578693</v>
          </cell>
          <cell r="AD145">
            <v>19.091287009974756</v>
          </cell>
          <cell r="AE145">
            <v>19.116357262655793</v>
          </cell>
          <cell r="AF145">
            <v>19.10780179994822</v>
          </cell>
          <cell r="AG145">
            <v>19.090271263818828</v>
          </cell>
          <cell r="AI145" t="str">
            <v xml:space="preserve"> Netback Avg.</v>
          </cell>
          <cell r="AJ145">
            <v>18.19255324220234</v>
          </cell>
          <cell r="AK145">
            <v>19.067840509148123</v>
          </cell>
          <cell r="AL145">
            <v>19.55303278084677</v>
          </cell>
          <cell r="AM145">
            <v>19.066027629976134</v>
          </cell>
          <cell r="AN145">
            <v>19.090271263818821</v>
          </cell>
          <cell r="AP145">
            <v>0</v>
          </cell>
          <cell r="AR145">
            <v>0</v>
          </cell>
        </row>
        <row r="146">
          <cell r="A146" t="str">
            <v xml:space="preserve"> Unit COGS Avg</v>
          </cell>
          <cell r="C146">
            <v>21.389574164546847</v>
          </cell>
          <cell r="D146">
            <v>17.312341364215591</v>
          </cell>
          <cell r="E146">
            <v>9.591920627241862</v>
          </cell>
          <cell r="F146">
            <v>8.8188028262587306</v>
          </cell>
          <cell r="G146">
            <v>8.5364270391989194</v>
          </cell>
          <cell r="H146">
            <v>8.5921856343627176</v>
          </cell>
          <cell r="I146">
            <v>9.0945767398222799</v>
          </cell>
          <cell r="J146">
            <v>8.4911258909729455</v>
          </cell>
          <cell r="K146">
            <v>8.6783298858352627</v>
          </cell>
          <cell r="L146">
            <v>10.282822521636289</v>
          </cell>
          <cell r="M146">
            <v>9.2517157000320847</v>
          </cell>
          <cell r="N146">
            <v>30.244607734650014</v>
          </cell>
          <cell r="O146">
            <v>8.8559069479745105</v>
          </cell>
          <cell r="P146">
            <v>0</v>
          </cell>
          <cell r="Q146">
            <v>8.8559069479745123</v>
          </cell>
          <cell r="S146">
            <v>8.8559069479745105</v>
          </cell>
          <cell r="U146" t="str">
            <v xml:space="preserve"> Unit COGS Avg</v>
          </cell>
          <cell r="V146">
            <v>21.389574164546847</v>
          </cell>
          <cell r="W146">
            <v>18.916815137651046</v>
          </cell>
          <cell r="X146">
            <v>10.037273370527808</v>
          </cell>
          <cell r="Y146">
            <v>9.4582770942200476</v>
          </cell>
          <cell r="Z146">
            <v>9.1164174768358137</v>
          </cell>
          <cell r="AA146">
            <v>8.8457129627737618</v>
          </cell>
          <cell r="AB146">
            <v>8.8540433113354258</v>
          </cell>
          <cell r="AC146">
            <v>8.7955088692801482</v>
          </cell>
          <cell r="AD146">
            <v>8.7851298415413375</v>
          </cell>
          <cell r="AE146">
            <v>8.8079322748500584</v>
          </cell>
          <cell r="AF146">
            <v>8.8184350372471059</v>
          </cell>
          <cell r="AG146">
            <v>8.8559069479745141</v>
          </cell>
          <cell r="AI146" t="str">
            <v xml:space="preserve"> Unit COGS Avg</v>
          </cell>
          <cell r="AJ146">
            <v>10.037273370527808</v>
          </cell>
          <cell r="AK146">
            <v>8.6192771953310618</v>
          </cell>
          <cell r="AL146">
            <v>8.6137400922157763</v>
          </cell>
          <cell r="AM146">
            <v>10.545201308370608</v>
          </cell>
          <cell r="AN146">
            <v>8.8559069479745105</v>
          </cell>
          <cell r="AP146">
            <v>0</v>
          </cell>
          <cell r="AR146">
            <v>0</v>
          </cell>
        </row>
        <row r="147">
          <cell r="A147" t="str">
            <v xml:space="preserve"> Unit COGS Check</v>
          </cell>
          <cell r="C147">
            <v>21.389574164546843</v>
          </cell>
          <cell r="D147">
            <v>17.312341364215598</v>
          </cell>
          <cell r="E147">
            <v>9.5919206272418585</v>
          </cell>
          <cell r="F147">
            <v>8.8188028262587288</v>
          </cell>
          <cell r="G147">
            <v>8.5364270391989212</v>
          </cell>
          <cell r="H147">
            <v>8.5921856343627194</v>
          </cell>
          <cell r="I147">
            <v>9.0945767398222799</v>
          </cell>
          <cell r="J147">
            <v>8.4911258909729455</v>
          </cell>
          <cell r="K147">
            <v>8.6783298858352627</v>
          </cell>
          <cell r="L147">
            <v>10.282822521636291</v>
          </cell>
          <cell r="M147">
            <v>9.2517157000320847</v>
          </cell>
          <cell r="N147">
            <v>30.244607734650014</v>
          </cell>
          <cell r="O147">
            <v>8.8559069479745105</v>
          </cell>
          <cell r="P147" t="str">
            <v>Check</v>
          </cell>
          <cell r="Q147">
            <v>8.8559069479745123</v>
          </cell>
          <cell r="S147">
            <v>8.8559069479745105</v>
          </cell>
          <cell r="U147" t="str">
            <v xml:space="preserve"> Unit COGS Check</v>
          </cell>
          <cell r="V147">
            <v>21.389574164546843</v>
          </cell>
          <cell r="W147">
            <v>18.916815137651046</v>
          </cell>
          <cell r="X147">
            <v>10.037273370527805</v>
          </cell>
          <cell r="Y147">
            <v>9.458277094220044</v>
          </cell>
          <cell r="Z147">
            <v>9.1164174768358119</v>
          </cell>
          <cell r="AA147">
            <v>8.8457129627737618</v>
          </cell>
          <cell r="AB147">
            <v>8.8540433113354258</v>
          </cell>
          <cell r="AC147">
            <v>8.7955088692801482</v>
          </cell>
          <cell r="AD147">
            <v>8.7851298415413357</v>
          </cell>
          <cell r="AE147">
            <v>8.8079322748500566</v>
          </cell>
          <cell r="AF147">
            <v>8.8184350372471041</v>
          </cell>
          <cell r="AG147">
            <v>8.8559069479745105</v>
          </cell>
          <cell r="AI147" t="str">
            <v xml:space="preserve"> Unit COGS Check</v>
          </cell>
          <cell r="AJ147">
            <v>10.037273370527805</v>
          </cell>
          <cell r="AK147">
            <v>8.6192771953310636</v>
          </cell>
          <cell r="AL147">
            <v>8.6137400922157763</v>
          </cell>
          <cell r="AM147">
            <v>10.54520130837061</v>
          </cell>
          <cell r="AN147">
            <v>8.8559069479745105</v>
          </cell>
          <cell r="AP147">
            <v>0</v>
          </cell>
          <cell r="AR147">
            <v>0</v>
          </cell>
        </row>
        <row r="150">
          <cell r="A150" t="str">
            <v>Net Sales</v>
          </cell>
          <cell r="C150">
            <v>-329.73996714323187</v>
          </cell>
          <cell r="D150">
            <v>122.92848922594143</v>
          </cell>
          <cell r="E150">
            <v>3318.9636379823505</v>
          </cell>
          <cell r="F150">
            <v>2845.6044915273233</v>
          </cell>
          <cell r="G150">
            <v>3625.3696548327512</v>
          </cell>
          <cell r="H150">
            <v>10693.864072485734</v>
          </cell>
          <cell r="I150">
            <v>618.84885417669955</v>
          </cell>
          <cell r="J150">
            <v>4423.2653422604235</v>
          </cell>
          <cell r="K150">
            <v>2362.0855774042361</v>
          </cell>
          <cell r="L150">
            <v>464.87533913058979</v>
          </cell>
          <cell r="M150">
            <v>669.36114598825532</v>
          </cell>
          <cell r="N150">
            <v>24</v>
          </cell>
          <cell r="O150">
            <v>28839.426637871074</v>
          </cell>
          <cell r="Q150">
            <v>28839.426637871071</v>
          </cell>
          <cell r="S150">
            <v>28839.426637871074</v>
          </cell>
          <cell r="U150" t="str">
            <v>Net Sales</v>
          </cell>
          <cell r="V150">
            <v>-400</v>
          </cell>
          <cell r="W150">
            <v>-206.81147791729043</v>
          </cell>
          <cell r="X150">
            <v>3112.1521600650599</v>
          </cell>
          <cell r="Y150">
            <v>5957.7566515923827</v>
          </cell>
          <cell r="Z150">
            <v>9583.1263064251343</v>
          </cell>
          <cell r="AA150">
            <v>20276.990378910868</v>
          </cell>
          <cell r="AB150">
            <v>20895.839233087569</v>
          </cell>
          <cell r="AC150">
            <v>25319.104575347996</v>
          </cell>
          <cell r="AD150">
            <v>27681.190152752231</v>
          </cell>
          <cell r="AE150">
            <v>28146.065491882826</v>
          </cell>
          <cell r="AF150">
            <v>28815.426637871082</v>
          </cell>
          <cell r="AG150">
            <v>28839.426637871085</v>
          </cell>
          <cell r="AI150" t="str">
            <v>Net Sales</v>
          </cell>
          <cell r="AJ150">
            <v>3112.1521600650599</v>
          </cell>
          <cell r="AK150">
            <v>17164.838218845809</v>
          </cell>
          <cell r="AL150">
            <v>7404.1997738413593</v>
          </cell>
          <cell r="AM150">
            <v>1158.2364851188452</v>
          </cell>
          <cell r="AN150">
            <v>28839.426637871074</v>
          </cell>
          <cell r="AP150">
            <v>0</v>
          </cell>
          <cell r="AR150">
            <v>0</v>
          </cell>
        </row>
        <row r="152">
          <cell r="A152" t="str">
            <v>Inventory Cost</v>
          </cell>
          <cell r="C152">
            <v>27.834079626437067</v>
          </cell>
          <cell r="D152">
            <v>42.665982707704124</v>
          </cell>
          <cell r="E152">
            <v>1407.0179406216635</v>
          </cell>
          <cell r="F152">
            <v>1229.0157132000563</v>
          </cell>
          <cell r="G152">
            <v>1489.6795934896675</v>
          </cell>
          <cell r="H152">
            <v>4341.1990080188125</v>
          </cell>
          <cell r="I152">
            <v>282.40383732516307</v>
          </cell>
          <cell r="J152">
            <v>1628.58821308813</v>
          </cell>
          <cell r="K152">
            <v>989.92405747533019</v>
          </cell>
          <cell r="L152">
            <v>174.58674652615409</v>
          </cell>
          <cell r="M152">
            <v>268.92445873921923</v>
          </cell>
          <cell r="N152">
            <v>18.714621828080098</v>
          </cell>
          <cell r="O152">
            <v>11900.554252646416</v>
          </cell>
          <cell r="Q152">
            <v>11900.554252646418</v>
          </cell>
          <cell r="S152">
            <v>11900.554252646416</v>
          </cell>
          <cell r="U152" t="str">
            <v>Inventory Cost</v>
          </cell>
          <cell r="V152">
            <v>27.834079626437067</v>
          </cell>
          <cell r="W152">
            <v>70.500062334141191</v>
          </cell>
          <cell r="X152">
            <v>1477.5180029558046</v>
          </cell>
          <cell r="Y152">
            <v>2706.5337161558609</v>
          </cell>
          <cell r="Z152">
            <v>4196.2133096455282</v>
          </cell>
          <cell r="AA152">
            <v>8537.4123176643407</v>
          </cell>
          <cell r="AB152">
            <v>8819.816154989503</v>
          </cell>
          <cell r="AC152">
            <v>10448.404368077634</v>
          </cell>
          <cell r="AD152">
            <v>11438.328425552963</v>
          </cell>
          <cell r="AE152">
            <v>11612.915172079118</v>
          </cell>
          <cell r="AF152">
            <v>11881.839630818336</v>
          </cell>
          <cell r="AG152">
            <v>11900.554252646416</v>
          </cell>
          <cell r="AI152" t="str">
            <v>Inventory Cost</v>
          </cell>
          <cell r="AJ152">
            <v>1477.5180029558046</v>
          </cell>
          <cell r="AK152">
            <v>7059.8943147085365</v>
          </cell>
          <cell r="AL152">
            <v>2900.9161078886232</v>
          </cell>
          <cell r="AM152">
            <v>462.2258270934534</v>
          </cell>
          <cell r="AN152">
            <v>11900.554252646416</v>
          </cell>
          <cell r="AP152">
            <v>0</v>
          </cell>
          <cell r="AR152">
            <v>0</v>
          </cell>
        </row>
        <row r="153">
          <cell r="A153" t="str">
            <v>Non Std. Cost</v>
          </cell>
          <cell r="C153">
            <v>40.935540269997496</v>
          </cell>
          <cell r="D153">
            <v>43.116668751984157</v>
          </cell>
          <cell r="E153">
            <v>155.47970319234432</v>
          </cell>
          <cell r="F153">
            <v>136.91760224962263</v>
          </cell>
          <cell r="G153">
            <v>150.38982610547623</v>
          </cell>
          <cell r="H153">
            <v>411.85721016517493</v>
          </cell>
          <cell r="I153">
            <v>55.013522440446692</v>
          </cell>
          <cell r="J153">
            <v>181.25038535143921</v>
          </cell>
          <cell r="K153">
            <v>124.60822748072924</v>
          </cell>
          <cell r="L153">
            <v>55.919862861742544</v>
          </cell>
          <cell r="M153">
            <v>61.269457918222514</v>
          </cell>
          <cell r="N153">
            <v>61.192173972422651</v>
          </cell>
          <cell r="O153">
            <v>1477.9501807596025</v>
          </cell>
          <cell r="P153">
            <v>0.97832977816765876</v>
          </cell>
          <cell r="Q153">
            <v>1477.9501807596025</v>
          </cell>
          <cell r="R153">
            <v>0.97832977816765854</v>
          </cell>
          <cell r="S153">
            <v>1477.9501807596025</v>
          </cell>
          <cell r="U153" t="str">
            <v>Non Std. Cost</v>
          </cell>
          <cell r="V153">
            <v>40.935540269997496</v>
          </cell>
          <cell r="W153">
            <v>84.052209021981653</v>
          </cell>
          <cell r="X153">
            <v>239.53191221432598</v>
          </cell>
          <cell r="Y153">
            <v>376.44951446394862</v>
          </cell>
          <cell r="Z153">
            <v>526.83934056942485</v>
          </cell>
          <cell r="AA153">
            <v>938.69655073459978</v>
          </cell>
          <cell r="AB153">
            <v>993.71007317504643</v>
          </cell>
          <cell r="AC153">
            <v>1174.9604585264856</v>
          </cell>
          <cell r="AD153">
            <v>1299.5686860072149</v>
          </cell>
          <cell r="AE153">
            <v>1355.4885488689574</v>
          </cell>
          <cell r="AF153">
            <v>1416.75800678718</v>
          </cell>
          <cell r="AG153">
            <v>1477.9501807596025</v>
          </cell>
          <cell r="AI153" t="str">
            <v>Non Std. Cost</v>
          </cell>
          <cell r="AJ153">
            <v>239.53191221432598</v>
          </cell>
          <cell r="AK153">
            <v>699.1646385202738</v>
          </cell>
          <cell r="AL153">
            <v>360.87213527261514</v>
          </cell>
          <cell r="AM153">
            <v>178.38149475238771</v>
          </cell>
          <cell r="AN153">
            <v>1477.9501807596025</v>
          </cell>
        </row>
        <row r="154">
          <cell r="A154" t="str">
            <v>Alloc. NSC (STL)</v>
          </cell>
          <cell r="C154">
            <v>116.16666666666669</v>
          </cell>
          <cell r="D154">
            <v>116.16666666666669</v>
          </cell>
          <cell r="E154">
            <v>116.16666666666669</v>
          </cell>
          <cell r="F154">
            <v>116.16666666666669</v>
          </cell>
          <cell r="G154">
            <v>116.16666666666669</v>
          </cell>
          <cell r="H154">
            <v>116.16666666666669</v>
          </cell>
          <cell r="I154">
            <v>116.16666666666669</v>
          </cell>
          <cell r="J154">
            <v>116.16666666666669</v>
          </cell>
          <cell r="K154">
            <v>116.16666666666669</v>
          </cell>
          <cell r="L154">
            <v>116.16666666666669</v>
          </cell>
          <cell r="M154">
            <v>116.16666666666669</v>
          </cell>
          <cell r="N154">
            <v>116.16666666666669</v>
          </cell>
          <cell r="O154">
            <v>1394.0000000000007</v>
          </cell>
          <cell r="Q154">
            <v>1394.0000000000007</v>
          </cell>
          <cell r="S154">
            <v>1394.0000000000007</v>
          </cell>
          <cell r="U154" t="str">
            <v>Alloc. NSC (STL)</v>
          </cell>
          <cell r="V154">
            <v>116.16666666666669</v>
          </cell>
          <cell r="W154">
            <v>232.33333333333337</v>
          </cell>
          <cell r="X154">
            <v>348.50000000000006</v>
          </cell>
          <cell r="Y154">
            <v>464.66666666666674</v>
          </cell>
          <cell r="Z154">
            <v>580.83333333333348</v>
          </cell>
          <cell r="AA154">
            <v>697.00000000000023</v>
          </cell>
          <cell r="AB154">
            <v>813.16666666666697</v>
          </cell>
          <cell r="AC154">
            <v>929.33333333333371</v>
          </cell>
          <cell r="AD154">
            <v>1045.5000000000005</v>
          </cell>
          <cell r="AE154">
            <v>1161.6666666666672</v>
          </cell>
          <cell r="AF154">
            <v>1277.8333333333339</v>
          </cell>
          <cell r="AG154">
            <v>1394.0000000000007</v>
          </cell>
          <cell r="AI154" t="str">
            <v>Alloc. NSC (STL)</v>
          </cell>
          <cell r="AJ154">
            <v>348.50000000000006</v>
          </cell>
          <cell r="AK154">
            <v>348.50000000000006</v>
          </cell>
          <cell r="AL154">
            <v>348.50000000000006</v>
          </cell>
          <cell r="AM154">
            <v>348.50000000000006</v>
          </cell>
          <cell r="AN154">
            <v>1394.0000000000002</v>
          </cell>
          <cell r="AP154">
            <v>0</v>
          </cell>
          <cell r="AR154">
            <v>0</v>
          </cell>
        </row>
        <row r="155">
          <cell r="A155" t="str">
            <v>COGS</v>
          </cell>
          <cell r="C155">
            <v>184.93628656310125</v>
          </cell>
          <cell r="D155">
            <v>201.94931812635497</v>
          </cell>
          <cell r="E155">
            <v>1678.6643104806744</v>
          </cell>
          <cell r="F155">
            <v>1482.0999821163457</v>
          </cell>
          <cell r="G155">
            <v>1756.2360862618104</v>
          </cell>
          <cell r="H155">
            <v>4869.2228848506547</v>
          </cell>
          <cell r="I155">
            <v>453.58402643227646</v>
          </cell>
          <cell r="J155">
            <v>1926.005265106236</v>
          </cell>
          <cell r="K155">
            <v>1230.6989516227261</v>
          </cell>
          <cell r="L155">
            <v>346.6732760545633</v>
          </cell>
          <cell r="M155">
            <v>446.3605833241084</v>
          </cell>
          <cell r="N155">
            <v>196.07346246716943</v>
          </cell>
          <cell r="O155">
            <v>14772.504433406019</v>
          </cell>
          <cell r="Q155">
            <v>14772.50443340602</v>
          </cell>
          <cell r="S155">
            <v>14772.504433406019</v>
          </cell>
          <cell r="U155" t="str">
            <v>COGS</v>
          </cell>
          <cell r="V155">
            <v>184.93628656310125</v>
          </cell>
          <cell r="W155">
            <v>386.88560468945622</v>
          </cell>
          <cell r="X155">
            <v>2065.5499151701306</v>
          </cell>
          <cell r="Y155">
            <v>3547.6498972864765</v>
          </cell>
          <cell r="Z155">
            <v>5303.8859835482872</v>
          </cell>
          <cell r="AA155">
            <v>10173.10886839894</v>
          </cell>
          <cell r="AB155">
            <v>10626.692894831216</v>
          </cell>
          <cell r="AC155">
            <v>12552.698159937454</v>
          </cell>
          <cell r="AD155">
            <v>13783.397111560178</v>
          </cell>
          <cell r="AE155">
            <v>14130.070387614744</v>
          </cell>
          <cell r="AF155">
            <v>14576.430970938851</v>
          </cell>
          <cell r="AG155">
            <v>14772.504433406019</v>
          </cell>
          <cell r="AI155" t="str">
            <v>COGS</v>
          </cell>
          <cell r="AJ155">
            <v>2065.5499151701306</v>
          </cell>
          <cell r="AK155">
            <v>8107.5589532288104</v>
          </cell>
          <cell r="AL155">
            <v>3610.2882431612384</v>
          </cell>
          <cell r="AM155">
            <v>989.10732184584117</v>
          </cell>
          <cell r="AN155">
            <v>14772.504433406019</v>
          </cell>
          <cell r="AP155">
            <v>0</v>
          </cell>
          <cell r="AR155">
            <v>0</v>
          </cell>
        </row>
        <row r="157">
          <cell r="A157" t="str">
            <v>Gross Profit</v>
          </cell>
          <cell r="C157">
            <v>-514.67625370633311</v>
          </cell>
          <cell r="D157">
            <v>-79.020828900413534</v>
          </cell>
          <cell r="E157">
            <v>1640.2993275016761</v>
          </cell>
          <cell r="F157">
            <v>1363.5045094109776</v>
          </cell>
          <cell r="G157">
            <v>1869.1335685709407</v>
          </cell>
          <cell r="H157">
            <v>5824.6411876350794</v>
          </cell>
          <cell r="I157">
            <v>165.26482774442309</v>
          </cell>
          <cell r="J157">
            <v>2497.2600771541875</v>
          </cell>
          <cell r="K157">
            <v>1131.38662578151</v>
          </cell>
          <cell r="L157">
            <v>118.20206307602649</v>
          </cell>
          <cell r="M157">
            <v>223.00056266414691</v>
          </cell>
          <cell r="N157">
            <v>-172.07346246716943</v>
          </cell>
          <cell r="O157">
            <v>14066.922204465056</v>
          </cell>
          <cell r="Q157">
            <v>14066.922204465051</v>
          </cell>
          <cell r="S157">
            <v>14066.922204465056</v>
          </cell>
          <cell r="U157" t="str">
            <v>Gross Profit</v>
          </cell>
          <cell r="V157">
            <v>-584.93628656310125</v>
          </cell>
          <cell r="W157">
            <v>-593.69708260674668</v>
          </cell>
          <cell r="X157">
            <v>1046.6022448949293</v>
          </cell>
          <cell r="Y157">
            <v>2410.1067543059062</v>
          </cell>
          <cell r="Z157">
            <v>4279.2403228768471</v>
          </cell>
          <cell r="AA157">
            <v>10103.881510511928</v>
          </cell>
          <cell r="AB157">
            <v>10269.146338256352</v>
          </cell>
          <cell r="AC157">
            <v>12766.406415410542</v>
          </cell>
          <cell r="AD157">
            <v>13897.793041192053</v>
          </cell>
          <cell r="AE157">
            <v>14015.995104268082</v>
          </cell>
          <cell r="AF157">
            <v>14238.995666932231</v>
          </cell>
          <cell r="AG157">
            <v>14066.922204465067</v>
          </cell>
          <cell r="AI157" t="str">
            <v>Gross Profit</v>
          </cell>
          <cell r="AJ157">
            <v>1046.6022448949293</v>
          </cell>
          <cell r="AK157">
            <v>9057.2792656169986</v>
          </cell>
          <cell r="AL157">
            <v>3793.9115306801209</v>
          </cell>
          <cell r="AM157">
            <v>169.129163273004</v>
          </cell>
          <cell r="AN157">
            <v>14066.922204465056</v>
          </cell>
          <cell r="AP157">
            <v>0</v>
          </cell>
          <cell r="AR157">
            <v>0</v>
          </cell>
        </row>
        <row r="158">
          <cell r="A158" t="str">
            <v>% of Sales</v>
          </cell>
          <cell r="C158">
            <v>1.5608549311305322</v>
          </cell>
          <cell r="D158">
            <v>-0.64281949121797122</v>
          </cell>
          <cell r="E158">
            <v>0.49422033695398948</v>
          </cell>
          <cell r="F158">
            <v>0.47916163805291961</v>
          </cell>
          <cell r="G158">
            <v>0.51557047874533757</v>
          </cell>
          <cell r="H158">
            <v>0.54467133191091432</v>
          </cell>
          <cell r="I158">
            <v>0.26705200571840298</v>
          </cell>
          <cell r="J158">
            <v>0.56457388013670717</v>
          </cell>
          <cell r="K158">
            <v>0.47897783069520428</v>
          </cell>
          <cell r="L158">
            <v>0.25426615078590331</v>
          </cell>
          <cell r="M158">
            <v>0.33315432782538545</v>
          </cell>
          <cell r="N158">
            <v>-7.1697276027987265</v>
          </cell>
          <cell r="O158">
            <v>0.48776705518801106</v>
          </cell>
          <cell r="Q158">
            <v>0.48776705518801089</v>
          </cell>
          <cell r="S158">
            <v>0.48776705518801106</v>
          </cell>
          <cell r="U158" t="str">
            <v>% of Sales</v>
          </cell>
          <cell r="V158">
            <v>1.4623407164077531</v>
          </cell>
          <cell r="W158">
            <v>2.8707163092958621</v>
          </cell>
          <cell r="X158">
            <v>0.33629533231853609</v>
          </cell>
          <cell r="Y158">
            <v>0.40453259427132449</v>
          </cell>
          <cell r="Z158">
            <v>0.44653907149358696</v>
          </cell>
          <cell r="AA158">
            <v>0.49829295776657734</v>
          </cell>
          <cell r="AB158">
            <v>0.49144455141077309</v>
          </cell>
          <cell r="AC158">
            <v>0.50422029647290856</v>
          </cell>
          <cell r="AD158">
            <v>0.50206631161811699</v>
          </cell>
          <cell r="AE158">
            <v>0.49797351279205332</v>
          </cell>
          <cell r="AF158">
            <v>0.494144884470266</v>
          </cell>
          <cell r="AG158">
            <v>0.48776705518801122</v>
          </cell>
          <cell r="AI158" t="str">
            <v>% of Sales</v>
          </cell>
          <cell r="AJ158">
            <v>0.33629533231853609</v>
          </cell>
          <cell r="AK158">
            <v>0.52766470328119552</v>
          </cell>
          <cell r="AL158">
            <v>0.51239994146076484</v>
          </cell>
          <cell r="AM158">
            <v>0.14602299741546293</v>
          </cell>
          <cell r="AN158">
            <v>0.48776705518801106</v>
          </cell>
          <cell r="AP158">
            <v>0</v>
          </cell>
          <cell r="AR158">
            <v>0</v>
          </cell>
        </row>
        <row r="160">
          <cell r="A160" t="str">
            <v>Marketing</v>
          </cell>
          <cell r="C160">
            <v>248.76370727136114</v>
          </cell>
          <cell r="D160">
            <v>314.02074106055682</v>
          </cell>
          <cell r="E160">
            <v>392.60319846462119</v>
          </cell>
          <cell r="F160">
            <v>375.50543493060235</v>
          </cell>
          <cell r="G160">
            <v>503.29297582575811</v>
          </cell>
          <cell r="H160">
            <v>457.77869872318604</v>
          </cell>
          <cell r="I160">
            <v>399.44404553019223</v>
          </cell>
          <cell r="J160">
            <v>245.77458813065726</v>
          </cell>
          <cell r="K160">
            <v>362.3749558671314</v>
          </cell>
          <cell r="L160">
            <v>264.63061275684493</v>
          </cell>
          <cell r="M160">
            <v>264.63061275684493</v>
          </cell>
          <cell r="N160">
            <v>264.63061275684493</v>
          </cell>
          <cell r="O160">
            <v>4093.450184074602</v>
          </cell>
          <cell r="Q160">
            <v>4093.450184074602</v>
          </cell>
          <cell r="S160">
            <v>4093.450184074602</v>
          </cell>
          <cell r="U160" t="str">
            <v>Marketing</v>
          </cell>
          <cell r="V160">
            <v>248.76370727136114</v>
          </cell>
          <cell r="W160">
            <v>562.78444833191793</v>
          </cell>
          <cell r="X160">
            <v>955.38764679653912</v>
          </cell>
          <cell r="Y160">
            <v>1330.8930817271414</v>
          </cell>
          <cell r="Z160">
            <v>1834.1860575528995</v>
          </cell>
          <cell r="AA160">
            <v>2291.9647562760856</v>
          </cell>
          <cell r="AB160">
            <v>2691.408801806278</v>
          </cell>
          <cell r="AC160">
            <v>2937.1833899369353</v>
          </cell>
          <cell r="AD160">
            <v>3299.5583458040669</v>
          </cell>
          <cell r="AE160">
            <v>3564.1889585609119</v>
          </cell>
          <cell r="AF160">
            <v>3828.819571317757</v>
          </cell>
          <cell r="AG160">
            <v>4093.450184074602</v>
          </cell>
          <cell r="AI160" t="str">
            <v>Marketing</v>
          </cell>
          <cell r="AJ160">
            <v>955.38764679653912</v>
          </cell>
          <cell r="AK160">
            <v>1336.5771094795464</v>
          </cell>
          <cell r="AL160">
            <v>1007.5935895279808</v>
          </cell>
          <cell r="AM160">
            <v>793.89183827053478</v>
          </cell>
          <cell r="AN160">
            <v>4093.4501840746011</v>
          </cell>
        </row>
        <row r="161">
          <cell r="A161" t="str">
            <v>Administration</v>
          </cell>
          <cell r="C161">
            <v>0</v>
          </cell>
          <cell r="D161">
            <v>0</v>
          </cell>
          <cell r="E161">
            <v>0</v>
          </cell>
          <cell r="F161">
            <v>0</v>
          </cell>
          <cell r="G161">
            <v>0</v>
          </cell>
          <cell r="H161">
            <v>0</v>
          </cell>
          <cell r="I161">
            <v>0</v>
          </cell>
          <cell r="J161">
            <v>0</v>
          </cell>
          <cell r="K161">
            <v>0</v>
          </cell>
          <cell r="L161">
            <v>0</v>
          </cell>
          <cell r="M161">
            <v>0</v>
          </cell>
          <cell r="N161">
            <v>0</v>
          </cell>
          <cell r="O161">
            <v>0</v>
          </cell>
          <cell r="Q161">
            <v>0</v>
          </cell>
          <cell r="S161">
            <v>0</v>
          </cell>
          <cell r="U161" t="str">
            <v>Administration</v>
          </cell>
          <cell r="V161">
            <v>0</v>
          </cell>
          <cell r="W161">
            <v>0</v>
          </cell>
          <cell r="X161">
            <v>0</v>
          </cell>
          <cell r="Y161">
            <v>0</v>
          </cell>
          <cell r="Z161">
            <v>0</v>
          </cell>
          <cell r="AA161">
            <v>0</v>
          </cell>
          <cell r="AB161">
            <v>0</v>
          </cell>
          <cell r="AC161">
            <v>0</v>
          </cell>
          <cell r="AD161">
            <v>0</v>
          </cell>
          <cell r="AE161">
            <v>0</v>
          </cell>
          <cell r="AF161">
            <v>0</v>
          </cell>
          <cell r="AG161">
            <v>0</v>
          </cell>
          <cell r="AI161" t="str">
            <v>Administration</v>
          </cell>
          <cell r="AJ161">
            <v>0</v>
          </cell>
          <cell r="AK161">
            <v>0</v>
          </cell>
          <cell r="AL161">
            <v>0</v>
          </cell>
          <cell r="AM161">
            <v>0</v>
          </cell>
          <cell r="AN161">
            <v>0</v>
          </cell>
        </row>
        <row r="162">
          <cell r="A162" t="str">
            <v>Technology</v>
          </cell>
          <cell r="C162">
            <v>0</v>
          </cell>
          <cell r="D162">
            <v>0</v>
          </cell>
          <cell r="E162">
            <v>0</v>
          </cell>
          <cell r="F162">
            <v>0</v>
          </cell>
          <cell r="G162">
            <v>0</v>
          </cell>
          <cell r="H162">
            <v>0</v>
          </cell>
          <cell r="I162">
            <v>0</v>
          </cell>
          <cell r="J162">
            <v>0</v>
          </cell>
          <cell r="K162">
            <v>0</v>
          </cell>
          <cell r="L162">
            <v>0</v>
          </cell>
          <cell r="M162">
            <v>0</v>
          </cell>
          <cell r="N162">
            <v>0</v>
          </cell>
          <cell r="O162">
            <v>0</v>
          </cell>
          <cell r="Q162">
            <v>0</v>
          </cell>
          <cell r="S162">
            <v>0</v>
          </cell>
          <cell r="U162" t="str">
            <v>Technology</v>
          </cell>
          <cell r="V162">
            <v>0</v>
          </cell>
          <cell r="W162">
            <v>0</v>
          </cell>
          <cell r="X162">
            <v>0</v>
          </cell>
          <cell r="Y162">
            <v>0</v>
          </cell>
          <cell r="Z162">
            <v>0</v>
          </cell>
          <cell r="AA162">
            <v>0</v>
          </cell>
          <cell r="AB162">
            <v>0</v>
          </cell>
          <cell r="AC162">
            <v>0</v>
          </cell>
          <cell r="AD162">
            <v>0</v>
          </cell>
          <cell r="AE162">
            <v>0</v>
          </cell>
          <cell r="AF162">
            <v>0</v>
          </cell>
          <cell r="AG162">
            <v>0</v>
          </cell>
          <cell r="AI162" t="str">
            <v>Technology</v>
          </cell>
          <cell r="AJ162">
            <v>0</v>
          </cell>
          <cell r="AK162">
            <v>0</v>
          </cell>
          <cell r="AL162">
            <v>0</v>
          </cell>
          <cell r="AM162">
            <v>0</v>
          </cell>
          <cell r="AN162">
            <v>0</v>
          </cell>
        </row>
        <row r="163">
          <cell r="A163" t="str">
            <v>Bad Debt Reserve</v>
          </cell>
          <cell r="C163">
            <v>18.454166666666669</v>
          </cell>
          <cell r="D163">
            <v>18.454166666666669</v>
          </cell>
          <cell r="E163">
            <v>18.454166666666669</v>
          </cell>
          <cell r="F163">
            <v>18.454166666666669</v>
          </cell>
          <cell r="G163">
            <v>18.454166666666669</v>
          </cell>
          <cell r="H163">
            <v>18.454166666666669</v>
          </cell>
          <cell r="I163">
            <v>18.454166666666669</v>
          </cell>
          <cell r="J163">
            <v>18.454166666666669</v>
          </cell>
          <cell r="K163">
            <v>18.454166666666669</v>
          </cell>
          <cell r="L163">
            <v>18.454166666666669</v>
          </cell>
          <cell r="M163">
            <v>18.454166666666669</v>
          </cell>
          <cell r="N163">
            <v>18.454166666666669</v>
          </cell>
          <cell r="O163">
            <v>221.45000000000007</v>
          </cell>
          <cell r="Q163">
            <v>221.45000000000007</v>
          </cell>
          <cell r="S163">
            <v>221.45000000000007</v>
          </cell>
          <cell r="U163" t="str">
            <v>Bad Debt Reserve</v>
          </cell>
          <cell r="V163">
            <v>18.454166666666669</v>
          </cell>
          <cell r="W163">
            <v>36.908333333333339</v>
          </cell>
          <cell r="X163">
            <v>55.362500000000011</v>
          </cell>
          <cell r="Y163">
            <v>73.816666666666677</v>
          </cell>
          <cell r="Z163">
            <v>92.270833333333343</v>
          </cell>
          <cell r="AA163">
            <v>110.72500000000001</v>
          </cell>
          <cell r="AB163">
            <v>129.17916666666667</v>
          </cell>
          <cell r="AC163">
            <v>147.63333333333335</v>
          </cell>
          <cell r="AD163">
            <v>166.08750000000003</v>
          </cell>
          <cell r="AE163">
            <v>184.54166666666671</v>
          </cell>
          <cell r="AF163">
            <v>202.99583333333339</v>
          </cell>
          <cell r="AG163">
            <v>221.45000000000007</v>
          </cell>
          <cell r="AI163" t="str">
            <v>Bad Debt Reserve</v>
          </cell>
          <cell r="AJ163">
            <v>55.362500000000011</v>
          </cell>
          <cell r="AK163">
            <v>55.362500000000011</v>
          </cell>
          <cell r="AL163">
            <v>55.362500000000011</v>
          </cell>
          <cell r="AM163">
            <v>55.362500000000011</v>
          </cell>
          <cell r="AN163">
            <v>221.45000000000005</v>
          </cell>
        </row>
        <row r="164">
          <cell r="A164" t="str">
            <v>Total Direct MAT</v>
          </cell>
          <cell r="C164">
            <v>267.21787393802782</v>
          </cell>
          <cell r="D164">
            <v>332.47490772722347</v>
          </cell>
          <cell r="E164">
            <v>411.05736513128784</v>
          </cell>
          <cell r="F164">
            <v>393.959601597269</v>
          </cell>
          <cell r="G164">
            <v>521.74714249242481</v>
          </cell>
          <cell r="H164">
            <v>476.23286538985269</v>
          </cell>
          <cell r="I164">
            <v>417.89821219685888</v>
          </cell>
          <cell r="J164">
            <v>264.22875479732392</v>
          </cell>
          <cell r="K164">
            <v>380.82912253379806</v>
          </cell>
          <cell r="L164">
            <v>283.08477942351158</v>
          </cell>
          <cell r="M164">
            <v>283.08477942351158</v>
          </cell>
          <cell r="N164">
            <v>283.08477942351158</v>
          </cell>
          <cell r="O164">
            <v>4314.9001840746023</v>
          </cell>
          <cell r="Q164">
            <v>4314.9001840746023</v>
          </cell>
          <cell r="S164">
            <v>4314.9001840746023</v>
          </cell>
          <cell r="U164" t="str">
            <v>Total Direct MAT</v>
          </cell>
          <cell r="V164">
            <v>267.21787393802782</v>
          </cell>
          <cell r="W164">
            <v>599.69278166525123</v>
          </cell>
          <cell r="X164">
            <v>1010.7501467965392</v>
          </cell>
          <cell r="Y164">
            <v>1404.709748393808</v>
          </cell>
          <cell r="Z164">
            <v>1926.4568908862327</v>
          </cell>
          <cell r="AA164">
            <v>2402.6897562760855</v>
          </cell>
          <cell r="AB164">
            <v>2820.5879684729448</v>
          </cell>
          <cell r="AC164">
            <v>3084.8167232702685</v>
          </cell>
          <cell r="AD164">
            <v>3465.645845804067</v>
          </cell>
          <cell r="AE164">
            <v>3748.7306252275785</v>
          </cell>
          <cell r="AF164">
            <v>4031.8154046510904</v>
          </cell>
          <cell r="AG164">
            <v>4314.9001840746023</v>
          </cell>
          <cell r="AI164" t="str">
            <v>Total Direct MAT</v>
          </cell>
          <cell r="AJ164">
            <v>1010.7501467965392</v>
          </cell>
          <cell r="AK164">
            <v>1391.9396094795463</v>
          </cell>
          <cell r="AL164">
            <v>1062.9560895279808</v>
          </cell>
          <cell r="AM164">
            <v>849.25433827053484</v>
          </cell>
          <cell r="AN164">
            <v>4314.9001840746014</v>
          </cell>
          <cell r="AP164">
            <v>0</v>
          </cell>
          <cell r="AR164">
            <v>0</v>
          </cell>
        </row>
        <row r="166">
          <cell r="A166" t="str">
            <v>Marketing</v>
          </cell>
          <cell r="C166">
            <v>0</v>
          </cell>
          <cell r="D166">
            <v>0</v>
          </cell>
          <cell r="E166">
            <v>0</v>
          </cell>
          <cell r="F166">
            <v>0</v>
          </cell>
          <cell r="G166">
            <v>0</v>
          </cell>
          <cell r="H166">
            <v>0</v>
          </cell>
          <cell r="I166">
            <v>0</v>
          </cell>
          <cell r="J166">
            <v>0</v>
          </cell>
          <cell r="K166">
            <v>0</v>
          </cell>
          <cell r="L166">
            <v>0</v>
          </cell>
          <cell r="M166">
            <v>0</v>
          </cell>
          <cell r="N166">
            <v>0</v>
          </cell>
          <cell r="O166">
            <v>0</v>
          </cell>
          <cell r="Q166">
            <v>0</v>
          </cell>
          <cell r="S166">
            <v>0</v>
          </cell>
          <cell r="U166" t="str">
            <v>Marketing</v>
          </cell>
          <cell r="V166">
            <v>0</v>
          </cell>
          <cell r="W166">
            <v>0</v>
          </cell>
          <cell r="X166">
            <v>0</v>
          </cell>
          <cell r="Y166">
            <v>0</v>
          </cell>
          <cell r="Z166">
            <v>0</v>
          </cell>
          <cell r="AA166">
            <v>0</v>
          </cell>
          <cell r="AB166">
            <v>0</v>
          </cell>
          <cell r="AC166">
            <v>0</v>
          </cell>
          <cell r="AD166">
            <v>0</v>
          </cell>
          <cell r="AE166">
            <v>0</v>
          </cell>
          <cell r="AF166">
            <v>0</v>
          </cell>
          <cell r="AG166">
            <v>0</v>
          </cell>
          <cell r="AI166" t="str">
            <v>Marketing</v>
          </cell>
          <cell r="AJ166">
            <v>0</v>
          </cell>
          <cell r="AK166">
            <v>0</v>
          </cell>
          <cell r="AL166">
            <v>0</v>
          </cell>
          <cell r="AM166">
            <v>0</v>
          </cell>
          <cell r="AN166">
            <v>0</v>
          </cell>
        </row>
        <row r="167">
          <cell r="A167" t="str">
            <v>Administration</v>
          </cell>
          <cell r="C167">
            <v>0</v>
          </cell>
          <cell r="D167">
            <v>0</v>
          </cell>
          <cell r="E167">
            <v>0</v>
          </cell>
          <cell r="F167">
            <v>0</v>
          </cell>
          <cell r="G167">
            <v>0</v>
          </cell>
          <cell r="H167">
            <v>0</v>
          </cell>
          <cell r="I167">
            <v>0</v>
          </cell>
          <cell r="J167">
            <v>0</v>
          </cell>
          <cell r="K167">
            <v>0</v>
          </cell>
          <cell r="L167">
            <v>0</v>
          </cell>
          <cell r="M167">
            <v>0</v>
          </cell>
          <cell r="N167">
            <v>0</v>
          </cell>
          <cell r="O167">
            <v>0</v>
          </cell>
          <cell r="Q167">
            <v>0</v>
          </cell>
          <cell r="S167">
            <v>0</v>
          </cell>
          <cell r="U167" t="str">
            <v>Administration</v>
          </cell>
          <cell r="V167">
            <v>0</v>
          </cell>
          <cell r="W167">
            <v>0</v>
          </cell>
          <cell r="X167">
            <v>0</v>
          </cell>
          <cell r="Y167">
            <v>0</v>
          </cell>
          <cell r="Z167">
            <v>0</v>
          </cell>
          <cell r="AA167">
            <v>0</v>
          </cell>
          <cell r="AB167">
            <v>0</v>
          </cell>
          <cell r="AC167">
            <v>0</v>
          </cell>
          <cell r="AD167">
            <v>0</v>
          </cell>
          <cell r="AE167">
            <v>0</v>
          </cell>
          <cell r="AF167">
            <v>0</v>
          </cell>
          <cell r="AG167">
            <v>0</v>
          </cell>
          <cell r="AI167" t="str">
            <v>Administration</v>
          </cell>
          <cell r="AJ167">
            <v>0</v>
          </cell>
          <cell r="AK167">
            <v>0</v>
          </cell>
          <cell r="AL167">
            <v>0</v>
          </cell>
          <cell r="AM167">
            <v>0</v>
          </cell>
          <cell r="AN167">
            <v>0</v>
          </cell>
        </row>
        <row r="168">
          <cell r="A168" t="str">
            <v>Technology</v>
          </cell>
          <cell r="C168">
            <v>0</v>
          </cell>
          <cell r="D168">
            <v>0</v>
          </cell>
          <cell r="E168">
            <v>0</v>
          </cell>
          <cell r="F168">
            <v>0</v>
          </cell>
          <cell r="G168">
            <v>0</v>
          </cell>
          <cell r="H168">
            <v>0</v>
          </cell>
          <cell r="I168">
            <v>0</v>
          </cell>
          <cell r="J168">
            <v>0</v>
          </cell>
          <cell r="K168">
            <v>0</v>
          </cell>
          <cell r="L168">
            <v>0</v>
          </cell>
          <cell r="M168">
            <v>0</v>
          </cell>
          <cell r="N168">
            <v>0</v>
          </cell>
          <cell r="O168">
            <v>0</v>
          </cell>
          <cell r="Q168">
            <v>0</v>
          </cell>
          <cell r="S168">
            <v>0</v>
          </cell>
          <cell r="U168" t="str">
            <v>Technology</v>
          </cell>
          <cell r="V168">
            <v>0</v>
          </cell>
          <cell r="W168">
            <v>0</v>
          </cell>
          <cell r="X168">
            <v>0</v>
          </cell>
          <cell r="Y168">
            <v>0</v>
          </cell>
          <cell r="Z168">
            <v>0</v>
          </cell>
          <cell r="AA168">
            <v>0</v>
          </cell>
          <cell r="AB168">
            <v>0</v>
          </cell>
          <cell r="AC168">
            <v>0</v>
          </cell>
          <cell r="AD168">
            <v>0</v>
          </cell>
          <cell r="AE168">
            <v>0</v>
          </cell>
          <cell r="AF168">
            <v>0</v>
          </cell>
          <cell r="AG168">
            <v>0</v>
          </cell>
          <cell r="AI168" t="str">
            <v>Technology</v>
          </cell>
          <cell r="AJ168">
            <v>0</v>
          </cell>
          <cell r="AK168">
            <v>0</v>
          </cell>
          <cell r="AL168">
            <v>0</v>
          </cell>
          <cell r="AM168">
            <v>0</v>
          </cell>
          <cell r="AN168">
            <v>0</v>
          </cell>
          <cell r="AP168">
            <v>0</v>
          </cell>
          <cell r="AR168">
            <v>0</v>
          </cell>
        </row>
        <row r="169">
          <cell r="A169" t="str">
            <v>Total Foundation MAT</v>
          </cell>
          <cell r="C169">
            <v>0</v>
          </cell>
          <cell r="D169">
            <v>0</v>
          </cell>
          <cell r="E169">
            <v>0</v>
          </cell>
          <cell r="F169">
            <v>0</v>
          </cell>
          <cell r="G169">
            <v>0</v>
          </cell>
          <cell r="H169">
            <v>0</v>
          </cell>
          <cell r="I169">
            <v>0</v>
          </cell>
          <cell r="J169">
            <v>0</v>
          </cell>
          <cell r="K169">
            <v>0</v>
          </cell>
          <cell r="L169">
            <v>0</v>
          </cell>
          <cell r="M169">
            <v>0</v>
          </cell>
          <cell r="N169">
            <v>0</v>
          </cell>
          <cell r="O169">
            <v>0</v>
          </cell>
          <cell r="Q169">
            <v>0</v>
          </cell>
          <cell r="S169">
            <v>0</v>
          </cell>
          <cell r="U169" t="str">
            <v>Total Foundation MAT</v>
          </cell>
          <cell r="V169">
            <v>0</v>
          </cell>
          <cell r="W169">
            <v>0</v>
          </cell>
          <cell r="X169">
            <v>0</v>
          </cell>
          <cell r="Y169">
            <v>0</v>
          </cell>
          <cell r="Z169">
            <v>0</v>
          </cell>
          <cell r="AA169">
            <v>0</v>
          </cell>
          <cell r="AB169">
            <v>0</v>
          </cell>
          <cell r="AC169">
            <v>0</v>
          </cell>
          <cell r="AD169">
            <v>0</v>
          </cell>
          <cell r="AE169">
            <v>0</v>
          </cell>
          <cell r="AF169">
            <v>0</v>
          </cell>
          <cell r="AG169">
            <v>0</v>
          </cell>
          <cell r="AI169" t="str">
            <v>Total Foundation MAT</v>
          </cell>
          <cell r="AJ169">
            <v>0</v>
          </cell>
          <cell r="AK169">
            <v>0</v>
          </cell>
          <cell r="AL169">
            <v>0</v>
          </cell>
          <cell r="AM169">
            <v>0</v>
          </cell>
          <cell r="AN169">
            <v>0</v>
          </cell>
          <cell r="AP169">
            <v>0</v>
          </cell>
          <cell r="AR169">
            <v>0</v>
          </cell>
        </row>
        <row r="171">
          <cell r="A171" t="str">
            <v>Amort of Intangible  Assets</v>
          </cell>
          <cell r="C171">
            <v>0</v>
          </cell>
          <cell r="D171">
            <v>0</v>
          </cell>
          <cell r="E171">
            <v>0</v>
          </cell>
          <cell r="F171">
            <v>0</v>
          </cell>
          <cell r="G171">
            <v>0</v>
          </cell>
          <cell r="H171">
            <v>0</v>
          </cell>
          <cell r="I171">
            <v>0</v>
          </cell>
          <cell r="J171">
            <v>0</v>
          </cell>
          <cell r="K171">
            <v>0</v>
          </cell>
          <cell r="L171">
            <v>0</v>
          </cell>
          <cell r="M171">
            <v>0</v>
          </cell>
          <cell r="N171">
            <v>0</v>
          </cell>
          <cell r="O171">
            <v>0</v>
          </cell>
          <cell r="Q171">
            <v>0</v>
          </cell>
          <cell r="S171">
            <v>0</v>
          </cell>
          <cell r="U171" t="str">
            <v>Amort of Intangible  Assets</v>
          </cell>
          <cell r="V171">
            <v>0</v>
          </cell>
          <cell r="W171">
            <v>0</v>
          </cell>
          <cell r="X171">
            <v>0</v>
          </cell>
          <cell r="Y171">
            <v>0</v>
          </cell>
          <cell r="Z171">
            <v>0</v>
          </cell>
          <cell r="AA171">
            <v>0</v>
          </cell>
          <cell r="AB171">
            <v>0</v>
          </cell>
          <cell r="AC171">
            <v>0</v>
          </cell>
          <cell r="AD171">
            <v>0</v>
          </cell>
          <cell r="AE171">
            <v>0</v>
          </cell>
          <cell r="AF171">
            <v>0</v>
          </cell>
          <cell r="AG171">
            <v>0</v>
          </cell>
          <cell r="AI171" t="str">
            <v>Amort of Intangible  Assets</v>
          </cell>
          <cell r="AJ171">
            <v>0</v>
          </cell>
          <cell r="AK171">
            <v>0</v>
          </cell>
          <cell r="AL171">
            <v>0</v>
          </cell>
          <cell r="AM171">
            <v>0</v>
          </cell>
          <cell r="AN171">
            <v>0</v>
          </cell>
        </row>
        <row r="173">
          <cell r="A173" t="str">
            <v>Interest (Expense)</v>
          </cell>
          <cell r="C173">
            <v>0</v>
          </cell>
          <cell r="D173">
            <v>0</v>
          </cell>
          <cell r="E173">
            <v>0</v>
          </cell>
          <cell r="F173">
            <v>0</v>
          </cell>
          <cell r="G173">
            <v>0</v>
          </cell>
          <cell r="H173">
            <v>0</v>
          </cell>
          <cell r="I173">
            <v>0</v>
          </cell>
          <cell r="J173">
            <v>0</v>
          </cell>
          <cell r="K173">
            <v>0</v>
          </cell>
          <cell r="L173">
            <v>0</v>
          </cell>
          <cell r="M173">
            <v>0</v>
          </cell>
          <cell r="N173">
            <v>0</v>
          </cell>
          <cell r="O173">
            <v>0</v>
          </cell>
          <cell r="Q173">
            <v>0</v>
          </cell>
          <cell r="S173">
            <v>0</v>
          </cell>
          <cell r="U173" t="str">
            <v>Interest (Expense)</v>
          </cell>
          <cell r="V173">
            <v>0</v>
          </cell>
          <cell r="W173">
            <v>0</v>
          </cell>
          <cell r="X173">
            <v>0</v>
          </cell>
          <cell r="Y173">
            <v>0</v>
          </cell>
          <cell r="Z173">
            <v>0</v>
          </cell>
          <cell r="AA173">
            <v>0</v>
          </cell>
          <cell r="AB173">
            <v>0</v>
          </cell>
          <cell r="AC173">
            <v>0</v>
          </cell>
          <cell r="AD173">
            <v>0</v>
          </cell>
          <cell r="AE173">
            <v>0</v>
          </cell>
          <cell r="AF173">
            <v>0</v>
          </cell>
          <cell r="AG173">
            <v>0</v>
          </cell>
          <cell r="AI173" t="str">
            <v>Interest Expense</v>
          </cell>
          <cell r="AJ173">
            <v>0</v>
          </cell>
          <cell r="AK173">
            <v>0</v>
          </cell>
          <cell r="AL173">
            <v>0</v>
          </cell>
          <cell r="AM173">
            <v>0</v>
          </cell>
          <cell r="AN173">
            <v>0</v>
          </cell>
        </row>
        <row r="174">
          <cell r="A174" t="str">
            <v>Interest Income</v>
          </cell>
          <cell r="C174">
            <v>0</v>
          </cell>
          <cell r="D174">
            <v>0</v>
          </cell>
          <cell r="E174">
            <v>0</v>
          </cell>
          <cell r="F174">
            <v>0</v>
          </cell>
          <cell r="G174">
            <v>0</v>
          </cell>
          <cell r="H174">
            <v>0</v>
          </cell>
          <cell r="I174">
            <v>0</v>
          </cell>
          <cell r="J174">
            <v>0</v>
          </cell>
          <cell r="K174">
            <v>0</v>
          </cell>
          <cell r="L174">
            <v>0</v>
          </cell>
          <cell r="M174">
            <v>0</v>
          </cell>
          <cell r="N174">
            <v>0</v>
          </cell>
          <cell r="O174">
            <v>0</v>
          </cell>
          <cell r="Q174">
            <v>0</v>
          </cell>
          <cell r="S174">
            <v>0</v>
          </cell>
          <cell r="U174" t="str">
            <v>Interest Income</v>
          </cell>
          <cell r="V174">
            <v>0</v>
          </cell>
          <cell r="W174">
            <v>0</v>
          </cell>
          <cell r="X174">
            <v>0</v>
          </cell>
          <cell r="Y174">
            <v>0</v>
          </cell>
          <cell r="Z174">
            <v>0</v>
          </cell>
          <cell r="AA174">
            <v>0</v>
          </cell>
          <cell r="AB174">
            <v>0</v>
          </cell>
          <cell r="AC174">
            <v>0</v>
          </cell>
          <cell r="AD174">
            <v>0</v>
          </cell>
          <cell r="AE174">
            <v>0</v>
          </cell>
          <cell r="AF174">
            <v>0</v>
          </cell>
          <cell r="AG174">
            <v>0</v>
          </cell>
          <cell r="AI174" t="str">
            <v>Interest Income</v>
          </cell>
          <cell r="AJ174">
            <v>0</v>
          </cell>
          <cell r="AK174">
            <v>0</v>
          </cell>
          <cell r="AL174">
            <v>0</v>
          </cell>
          <cell r="AM174">
            <v>0</v>
          </cell>
          <cell r="AN174">
            <v>0</v>
          </cell>
        </row>
        <row r="175">
          <cell r="A175" t="str">
            <v>Other Income/Exp.</v>
          </cell>
          <cell r="C175">
            <v>0</v>
          </cell>
          <cell r="D175">
            <v>0</v>
          </cell>
          <cell r="E175">
            <v>0</v>
          </cell>
          <cell r="F175">
            <v>0</v>
          </cell>
          <cell r="G175">
            <v>0</v>
          </cell>
          <cell r="H175">
            <v>0</v>
          </cell>
          <cell r="I175">
            <v>0</v>
          </cell>
          <cell r="J175">
            <v>0</v>
          </cell>
          <cell r="K175">
            <v>0</v>
          </cell>
          <cell r="L175">
            <v>0</v>
          </cell>
          <cell r="M175">
            <v>0</v>
          </cell>
          <cell r="N175">
            <v>0</v>
          </cell>
          <cell r="O175">
            <v>0</v>
          </cell>
          <cell r="Q175">
            <v>0</v>
          </cell>
          <cell r="S175">
            <v>0</v>
          </cell>
          <cell r="U175" t="str">
            <v>Other Income/Exp.</v>
          </cell>
          <cell r="V175">
            <v>0</v>
          </cell>
          <cell r="W175">
            <v>0</v>
          </cell>
          <cell r="X175">
            <v>0</v>
          </cell>
          <cell r="Y175">
            <v>0</v>
          </cell>
          <cell r="Z175">
            <v>0</v>
          </cell>
          <cell r="AA175">
            <v>0</v>
          </cell>
          <cell r="AB175">
            <v>0</v>
          </cell>
          <cell r="AC175">
            <v>0</v>
          </cell>
          <cell r="AD175">
            <v>0</v>
          </cell>
          <cell r="AE175">
            <v>0</v>
          </cell>
          <cell r="AF175">
            <v>0</v>
          </cell>
          <cell r="AG175">
            <v>0</v>
          </cell>
          <cell r="AI175" t="str">
            <v>Other Income/Exp.</v>
          </cell>
          <cell r="AJ175">
            <v>0</v>
          </cell>
          <cell r="AK175">
            <v>0</v>
          </cell>
          <cell r="AL175">
            <v>0</v>
          </cell>
          <cell r="AM175">
            <v>0</v>
          </cell>
          <cell r="AN175">
            <v>0</v>
          </cell>
        </row>
        <row r="177">
          <cell r="A177" t="str">
            <v>Income Before Tax</v>
          </cell>
          <cell r="C177">
            <v>-781.89412764436088</v>
          </cell>
          <cell r="D177">
            <v>-411.49573662763703</v>
          </cell>
          <cell r="E177">
            <v>1229.2419623703881</v>
          </cell>
          <cell r="F177">
            <v>969.54490781370851</v>
          </cell>
          <cell r="G177">
            <v>1347.3864260785158</v>
          </cell>
          <cell r="H177">
            <v>5348.4083222452264</v>
          </cell>
          <cell r="I177">
            <v>-252.63338445243579</v>
          </cell>
          <cell r="J177">
            <v>2233.0313223568637</v>
          </cell>
          <cell r="K177">
            <v>750.55750324771202</v>
          </cell>
          <cell r="L177">
            <v>-164.88271634748509</v>
          </cell>
          <cell r="M177">
            <v>-60.084216759364665</v>
          </cell>
          <cell r="N177">
            <v>-455.15824189068098</v>
          </cell>
          <cell r="O177">
            <v>9752.0220203904537</v>
          </cell>
          <cell r="Q177">
            <v>9752.0220203904482</v>
          </cell>
          <cell r="S177">
            <v>9752.0220203904537</v>
          </cell>
          <cell r="U177" t="str">
            <v>Income Before Tax</v>
          </cell>
          <cell r="V177">
            <v>-852.15416050112913</v>
          </cell>
          <cell r="W177">
            <v>-1193.3898642719978</v>
          </cell>
          <cell r="X177">
            <v>35.852098098390115</v>
          </cell>
          <cell r="Y177">
            <v>1005.3970059120982</v>
          </cell>
          <cell r="Z177">
            <v>2352.7834319906142</v>
          </cell>
          <cell r="AA177">
            <v>7701.1917542358424</v>
          </cell>
          <cell r="AB177">
            <v>7448.5583697834081</v>
          </cell>
          <cell r="AC177">
            <v>9681.5896921402727</v>
          </cell>
          <cell r="AD177">
            <v>10432.147195387986</v>
          </cell>
          <cell r="AE177">
            <v>10267.264479040503</v>
          </cell>
          <cell r="AF177">
            <v>10207.180262281141</v>
          </cell>
          <cell r="AG177">
            <v>9752.0220203904646</v>
          </cell>
          <cell r="AI177" t="str">
            <v>Income Before Tax</v>
          </cell>
          <cell r="AJ177">
            <v>35.852098098390115</v>
          </cell>
          <cell r="AK177">
            <v>7665.339656137452</v>
          </cell>
          <cell r="AL177">
            <v>2730.9554411521403</v>
          </cell>
          <cell r="AM177">
            <v>-680.12517499753085</v>
          </cell>
          <cell r="AN177">
            <v>9752.0220203904537</v>
          </cell>
          <cell r="AP177">
            <v>0</v>
          </cell>
          <cell r="AR177">
            <v>0</v>
          </cell>
        </row>
        <row r="178">
          <cell r="A178" t="str">
            <v>Privision for Taxes</v>
          </cell>
          <cell r="C178">
            <v>-242.38717956975191</v>
          </cell>
          <cell r="D178">
            <v>-127.56367835456749</v>
          </cell>
          <cell r="E178">
            <v>381.06500833482028</v>
          </cell>
          <cell r="F178">
            <v>300.55892142224951</v>
          </cell>
          <cell r="G178">
            <v>417.6897920843403</v>
          </cell>
          <cell r="H178">
            <v>1658.00657989602</v>
          </cell>
          <cell r="I178">
            <v>-78.316349180255102</v>
          </cell>
          <cell r="J178">
            <v>692.23970993062733</v>
          </cell>
          <cell r="K178">
            <v>232.67282600679079</v>
          </cell>
          <cell r="L178">
            <v>-51.113642067720392</v>
          </cell>
          <cell r="M178">
            <v>-18.626107195403065</v>
          </cell>
          <cell r="N178">
            <v>-141.09905498611113</v>
          </cell>
          <cell r="O178">
            <v>3023.1268263210386</v>
          </cell>
          <cell r="Q178">
            <v>3023.1268263210368</v>
          </cell>
          <cell r="S178">
            <v>3023.1268263210386</v>
          </cell>
          <cell r="U178" t="str">
            <v>Privision for Taxes</v>
          </cell>
          <cell r="V178">
            <v>-242.38717956975191</v>
          </cell>
          <cell r="W178">
            <v>-369.95085792431939</v>
          </cell>
          <cell r="X178">
            <v>11.114150410500883</v>
          </cell>
          <cell r="Y178">
            <v>311.6730718327504</v>
          </cell>
          <cell r="Z178">
            <v>729.36286391709064</v>
          </cell>
          <cell r="AA178">
            <v>2387.3694438131106</v>
          </cell>
          <cell r="AB178">
            <v>2309.0530946328554</v>
          </cell>
          <cell r="AC178">
            <v>3001.2928045634826</v>
          </cell>
          <cell r="AD178">
            <v>3233.9656305702733</v>
          </cell>
          <cell r="AE178">
            <v>3182.851988502553</v>
          </cell>
          <cell r="AF178">
            <v>3164.2258813071498</v>
          </cell>
          <cell r="AG178">
            <v>3023.1268263210386</v>
          </cell>
          <cell r="AI178" t="str">
            <v>Privision for Taxes</v>
          </cell>
          <cell r="AJ178">
            <v>11.114150410500883</v>
          </cell>
          <cell r="AK178">
            <v>2376.2552934026098</v>
          </cell>
          <cell r="AL178">
            <v>846.59618675716297</v>
          </cell>
          <cell r="AM178">
            <v>-210.83880424923458</v>
          </cell>
          <cell r="AN178">
            <v>3023.1268263210391</v>
          </cell>
        </row>
        <row r="179">
          <cell r="A179" t="str">
            <v>Tax rate %</v>
          </cell>
          <cell r="C179">
            <v>0.31000000000000005</v>
          </cell>
          <cell r="D179">
            <v>0.31</v>
          </cell>
          <cell r="E179">
            <v>0.30999999999999994</v>
          </cell>
          <cell r="F179">
            <v>0.30999999999999989</v>
          </cell>
          <cell r="G179">
            <v>0.31000000000000028</v>
          </cell>
          <cell r="H179">
            <v>0.30999999999999994</v>
          </cell>
          <cell r="I179">
            <v>0.31000000000000005</v>
          </cell>
          <cell r="J179">
            <v>0.30999999999999983</v>
          </cell>
          <cell r="K179">
            <v>0.31000000000000005</v>
          </cell>
          <cell r="L179">
            <v>0.31000000000000011</v>
          </cell>
          <cell r="M179">
            <v>0.31000000000000033</v>
          </cell>
          <cell r="N179">
            <v>0.31000000000000005</v>
          </cell>
          <cell r="O179">
            <v>0.30999999999999978</v>
          </cell>
          <cell r="Q179">
            <v>0.30999999999999978</v>
          </cell>
          <cell r="S179">
            <v>0.30999999999999978</v>
          </cell>
          <cell r="U179" t="str">
            <v>Tax rate %</v>
          </cell>
          <cell r="V179">
            <v>0.28444052825748156</v>
          </cell>
          <cell r="W179">
            <v>0.31000000000000005</v>
          </cell>
          <cell r="X179">
            <v>0.30999999999999855</v>
          </cell>
          <cell r="Y179">
            <v>0.30999999999999994</v>
          </cell>
          <cell r="Z179">
            <v>0.31000000000000011</v>
          </cell>
          <cell r="AA179">
            <v>0.30999999999999994</v>
          </cell>
          <cell r="AB179">
            <v>0.30999999999999983</v>
          </cell>
          <cell r="AC179">
            <v>0.30999999999999978</v>
          </cell>
          <cell r="AD179">
            <v>0.30999999999999978</v>
          </cell>
          <cell r="AE179">
            <v>0.30999999999999972</v>
          </cell>
          <cell r="AF179">
            <v>0.30999999999999961</v>
          </cell>
          <cell r="AG179">
            <v>0.30999999999999944</v>
          </cell>
          <cell r="AI179" t="str">
            <v>Tax rate %</v>
          </cell>
          <cell r="AJ179">
            <v>0.30999999999999855</v>
          </cell>
          <cell r="AK179">
            <v>0.30999999999999994</v>
          </cell>
          <cell r="AL179">
            <v>0.30999999999999983</v>
          </cell>
          <cell r="AM179">
            <v>0.31000000000000005</v>
          </cell>
          <cell r="AN179">
            <v>0.30999999999999983</v>
          </cell>
          <cell r="AP179">
            <v>0</v>
          </cell>
          <cell r="AR179">
            <v>0</v>
          </cell>
        </row>
        <row r="181">
          <cell r="A181" t="str">
            <v>Net Income</v>
          </cell>
          <cell r="C181">
            <v>-539.506948074609</v>
          </cell>
          <cell r="D181">
            <v>-283.93205827306952</v>
          </cell>
          <cell r="E181">
            <v>848.17695403556786</v>
          </cell>
          <cell r="F181">
            <v>668.98598639145894</v>
          </cell>
          <cell r="G181">
            <v>929.6966339941755</v>
          </cell>
          <cell r="H181">
            <v>3690.4017423492064</v>
          </cell>
          <cell r="I181">
            <v>-174.3170352721807</v>
          </cell>
          <cell r="J181">
            <v>1540.7916124262365</v>
          </cell>
          <cell r="K181">
            <v>517.88467724092129</v>
          </cell>
          <cell r="L181">
            <v>-113.76907427976469</v>
          </cell>
          <cell r="M181">
            <v>-41.4581095639616</v>
          </cell>
          <cell r="N181">
            <v>-314.05918690456986</v>
          </cell>
          <cell r="O181">
            <v>6728.8951940694151</v>
          </cell>
          <cell r="Q181">
            <v>6728.8951940694114</v>
          </cell>
          <cell r="S181">
            <v>6728.8951940694151</v>
          </cell>
          <cell r="U181" t="str">
            <v>Net Income</v>
          </cell>
          <cell r="V181">
            <v>-609.76698093137725</v>
          </cell>
          <cell r="W181">
            <v>-823.4390063476784</v>
          </cell>
          <cell r="X181">
            <v>24.737947687889232</v>
          </cell>
          <cell r="Y181">
            <v>693.72393407934783</v>
          </cell>
          <cell r="Z181">
            <v>1623.4205680735236</v>
          </cell>
          <cell r="AA181">
            <v>5313.8223104227318</v>
          </cell>
          <cell r="AB181">
            <v>5139.5052751505527</v>
          </cell>
          <cell r="AC181">
            <v>6680.2968875767901</v>
          </cell>
          <cell r="AD181">
            <v>7198.1815648177126</v>
          </cell>
          <cell r="AE181">
            <v>7084.4124905379504</v>
          </cell>
          <cell r="AF181">
            <v>7042.9543809739916</v>
          </cell>
          <cell r="AG181">
            <v>6728.895194069426</v>
          </cell>
          <cell r="AI181" t="str">
            <v>Net Income</v>
          </cell>
          <cell r="AJ181">
            <v>24.737947687889232</v>
          </cell>
          <cell r="AK181">
            <v>5289.0843627348422</v>
          </cell>
          <cell r="AL181">
            <v>1884.3592543949774</v>
          </cell>
          <cell r="AM181">
            <v>-469.28637074829624</v>
          </cell>
          <cell r="AN181">
            <v>6728.8951940694151</v>
          </cell>
          <cell r="AP181">
            <v>0</v>
          </cell>
          <cell r="AR181">
            <v>0</v>
          </cell>
        </row>
        <row r="182">
          <cell r="A182" t="str">
            <v>% Sales</v>
          </cell>
          <cell r="C182">
            <v>1.6361587973357774</v>
          </cell>
          <cell r="D182">
            <v>-2.3097335699880359</v>
          </cell>
          <cell r="E182">
            <v>0.25555475942218753</v>
          </cell>
          <cell r="F182">
            <v>0.23509450747050009</v>
          </cell>
          <cell r="G182">
            <v>0.25644188662385248</v>
          </cell>
          <cell r="H182">
            <v>0.34509525437528693</v>
          </cell>
          <cell r="I182">
            <v>-0.28167949911467083</v>
          </cell>
          <cell r="J182">
            <v>0.34833804739347718</v>
          </cell>
          <cell r="K182">
            <v>0.21924890537202285</v>
          </cell>
          <cell r="L182">
            <v>-0.24473028509650716</v>
          </cell>
          <cell r="M182">
            <v>-6.1936833072006585E-2</v>
          </cell>
          <cell r="N182">
            <v>-13.085799454357078</v>
          </cell>
          <cell r="O182">
            <v>0.23332277990690808</v>
          </cell>
          <cell r="Q182">
            <v>0.233322779906908</v>
          </cell>
          <cell r="S182">
            <v>0.23332277990690808</v>
          </cell>
          <cell r="U182" t="str">
            <v>% Sales</v>
          </cell>
          <cell r="V182">
            <v>1.5244174523284431</v>
          </cell>
          <cell r="W182">
            <v>3.9815923885858706</v>
          </cell>
          <cell r="X182">
            <v>7.9488233272540509E-3</v>
          </cell>
          <cell r="Y182">
            <v>0.11644046151061407</v>
          </cell>
          <cell r="Z182">
            <v>0.16940406670681984</v>
          </cell>
          <cell r="AA182">
            <v>0.26206168721909467</v>
          </cell>
          <cell r="AB182">
            <v>0.24595830862884849</v>
          </cell>
          <cell r="AC182">
            <v>0.26384412085730224</v>
          </cell>
          <cell r="AD182">
            <v>0.26003873117796655</v>
          </cell>
          <cell r="AE182">
            <v>0.25170169850493163</v>
          </cell>
          <cell r="AF182">
            <v>0.24441610632679958</v>
          </cell>
          <cell r="AG182">
            <v>0.23332277990690839</v>
          </cell>
          <cell r="AI182" t="str">
            <v>% Sales</v>
          </cell>
          <cell r="AJ182">
            <v>7.9488233272540509E-3</v>
          </cell>
          <cell r="AK182">
            <v>0.3081348216220175</v>
          </cell>
          <cell r="AL182">
            <v>0.2544987050528158</v>
          </cell>
          <cell r="AM182">
            <v>-0.40517318939417052</v>
          </cell>
          <cell r="AN182">
            <v>0.23332277990690808</v>
          </cell>
          <cell r="AP182">
            <v>0</v>
          </cell>
          <cell r="AR182">
            <v>0</v>
          </cell>
        </row>
        <row r="188">
          <cell r="A188" t="str">
            <v>MEX Budget '02</v>
          </cell>
          <cell r="U188" t="str">
            <v>MEX Forecast YTD '00</v>
          </cell>
          <cell r="AI188" t="str">
            <v>MEX Forecast Qtr.'00</v>
          </cell>
        </row>
        <row r="189">
          <cell r="A189" t="str">
            <v>Acetanilides</v>
          </cell>
          <cell r="C189" t="str">
            <v>Jan</v>
          </cell>
          <cell r="D189" t="str">
            <v>Feb</v>
          </cell>
          <cell r="E189" t="str">
            <v>Mar</v>
          </cell>
          <cell r="F189" t="str">
            <v>Apr</v>
          </cell>
          <cell r="G189" t="str">
            <v>May</v>
          </cell>
          <cell r="H189" t="str">
            <v>Jun</v>
          </cell>
          <cell r="I189" t="str">
            <v>Jul</v>
          </cell>
          <cell r="J189" t="str">
            <v>Aug</v>
          </cell>
          <cell r="K189" t="str">
            <v>Sep</v>
          </cell>
          <cell r="L189" t="str">
            <v>Oct</v>
          </cell>
          <cell r="M189" t="str">
            <v>Nov</v>
          </cell>
          <cell r="N189" t="str">
            <v>Dec</v>
          </cell>
          <cell r="O189" t="str">
            <v>Total</v>
          </cell>
          <cell r="Q189" t="str">
            <v>Changes</v>
          </cell>
          <cell r="S189" t="str">
            <v>Changes</v>
          </cell>
          <cell r="U189" t="str">
            <v>Acetanilides</v>
          </cell>
          <cell r="V189" t="str">
            <v>Jan</v>
          </cell>
          <cell r="W189" t="str">
            <v>Feb</v>
          </cell>
          <cell r="X189" t="str">
            <v>Mar</v>
          </cell>
          <cell r="Y189" t="str">
            <v>Apr</v>
          </cell>
          <cell r="Z189" t="str">
            <v>May</v>
          </cell>
          <cell r="AA189" t="str">
            <v>Jun</v>
          </cell>
          <cell r="AB189" t="str">
            <v>Jul</v>
          </cell>
          <cell r="AC189" t="str">
            <v>Aug</v>
          </cell>
          <cell r="AD189" t="str">
            <v>Sep</v>
          </cell>
          <cell r="AE189" t="str">
            <v>Oct</v>
          </cell>
          <cell r="AF189" t="str">
            <v>Nov</v>
          </cell>
          <cell r="AG189" t="str">
            <v>Dec</v>
          </cell>
          <cell r="AI189" t="str">
            <v>Acetanilides</v>
          </cell>
          <cell r="AJ189" t="str">
            <v>1st Qtr.</v>
          </cell>
          <cell r="AK189" t="str">
            <v>2nd Qtr.</v>
          </cell>
          <cell r="AL189" t="str">
            <v>3er Qtr.</v>
          </cell>
          <cell r="AM189" t="str">
            <v>4 Qtr.</v>
          </cell>
          <cell r="AN189" t="str">
            <v>Total</v>
          </cell>
          <cell r="AP189">
            <v>2003</v>
          </cell>
          <cell r="AQ189">
            <v>0</v>
          </cell>
          <cell r="AR189">
            <v>2004</v>
          </cell>
        </row>
        <row r="191">
          <cell r="A191" t="str">
            <v>Harness Volume (K Galls)</v>
          </cell>
          <cell r="B191">
            <v>1</v>
          </cell>
          <cell r="C191">
            <v>0.32999999999999996</v>
          </cell>
          <cell r="D191">
            <v>0.11000000000000001</v>
          </cell>
          <cell r="E191">
            <v>11</v>
          </cell>
          <cell r="F191">
            <v>3.355</v>
          </cell>
          <cell r="G191">
            <v>11.055000000000001</v>
          </cell>
          <cell r="H191">
            <v>3.2890000000000001</v>
          </cell>
          <cell r="I191">
            <v>0.22000000000000003</v>
          </cell>
          <cell r="J191">
            <v>0.55000000000000004</v>
          </cell>
          <cell r="K191">
            <v>0.65999999999999992</v>
          </cell>
          <cell r="L191">
            <v>0.55000000000000004</v>
          </cell>
          <cell r="M191">
            <v>1.1000000000000001</v>
          </cell>
          <cell r="N191">
            <v>0</v>
          </cell>
          <cell r="O191">
            <v>32.219000000000001</v>
          </cell>
          <cell r="Q191">
            <v>32.219000000000001</v>
          </cell>
          <cell r="S191">
            <v>32.219000000000001</v>
          </cell>
          <cell r="U191" t="str">
            <v>Harness Volume (K Galls)</v>
          </cell>
          <cell r="V191">
            <v>0.32999999999999996</v>
          </cell>
          <cell r="W191">
            <v>0.43999999999999995</v>
          </cell>
          <cell r="X191">
            <v>11.44</v>
          </cell>
          <cell r="Y191">
            <v>14.795</v>
          </cell>
          <cell r="Z191">
            <v>25.85</v>
          </cell>
          <cell r="AA191">
            <v>29.139000000000003</v>
          </cell>
          <cell r="AB191">
            <v>29.359000000000002</v>
          </cell>
          <cell r="AC191">
            <v>29.909000000000002</v>
          </cell>
          <cell r="AD191">
            <v>30.569000000000003</v>
          </cell>
          <cell r="AE191">
            <v>31.119000000000003</v>
          </cell>
          <cell r="AF191">
            <v>32.219000000000001</v>
          </cell>
          <cell r="AG191">
            <v>32.219000000000001</v>
          </cell>
          <cell r="AI191" t="str">
            <v>Harness Volume (K Galls)</v>
          </cell>
          <cell r="AJ191">
            <v>11.44</v>
          </cell>
          <cell r="AK191">
            <v>17.699000000000002</v>
          </cell>
          <cell r="AL191">
            <v>1.43</v>
          </cell>
          <cell r="AM191">
            <v>1.6500000000000001</v>
          </cell>
          <cell r="AN191">
            <v>32.219000000000001</v>
          </cell>
        </row>
        <row r="192">
          <cell r="A192" t="str">
            <v>Harness Netback (K Galls)</v>
          </cell>
          <cell r="C192">
            <v>35.408041591147573</v>
          </cell>
          <cell r="D192">
            <v>35.296928489920113</v>
          </cell>
          <cell r="E192">
            <v>35.186510569722252</v>
          </cell>
          <cell r="F192">
            <v>35.07678132678133</v>
          </cell>
          <cell r="G192">
            <v>34.967734338200643</v>
          </cell>
          <cell r="H192">
            <v>34.751661829416719</v>
          </cell>
          <cell r="I192">
            <v>34.538243230669025</v>
          </cell>
          <cell r="J192">
            <v>34.323938191805134</v>
          </cell>
          <cell r="K192">
            <v>34.181700140895657</v>
          </cell>
          <cell r="L192">
            <v>34.040636091011628</v>
          </cell>
          <cell r="M192">
            <v>33.900731566978102</v>
          </cell>
          <cell r="N192">
            <v>0</v>
          </cell>
          <cell r="O192">
            <v>34.955079565659673</v>
          </cell>
          <cell r="Q192">
            <v>34.955079565659673</v>
          </cell>
          <cell r="S192">
            <v>34.955079565659673</v>
          </cell>
          <cell r="U192" t="str">
            <v>Harness Netback (K Galls)</v>
          </cell>
          <cell r="V192">
            <v>35.408041591147573</v>
          </cell>
          <cell r="W192">
            <v>35.380263315840708</v>
          </cell>
          <cell r="X192">
            <v>35.19396259841912</v>
          </cell>
          <cell r="Y192">
            <v>35.167389893698278</v>
          </cell>
          <cell r="Z192">
            <v>35.082005283793968</v>
          </cell>
          <cell r="AA192">
            <v>35.044718499022807</v>
          </cell>
          <cell r="AB192">
            <v>35.040923255348368</v>
          </cell>
          <cell r="AC192">
            <v>35.027738535533302</v>
          </cell>
          <cell r="AD192">
            <v>35.009472143421661</v>
          </cell>
          <cell r="AE192">
            <v>34.992348848045026</v>
          </cell>
          <cell r="AF192">
            <v>34.955079565659673</v>
          </cell>
          <cell r="AG192">
            <v>34.955079565659673</v>
          </cell>
          <cell r="AI192" t="str">
            <v>Harness Netback (K Galls)</v>
          </cell>
          <cell r="AJ192">
            <v>35.19396259841912</v>
          </cell>
          <cell r="AK192">
            <v>34.948252455907735</v>
          </cell>
          <cell r="AL192">
            <v>34.291259866595205</v>
          </cell>
          <cell r="AM192">
            <v>33.947366408322615</v>
          </cell>
          <cell r="AN192">
            <v>34.955079565659673</v>
          </cell>
        </row>
        <row r="193">
          <cell r="A193" t="str">
            <v>Harness Unit COGS (K Galls)</v>
          </cell>
          <cell r="C193">
            <v>12.809298157638571</v>
          </cell>
          <cell r="D193">
            <v>12.359849099475808</v>
          </cell>
          <cell r="E193">
            <v>11.74185664450202</v>
          </cell>
          <cell r="F193">
            <v>11.123864189528232</v>
          </cell>
          <cell r="G193">
            <v>10.838636902617251</v>
          </cell>
          <cell r="H193">
            <v>10.838636902617251</v>
          </cell>
          <cell r="I193">
            <v>10.83863690261725</v>
          </cell>
          <cell r="J193">
            <v>10.83863690261725</v>
          </cell>
          <cell r="K193">
            <v>10.83863690261725</v>
          </cell>
          <cell r="L193">
            <v>10.83863690261725</v>
          </cell>
          <cell r="M193">
            <v>10.83863690261725</v>
          </cell>
          <cell r="N193">
            <v>0</v>
          </cell>
          <cell r="O193">
            <v>11.202087235157997</v>
          </cell>
          <cell r="Q193">
            <v>11.202087235157997</v>
          </cell>
          <cell r="S193">
            <v>11.202087235157997</v>
          </cell>
          <cell r="U193" t="str">
            <v>Harness Unit COGS (K Galls)</v>
          </cell>
          <cell r="V193">
            <v>12.809298157638571</v>
          </cell>
          <cell r="W193">
            <v>12.696935893097882</v>
          </cell>
          <cell r="X193">
            <v>11.778590461755709</v>
          </cell>
          <cell r="Y193">
            <v>11.630120935339813</v>
          </cell>
          <cell r="Z193">
            <v>11.291635210707398</v>
          </cell>
          <cell r="AA193">
            <v>11.240504031349543</v>
          </cell>
          <cell r="AB193">
            <v>11.237492662831505</v>
          </cell>
          <cell r="AC193">
            <v>11.230158058929073</v>
          </cell>
          <cell r="AD193">
            <v>11.221704921333279</v>
          </cell>
          <cell r="AE193">
            <v>11.21493454277697</v>
          </cell>
          <cell r="AF193">
            <v>11.202087235157997</v>
          </cell>
          <cell r="AG193">
            <v>11.202087235157997</v>
          </cell>
          <cell r="AI193" t="str">
            <v>Harness Unit COGS (K Galls)</v>
          </cell>
          <cell r="AJ193">
            <v>11.778590461755709</v>
          </cell>
          <cell r="AK193">
            <v>10.892704225493476</v>
          </cell>
          <cell r="AL193">
            <v>10.83863690261725</v>
          </cell>
          <cell r="AM193">
            <v>10.83863690261725</v>
          </cell>
          <cell r="AN193">
            <v>11.202087235157995</v>
          </cell>
        </row>
        <row r="194">
          <cell r="A194" t="str">
            <v xml:space="preserve">Factor de conversión </v>
          </cell>
          <cell r="B194">
            <v>7.0010326672823</v>
          </cell>
        </row>
        <row r="195">
          <cell r="A195" t="str">
            <v>Harness Volume (K Te Lbs)</v>
          </cell>
          <cell r="C195">
            <v>2.3103407802031586</v>
          </cell>
          <cell r="D195">
            <v>0.77011359340105312</v>
          </cell>
          <cell r="E195">
            <v>77.011359340105301</v>
          </cell>
          <cell r="F195">
            <v>23.488464598732115</v>
          </cell>
          <cell r="G195">
            <v>77.39641613680584</v>
          </cell>
          <cell r="H195">
            <v>23.026396442691485</v>
          </cell>
          <cell r="I195">
            <v>1.5402271868021062</v>
          </cell>
          <cell r="J195">
            <v>3.8505679670052655</v>
          </cell>
          <cell r="K195">
            <v>4.6206815604063172</v>
          </cell>
          <cell r="L195">
            <v>3.8505679670052655</v>
          </cell>
          <cell r="M195">
            <v>7.701135934010531</v>
          </cell>
          <cell r="N195">
            <v>0</v>
          </cell>
          <cell r="O195">
            <v>225.56627150716847</v>
          </cell>
          <cell r="Q195">
            <v>225.56627150716844</v>
          </cell>
          <cell r="S195">
            <v>225.56627150716844</v>
          </cell>
          <cell r="U195" t="str">
            <v>Harness Volume (K Te Lbs)</v>
          </cell>
          <cell r="V195">
            <v>2.3103407802031586</v>
          </cell>
          <cell r="W195">
            <v>3.0804543736042116</v>
          </cell>
          <cell r="X195">
            <v>80.091813713709513</v>
          </cell>
          <cell r="Y195">
            <v>103.58027831244164</v>
          </cell>
          <cell r="Z195">
            <v>180.97669444924747</v>
          </cell>
          <cell r="AA195">
            <v>204.00309089193897</v>
          </cell>
          <cell r="AB195">
            <v>205.54331807874107</v>
          </cell>
          <cell r="AC195">
            <v>209.39388604574634</v>
          </cell>
          <cell r="AD195">
            <v>214.01456760615267</v>
          </cell>
          <cell r="AE195">
            <v>217.86513557315794</v>
          </cell>
          <cell r="AF195">
            <v>225.56627150716847</v>
          </cell>
          <cell r="AG195">
            <v>225.56627150716847</v>
          </cell>
          <cell r="AI195" t="str">
            <v>Harness Volume (K Te Lbs)</v>
          </cell>
          <cell r="AJ195">
            <v>80.091813713709513</v>
          </cell>
          <cell r="AK195">
            <v>123.91127717822945</v>
          </cell>
          <cell r="AL195">
            <v>10.011476714213689</v>
          </cell>
          <cell r="AM195">
            <v>11.551703901015797</v>
          </cell>
          <cell r="AN195">
            <v>225.56627150716847</v>
          </cell>
          <cell r="AP195">
            <v>0</v>
          </cell>
          <cell r="AR195">
            <v>0</v>
          </cell>
        </row>
        <row r="196">
          <cell r="A196" t="str">
            <v>Harness Netback (K TE Lbs)</v>
          </cell>
          <cell r="C196">
            <v>5.0575455470474848</v>
          </cell>
          <cell r="D196">
            <v>5.0416745882178367</v>
          </cell>
          <cell r="E196">
            <v>5.025902926315176</v>
          </cell>
          <cell r="F196">
            <v>5.0102296323661681</v>
          </cell>
          <cell r="G196">
            <v>4.9946537889494831</v>
          </cell>
          <cell r="H196">
            <v>4.9637908407170475</v>
          </cell>
          <cell r="I196">
            <v>4.9333069665673008</v>
          </cell>
          <cell r="J196">
            <v>4.9026964767940715</v>
          </cell>
          <cell r="K196">
            <v>4.8823797524379362</v>
          </cell>
          <cell r="L196">
            <v>4.8622307177757698</v>
          </cell>
          <cell r="M196">
            <v>4.8422473052304547</v>
          </cell>
          <cell r="N196">
            <v>0</v>
          </cell>
          <cell r="O196">
            <v>4.9928462309587731</v>
          </cell>
          <cell r="Q196">
            <v>4.9928462309587722</v>
          </cell>
          <cell r="S196">
            <v>4.9928462309587722</v>
          </cell>
          <cell r="U196" t="str">
            <v>Harness Netback (K TE Lbs)</v>
          </cell>
          <cell r="V196">
            <v>5.0575455470474848</v>
          </cell>
          <cell r="W196">
            <v>5.0535778073400728</v>
          </cell>
          <cell r="X196">
            <v>5.0269673448161329</v>
          </cell>
          <cell r="Y196">
            <v>5.0231718040746909</v>
          </cell>
          <cell r="Z196">
            <v>5.0109758018615702</v>
          </cell>
          <cell r="AA196">
            <v>5.0056499040200402</v>
          </cell>
          <cell r="AB196">
            <v>5.0051078063246282</v>
          </cell>
          <cell r="AC196">
            <v>5.0032245527473842</v>
          </cell>
          <cell r="AD196">
            <v>5.0006154530645608</v>
          </cell>
          <cell r="AE196">
            <v>4.9981696288282791</v>
          </cell>
          <cell r="AF196">
            <v>4.9928462309587731</v>
          </cell>
          <cell r="AG196">
            <v>4.9928462309587731</v>
          </cell>
          <cell r="AI196" t="str">
            <v>Harness Netback (K TE Lbs)</v>
          </cell>
          <cell r="AJ196">
            <v>5.0269673448161329</v>
          </cell>
          <cell r="AK196">
            <v>4.9918710734246785</v>
          </cell>
          <cell r="AL196">
            <v>4.8980288332101987</v>
          </cell>
          <cell r="AM196">
            <v>4.8489084427455591</v>
          </cell>
          <cell r="AN196">
            <v>4.9928462309587731</v>
          </cell>
          <cell r="AP196">
            <v>0</v>
          </cell>
          <cell r="AR196">
            <v>0</v>
          </cell>
        </row>
        <row r="197">
          <cell r="A197" t="str">
            <v>Harness Unit COGS (K TE Lbs)</v>
          </cell>
          <cell r="C197">
            <v>1.829629822683138</v>
          </cell>
          <cell r="D197">
            <v>1.7654322850451323</v>
          </cell>
          <cell r="E197">
            <v>1.6771606707928759</v>
          </cell>
          <cell r="F197">
            <v>1.5888890565406197</v>
          </cell>
          <cell r="G197">
            <v>1.5481483115011165</v>
          </cell>
          <cell r="H197">
            <v>1.5481483115011165</v>
          </cell>
          <cell r="I197">
            <v>1.5481483115011163</v>
          </cell>
          <cell r="J197">
            <v>1.5481483115011163</v>
          </cell>
          <cell r="K197">
            <v>1.5481483115011163</v>
          </cell>
          <cell r="L197">
            <v>1.5481483115011163</v>
          </cell>
          <cell r="M197">
            <v>1.5481483115011163</v>
          </cell>
          <cell r="N197">
            <v>0</v>
          </cell>
          <cell r="O197">
            <v>1.6000621290496684</v>
          </cell>
          <cell r="Q197">
            <v>1.6000621290496686</v>
          </cell>
          <cell r="S197">
            <v>1.6000621290496686</v>
          </cell>
          <cell r="U197" t="str">
            <v>Harness Unit COGS (K TE Lbs)</v>
          </cell>
          <cell r="V197">
            <v>1.829629822683138</v>
          </cell>
          <cell r="W197">
            <v>1.8135804382736369</v>
          </cell>
          <cell r="X197">
            <v>1.6824075849267515</v>
          </cell>
          <cell r="Y197">
            <v>1.661200781091978</v>
          </cell>
          <cell r="Z197">
            <v>1.6128528100541841</v>
          </cell>
          <cell r="AA197">
            <v>1.6055494332828109</v>
          </cell>
          <cell r="AB197">
            <v>1.60511930123499</v>
          </cell>
          <cell r="AC197">
            <v>1.6040716552303216</v>
          </cell>
          <cell r="AD197">
            <v>1.6028642422674744</v>
          </cell>
          <cell r="AE197">
            <v>1.6018971879944741</v>
          </cell>
          <cell r="AF197">
            <v>1.6000621290496684</v>
          </cell>
          <cell r="AG197">
            <v>1.6000621290496684</v>
          </cell>
          <cell r="AI197" t="str">
            <v>Harness Unit COGS (K TE Lbs)</v>
          </cell>
          <cell r="AJ197">
            <v>1.6824075849267515</v>
          </cell>
          <cell r="AK197">
            <v>1.5558710754769076</v>
          </cell>
          <cell r="AL197">
            <v>1.5481483115011163</v>
          </cell>
          <cell r="AM197">
            <v>1.5481483115011163</v>
          </cell>
          <cell r="AN197">
            <v>1.6000621290496682</v>
          </cell>
          <cell r="AP197">
            <v>0</v>
          </cell>
          <cell r="AR197">
            <v>0</v>
          </cell>
        </row>
        <row r="199">
          <cell r="A199" t="str">
            <v>Net Sales</v>
          </cell>
          <cell r="C199">
            <v>11.684653725078698</v>
          </cell>
          <cell r="D199">
            <v>3.8826621338912131</v>
          </cell>
          <cell r="E199">
            <v>387.05161626694479</v>
          </cell>
          <cell r="F199">
            <v>117.68260135135137</v>
          </cell>
          <cell r="G199">
            <v>386.56830310880815</v>
          </cell>
          <cell r="H199">
            <v>114.29821575695159</v>
          </cell>
          <cell r="I199">
            <v>7.5984135107471866</v>
          </cell>
          <cell r="J199">
            <v>18.878166005492826</v>
          </cell>
          <cell r="K199">
            <v>22.55992209299113</v>
          </cell>
          <cell r="L199">
            <v>18.722349850056396</v>
          </cell>
          <cell r="M199">
            <v>37.290804723675919</v>
          </cell>
          <cell r="N199">
            <v>0</v>
          </cell>
          <cell r="O199">
            <v>1126.2177085259891</v>
          </cell>
          <cell r="Q199">
            <v>1126.2177085259891</v>
          </cell>
          <cell r="S199">
            <v>1126.2177085259891</v>
          </cell>
          <cell r="U199" t="str">
            <v>Net Sales</v>
          </cell>
          <cell r="V199">
            <v>11.684653725078698</v>
          </cell>
          <cell r="W199">
            <v>15.567315858969911</v>
          </cell>
          <cell r="X199">
            <v>402.61893212591468</v>
          </cell>
          <cell r="Y199">
            <v>520.30153347726605</v>
          </cell>
          <cell r="Z199">
            <v>906.86983658607414</v>
          </cell>
          <cell r="AA199">
            <v>1021.1680523430257</v>
          </cell>
          <cell r="AB199">
            <v>1028.7664658537728</v>
          </cell>
          <cell r="AC199">
            <v>1047.6446318592657</v>
          </cell>
          <cell r="AD199">
            <v>1070.2045539522569</v>
          </cell>
          <cell r="AE199">
            <v>1088.9269038023133</v>
          </cell>
          <cell r="AF199">
            <v>1126.2177085259891</v>
          </cell>
          <cell r="AG199">
            <v>1126.2177085259891</v>
          </cell>
          <cell r="AI199" t="str">
            <v>Net Sales</v>
          </cell>
          <cell r="AJ199">
            <v>402.61893212591468</v>
          </cell>
          <cell r="AK199">
            <v>618.54912021711107</v>
          </cell>
          <cell r="AL199">
            <v>49.036501609231138</v>
          </cell>
          <cell r="AM199">
            <v>56.013154573732315</v>
          </cell>
          <cell r="AN199">
            <v>1126.2177085259891</v>
          </cell>
          <cell r="AP199">
            <v>0</v>
          </cell>
          <cell r="AR199">
            <v>0</v>
          </cell>
        </row>
        <row r="201">
          <cell r="A201" t="str">
            <v>Inventory Cost</v>
          </cell>
          <cell r="C201">
            <v>4.2270683920207279</v>
          </cell>
          <cell r="D201">
            <v>1.3595834009423391</v>
          </cell>
          <cell r="E201">
            <v>129.16042308952223</v>
          </cell>
          <cell r="F201">
            <v>37.320564355867219</v>
          </cell>
          <cell r="G201">
            <v>119.82113095843373</v>
          </cell>
          <cell r="H201">
            <v>35.648276772708144</v>
          </cell>
          <cell r="I201">
            <v>2.384500118575795</v>
          </cell>
          <cell r="J201">
            <v>5.9612502964394878</v>
          </cell>
          <cell r="K201">
            <v>7.1535003557273837</v>
          </cell>
          <cell r="L201">
            <v>5.9612502964394878</v>
          </cell>
          <cell r="M201">
            <v>11.922500592878976</v>
          </cell>
          <cell r="N201">
            <v>0</v>
          </cell>
          <cell r="O201">
            <v>360.92004862955554</v>
          </cell>
          <cell r="Q201">
            <v>360.92004862955554</v>
          </cell>
          <cell r="S201">
            <v>360.92004862955554</v>
          </cell>
          <cell r="U201" t="str">
            <v>Inventory Cost</v>
          </cell>
          <cell r="V201">
            <v>4.2270683920207279</v>
          </cell>
          <cell r="W201">
            <v>5.5866517929630675</v>
          </cell>
          <cell r="X201">
            <v>134.74707488248529</v>
          </cell>
          <cell r="Y201">
            <v>172.06763923835251</v>
          </cell>
          <cell r="Z201">
            <v>291.88877019678625</v>
          </cell>
          <cell r="AA201">
            <v>327.53704696949438</v>
          </cell>
          <cell r="AB201">
            <v>329.92154708807016</v>
          </cell>
          <cell r="AC201">
            <v>335.88279738450967</v>
          </cell>
          <cell r="AD201">
            <v>343.03629774023705</v>
          </cell>
          <cell r="AE201">
            <v>348.99754803667656</v>
          </cell>
          <cell r="AF201">
            <v>360.92004862955554</v>
          </cell>
          <cell r="AG201">
            <v>360.92004862955554</v>
          </cell>
          <cell r="AI201" t="str">
            <v>Inventory Cost</v>
          </cell>
          <cell r="AJ201">
            <v>134.74707488248529</v>
          </cell>
          <cell r="AK201">
            <v>192.78997208700906</v>
          </cell>
          <cell r="AL201">
            <v>15.499250770742666</v>
          </cell>
          <cell r="AM201">
            <v>17.883750889318463</v>
          </cell>
          <cell r="AN201">
            <v>360.92004862955548</v>
          </cell>
        </row>
        <row r="202">
          <cell r="A202" t="str">
            <v>Non Std. Cost</v>
          </cell>
          <cell r="C202">
            <v>0</v>
          </cell>
          <cell r="D202">
            <v>0</v>
          </cell>
          <cell r="E202">
            <v>0</v>
          </cell>
          <cell r="F202">
            <v>0</v>
          </cell>
          <cell r="G202">
            <v>0</v>
          </cell>
          <cell r="H202">
            <v>0</v>
          </cell>
          <cell r="I202">
            <v>0</v>
          </cell>
          <cell r="J202">
            <v>0</v>
          </cell>
          <cell r="K202">
            <v>0</v>
          </cell>
          <cell r="L202">
            <v>0</v>
          </cell>
          <cell r="M202">
            <v>0</v>
          </cell>
          <cell r="N202">
            <v>0</v>
          </cell>
          <cell r="O202">
            <v>0</v>
          </cell>
          <cell r="Q202">
            <v>0</v>
          </cell>
          <cell r="S202">
            <v>0</v>
          </cell>
          <cell r="U202" t="str">
            <v>Non Std. Cost</v>
          </cell>
          <cell r="V202">
            <v>0</v>
          </cell>
          <cell r="W202">
            <v>0</v>
          </cell>
          <cell r="X202">
            <v>0</v>
          </cell>
          <cell r="Y202">
            <v>0</v>
          </cell>
          <cell r="Z202">
            <v>0</v>
          </cell>
          <cell r="AA202">
            <v>0</v>
          </cell>
          <cell r="AB202">
            <v>0</v>
          </cell>
          <cell r="AC202">
            <v>0</v>
          </cell>
          <cell r="AD202">
            <v>0</v>
          </cell>
          <cell r="AE202">
            <v>0</v>
          </cell>
          <cell r="AF202">
            <v>0</v>
          </cell>
          <cell r="AG202">
            <v>0</v>
          </cell>
          <cell r="AI202" t="str">
            <v>Non Std. Cost</v>
          </cell>
          <cell r="AJ202">
            <v>0</v>
          </cell>
          <cell r="AK202">
            <v>0</v>
          </cell>
          <cell r="AL202">
            <v>0</v>
          </cell>
          <cell r="AM202">
            <v>0</v>
          </cell>
          <cell r="AN202">
            <v>0</v>
          </cell>
        </row>
        <row r="203">
          <cell r="A203" t="str">
            <v>Alloc. NSC (STL)</v>
          </cell>
          <cell r="C203">
            <v>0</v>
          </cell>
          <cell r="D203">
            <v>0</v>
          </cell>
          <cell r="E203">
            <v>0</v>
          </cell>
          <cell r="F203">
            <v>0</v>
          </cell>
          <cell r="G203">
            <v>0</v>
          </cell>
          <cell r="H203">
            <v>0</v>
          </cell>
          <cell r="I203">
            <v>0</v>
          </cell>
          <cell r="J203">
            <v>0</v>
          </cell>
          <cell r="K203">
            <v>0</v>
          </cell>
          <cell r="L203">
            <v>0</v>
          </cell>
          <cell r="M203">
            <v>0</v>
          </cell>
          <cell r="N203">
            <v>0</v>
          </cell>
          <cell r="O203">
            <v>0</v>
          </cell>
          <cell r="Q203">
            <v>0</v>
          </cell>
          <cell r="S203">
            <v>0</v>
          </cell>
          <cell r="U203" t="str">
            <v>Alloc. NSC (STL)</v>
          </cell>
          <cell r="V203">
            <v>0</v>
          </cell>
          <cell r="W203">
            <v>0</v>
          </cell>
          <cell r="X203">
            <v>0</v>
          </cell>
          <cell r="Y203">
            <v>0</v>
          </cell>
          <cell r="Z203">
            <v>0</v>
          </cell>
          <cell r="AA203">
            <v>0</v>
          </cell>
          <cell r="AB203">
            <v>0</v>
          </cell>
          <cell r="AC203">
            <v>0</v>
          </cell>
          <cell r="AD203">
            <v>0</v>
          </cell>
          <cell r="AE203">
            <v>0</v>
          </cell>
          <cell r="AF203">
            <v>0</v>
          </cell>
          <cell r="AG203">
            <v>0</v>
          </cell>
          <cell r="AI203" t="str">
            <v>Alloc. NSC (STL)</v>
          </cell>
          <cell r="AJ203">
            <v>0</v>
          </cell>
          <cell r="AK203">
            <v>0</v>
          </cell>
          <cell r="AL203">
            <v>0</v>
          </cell>
          <cell r="AM203">
            <v>0</v>
          </cell>
          <cell r="AN203">
            <v>0</v>
          </cell>
          <cell r="AP203">
            <v>0</v>
          </cell>
          <cell r="AR203">
            <v>0</v>
          </cell>
        </row>
        <row r="204">
          <cell r="A204" t="str">
            <v>COGS</v>
          </cell>
          <cell r="C204">
            <v>4.2270683920207279</v>
          </cell>
          <cell r="D204">
            <v>1.3595834009423391</v>
          </cell>
          <cell r="E204">
            <v>129.16042308952223</v>
          </cell>
          <cell r="F204">
            <v>37.320564355867219</v>
          </cell>
          <cell r="G204">
            <v>119.82113095843373</v>
          </cell>
          <cell r="H204">
            <v>35.648276772708144</v>
          </cell>
          <cell r="I204">
            <v>2.384500118575795</v>
          </cell>
          <cell r="J204">
            <v>5.9612502964394878</v>
          </cell>
          <cell r="K204">
            <v>7.1535003557273837</v>
          </cell>
          <cell r="L204">
            <v>5.9612502964394878</v>
          </cell>
          <cell r="M204">
            <v>11.922500592878976</v>
          </cell>
          <cell r="N204">
            <v>0</v>
          </cell>
          <cell r="O204">
            <v>360.92004862955554</v>
          </cell>
          <cell r="Q204">
            <v>360.92004862955554</v>
          </cell>
          <cell r="S204">
            <v>360.92004862955554</v>
          </cell>
          <cell r="U204" t="str">
            <v>COGS</v>
          </cell>
          <cell r="V204">
            <v>4.2270683920207279</v>
          </cell>
          <cell r="W204">
            <v>5.5866517929630675</v>
          </cell>
          <cell r="X204">
            <v>134.74707488248529</v>
          </cell>
          <cell r="Y204">
            <v>172.06763923835251</v>
          </cell>
          <cell r="Z204">
            <v>291.88877019678625</v>
          </cell>
          <cell r="AA204">
            <v>327.53704696949438</v>
          </cell>
          <cell r="AB204">
            <v>329.92154708807016</v>
          </cell>
          <cell r="AC204">
            <v>335.88279738450967</v>
          </cell>
          <cell r="AD204">
            <v>343.03629774023705</v>
          </cell>
          <cell r="AE204">
            <v>348.99754803667656</v>
          </cell>
          <cell r="AF204">
            <v>360.92004862955554</v>
          </cell>
          <cell r="AG204">
            <v>360.92004862955554</v>
          </cell>
          <cell r="AI204" t="str">
            <v>COGS</v>
          </cell>
          <cell r="AJ204">
            <v>134.74707488248529</v>
          </cell>
          <cell r="AK204">
            <v>192.78997208700906</v>
          </cell>
          <cell r="AL204">
            <v>15.499250770742666</v>
          </cell>
          <cell r="AM204">
            <v>17.883750889318463</v>
          </cell>
          <cell r="AN204">
            <v>360.92004862955548</v>
          </cell>
          <cell r="AP204">
            <v>0</v>
          </cell>
          <cell r="AR204">
            <v>0</v>
          </cell>
        </row>
        <row r="206">
          <cell r="A206" t="str">
            <v>Gross Profit</v>
          </cell>
          <cell r="C206">
            <v>7.4575853330579704</v>
          </cell>
          <cell r="D206">
            <v>2.523078732948874</v>
          </cell>
          <cell r="E206">
            <v>257.89119317742256</v>
          </cell>
          <cell r="F206">
            <v>80.362036995484146</v>
          </cell>
          <cell r="G206">
            <v>266.74717215037441</v>
          </cell>
          <cell r="H206">
            <v>78.649938984243448</v>
          </cell>
          <cell r="I206">
            <v>5.213913392171392</v>
          </cell>
          <cell r="J206">
            <v>12.916915709053338</v>
          </cell>
          <cell r="K206">
            <v>15.406421737263745</v>
          </cell>
          <cell r="L206">
            <v>12.761099553616909</v>
          </cell>
          <cell r="M206">
            <v>25.368304130796943</v>
          </cell>
          <cell r="N206">
            <v>0</v>
          </cell>
          <cell r="O206">
            <v>765.29765989643352</v>
          </cell>
          <cell r="Q206">
            <v>765.29765989643352</v>
          </cell>
          <cell r="S206">
            <v>765.29765989643352</v>
          </cell>
          <cell r="U206" t="str">
            <v>Gross Profit</v>
          </cell>
          <cell r="V206">
            <v>7.4575853330579704</v>
          </cell>
          <cell r="W206">
            <v>9.9806640660068435</v>
          </cell>
          <cell r="X206">
            <v>267.87185724342942</v>
          </cell>
          <cell r="Y206">
            <v>348.23389423891354</v>
          </cell>
          <cell r="Z206">
            <v>614.98106638928789</v>
          </cell>
          <cell r="AA206">
            <v>693.63100537353125</v>
          </cell>
          <cell r="AB206">
            <v>698.84491876570269</v>
          </cell>
          <cell r="AC206">
            <v>711.76183447475603</v>
          </cell>
          <cell r="AD206">
            <v>727.16825621201986</v>
          </cell>
          <cell r="AE206">
            <v>739.92935576563673</v>
          </cell>
          <cell r="AF206">
            <v>765.29765989643352</v>
          </cell>
          <cell r="AG206">
            <v>765.29765989643352</v>
          </cell>
          <cell r="AI206" t="str">
            <v>Gross Profit</v>
          </cell>
          <cell r="AJ206">
            <v>267.87185724342942</v>
          </cell>
          <cell r="AK206">
            <v>425.75914813010201</v>
          </cell>
          <cell r="AL206">
            <v>33.537250838488475</v>
          </cell>
          <cell r="AM206">
            <v>38.129403684413852</v>
          </cell>
          <cell r="AN206">
            <v>765.29765989643363</v>
          </cell>
          <cell r="AP206">
            <v>0</v>
          </cell>
          <cell r="AR206">
            <v>0</v>
          </cell>
        </row>
        <row r="207">
          <cell r="A207" t="str">
            <v>% of Sales</v>
          </cell>
          <cell r="C207">
            <v>0.6382375985222225</v>
          </cell>
          <cell r="D207">
            <v>0.6498321630731847</v>
          </cell>
          <cell r="E207">
            <v>0.66629664452701354</v>
          </cell>
          <cell r="F207">
            <v>0.68287101128531724</v>
          </cell>
          <cell r="G207">
            <v>0.69003891422337482</v>
          </cell>
          <cell r="H207">
            <v>0.68811169503719904</v>
          </cell>
          <cell r="I207">
            <v>0.68618447585102327</v>
          </cell>
          <cell r="J207">
            <v>0.68422513634507764</v>
          </cell>
          <cell r="K207">
            <v>0.68291112326359404</v>
          </cell>
          <cell r="L207">
            <v>0.68159711018211044</v>
          </cell>
          <cell r="M207">
            <v>0.68028309710062695</v>
          </cell>
          <cell r="N207">
            <v>0</v>
          </cell>
          <cell r="O207">
            <v>0.67952905917104323</v>
          </cell>
          <cell r="Q207">
            <v>0.67952905917104323</v>
          </cell>
          <cell r="S207">
            <v>0.67952905917104323</v>
          </cell>
          <cell r="U207" t="str">
            <v>% of Sales</v>
          </cell>
          <cell r="V207">
            <v>0.6382375985222225</v>
          </cell>
          <cell r="W207">
            <v>0.64112941218803432</v>
          </cell>
          <cell r="X207">
            <v>0.66532355006012334</v>
          </cell>
          <cell r="Y207">
            <v>0.66929246183766855</v>
          </cell>
          <cell r="Z207">
            <v>0.67813598112866325</v>
          </cell>
          <cell r="AA207">
            <v>0.67925255180283506</v>
          </cell>
          <cell r="AB207">
            <v>0.67930375061917636</v>
          </cell>
          <cell r="AC207">
            <v>0.67939243215667988</v>
          </cell>
          <cell r="AD207">
            <v>0.67946660619840693</v>
          </cell>
          <cell r="AE207">
            <v>0.67950323679390467</v>
          </cell>
          <cell r="AF207">
            <v>0.67952905917104323</v>
          </cell>
          <cell r="AG207">
            <v>0.67952905917104323</v>
          </cell>
          <cell r="AI207" t="str">
            <v>% of Sales</v>
          </cell>
          <cell r="AJ207">
            <v>0.66532355006012334</v>
          </cell>
          <cell r="AK207">
            <v>0.68831905860711651</v>
          </cell>
          <cell r="AL207">
            <v>0.68392421436881368</v>
          </cell>
          <cell r="AM207">
            <v>0.68072230486898611</v>
          </cell>
          <cell r="AN207">
            <v>0.67952905917104323</v>
          </cell>
          <cell r="AP207">
            <v>0</v>
          </cell>
          <cell r="AR207">
            <v>0</v>
          </cell>
        </row>
        <row r="209">
          <cell r="A209" t="str">
            <v>Marketing</v>
          </cell>
          <cell r="C209">
            <v>10.234582133123769</v>
          </cell>
          <cell r="D209">
            <v>12.919372770011204</v>
          </cell>
          <cell r="E209">
            <v>16.15239507598319</v>
          </cell>
          <cell r="F209">
            <v>15.44896262154256</v>
          </cell>
          <cell r="G209">
            <v>20.706369729785756</v>
          </cell>
          <cell r="H209">
            <v>18.833831278154253</v>
          </cell>
          <cell r="I209">
            <v>16.433839712424284</v>
          </cell>
          <cell r="J209">
            <v>10.11160444603755</v>
          </cell>
          <cell r="K209">
            <v>14.908751318630262</v>
          </cell>
          <cell r="L209">
            <v>10.887374894459141</v>
          </cell>
          <cell r="M209">
            <v>10.887374894459141</v>
          </cell>
          <cell r="N209">
            <v>10.887374894459141</v>
          </cell>
          <cell r="O209">
            <v>168.4118337690702</v>
          </cell>
          <cell r="Q209">
            <v>168.4118337690702</v>
          </cell>
          <cell r="S209">
            <v>168.4118337690702</v>
          </cell>
          <cell r="U209" t="str">
            <v>Marketing</v>
          </cell>
          <cell r="V209">
            <v>10.234582133123769</v>
          </cell>
          <cell r="W209">
            <v>23.153954903134974</v>
          </cell>
          <cell r="X209">
            <v>39.306349979118167</v>
          </cell>
          <cell r="Y209">
            <v>54.75531260066073</v>
          </cell>
          <cell r="Z209">
            <v>75.461682330446479</v>
          </cell>
          <cell r="AA209">
            <v>94.295513608600729</v>
          </cell>
          <cell r="AB209">
            <v>110.72935332102502</v>
          </cell>
          <cell r="AC209">
            <v>120.84095776706256</v>
          </cell>
          <cell r="AD209">
            <v>135.74970908569281</v>
          </cell>
          <cell r="AE209">
            <v>146.63708398015194</v>
          </cell>
          <cell r="AF209">
            <v>157.52445887461107</v>
          </cell>
          <cell r="AG209">
            <v>168.4118337690702</v>
          </cell>
          <cell r="AI209" t="str">
            <v>Marketing</v>
          </cell>
          <cell r="AJ209">
            <v>39.306349979118167</v>
          </cell>
          <cell r="AK209">
            <v>54.989163629482562</v>
          </cell>
          <cell r="AL209">
            <v>41.4541954770921</v>
          </cell>
          <cell r="AM209">
            <v>32.662124683377421</v>
          </cell>
          <cell r="AN209">
            <v>168.41183376907023</v>
          </cell>
        </row>
        <row r="210">
          <cell r="A210" t="str">
            <v>Administration</v>
          </cell>
          <cell r="C210">
            <v>0</v>
          </cell>
          <cell r="D210">
            <v>0</v>
          </cell>
          <cell r="E210">
            <v>0</v>
          </cell>
          <cell r="F210">
            <v>0</v>
          </cell>
          <cell r="G210">
            <v>0</v>
          </cell>
          <cell r="H210">
            <v>0</v>
          </cell>
          <cell r="I210">
            <v>0</v>
          </cell>
          <cell r="J210">
            <v>0</v>
          </cell>
          <cell r="K210">
            <v>0</v>
          </cell>
          <cell r="L210">
            <v>0</v>
          </cell>
          <cell r="M210">
            <v>0</v>
          </cell>
          <cell r="N210">
            <v>0</v>
          </cell>
          <cell r="O210">
            <v>0</v>
          </cell>
          <cell r="Q210">
            <v>0</v>
          </cell>
          <cell r="S210">
            <v>0</v>
          </cell>
          <cell r="U210" t="str">
            <v>Administration</v>
          </cell>
          <cell r="V210">
            <v>0</v>
          </cell>
          <cell r="W210">
            <v>0</v>
          </cell>
          <cell r="X210">
            <v>0</v>
          </cell>
          <cell r="Y210">
            <v>0</v>
          </cell>
          <cell r="Z210">
            <v>0</v>
          </cell>
          <cell r="AA210">
            <v>0</v>
          </cell>
          <cell r="AB210">
            <v>0</v>
          </cell>
          <cell r="AC210">
            <v>0</v>
          </cell>
          <cell r="AD210">
            <v>0</v>
          </cell>
          <cell r="AE210">
            <v>0</v>
          </cell>
          <cell r="AF210">
            <v>0</v>
          </cell>
          <cell r="AG210">
            <v>0</v>
          </cell>
          <cell r="AI210" t="str">
            <v>Administration</v>
          </cell>
          <cell r="AJ210">
            <v>0</v>
          </cell>
          <cell r="AK210">
            <v>0</v>
          </cell>
          <cell r="AL210">
            <v>0</v>
          </cell>
          <cell r="AM210">
            <v>0</v>
          </cell>
          <cell r="AN210">
            <v>0</v>
          </cell>
        </row>
        <row r="211">
          <cell r="A211" t="str">
            <v>Technology</v>
          </cell>
          <cell r="C211">
            <v>0</v>
          </cell>
          <cell r="D211">
            <v>0</v>
          </cell>
          <cell r="E211">
            <v>0</v>
          </cell>
          <cell r="F211">
            <v>0</v>
          </cell>
          <cell r="G211">
            <v>0</v>
          </cell>
          <cell r="H211">
            <v>0</v>
          </cell>
          <cell r="I211">
            <v>0</v>
          </cell>
          <cell r="J211">
            <v>0</v>
          </cell>
          <cell r="K211">
            <v>0</v>
          </cell>
          <cell r="L211">
            <v>0</v>
          </cell>
          <cell r="M211">
            <v>0</v>
          </cell>
          <cell r="N211">
            <v>0</v>
          </cell>
          <cell r="O211">
            <v>0</v>
          </cell>
          <cell r="Q211">
            <v>0</v>
          </cell>
          <cell r="S211">
            <v>0</v>
          </cell>
          <cell r="U211" t="str">
            <v>Technology</v>
          </cell>
          <cell r="V211">
            <v>0</v>
          </cell>
          <cell r="W211">
            <v>0</v>
          </cell>
          <cell r="X211">
            <v>0</v>
          </cell>
          <cell r="Y211">
            <v>0</v>
          </cell>
          <cell r="Z211">
            <v>0</v>
          </cell>
          <cell r="AA211">
            <v>0</v>
          </cell>
          <cell r="AB211">
            <v>0</v>
          </cell>
          <cell r="AC211">
            <v>0</v>
          </cell>
          <cell r="AD211">
            <v>0</v>
          </cell>
          <cell r="AE211">
            <v>0</v>
          </cell>
          <cell r="AF211">
            <v>0</v>
          </cell>
          <cell r="AG211">
            <v>0</v>
          </cell>
          <cell r="AI211" t="str">
            <v>Technology</v>
          </cell>
          <cell r="AJ211">
            <v>0</v>
          </cell>
          <cell r="AK211">
            <v>0</v>
          </cell>
          <cell r="AL211">
            <v>0</v>
          </cell>
          <cell r="AM211">
            <v>0</v>
          </cell>
          <cell r="AN211">
            <v>0</v>
          </cell>
        </row>
        <row r="212">
          <cell r="A212" t="str">
            <v>Bad Debt Reserve</v>
          </cell>
          <cell r="C212">
            <v>0</v>
          </cell>
          <cell r="D212">
            <v>0</v>
          </cell>
          <cell r="E212">
            <v>0</v>
          </cell>
          <cell r="F212">
            <v>0</v>
          </cell>
          <cell r="G212">
            <v>0</v>
          </cell>
          <cell r="H212">
            <v>0</v>
          </cell>
          <cell r="I212">
            <v>0</v>
          </cell>
          <cell r="J212">
            <v>0</v>
          </cell>
          <cell r="K212">
            <v>0</v>
          </cell>
          <cell r="L212">
            <v>0</v>
          </cell>
          <cell r="M212">
            <v>0</v>
          </cell>
          <cell r="N212">
            <v>0</v>
          </cell>
          <cell r="O212">
            <v>0</v>
          </cell>
          <cell r="Q212">
            <v>0</v>
          </cell>
          <cell r="S212">
            <v>0</v>
          </cell>
          <cell r="U212" t="str">
            <v>Bad Debt Reserve</v>
          </cell>
          <cell r="V212">
            <v>0</v>
          </cell>
          <cell r="W212">
            <v>0</v>
          </cell>
          <cell r="X212">
            <v>0</v>
          </cell>
          <cell r="Y212">
            <v>0</v>
          </cell>
          <cell r="Z212">
            <v>0</v>
          </cell>
          <cell r="AA212">
            <v>0</v>
          </cell>
          <cell r="AB212">
            <v>0</v>
          </cell>
          <cell r="AC212">
            <v>0</v>
          </cell>
          <cell r="AD212">
            <v>0</v>
          </cell>
          <cell r="AE212">
            <v>0</v>
          </cell>
          <cell r="AF212">
            <v>0</v>
          </cell>
          <cell r="AG212">
            <v>0</v>
          </cell>
          <cell r="AI212" t="str">
            <v>Bad Debt Reserve</v>
          </cell>
          <cell r="AJ212">
            <v>0</v>
          </cell>
          <cell r="AK212">
            <v>0</v>
          </cell>
          <cell r="AL212">
            <v>0</v>
          </cell>
          <cell r="AM212">
            <v>0</v>
          </cell>
          <cell r="AN212">
            <v>0</v>
          </cell>
          <cell r="AP212">
            <v>0</v>
          </cell>
          <cell r="AR212">
            <v>0</v>
          </cell>
        </row>
        <row r="213">
          <cell r="A213" t="str">
            <v>Total Direct MAT</v>
          </cell>
          <cell r="C213">
            <v>10.234582133123769</v>
          </cell>
          <cell r="D213">
            <v>12.919372770011204</v>
          </cell>
          <cell r="E213">
            <v>16.15239507598319</v>
          </cell>
          <cell r="F213">
            <v>15.44896262154256</v>
          </cell>
          <cell r="G213">
            <v>20.706369729785756</v>
          </cell>
          <cell r="H213">
            <v>18.833831278154253</v>
          </cell>
          <cell r="I213">
            <v>16.433839712424284</v>
          </cell>
          <cell r="J213">
            <v>10.11160444603755</v>
          </cell>
          <cell r="K213">
            <v>14.908751318630262</v>
          </cell>
          <cell r="L213">
            <v>10.887374894459141</v>
          </cell>
          <cell r="M213">
            <v>10.887374894459141</v>
          </cell>
          <cell r="N213">
            <v>10.887374894459141</v>
          </cell>
          <cell r="O213">
            <v>168.4118337690702</v>
          </cell>
          <cell r="Q213">
            <v>168.4118337690702</v>
          </cell>
          <cell r="S213">
            <v>168.4118337690702</v>
          </cell>
          <cell r="U213" t="str">
            <v>Total Direct MAT</v>
          </cell>
          <cell r="V213">
            <v>10.234582133123769</v>
          </cell>
          <cell r="W213">
            <v>23.153954903134974</v>
          </cell>
          <cell r="X213">
            <v>39.306349979118167</v>
          </cell>
          <cell r="Y213">
            <v>54.75531260066073</v>
          </cell>
          <cell r="Z213">
            <v>75.461682330446479</v>
          </cell>
          <cell r="AA213">
            <v>94.295513608600729</v>
          </cell>
          <cell r="AB213">
            <v>110.72935332102502</v>
          </cell>
          <cell r="AC213">
            <v>120.84095776706256</v>
          </cell>
          <cell r="AD213">
            <v>135.74970908569281</v>
          </cell>
          <cell r="AE213">
            <v>146.63708398015194</v>
          </cell>
          <cell r="AF213">
            <v>157.52445887461107</v>
          </cell>
          <cell r="AG213">
            <v>168.4118337690702</v>
          </cell>
          <cell r="AI213" t="str">
            <v>Total Direct MAT</v>
          </cell>
          <cell r="AJ213">
            <v>39.306349979118167</v>
          </cell>
          <cell r="AK213">
            <v>54.989163629482562</v>
          </cell>
          <cell r="AL213">
            <v>41.4541954770921</v>
          </cell>
          <cell r="AM213">
            <v>32.662124683377421</v>
          </cell>
          <cell r="AN213">
            <v>168.41183376907023</v>
          </cell>
          <cell r="AP213">
            <v>0</v>
          </cell>
          <cell r="AR213">
            <v>0</v>
          </cell>
        </row>
        <row r="215">
          <cell r="A215" t="str">
            <v>Marketing</v>
          </cell>
          <cell r="C215">
            <v>0</v>
          </cell>
          <cell r="D215">
            <v>0</v>
          </cell>
          <cell r="E215">
            <v>0</v>
          </cell>
          <cell r="F215">
            <v>0</v>
          </cell>
          <cell r="G215">
            <v>0</v>
          </cell>
          <cell r="H215">
            <v>0</v>
          </cell>
          <cell r="I215">
            <v>0</v>
          </cell>
          <cell r="J215">
            <v>0</v>
          </cell>
          <cell r="K215">
            <v>0</v>
          </cell>
          <cell r="L215">
            <v>0</v>
          </cell>
          <cell r="M215">
            <v>0</v>
          </cell>
          <cell r="N215">
            <v>0</v>
          </cell>
          <cell r="O215">
            <v>0</v>
          </cell>
          <cell r="Q215">
            <v>0</v>
          </cell>
          <cell r="S215">
            <v>0</v>
          </cell>
          <cell r="U215" t="str">
            <v>Marketing</v>
          </cell>
          <cell r="V215">
            <v>0</v>
          </cell>
          <cell r="W215">
            <v>0</v>
          </cell>
          <cell r="X215">
            <v>0</v>
          </cell>
          <cell r="Y215">
            <v>0</v>
          </cell>
          <cell r="Z215">
            <v>0</v>
          </cell>
          <cell r="AA215">
            <v>0</v>
          </cell>
          <cell r="AB215">
            <v>0</v>
          </cell>
          <cell r="AC215">
            <v>0</v>
          </cell>
          <cell r="AD215">
            <v>0</v>
          </cell>
          <cell r="AE215">
            <v>0</v>
          </cell>
          <cell r="AF215">
            <v>0</v>
          </cell>
          <cell r="AG215">
            <v>0</v>
          </cell>
          <cell r="AI215" t="str">
            <v>Marketing</v>
          </cell>
          <cell r="AJ215">
            <v>0</v>
          </cell>
          <cell r="AK215">
            <v>0</v>
          </cell>
          <cell r="AL215">
            <v>0</v>
          </cell>
          <cell r="AM215">
            <v>0</v>
          </cell>
          <cell r="AN215">
            <v>0</v>
          </cell>
        </row>
        <row r="216">
          <cell r="A216" t="str">
            <v>Administration</v>
          </cell>
          <cell r="C216">
            <v>0</v>
          </cell>
          <cell r="D216">
            <v>0</v>
          </cell>
          <cell r="E216">
            <v>0</v>
          </cell>
          <cell r="F216">
            <v>0</v>
          </cell>
          <cell r="G216">
            <v>0</v>
          </cell>
          <cell r="H216">
            <v>0</v>
          </cell>
          <cell r="I216">
            <v>0</v>
          </cell>
          <cell r="J216">
            <v>0</v>
          </cell>
          <cell r="K216">
            <v>0</v>
          </cell>
          <cell r="L216">
            <v>0</v>
          </cell>
          <cell r="M216">
            <v>0</v>
          </cell>
          <cell r="N216">
            <v>0</v>
          </cell>
          <cell r="O216">
            <v>0</v>
          </cell>
          <cell r="Q216">
            <v>0</v>
          </cell>
          <cell r="S216">
            <v>0</v>
          </cell>
          <cell r="U216" t="str">
            <v>Administration</v>
          </cell>
          <cell r="V216">
            <v>0</v>
          </cell>
          <cell r="W216">
            <v>0</v>
          </cell>
          <cell r="X216">
            <v>0</v>
          </cell>
          <cell r="Y216">
            <v>0</v>
          </cell>
          <cell r="Z216">
            <v>0</v>
          </cell>
          <cell r="AA216">
            <v>0</v>
          </cell>
          <cell r="AB216">
            <v>0</v>
          </cell>
          <cell r="AC216">
            <v>0</v>
          </cell>
          <cell r="AD216">
            <v>0</v>
          </cell>
          <cell r="AE216">
            <v>0</v>
          </cell>
          <cell r="AF216">
            <v>0</v>
          </cell>
          <cell r="AG216">
            <v>0</v>
          </cell>
          <cell r="AI216" t="str">
            <v>Administration</v>
          </cell>
          <cell r="AJ216">
            <v>0</v>
          </cell>
          <cell r="AK216">
            <v>0</v>
          </cell>
          <cell r="AL216">
            <v>0</v>
          </cell>
          <cell r="AM216">
            <v>0</v>
          </cell>
          <cell r="AN216">
            <v>0</v>
          </cell>
        </row>
        <row r="217">
          <cell r="A217" t="str">
            <v>Technology</v>
          </cell>
          <cell r="C217">
            <v>0</v>
          </cell>
          <cell r="D217">
            <v>0</v>
          </cell>
          <cell r="E217">
            <v>0</v>
          </cell>
          <cell r="F217">
            <v>0</v>
          </cell>
          <cell r="G217">
            <v>0</v>
          </cell>
          <cell r="H217">
            <v>0</v>
          </cell>
          <cell r="I217">
            <v>0</v>
          </cell>
          <cell r="J217">
            <v>0</v>
          </cell>
          <cell r="K217">
            <v>0</v>
          </cell>
          <cell r="L217">
            <v>0</v>
          </cell>
          <cell r="M217">
            <v>0</v>
          </cell>
          <cell r="N217">
            <v>0</v>
          </cell>
          <cell r="O217">
            <v>0</v>
          </cell>
          <cell r="Q217">
            <v>0</v>
          </cell>
          <cell r="S217">
            <v>0</v>
          </cell>
          <cell r="U217" t="str">
            <v>Technology</v>
          </cell>
          <cell r="V217">
            <v>0</v>
          </cell>
          <cell r="W217">
            <v>0</v>
          </cell>
          <cell r="X217">
            <v>0</v>
          </cell>
          <cell r="Y217">
            <v>0</v>
          </cell>
          <cell r="Z217">
            <v>0</v>
          </cell>
          <cell r="AA217">
            <v>0</v>
          </cell>
          <cell r="AB217">
            <v>0</v>
          </cell>
          <cell r="AC217">
            <v>0</v>
          </cell>
          <cell r="AD217">
            <v>0</v>
          </cell>
          <cell r="AE217">
            <v>0</v>
          </cell>
          <cell r="AF217">
            <v>0</v>
          </cell>
          <cell r="AG217">
            <v>0</v>
          </cell>
          <cell r="AI217" t="str">
            <v>Technology</v>
          </cell>
          <cell r="AJ217">
            <v>0</v>
          </cell>
          <cell r="AK217">
            <v>0</v>
          </cell>
          <cell r="AL217">
            <v>0</v>
          </cell>
          <cell r="AM217">
            <v>0</v>
          </cell>
          <cell r="AN217">
            <v>0</v>
          </cell>
          <cell r="AP217">
            <v>0</v>
          </cell>
          <cell r="AR217">
            <v>0</v>
          </cell>
        </row>
        <row r="218">
          <cell r="A218" t="str">
            <v>Total Foundation MAT</v>
          </cell>
          <cell r="C218">
            <v>0</v>
          </cell>
          <cell r="D218">
            <v>0</v>
          </cell>
          <cell r="E218">
            <v>0</v>
          </cell>
          <cell r="F218">
            <v>0</v>
          </cell>
          <cell r="G218">
            <v>0</v>
          </cell>
          <cell r="H218">
            <v>0</v>
          </cell>
          <cell r="I218">
            <v>0</v>
          </cell>
          <cell r="J218">
            <v>0</v>
          </cell>
          <cell r="K218">
            <v>0</v>
          </cell>
          <cell r="L218">
            <v>0</v>
          </cell>
          <cell r="M218">
            <v>0</v>
          </cell>
          <cell r="N218">
            <v>0</v>
          </cell>
          <cell r="O218">
            <v>0</v>
          </cell>
          <cell r="Q218">
            <v>0</v>
          </cell>
          <cell r="S218">
            <v>0</v>
          </cell>
          <cell r="U218" t="str">
            <v>Total Foundation MAT</v>
          </cell>
          <cell r="V218">
            <v>0</v>
          </cell>
          <cell r="W218">
            <v>0</v>
          </cell>
          <cell r="X218">
            <v>0</v>
          </cell>
          <cell r="Y218">
            <v>0</v>
          </cell>
          <cell r="Z218">
            <v>0</v>
          </cell>
          <cell r="AA218">
            <v>0</v>
          </cell>
          <cell r="AB218">
            <v>0</v>
          </cell>
          <cell r="AC218">
            <v>0</v>
          </cell>
          <cell r="AD218">
            <v>0</v>
          </cell>
          <cell r="AE218">
            <v>0</v>
          </cell>
          <cell r="AF218">
            <v>0</v>
          </cell>
          <cell r="AG218">
            <v>0</v>
          </cell>
          <cell r="AI218" t="str">
            <v>Total Foundation MAT</v>
          </cell>
          <cell r="AJ218">
            <v>0</v>
          </cell>
          <cell r="AK218">
            <v>0</v>
          </cell>
          <cell r="AL218">
            <v>0</v>
          </cell>
          <cell r="AM218">
            <v>0</v>
          </cell>
          <cell r="AN218">
            <v>0</v>
          </cell>
          <cell r="AP218">
            <v>0</v>
          </cell>
          <cell r="AR218">
            <v>0</v>
          </cell>
        </row>
        <row r="220">
          <cell r="A220" t="str">
            <v>Amort of Intangible  Assets</v>
          </cell>
          <cell r="C220">
            <v>0</v>
          </cell>
          <cell r="D220">
            <v>0</v>
          </cell>
          <cell r="E220">
            <v>0</v>
          </cell>
          <cell r="F220">
            <v>0</v>
          </cell>
          <cell r="G220">
            <v>0</v>
          </cell>
          <cell r="H220">
            <v>0</v>
          </cell>
          <cell r="I220">
            <v>0</v>
          </cell>
          <cell r="J220">
            <v>0</v>
          </cell>
          <cell r="K220">
            <v>0</v>
          </cell>
          <cell r="L220">
            <v>0</v>
          </cell>
          <cell r="M220">
            <v>0</v>
          </cell>
          <cell r="N220">
            <v>0</v>
          </cell>
          <cell r="O220">
            <v>0</v>
          </cell>
          <cell r="Q220">
            <v>0</v>
          </cell>
          <cell r="S220">
            <v>0</v>
          </cell>
          <cell r="U220" t="str">
            <v>Amort of Intangible  Assets</v>
          </cell>
          <cell r="V220">
            <v>0</v>
          </cell>
          <cell r="W220">
            <v>0</v>
          </cell>
          <cell r="X220">
            <v>0</v>
          </cell>
          <cell r="Y220">
            <v>0</v>
          </cell>
          <cell r="Z220">
            <v>0</v>
          </cell>
          <cell r="AA220">
            <v>0</v>
          </cell>
          <cell r="AB220">
            <v>0</v>
          </cell>
          <cell r="AC220">
            <v>0</v>
          </cell>
          <cell r="AD220">
            <v>0</v>
          </cell>
          <cell r="AE220">
            <v>0</v>
          </cell>
          <cell r="AF220">
            <v>0</v>
          </cell>
          <cell r="AG220">
            <v>0</v>
          </cell>
          <cell r="AI220" t="str">
            <v>Amort of Intangible  Assets</v>
          </cell>
          <cell r="AJ220">
            <v>0</v>
          </cell>
          <cell r="AK220">
            <v>0</v>
          </cell>
          <cell r="AL220">
            <v>0</v>
          </cell>
          <cell r="AM220">
            <v>0</v>
          </cell>
          <cell r="AN220">
            <v>0</v>
          </cell>
        </row>
        <row r="222">
          <cell r="A222" t="str">
            <v>Interest Expense</v>
          </cell>
          <cell r="C222">
            <v>0</v>
          </cell>
          <cell r="D222">
            <v>0</v>
          </cell>
          <cell r="E222">
            <v>0</v>
          </cell>
          <cell r="F222">
            <v>0</v>
          </cell>
          <cell r="G222">
            <v>0</v>
          </cell>
          <cell r="H222">
            <v>0</v>
          </cell>
          <cell r="I222">
            <v>0</v>
          </cell>
          <cell r="J222">
            <v>0</v>
          </cell>
          <cell r="K222">
            <v>0</v>
          </cell>
          <cell r="L222">
            <v>0</v>
          </cell>
          <cell r="M222">
            <v>0</v>
          </cell>
          <cell r="N222">
            <v>0</v>
          </cell>
          <cell r="O222">
            <v>0</v>
          </cell>
          <cell r="Q222">
            <v>0</v>
          </cell>
          <cell r="S222">
            <v>0</v>
          </cell>
          <cell r="U222" t="str">
            <v>Interest Expense</v>
          </cell>
          <cell r="V222">
            <v>0</v>
          </cell>
          <cell r="W222">
            <v>0</v>
          </cell>
          <cell r="X222">
            <v>0</v>
          </cell>
          <cell r="Y222">
            <v>0</v>
          </cell>
          <cell r="Z222">
            <v>0</v>
          </cell>
          <cell r="AA222">
            <v>0</v>
          </cell>
          <cell r="AB222">
            <v>0</v>
          </cell>
          <cell r="AC222">
            <v>0</v>
          </cell>
          <cell r="AD222">
            <v>0</v>
          </cell>
          <cell r="AE222">
            <v>0</v>
          </cell>
          <cell r="AF222">
            <v>0</v>
          </cell>
          <cell r="AG222">
            <v>0</v>
          </cell>
          <cell r="AI222" t="str">
            <v>Interest Expense</v>
          </cell>
          <cell r="AJ222">
            <v>0</v>
          </cell>
          <cell r="AK222">
            <v>0</v>
          </cell>
          <cell r="AL222">
            <v>0</v>
          </cell>
          <cell r="AM222">
            <v>0</v>
          </cell>
          <cell r="AN222">
            <v>0</v>
          </cell>
        </row>
        <row r="223">
          <cell r="A223" t="str">
            <v>Interest Income</v>
          </cell>
          <cell r="C223">
            <v>0</v>
          </cell>
          <cell r="D223">
            <v>0</v>
          </cell>
          <cell r="E223">
            <v>0</v>
          </cell>
          <cell r="F223">
            <v>0</v>
          </cell>
          <cell r="G223">
            <v>0</v>
          </cell>
          <cell r="H223">
            <v>0</v>
          </cell>
          <cell r="I223">
            <v>0</v>
          </cell>
          <cell r="J223">
            <v>0</v>
          </cell>
          <cell r="K223">
            <v>0</v>
          </cell>
          <cell r="L223">
            <v>0</v>
          </cell>
          <cell r="M223">
            <v>0</v>
          </cell>
          <cell r="N223">
            <v>0</v>
          </cell>
          <cell r="O223">
            <v>0</v>
          </cell>
          <cell r="Q223">
            <v>0</v>
          </cell>
          <cell r="S223">
            <v>0</v>
          </cell>
          <cell r="U223" t="str">
            <v>Interest Income</v>
          </cell>
          <cell r="V223">
            <v>0</v>
          </cell>
          <cell r="W223">
            <v>0</v>
          </cell>
          <cell r="X223">
            <v>0</v>
          </cell>
          <cell r="Y223">
            <v>0</v>
          </cell>
          <cell r="Z223">
            <v>0</v>
          </cell>
          <cell r="AA223">
            <v>0</v>
          </cell>
          <cell r="AB223">
            <v>0</v>
          </cell>
          <cell r="AC223">
            <v>0</v>
          </cell>
          <cell r="AD223">
            <v>0</v>
          </cell>
          <cell r="AE223">
            <v>0</v>
          </cell>
          <cell r="AF223">
            <v>0</v>
          </cell>
          <cell r="AG223">
            <v>0</v>
          </cell>
          <cell r="AI223" t="str">
            <v>Interest Income</v>
          </cell>
          <cell r="AJ223">
            <v>0</v>
          </cell>
          <cell r="AK223">
            <v>0</v>
          </cell>
          <cell r="AL223">
            <v>0</v>
          </cell>
          <cell r="AM223">
            <v>0</v>
          </cell>
          <cell r="AN223">
            <v>0</v>
          </cell>
        </row>
        <row r="224">
          <cell r="A224" t="str">
            <v>Other Income/Exp.</v>
          </cell>
          <cell r="C224">
            <v>0</v>
          </cell>
          <cell r="D224">
            <v>0</v>
          </cell>
          <cell r="E224">
            <v>0</v>
          </cell>
          <cell r="F224">
            <v>0</v>
          </cell>
          <cell r="G224">
            <v>0</v>
          </cell>
          <cell r="H224">
            <v>0</v>
          </cell>
          <cell r="I224">
            <v>0</v>
          </cell>
          <cell r="J224">
            <v>0</v>
          </cell>
          <cell r="K224">
            <v>0</v>
          </cell>
          <cell r="L224">
            <v>0</v>
          </cell>
          <cell r="M224">
            <v>0</v>
          </cell>
          <cell r="N224">
            <v>0</v>
          </cell>
          <cell r="O224">
            <v>0</v>
          </cell>
          <cell r="Q224">
            <v>0</v>
          </cell>
          <cell r="S224">
            <v>0</v>
          </cell>
          <cell r="U224" t="str">
            <v>Other Income/Exp.</v>
          </cell>
          <cell r="V224">
            <v>0</v>
          </cell>
          <cell r="W224">
            <v>0</v>
          </cell>
          <cell r="X224">
            <v>0</v>
          </cell>
          <cell r="Y224">
            <v>0</v>
          </cell>
          <cell r="Z224">
            <v>0</v>
          </cell>
          <cell r="AA224">
            <v>0</v>
          </cell>
          <cell r="AB224">
            <v>0</v>
          </cell>
          <cell r="AC224">
            <v>0</v>
          </cell>
          <cell r="AD224">
            <v>0</v>
          </cell>
          <cell r="AE224">
            <v>0</v>
          </cell>
          <cell r="AF224">
            <v>0</v>
          </cell>
          <cell r="AG224">
            <v>0</v>
          </cell>
          <cell r="AI224" t="str">
            <v>Other Income/Exp.</v>
          </cell>
          <cell r="AJ224">
            <v>0</v>
          </cell>
          <cell r="AK224">
            <v>0</v>
          </cell>
          <cell r="AL224">
            <v>0</v>
          </cell>
          <cell r="AM224">
            <v>0</v>
          </cell>
          <cell r="AN224">
            <v>0</v>
          </cell>
        </row>
        <row r="226">
          <cell r="A226" t="str">
            <v>Income Before Tax</v>
          </cell>
          <cell r="C226">
            <v>-2.776996800065799</v>
          </cell>
          <cell r="D226">
            <v>-10.396294037062329</v>
          </cell>
          <cell r="E226">
            <v>241.73879810143939</v>
          </cell>
          <cell r="F226">
            <v>64.913074373941583</v>
          </cell>
          <cell r="G226">
            <v>246.04080242058865</v>
          </cell>
          <cell r="H226">
            <v>59.816107706089198</v>
          </cell>
          <cell r="I226">
            <v>-11.219926320252892</v>
          </cell>
          <cell r="J226">
            <v>2.8053112630157884</v>
          </cell>
          <cell r="K226">
            <v>0.49767041863348283</v>
          </cell>
          <cell r="L226">
            <v>1.8737246591577676</v>
          </cell>
          <cell r="M226">
            <v>14.480929236337802</v>
          </cell>
          <cell r="N226">
            <v>-10.887374894459141</v>
          </cell>
          <cell r="O226">
            <v>596.88582612736332</v>
          </cell>
          <cell r="Q226">
            <v>596.88582612736332</v>
          </cell>
          <cell r="S226">
            <v>596.88582612736332</v>
          </cell>
          <cell r="U226" t="str">
            <v>Income Before Tax</v>
          </cell>
          <cell r="V226">
            <v>-2.776996800065799</v>
          </cell>
          <cell r="W226">
            <v>-13.17329083712813</v>
          </cell>
          <cell r="X226">
            <v>228.56550726431124</v>
          </cell>
          <cell r="Y226">
            <v>293.47858163825282</v>
          </cell>
          <cell r="Z226">
            <v>539.51938405884141</v>
          </cell>
          <cell r="AA226">
            <v>599.33549176493057</v>
          </cell>
          <cell r="AB226">
            <v>588.11556544467771</v>
          </cell>
          <cell r="AC226">
            <v>590.92087670769342</v>
          </cell>
          <cell r="AD226">
            <v>591.41854712632698</v>
          </cell>
          <cell r="AE226">
            <v>593.29227178548479</v>
          </cell>
          <cell r="AF226">
            <v>607.77320102182239</v>
          </cell>
          <cell r="AG226">
            <v>596.88582612736332</v>
          </cell>
          <cell r="AI226" t="str">
            <v>Income Before Tax</v>
          </cell>
          <cell r="AJ226">
            <v>228.56550726431124</v>
          </cell>
          <cell r="AK226">
            <v>370.76998450061944</v>
          </cell>
          <cell r="AL226">
            <v>-7.9169446386036242</v>
          </cell>
          <cell r="AM226">
            <v>5.4672790010364309</v>
          </cell>
          <cell r="AN226">
            <v>596.88582612736343</v>
          </cell>
          <cell r="AP226">
            <v>0</v>
          </cell>
          <cell r="AR226">
            <v>0</v>
          </cell>
        </row>
        <row r="227">
          <cell r="A227" t="str">
            <v>Privision for Taxes</v>
          </cell>
          <cell r="C227">
            <v>-0.86086900802039767</v>
          </cell>
          <cell r="D227">
            <v>-3.2228511514893219</v>
          </cell>
          <cell r="E227">
            <v>74.93902741144619</v>
          </cell>
          <cell r="F227">
            <v>20.12305305592189</v>
          </cell>
          <cell r="G227">
            <v>76.272648750382487</v>
          </cell>
          <cell r="H227">
            <v>18.542993388887652</v>
          </cell>
          <cell r="I227">
            <v>-3.4781771592783972</v>
          </cell>
          <cell r="J227">
            <v>0.86964649153489437</v>
          </cell>
          <cell r="K227">
            <v>0.15427782977637969</v>
          </cell>
          <cell r="L227">
            <v>0.58085464433890799</v>
          </cell>
          <cell r="M227">
            <v>4.4890880632647185</v>
          </cell>
          <cell r="N227">
            <v>-3.3750862172823335</v>
          </cell>
          <cell r="O227">
            <v>185.03460609948266</v>
          </cell>
          <cell r="Q227">
            <v>185.03460609948266</v>
          </cell>
          <cell r="S227">
            <v>185.03460609948266</v>
          </cell>
          <cell r="U227" t="str">
            <v>Privision for Taxes</v>
          </cell>
          <cell r="V227">
            <v>-0.86086900802039767</v>
          </cell>
          <cell r="W227">
            <v>-4.0837201595097197</v>
          </cell>
          <cell r="X227">
            <v>70.855307251936466</v>
          </cell>
          <cell r="Y227">
            <v>90.978360307858352</v>
          </cell>
          <cell r="Z227">
            <v>167.25100905824084</v>
          </cell>
          <cell r="AA227">
            <v>185.79400244712849</v>
          </cell>
          <cell r="AB227">
            <v>182.31582528785009</v>
          </cell>
          <cell r="AC227">
            <v>183.18547177938498</v>
          </cell>
          <cell r="AD227">
            <v>183.33974960916137</v>
          </cell>
          <cell r="AE227">
            <v>183.92060425350027</v>
          </cell>
          <cell r="AF227">
            <v>188.40969231676499</v>
          </cell>
          <cell r="AG227">
            <v>185.03460609948266</v>
          </cell>
          <cell r="AI227" t="str">
            <v>Privision for Taxes</v>
          </cell>
          <cell r="AJ227">
            <v>70.855307251936466</v>
          </cell>
          <cell r="AK227">
            <v>114.93869519519203</v>
          </cell>
          <cell r="AL227">
            <v>-2.4542528379671231</v>
          </cell>
          <cell r="AM227">
            <v>1.694856490321293</v>
          </cell>
          <cell r="AN227">
            <v>185.03460609948266</v>
          </cell>
        </row>
        <row r="228">
          <cell r="A228" t="str">
            <v>Tax rate %</v>
          </cell>
          <cell r="C228">
            <v>0.31</v>
          </cell>
          <cell r="D228">
            <v>0.31</v>
          </cell>
          <cell r="E228">
            <v>0.30999999999999994</v>
          </cell>
          <cell r="F228">
            <v>0.31</v>
          </cell>
          <cell r="G228">
            <v>0.31</v>
          </cell>
          <cell r="H228">
            <v>0.31</v>
          </cell>
          <cell r="I228">
            <v>0.31000000000000005</v>
          </cell>
          <cell r="J228">
            <v>0.31</v>
          </cell>
          <cell r="K228">
            <v>0.31</v>
          </cell>
          <cell r="L228">
            <v>0.31</v>
          </cell>
          <cell r="M228">
            <v>0.31</v>
          </cell>
          <cell r="N228">
            <v>0.31</v>
          </cell>
          <cell r="O228">
            <v>0.31000000000000005</v>
          </cell>
          <cell r="Q228">
            <v>0.31000000000000005</v>
          </cell>
          <cell r="S228">
            <v>0.31000000000000005</v>
          </cell>
          <cell r="U228" t="str">
            <v>Tax rate %</v>
          </cell>
          <cell r="V228">
            <v>0.31</v>
          </cell>
          <cell r="W228">
            <v>0.30999999999999994</v>
          </cell>
          <cell r="X228">
            <v>0.30999999999999994</v>
          </cell>
          <cell r="Y228">
            <v>0.30999999999999994</v>
          </cell>
          <cell r="Z228">
            <v>0.31</v>
          </cell>
          <cell r="AA228">
            <v>0.31000000000000005</v>
          </cell>
          <cell r="AB228">
            <v>0.31</v>
          </cell>
          <cell r="AC228">
            <v>0.31000000000000005</v>
          </cell>
          <cell r="AD228">
            <v>0.31</v>
          </cell>
          <cell r="AE228">
            <v>0.31</v>
          </cell>
          <cell r="AF228">
            <v>0.31000000000000005</v>
          </cell>
          <cell r="AG228">
            <v>0.31000000000000005</v>
          </cell>
          <cell r="AI228" t="str">
            <v>Tax rate %</v>
          </cell>
          <cell r="AJ228">
            <v>0.30999999999999994</v>
          </cell>
          <cell r="AK228">
            <v>0.31</v>
          </cell>
          <cell r="AL228">
            <v>0.30999999999999994</v>
          </cell>
          <cell r="AM228">
            <v>0.30999999999999989</v>
          </cell>
          <cell r="AN228">
            <v>0.31</v>
          </cell>
          <cell r="AP228">
            <v>0</v>
          </cell>
          <cell r="AR228">
            <v>0</v>
          </cell>
        </row>
        <row r="230">
          <cell r="A230" t="str">
            <v>Net Income</v>
          </cell>
          <cell r="C230">
            <v>-1.9161277920454012</v>
          </cell>
          <cell r="D230">
            <v>-7.1734428855730075</v>
          </cell>
          <cell r="E230">
            <v>166.79977068999318</v>
          </cell>
          <cell r="F230">
            <v>44.790021318019697</v>
          </cell>
          <cell r="G230">
            <v>169.76815367020617</v>
          </cell>
          <cell r="H230">
            <v>41.273114317201546</v>
          </cell>
          <cell r="I230">
            <v>-7.7417491609744946</v>
          </cell>
          <cell r="J230">
            <v>1.9356647714808939</v>
          </cell>
          <cell r="K230">
            <v>0.34339258885710311</v>
          </cell>
          <cell r="L230">
            <v>1.2928700148188597</v>
          </cell>
          <cell r="M230">
            <v>9.9918411730730838</v>
          </cell>
          <cell r="N230">
            <v>-7.5122886771768069</v>
          </cell>
          <cell r="O230">
            <v>411.85122002788069</v>
          </cell>
          <cell r="Q230">
            <v>411.85122002788069</v>
          </cell>
          <cell r="S230">
            <v>411.85122002788069</v>
          </cell>
          <cell r="U230" t="str">
            <v>Net Income</v>
          </cell>
          <cell r="V230">
            <v>-1.9161277920454012</v>
          </cell>
          <cell r="W230">
            <v>-9.0895706776184113</v>
          </cell>
          <cell r="X230">
            <v>157.71020001237477</v>
          </cell>
          <cell r="Y230">
            <v>202.50022133039448</v>
          </cell>
          <cell r="Z230">
            <v>372.2683750006006</v>
          </cell>
          <cell r="AA230">
            <v>413.54148931780207</v>
          </cell>
          <cell r="AB230">
            <v>405.79974015682762</v>
          </cell>
          <cell r="AC230">
            <v>407.73540492830841</v>
          </cell>
          <cell r="AD230">
            <v>408.07879751716564</v>
          </cell>
          <cell r="AE230">
            <v>409.37166753198449</v>
          </cell>
          <cell r="AF230">
            <v>419.36350870505737</v>
          </cell>
          <cell r="AG230">
            <v>411.85122002788069</v>
          </cell>
          <cell r="AI230" t="str">
            <v>Net Income</v>
          </cell>
          <cell r="AJ230">
            <v>157.71020001237477</v>
          </cell>
          <cell r="AK230">
            <v>255.83128930542742</v>
          </cell>
          <cell r="AL230">
            <v>-5.4626918006365006</v>
          </cell>
          <cell r="AM230">
            <v>3.7724225107151379</v>
          </cell>
          <cell r="AN230">
            <v>411.8512200278808</v>
          </cell>
          <cell r="AP230">
            <v>0</v>
          </cell>
          <cell r="AR230">
            <v>0</v>
          </cell>
        </row>
        <row r="231">
          <cell r="A231" t="str">
            <v>% Sales</v>
          </cell>
          <cell r="C231">
            <v>-0.16398669888974357</v>
          </cell>
          <cell r="D231">
            <v>-1.8475578451591321</v>
          </cell>
          <cell r="E231">
            <v>0.43094968133385447</v>
          </cell>
          <cell r="F231">
            <v>0.38060019751174007</v>
          </cell>
          <cell r="G231">
            <v>0.4391672889497647</v>
          </cell>
          <cell r="H231">
            <v>0.36110025028707698</v>
          </cell>
          <cell r="I231">
            <v>-1.0188638917880126</v>
          </cell>
          <cell r="J231">
            <v>0.10253457729515088</v>
          </cell>
          <cell r="K231">
            <v>1.5221355261851175E-2</v>
          </cell>
          <cell r="L231">
            <v>6.9054900969867578E-2</v>
          </cell>
          <cell r="M231">
            <v>0.26794383352980494</v>
          </cell>
          <cell r="N231">
            <v>0</v>
          </cell>
          <cell r="O231">
            <v>0.36569414324599625</v>
          </cell>
          <cell r="Q231">
            <v>0.36569414324599625</v>
          </cell>
          <cell r="S231">
            <v>0.36569414324599625</v>
          </cell>
          <cell r="U231" t="str">
            <v>% Sales</v>
          </cell>
          <cell r="V231">
            <v>-0.16398669888974357</v>
          </cell>
          <cell r="W231">
            <v>-0.58388811275907826</v>
          </cell>
          <cell r="X231">
            <v>0.39171083977504723</v>
          </cell>
          <cell r="Y231">
            <v>0.38919781761366362</v>
          </cell>
          <cell r="Z231">
            <v>0.41049813322936263</v>
          </cell>
          <cell r="AA231">
            <v>0.4049690825804324</v>
          </cell>
          <cell r="AB231">
            <v>0.39445272919160967</v>
          </cell>
          <cell r="AC231">
            <v>0.38919247283756536</v>
          </cell>
          <cell r="AD231">
            <v>0.38130915815124677</v>
          </cell>
          <cell r="AE231">
            <v>0.37594044751997691</v>
          </cell>
          <cell r="AF231">
            <v>0.37236451312235774</v>
          </cell>
          <cell r="AG231">
            <v>0.36569414324599625</v>
          </cell>
          <cell r="AI231" t="str">
            <v>% Sales</v>
          </cell>
          <cell r="AJ231">
            <v>0.39171083977504723</v>
          </cell>
          <cell r="AK231">
            <v>0.41359898663444949</v>
          </cell>
          <cell r="AL231">
            <v>-0.11140052045654389</v>
          </cell>
          <cell r="AM231">
            <v>6.7348867233487986E-2</v>
          </cell>
          <cell r="AN231">
            <v>0.36569414324599631</v>
          </cell>
          <cell r="AP231">
            <v>0</v>
          </cell>
          <cell r="AR231">
            <v>0</v>
          </cell>
        </row>
        <row r="237">
          <cell r="A237" t="str">
            <v>MEX Budget '02</v>
          </cell>
          <cell r="U237" t="str">
            <v>MEX Forecast YTD '00</v>
          </cell>
          <cell r="AI237" t="str">
            <v>MEX Forecast Qtr.'00</v>
          </cell>
        </row>
        <row r="238">
          <cell r="A238" t="str">
            <v>Acetanilides Others</v>
          </cell>
          <cell r="C238" t="str">
            <v>Jan</v>
          </cell>
          <cell r="D238" t="str">
            <v>Feb</v>
          </cell>
          <cell r="E238" t="str">
            <v>Mar</v>
          </cell>
          <cell r="F238" t="str">
            <v>Apr</v>
          </cell>
          <cell r="G238" t="str">
            <v>May</v>
          </cell>
          <cell r="H238" t="str">
            <v>Jun</v>
          </cell>
          <cell r="I238" t="str">
            <v>Jul</v>
          </cell>
          <cell r="J238" t="str">
            <v>Aug</v>
          </cell>
          <cell r="K238" t="str">
            <v>Sep</v>
          </cell>
          <cell r="L238" t="str">
            <v>Oct</v>
          </cell>
          <cell r="M238" t="str">
            <v>Nov</v>
          </cell>
          <cell r="N238" t="str">
            <v>Dec</v>
          </cell>
          <cell r="O238" t="str">
            <v>Total</v>
          </cell>
          <cell r="Q238" t="str">
            <v>Changes</v>
          </cell>
          <cell r="S238" t="str">
            <v>Changes</v>
          </cell>
          <cell r="U238" t="str">
            <v>Acetanilides Others</v>
          </cell>
          <cell r="V238" t="str">
            <v>Jan</v>
          </cell>
          <cell r="W238" t="str">
            <v>Feb</v>
          </cell>
          <cell r="X238" t="str">
            <v>Mar</v>
          </cell>
          <cell r="Y238" t="str">
            <v>Apr</v>
          </cell>
          <cell r="Z238" t="str">
            <v>May</v>
          </cell>
          <cell r="AA238" t="str">
            <v>Jun</v>
          </cell>
          <cell r="AB238" t="str">
            <v>Jul</v>
          </cell>
          <cell r="AC238" t="str">
            <v>Aug</v>
          </cell>
          <cell r="AD238" t="str">
            <v>Sep</v>
          </cell>
          <cell r="AE238" t="str">
            <v>Oct</v>
          </cell>
          <cell r="AF238" t="str">
            <v>Nov</v>
          </cell>
          <cell r="AG238" t="str">
            <v>Dec</v>
          </cell>
          <cell r="AI238" t="str">
            <v>Acetanilides Others</v>
          </cell>
          <cell r="AJ238" t="str">
            <v>1st Qtr.</v>
          </cell>
          <cell r="AK238" t="str">
            <v>2nd Qtr.</v>
          </cell>
          <cell r="AL238" t="str">
            <v>3er Qtr.</v>
          </cell>
          <cell r="AM238" t="str">
            <v>4 Qtr.</v>
          </cell>
          <cell r="AN238" t="str">
            <v>Total</v>
          </cell>
          <cell r="AP238">
            <v>2003</v>
          </cell>
          <cell r="AQ238">
            <v>0</v>
          </cell>
          <cell r="AR238">
            <v>2004</v>
          </cell>
        </row>
        <row r="240">
          <cell r="A240" t="str">
            <v>Lazo Volume (K Galls)</v>
          </cell>
          <cell r="B240">
            <v>1</v>
          </cell>
          <cell r="C240">
            <v>0</v>
          </cell>
          <cell r="D240">
            <v>0</v>
          </cell>
          <cell r="E240">
            <v>0</v>
          </cell>
          <cell r="F240">
            <v>0</v>
          </cell>
          <cell r="G240">
            <v>0.5</v>
          </cell>
          <cell r="H240">
            <v>3</v>
          </cell>
          <cell r="I240">
            <v>1.5</v>
          </cell>
          <cell r="J240">
            <v>0</v>
          </cell>
          <cell r="K240">
            <v>0</v>
          </cell>
          <cell r="L240">
            <v>0</v>
          </cell>
          <cell r="M240">
            <v>0</v>
          </cell>
          <cell r="N240">
            <v>0</v>
          </cell>
          <cell r="O240">
            <v>5</v>
          </cell>
          <cell r="Q240">
            <v>5</v>
          </cell>
          <cell r="S240">
            <v>5</v>
          </cell>
          <cell r="U240" t="str">
            <v>Lazo Volume (K Galls)</v>
          </cell>
          <cell r="V240">
            <v>0</v>
          </cell>
          <cell r="W240">
            <v>0</v>
          </cell>
          <cell r="X240">
            <v>0</v>
          </cell>
          <cell r="Y240">
            <v>0</v>
          </cell>
          <cell r="Z240">
            <v>0.5</v>
          </cell>
          <cell r="AA240">
            <v>3.5</v>
          </cell>
          <cell r="AB240">
            <v>5</v>
          </cell>
          <cell r="AC240">
            <v>5</v>
          </cell>
          <cell r="AD240">
            <v>5</v>
          </cell>
          <cell r="AE240">
            <v>5</v>
          </cell>
          <cell r="AF240">
            <v>5</v>
          </cell>
          <cell r="AG240">
            <v>5</v>
          </cell>
          <cell r="AI240" t="str">
            <v>Lazo Volume (K Galls)</v>
          </cell>
          <cell r="AJ240">
            <v>0</v>
          </cell>
          <cell r="AK240">
            <v>3.5</v>
          </cell>
          <cell r="AL240">
            <v>1.5</v>
          </cell>
          <cell r="AM240">
            <v>0</v>
          </cell>
          <cell r="AN240">
            <v>5</v>
          </cell>
        </row>
        <row r="241">
          <cell r="A241" t="str">
            <v>Lazo Netback (K Galls)</v>
          </cell>
          <cell r="C241">
            <v>0</v>
          </cell>
          <cell r="D241">
            <v>0</v>
          </cell>
          <cell r="E241">
            <v>0</v>
          </cell>
          <cell r="F241">
            <v>0</v>
          </cell>
          <cell r="G241">
            <v>14.896787564766838</v>
          </cell>
          <cell r="H241">
            <v>14.80473738414006</v>
          </cell>
          <cell r="I241">
            <v>14.71381780962129</v>
          </cell>
          <cell r="J241">
            <v>0</v>
          </cell>
          <cell r="K241">
            <v>0</v>
          </cell>
          <cell r="L241">
            <v>0</v>
          </cell>
          <cell r="M241">
            <v>0</v>
          </cell>
          <cell r="N241">
            <v>0</v>
          </cell>
          <cell r="O241">
            <v>14.786666529847105</v>
          </cell>
          <cell r="Q241">
            <v>14.786666529847105</v>
          </cell>
          <cell r="S241">
            <v>14.786666529847105</v>
          </cell>
          <cell r="U241" t="str">
            <v>Lazo Netback (K Galls)</v>
          </cell>
          <cell r="V241">
            <v>0</v>
          </cell>
          <cell r="W241">
            <v>0</v>
          </cell>
          <cell r="X241">
            <v>0</v>
          </cell>
          <cell r="Y241">
            <v>0</v>
          </cell>
          <cell r="Z241">
            <v>14.896787564766838</v>
          </cell>
          <cell r="AA241">
            <v>14.817887409943884</v>
          </cell>
          <cell r="AB241">
            <v>14.786666529847105</v>
          </cell>
          <cell r="AC241">
            <v>14.786666529847105</v>
          </cell>
          <cell r="AD241">
            <v>14.786666529847105</v>
          </cell>
          <cell r="AE241">
            <v>14.786666529847105</v>
          </cell>
          <cell r="AF241">
            <v>14.786666529847105</v>
          </cell>
          <cell r="AG241">
            <v>14.786666529847105</v>
          </cell>
          <cell r="AI241" t="str">
            <v>Lazo Netback (K Galls)</v>
          </cell>
          <cell r="AJ241">
            <v>0</v>
          </cell>
          <cell r="AK241">
            <v>14.817887409943884</v>
          </cell>
          <cell r="AL241">
            <v>14.71381780962129</v>
          </cell>
          <cell r="AM241">
            <v>0</v>
          </cell>
          <cell r="AN241">
            <v>14.786666529847105</v>
          </cell>
        </row>
        <row r="242">
          <cell r="A242" t="str">
            <v>Lazo Unit COGS (K Galls)</v>
          </cell>
          <cell r="C242">
            <v>0</v>
          </cell>
          <cell r="D242">
            <v>0</v>
          </cell>
          <cell r="E242">
            <v>0</v>
          </cell>
          <cell r="F242">
            <v>0</v>
          </cell>
          <cell r="G242">
            <v>6.1179100529100543</v>
          </cell>
          <cell r="H242">
            <v>6.1179100529100552</v>
          </cell>
          <cell r="I242">
            <v>6.1179100529100552</v>
          </cell>
          <cell r="J242">
            <v>0</v>
          </cell>
          <cell r="K242">
            <v>0</v>
          </cell>
          <cell r="L242">
            <v>0</v>
          </cell>
          <cell r="M242">
            <v>0</v>
          </cell>
          <cell r="N242">
            <v>0</v>
          </cell>
          <cell r="O242">
            <v>6.1179100529100552</v>
          </cell>
          <cell r="Q242">
            <v>6.1179100529100552</v>
          </cell>
          <cell r="S242">
            <v>6.1179100529100552</v>
          </cell>
          <cell r="U242" t="str">
            <v>Lazo Unit COGS (K Galls)</v>
          </cell>
          <cell r="V242">
            <v>0</v>
          </cell>
          <cell r="W242">
            <v>0</v>
          </cell>
          <cell r="X242">
            <v>0</v>
          </cell>
          <cell r="Y242">
            <v>0</v>
          </cell>
          <cell r="Z242">
            <v>6.1179100529100543</v>
          </cell>
          <cell r="AA242">
            <v>6.1179100529100552</v>
          </cell>
          <cell r="AB242">
            <v>6.1179100529100552</v>
          </cell>
          <cell r="AC242">
            <v>6.1179100529100552</v>
          </cell>
          <cell r="AD242">
            <v>6.1179100529100552</v>
          </cell>
          <cell r="AE242">
            <v>6.1179100529100552</v>
          </cell>
          <cell r="AF242">
            <v>6.1179100529100552</v>
          </cell>
          <cell r="AG242">
            <v>6.1179100529100552</v>
          </cell>
          <cell r="AI242" t="str">
            <v>Lazo Unit COGS (K Galls)</v>
          </cell>
          <cell r="AJ242">
            <v>0</v>
          </cell>
          <cell r="AK242">
            <v>6.1179100529100552</v>
          </cell>
          <cell r="AL242">
            <v>6.1179100529100552</v>
          </cell>
          <cell r="AM242">
            <v>0</v>
          </cell>
          <cell r="AN242">
            <v>6.1179100529100552</v>
          </cell>
        </row>
        <row r="243">
          <cell r="A243" t="str">
            <v>Factor de conversión</v>
          </cell>
          <cell r="B243">
            <v>4.0053583793748553</v>
          </cell>
        </row>
        <row r="244">
          <cell r="A244" t="str">
            <v>Lazo Volume (K Te Lbs)</v>
          </cell>
          <cell r="C244">
            <v>0</v>
          </cell>
          <cell r="D244">
            <v>0</v>
          </cell>
          <cell r="E244">
            <v>0</v>
          </cell>
          <cell r="F244">
            <v>0</v>
          </cell>
          <cell r="G244">
            <v>2.0026791896874276</v>
          </cell>
          <cell r="H244">
            <v>12.016075138124567</v>
          </cell>
          <cell r="I244">
            <v>6.0080375690622834</v>
          </cell>
          <cell r="J244">
            <v>0</v>
          </cell>
          <cell r="K244">
            <v>0</v>
          </cell>
          <cell r="L244">
            <v>0</v>
          </cell>
          <cell r="M244">
            <v>0</v>
          </cell>
          <cell r="N244">
            <v>0</v>
          </cell>
          <cell r="O244">
            <v>20.026791896874279</v>
          </cell>
          <cell r="Q244">
            <v>20.026791896874279</v>
          </cell>
          <cell r="S244">
            <v>20.026791896874279</v>
          </cell>
          <cell r="U244" t="str">
            <v>Lazo Volume (K Te Lbs)</v>
          </cell>
          <cell r="V244">
            <v>0</v>
          </cell>
          <cell r="W244">
            <v>0</v>
          </cell>
          <cell r="X244">
            <v>0</v>
          </cell>
          <cell r="Y244">
            <v>0</v>
          </cell>
          <cell r="Z244">
            <v>2.0026791896874276</v>
          </cell>
          <cell r="AA244">
            <v>14.018754327811994</v>
          </cell>
          <cell r="AB244">
            <v>20.026791896874279</v>
          </cell>
          <cell r="AC244">
            <v>20.026791896874279</v>
          </cell>
          <cell r="AD244">
            <v>20.026791896874279</v>
          </cell>
          <cell r="AE244">
            <v>20.026791896874279</v>
          </cell>
          <cell r="AF244">
            <v>20.026791896874279</v>
          </cell>
          <cell r="AG244">
            <v>20.026791896874279</v>
          </cell>
          <cell r="AI244" t="str">
            <v>Lazo Volume (K Te Lbs)</v>
          </cell>
          <cell r="AJ244">
            <v>0</v>
          </cell>
          <cell r="AK244">
            <v>14.018754327811994</v>
          </cell>
          <cell r="AL244">
            <v>6.0080375690622834</v>
          </cell>
          <cell r="AM244">
            <v>0</v>
          </cell>
          <cell r="AN244">
            <v>20.026791896874279</v>
          </cell>
          <cell r="AP244">
            <v>0</v>
          </cell>
          <cell r="AR244">
            <v>0</v>
          </cell>
        </row>
        <row r="245">
          <cell r="A245" t="str">
            <v>Lazo Netback (K Te Lbs)</v>
          </cell>
          <cell r="C245">
            <v>0</v>
          </cell>
          <cell r="D245">
            <v>0</v>
          </cell>
          <cell r="E245">
            <v>0</v>
          </cell>
          <cell r="F245">
            <v>0</v>
          </cell>
          <cell r="G245">
            <v>3.7192146504233374</v>
          </cell>
          <cell r="H245">
            <v>3.6962328915123797</v>
          </cell>
          <cell r="I245">
            <v>3.6735334059964391</v>
          </cell>
          <cell r="J245">
            <v>0</v>
          </cell>
          <cell r="K245">
            <v>0</v>
          </cell>
          <cell r="L245">
            <v>0</v>
          </cell>
          <cell r="M245">
            <v>0</v>
          </cell>
          <cell r="N245">
            <v>0</v>
          </cell>
          <cell r="O245">
            <v>3.691721221748693</v>
          </cell>
          <cell r="Q245">
            <v>3.691721221748693</v>
          </cell>
          <cell r="S245">
            <v>3.691721221748693</v>
          </cell>
          <cell r="U245" t="str">
            <v>Lazo Netback (K Te Lbs)</v>
          </cell>
          <cell r="V245">
            <v>0</v>
          </cell>
          <cell r="W245">
            <v>0</v>
          </cell>
          <cell r="X245">
            <v>0</v>
          </cell>
          <cell r="Y245">
            <v>0</v>
          </cell>
          <cell r="Z245">
            <v>3.7192146504233374</v>
          </cell>
          <cell r="AA245">
            <v>3.6995159999282308</v>
          </cell>
          <cell r="AB245">
            <v>3.691721221748693</v>
          </cell>
          <cell r="AC245">
            <v>3.691721221748693</v>
          </cell>
          <cell r="AD245">
            <v>3.691721221748693</v>
          </cell>
          <cell r="AE245">
            <v>3.691721221748693</v>
          </cell>
          <cell r="AF245">
            <v>3.691721221748693</v>
          </cell>
          <cell r="AG245">
            <v>3.691721221748693</v>
          </cell>
          <cell r="AI245" t="str">
            <v>Lazo Netback (K Te Lbs)</v>
          </cell>
          <cell r="AJ245">
            <v>0</v>
          </cell>
          <cell r="AK245">
            <v>3.6995159999282308</v>
          </cell>
          <cell r="AL245">
            <v>3.6735334059964391</v>
          </cell>
          <cell r="AM245">
            <v>0</v>
          </cell>
          <cell r="AN245">
            <v>3.691721221748693</v>
          </cell>
          <cell r="AP245">
            <v>0</v>
          </cell>
          <cell r="AR245">
            <v>0</v>
          </cell>
        </row>
        <row r="246">
          <cell r="A246" t="str">
            <v>Lazo Unit COGS (K Te Lbs)</v>
          </cell>
          <cell r="C246">
            <v>0</v>
          </cell>
          <cell r="D246">
            <v>0</v>
          </cell>
          <cell r="E246">
            <v>0</v>
          </cell>
          <cell r="F246">
            <v>0</v>
          </cell>
          <cell r="G246">
            <v>1.5274313740347298</v>
          </cell>
          <cell r="H246">
            <v>1.5274313740347301</v>
          </cell>
          <cell r="I246">
            <v>1.5274313740347301</v>
          </cell>
          <cell r="J246">
            <v>0</v>
          </cell>
          <cell r="K246">
            <v>0</v>
          </cell>
          <cell r="L246">
            <v>0</v>
          </cell>
          <cell r="M246">
            <v>0</v>
          </cell>
          <cell r="N246">
            <v>0</v>
          </cell>
          <cell r="O246">
            <v>1.5274313740347301</v>
          </cell>
          <cell r="Q246">
            <v>1.5274313740347301</v>
          </cell>
          <cell r="S246">
            <v>1.5274313740347301</v>
          </cell>
          <cell r="U246" t="str">
            <v>Lazo Unit COGS (K Te Lbs)</v>
          </cell>
          <cell r="V246">
            <v>0</v>
          </cell>
          <cell r="W246">
            <v>0</v>
          </cell>
          <cell r="X246">
            <v>0</v>
          </cell>
          <cell r="Y246">
            <v>0</v>
          </cell>
          <cell r="Z246">
            <v>1.5274313740347298</v>
          </cell>
          <cell r="AA246">
            <v>1.5274313740347301</v>
          </cell>
          <cell r="AB246">
            <v>1.5274313740347301</v>
          </cell>
          <cell r="AC246">
            <v>1.5274313740347301</v>
          </cell>
          <cell r="AD246">
            <v>1.5274313740347301</v>
          </cell>
          <cell r="AE246">
            <v>1.5274313740347301</v>
          </cell>
          <cell r="AF246">
            <v>1.5274313740347301</v>
          </cell>
          <cell r="AG246">
            <v>1.5274313740347301</v>
          </cell>
          <cell r="AI246" t="str">
            <v>Lazo Unit COGS (K Te Lbs)</v>
          </cell>
          <cell r="AJ246">
            <v>0</v>
          </cell>
          <cell r="AK246">
            <v>1.5274313740347301</v>
          </cell>
          <cell r="AL246">
            <v>1.5274313740347301</v>
          </cell>
          <cell r="AM246">
            <v>0</v>
          </cell>
          <cell r="AN246">
            <v>1.5274313740347301</v>
          </cell>
          <cell r="AP246">
            <v>0</v>
          </cell>
          <cell r="AR246">
            <v>0</v>
          </cell>
        </row>
        <row r="248">
          <cell r="A248" t="str">
            <v>Boxer Volume (K Galls)</v>
          </cell>
          <cell r="B248">
            <v>1</v>
          </cell>
          <cell r="C248">
            <v>0</v>
          </cell>
          <cell r="D248">
            <v>0</v>
          </cell>
          <cell r="E248">
            <v>0</v>
          </cell>
          <cell r="F248">
            <v>0</v>
          </cell>
          <cell r="G248">
            <v>0</v>
          </cell>
          <cell r="H248">
            <v>0</v>
          </cell>
          <cell r="I248">
            <v>0</v>
          </cell>
          <cell r="J248">
            <v>0</v>
          </cell>
          <cell r="K248">
            <v>0</v>
          </cell>
          <cell r="L248">
            <v>0</v>
          </cell>
          <cell r="M248">
            <v>0</v>
          </cell>
          <cell r="N248">
            <v>0</v>
          </cell>
          <cell r="O248">
            <v>0</v>
          </cell>
          <cell r="Q248">
            <v>0</v>
          </cell>
          <cell r="S248">
            <v>0</v>
          </cell>
          <cell r="U248" t="str">
            <v>Boxer Volume (K Galls)</v>
          </cell>
          <cell r="V248">
            <v>0</v>
          </cell>
          <cell r="W248">
            <v>0</v>
          </cell>
          <cell r="X248">
            <v>0</v>
          </cell>
          <cell r="Y248">
            <v>0</v>
          </cell>
          <cell r="Z248">
            <v>0</v>
          </cell>
          <cell r="AA248">
            <v>0</v>
          </cell>
          <cell r="AB248">
            <v>0</v>
          </cell>
          <cell r="AC248">
            <v>0</v>
          </cell>
          <cell r="AD248">
            <v>0</v>
          </cell>
          <cell r="AE248">
            <v>0</v>
          </cell>
          <cell r="AF248">
            <v>0</v>
          </cell>
          <cell r="AG248">
            <v>0</v>
          </cell>
          <cell r="AI248" t="str">
            <v>Boxer Volume (K Galls)</v>
          </cell>
          <cell r="AJ248">
            <v>0</v>
          </cell>
          <cell r="AK248">
            <v>0</v>
          </cell>
          <cell r="AL248">
            <v>0</v>
          </cell>
          <cell r="AM248">
            <v>0</v>
          </cell>
          <cell r="AN248">
            <v>0</v>
          </cell>
        </row>
        <row r="249">
          <cell r="A249" t="str">
            <v>Boxer Netback (K Galls)</v>
          </cell>
          <cell r="C249">
            <v>0</v>
          </cell>
          <cell r="D249">
            <v>0</v>
          </cell>
          <cell r="E249">
            <v>0</v>
          </cell>
          <cell r="F249">
            <v>0</v>
          </cell>
          <cell r="G249">
            <v>0</v>
          </cell>
          <cell r="H249">
            <v>0</v>
          </cell>
          <cell r="I249">
            <v>0</v>
          </cell>
          <cell r="J249">
            <v>0</v>
          </cell>
          <cell r="K249">
            <v>0</v>
          </cell>
          <cell r="L249">
            <v>0</v>
          </cell>
          <cell r="M249">
            <v>0</v>
          </cell>
          <cell r="N249">
            <v>0</v>
          </cell>
          <cell r="O249">
            <v>0</v>
          </cell>
          <cell r="Q249">
            <v>0</v>
          </cell>
          <cell r="S249">
            <v>0</v>
          </cell>
          <cell r="U249" t="str">
            <v>Boxer Netback (K Galls)</v>
          </cell>
          <cell r="V249">
            <v>0</v>
          </cell>
          <cell r="W249">
            <v>0</v>
          </cell>
          <cell r="X249">
            <v>0</v>
          </cell>
          <cell r="Y249">
            <v>0</v>
          </cell>
          <cell r="Z249">
            <v>0</v>
          </cell>
          <cell r="AA249">
            <v>0</v>
          </cell>
          <cell r="AB249">
            <v>0</v>
          </cell>
          <cell r="AC249">
            <v>0</v>
          </cell>
          <cell r="AD249">
            <v>0</v>
          </cell>
          <cell r="AE249">
            <v>0</v>
          </cell>
          <cell r="AF249">
            <v>0</v>
          </cell>
          <cell r="AG249">
            <v>0</v>
          </cell>
          <cell r="AI249" t="str">
            <v>Boxer Netback (K Galls)</v>
          </cell>
          <cell r="AJ249">
            <v>0</v>
          </cell>
          <cell r="AK249">
            <v>0</v>
          </cell>
          <cell r="AL249">
            <v>0</v>
          </cell>
          <cell r="AM249">
            <v>0</v>
          </cell>
          <cell r="AN249">
            <v>0</v>
          </cell>
        </row>
        <row r="250">
          <cell r="A250" t="str">
            <v>Boxer Unit COGS (K Galls)</v>
          </cell>
          <cell r="C250">
            <v>0</v>
          </cell>
          <cell r="D250">
            <v>0</v>
          </cell>
          <cell r="E250">
            <v>0</v>
          </cell>
          <cell r="F250">
            <v>0</v>
          </cell>
          <cell r="G250">
            <v>0</v>
          </cell>
          <cell r="H250">
            <v>0</v>
          </cell>
          <cell r="I250">
            <v>0</v>
          </cell>
          <cell r="J250">
            <v>0</v>
          </cell>
          <cell r="K250">
            <v>0</v>
          </cell>
          <cell r="L250">
            <v>0</v>
          </cell>
          <cell r="M250">
            <v>0</v>
          </cell>
          <cell r="N250">
            <v>0</v>
          </cell>
          <cell r="O250">
            <v>0</v>
          </cell>
          <cell r="Q250">
            <v>0</v>
          </cell>
          <cell r="S250">
            <v>0</v>
          </cell>
          <cell r="U250" t="str">
            <v>Boxer Unit COGS (K Galls)</v>
          </cell>
          <cell r="V250">
            <v>0</v>
          </cell>
          <cell r="W250">
            <v>0</v>
          </cell>
          <cell r="X250">
            <v>0</v>
          </cell>
          <cell r="Y250">
            <v>0</v>
          </cell>
          <cell r="Z250">
            <v>0</v>
          </cell>
          <cell r="AA250">
            <v>0</v>
          </cell>
          <cell r="AB250">
            <v>0</v>
          </cell>
          <cell r="AC250">
            <v>0</v>
          </cell>
          <cell r="AD250">
            <v>0</v>
          </cell>
          <cell r="AE250">
            <v>0</v>
          </cell>
          <cell r="AF250">
            <v>0</v>
          </cell>
          <cell r="AG250">
            <v>0</v>
          </cell>
          <cell r="AI250" t="str">
            <v>Boxer Unit COGS (K Galls)</v>
          </cell>
          <cell r="AJ250">
            <v>0</v>
          </cell>
          <cell r="AK250">
            <v>0</v>
          </cell>
          <cell r="AL250">
            <v>0</v>
          </cell>
          <cell r="AM250">
            <v>0</v>
          </cell>
          <cell r="AN250">
            <v>0</v>
          </cell>
        </row>
        <row r="251">
          <cell r="A251" t="str">
            <v>Factor de conversión</v>
          </cell>
          <cell r="B251">
            <v>2.5033489871092849</v>
          </cell>
        </row>
        <row r="252">
          <cell r="A252" t="str">
            <v>Boxer Volume (K Te Lbs)</v>
          </cell>
          <cell r="C252">
            <v>0</v>
          </cell>
          <cell r="D252">
            <v>0</v>
          </cell>
          <cell r="E252">
            <v>0</v>
          </cell>
          <cell r="F252">
            <v>0</v>
          </cell>
          <cell r="G252">
            <v>0</v>
          </cell>
          <cell r="H252">
            <v>0</v>
          </cell>
          <cell r="I252">
            <v>0</v>
          </cell>
          <cell r="J252">
            <v>0</v>
          </cell>
          <cell r="K252">
            <v>0</v>
          </cell>
          <cell r="L252">
            <v>0</v>
          </cell>
          <cell r="M252">
            <v>0</v>
          </cell>
          <cell r="N252">
            <v>0</v>
          </cell>
          <cell r="O252">
            <v>0</v>
          </cell>
          <cell r="Q252">
            <v>0</v>
          </cell>
          <cell r="S252">
            <v>0</v>
          </cell>
          <cell r="U252" t="str">
            <v>Boxer Volume (K Te Lbs)</v>
          </cell>
          <cell r="V252">
            <v>0</v>
          </cell>
          <cell r="W252">
            <v>0</v>
          </cell>
          <cell r="X252">
            <v>0</v>
          </cell>
          <cell r="Y252">
            <v>0</v>
          </cell>
          <cell r="Z252">
            <v>0</v>
          </cell>
          <cell r="AA252">
            <v>0</v>
          </cell>
          <cell r="AB252">
            <v>0</v>
          </cell>
          <cell r="AC252">
            <v>0</v>
          </cell>
          <cell r="AD252">
            <v>0</v>
          </cell>
          <cell r="AE252">
            <v>0</v>
          </cell>
          <cell r="AF252">
            <v>0</v>
          </cell>
          <cell r="AG252">
            <v>0</v>
          </cell>
          <cell r="AI252" t="str">
            <v>Boxer Volume (K Te Lbs)</v>
          </cell>
          <cell r="AJ252">
            <v>0</v>
          </cell>
          <cell r="AK252">
            <v>0</v>
          </cell>
          <cell r="AL252">
            <v>0</v>
          </cell>
          <cell r="AM252">
            <v>0</v>
          </cell>
          <cell r="AN252">
            <v>0</v>
          </cell>
          <cell r="AP252">
            <v>0</v>
          </cell>
          <cell r="AR252">
            <v>0</v>
          </cell>
        </row>
        <row r="253">
          <cell r="A253" t="str">
            <v>Boxer Netback (K Te Lbs)</v>
          </cell>
          <cell r="C253">
            <v>0</v>
          </cell>
          <cell r="D253">
            <v>0</v>
          </cell>
          <cell r="E253">
            <v>0</v>
          </cell>
          <cell r="F253">
            <v>0</v>
          </cell>
          <cell r="G253">
            <v>0</v>
          </cell>
          <cell r="H253">
            <v>0</v>
          </cell>
          <cell r="I253">
            <v>0</v>
          </cell>
          <cell r="J253">
            <v>0</v>
          </cell>
          <cell r="K253">
            <v>0</v>
          </cell>
          <cell r="L253">
            <v>0</v>
          </cell>
          <cell r="M253">
            <v>0</v>
          </cell>
          <cell r="N253">
            <v>0</v>
          </cell>
          <cell r="O253">
            <v>0</v>
          </cell>
          <cell r="Q253">
            <v>0</v>
          </cell>
          <cell r="S253">
            <v>0</v>
          </cell>
          <cell r="U253" t="str">
            <v>Boxer Netback (K Te Lbs)</v>
          </cell>
          <cell r="V253">
            <v>0</v>
          </cell>
          <cell r="W253">
            <v>0</v>
          </cell>
          <cell r="X253">
            <v>0</v>
          </cell>
          <cell r="Y253">
            <v>0</v>
          </cell>
          <cell r="Z253">
            <v>0</v>
          </cell>
          <cell r="AA253">
            <v>0</v>
          </cell>
          <cell r="AB253">
            <v>0</v>
          </cell>
          <cell r="AC253">
            <v>0</v>
          </cell>
          <cell r="AD253">
            <v>0</v>
          </cell>
          <cell r="AE253">
            <v>0</v>
          </cell>
          <cell r="AF253">
            <v>0</v>
          </cell>
          <cell r="AG253">
            <v>0</v>
          </cell>
          <cell r="AI253" t="str">
            <v>Boxer Netback (K Te Lbs)</v>
          </cell>
          <cell r="AJ253">
            <v>0</v>
          </cell>
          <cell r="AK253">
            <v>0</v>
          </cell>
          <cell r="AL253">
            <v>0</v>
          </cell>
          <cell r="AM253">
            <v>0</v>
          </cell>
          <cell r="AN253">
            <v>0</v>
          </cell>
          <cell r="AP253">
            <v>0</v>
          </cell>
          <cell r="AR253">
            <v>0</v>
          </cell>
        </row>
        <row r="254">
          <cell r="A254" t="str">
            <v>Boxer Unit COGS (K Te Lbs)</v>
          </cell>
          <cell r="C254">
            <v>0</v>
          </cell>
          <cell r="D254">
            <v>0</v>
          </cell>
          <cell r="E254">
            <v>0</v>
          </cell>
          <cell r="F254">
            <v>0</v>
          </cell>
          <cell r="G254">
            <v>0</v>
          </cell>
          <cell r="H254">
            <v>0</v>
          </cell>
          <cell r="I254">
            <v>0</v>
          </cell>
          <cell r="J254">
            <v>0</v>
          </cell>
          <cell r="K254">
            <v>0</v>
          </cell>
          <cell r="L254">
            <v>0</v>
          </cell>
          <cell r="M254">
            <v>0</v>
          </cell>
          <cell r="N254">
            <v>0</v>
          </cell>
          <cell r="O254">
            <v>0</v>
          </cell>
          <cell r="Q254">
            <v>0</v>
          </cell>
          <cell r="S254">
            <v>0</v>
          </cell>
          <cell r="U254" t="str">
            <v>Boxer Unit COGS (K Te Lbs)</v>
          </cell>
          <cell r="V254">
            <v>0</v>
          </cell>
          <cell r="W254">
            <v>0</v>
          </cell>
          <cell r="X254">
            <v>0</v>
          </cell>
          <cell r="Y254">
            <v>0</v>
          </cell>
          <cell r="Z254">
            <v>0</v>
          </cell>
          <cell r="AA254">
            <v>0</v>
          </cell>
          <cell r="AB254">
            <v>0</v>
          </cell>
          <cell r="AC254">
            <v>0</v>
          </cell>
          <cell r="AD254">
            <v>0</v>
          </cell>
          <cell r="AE254">
            <v>0</v>
          </cell>
          <cell r="AF254">
            <v>0</v>
          </cell>
          <cell r="AG254">
            <v>0</v>
          </cell>
          <cell r="AI254" t="str">
            <v>Boxer Unit COGS (K Te Lbs)</v>
          </cell>
          <cell r="AJ254">
            <v>0</v>
          </cell>
          <cell r="AK254">
            <v>0</v>
          </cell>
          <cell r="AL254">
            <v>0</v>
          </cell>
          <cell r="AM254">
            <v>0</v>
          </cell>
          <cell r="AN254">
            <v>0</v>
          </cell>
          <cell r="AP254">
            <v>0</v>
          </cell>
          <cell r="AR254">
            <v>0</v>
          </cell>
        </row>
        <row r="256">
          <cell r="A256" t="str">
            <v>Total Volume (K Galls)</v>
          </cell>
          <cell r="C256">
            <v>0</v>
          </cell>
          <cell r="D256">
            <v>0</v>
          </cell>
          <cell r="E256">
            <v>0</v>
          </cell>
          <cell r="F256">
            <v>0</v>
          </cell>
          <cell r="G256">
            <v>0.5</v>
          </cell>
          <cell r="H256">
            <v>3</v>
          </cell>
          <cell r="I256">
            <v>1.5</v>
          </cell>
          <cell r="J256">
            <v>0</v>
          </cell>
          <cell r="K256">
            <v>0</v>
          </cell>
          <cell r="L256">
            <v>0</v>
          </cell>
          <cell r="M256">
            <v>0</v>
          </cell>
          <cell r="N256">
            <v>0</v>
          </cell>
          <cell r="O256">
            <v>5</v>
          </cell>
          <cell r="Q256">
            <v>5</v>
          </cell>
          <cell r="S256">
            <v>5</v>
          </cell>
          <cell r="U256" t="str">
            <v>Total Volume (K Galls)</v>
          </cell>
          <cell r="V256">
            <v>0</v>
          </cell>
          <cell r="W256">
            <v>0</v>
          </cell>
          <cell r="X256">
            <v>0</v>
          </cell>
          <cell r="Y256">
            <v>0</v>
          </cell>
          <cell r="Z256">
            <v>0.5</v>
          </cell>
          <cell r="AA256">
            <v>3.5</v>
          </cell>
          <cell r="AB256">
            <v>5</v>
          </cell>
          <cell r="AC256">
            <v>5</v>
          </cell>
          <cell r="AD256">
            <v>5</v>
          </cell>
          <cell r="AE256">
            <v>5</v>
          </cell>
          <cell r="AF256">
            <v>5</v>
          </cell>
          <cell r="AG256">
            <v>5</v>
          </cell>
          <cell r="AI256" t="str">
            <v>Total Volume (K Galls)</v>
          </cell>
          <cell r="AJ256">
            <v>0</v>
          </cell>
          <cell r="AK256">
            <v>3.5</v>
          </cell>
          <cell r="AL256">
            <v>1.5</v>
          </cell>
          <cell r="AM256">
            <v>0</v>
          </cell>
          <cell r="AN256">
            <v>5</v>
          </cell>
          <cell r="AP256">
            <v>0</v>
          </cell>
          <cell r="AR256">
            <v>0</v>
          </cell>
        </row>
        <row r="257">
          <cell r="A257" t="str">
            <v>Total Netback (K Galls)</v>
          </cell>
          <cell r="C257">
            <v>0</v>
          </cell>
          <cell r="D257">
            <v>0</v>
          </cell>
          <cell r="E257">
            <v>0</v>
          </cell>
          <cell r="F257">
            <v>0</v>
          </cell>
          <cell r="G257">
            <v>14.896787564766838</v>
          </cell>
          <cell r="H257">
            <v>14.80473738414006</v>
          </cell>
          <cell r="I257">
            <v>14.71381780962129</v>
          </cell>
          <cell r="J257">
            <v>0</v>
          </cell>
          <cell r="K257">
            <v>0</v>
          </cell>
          <cell r="L257">
            <v>0</v>
          </cell>
          <cell r="M257">
            <v>0</v>
          </cell>
          <cell r="N257">
            <v>0</v>
          </cell>
          <cell r="O257">
            <v>14.786666529847105</v>
          </cell>
          <cell r="Q257">
            <v>14.786666529847105</v>
          </cell>
          <cell r="S257">
            <v>14.786666529847105</v>
          </cell>
          <cell r="U257" t="str">
            <v>Total Netback (K Galls)</v>
          </cell>
          <cell r="V257">
            <v>0</v>
          </cell>
          <cell r="W257">
            <v>0</v>
          </cell>
          <cell r="X257">
            <v>0</v>
          </cell>
          <cell r="Y257">
            <v>0</v>
          </cell>
          <cell r="Z257">
            <v>14.896787564766838</v>
          </cell>
          <cell r="AA257">
            <v>14.817887409943884</v>
          </cell>
          <cell r="AB257">
            <v>14.786666529847105</v>
          </cell>
          <cell r="AC257">
            <v>14.786666529847105</v>
          </cell>
          <cell r="AD257">
            <v>14.786666529847105</v>
          </cell>
          <cell r="AE257">
            <v>14.786666529847105</v>
          </cell>
          <cell r="AF257">
            <v>14.786666529847105</v>
          </cell>
          <cell r="AG257">
            <v>14.786666529847105</v>
          </cell>
          <cell r="AI257" t="str">
            <v>Total Netback (K Galls)</v>
          </cell>
          <cell r="AJ257">
            <v>0</v>
          </cell>
          <cell r="AK257">
            <v>14.817887409943884</v>
          </cell>
          <cell r="AL257">
            <v>14.71381780962129</v>
          </cell>
          <cell r="AM257">
            <v>0</v>
          </cell>
          <cell r="AN257">
            <v>14.786666529847105</v>
          </cell>
          <cell r="AP257">
            <v>0</v>
          </cell>
          <cell r="AR257">
            <v>0</v>
          </cell>
        </row>
        <row r="258">
          <cell r="A258" t="str">
            <v>Total Unit COGS (K Galls)</v>
          </cell>
          <cell r="C258">
            <v>0</v>
          </cell>
          <cell r="D258">
            <v>0</v>
          </cell>
          <cell r="E258">
            <v>0</v>
          </cell>
          <cell r="F258">
            <v>0</v>
          </cell>
          <cell r="G258">
            <v>6.1179100529100543</v>
          </cell>
          <cell r="H258">
            <v>6.1179100529100552</v>
          </cell>
          <cell r="I258">
            <v>6.1179100529100552</v>
          </cell>
          <cell r="J258">
            <v>0</v>
          </cell>
          <cell r="K258">
            <v>0</v>
          </cell>
          <cell r="L258">
            <v>0</v>
          </cell>
          <cell r="M258">
            <v>0</v>
          </cell>
          <cell r="N258">
            <v>0</v>
          </cell>
          <cell r="O258">
            <v>6.1179100529100552</v>
          </cell>
          <cell r="Q258">
            <v>6.1179100529100552</v>
          </cell>
          <cell r="S258">
            <v>6.1179100529100552</v>
          </cell>
          <cell r="U258" t="str">
            <v>Total Unit COGS (K Galls)</v>
          </cell>
          <cell r="V258">
            <v>0</v>
          </cell>
          <cell r="W258">
            <v>0</v>
          </cell>
          <cell r="X258">
            <v>0</v>
          </cell>
          <cell r="Y258">
            <v>0</v>
          </cell>
          <cell r="Z258">
            <v>6.1179100529100543</v>
          </cell>
          <cell r="AA258">
            <v>6.1179100529100552</v>
          </cell>
          <cell r="AB258">
            <v>6.1179100529100552</v>
          </cell>
          <cell r="AC258">
            <v>6.1179100529100552</v>
          </cell>
          <cell r="AD258">
            <v>6.1179100529100552</v>
          </cell>
          <cell r="AE258">
            <v>6.1179100529100552</v>
          </cell>
          <cell r="AF258">
            <v>6.1179100529100552</v>
          </cell>
          <cell r="AG258">
            <v>6.1179100529100552</v>
          </cell>
          <cell r="AI258" t="str">
            <v>Total Unit COGS (K Galls)</v>
          </cell>
          <cell r="AJ258">
            <v>0</v>
          </cell>
          <cell r="AK258">
            <v>6.1179100529100552</v>
          </cell>
          <cell r="AL258">
            <v>6.1179100529100552</v>
          </cell>
          <cell r="AM258">
            <v>0</v>
          </cell>
          <cell r="AN258">
            <v>6.1179100529100552</v>
          </cell>
          <cell r="AP258">
            <v>0</v>
          </cell>
          <cell r="AR258">
            <v>0</v>
          </cell>
        </row>
        <row r="259">
          <cell r="A259" t="str">
            <v>Total Unit COGS (K Galls) Check</v>
          </cell>
          <cell r="C259">
            <v>0</v>
          </cell>
          <cell r="D259">
            <v>0</v>
          </cell>
          <cell r="E259">
            <v>0</v>
          </cell>
          <cell r="F259">
            <v>0</v>
          </cell>
          <cell r="G259">
            <v>6.1179100529100543</v>
          </cell>
          <cell r="H259">
            <v>6.1179100529100552</v>
          </cell>
          <cell r="I259">
            <v>6.1179100529100552</v>
          </cell>
          <cell r="J259">
            <v>0</v>
          </cell>
          <cell r="K259">
            <v>0</v>
          </cell>
          <cell r="L259">
            <v>0</v>
          </cell>
          <cell r="M259">
            <v>0</v>
          </cell>
          <cell r="N259">
            <v>0</v>
          </cell>
          <cell r="O259">
            <v>6.1179100529100552</v>
          </cell>
          <cell r="Q259">
            <v>6.1179100529100552</v>
          </cell>
          <cell r="S259">
            <v>6.1179100529100552</v>
          </cell>
          <cell r="U259" t="str">
            <v>Total Unit COGS (K Galls) Check</v>
          </cell>
          <cell r="V259">
            <v>0</v>
          </cell>
          <cell r="W259">
            <v>0</v>
          </cell>
          <cell r="X259">
            <v>0</v>
          </cell>
          <cell r="Y259">
            <v>0</v>
          </cell>
          <cell r="Z259">
            <v>6.1179100529100543</v>
          </cell>
          <cell r="AA259">
            <v>6.1179100529100552</v>
          </cell>
          <cell r="AB259">
            <v>6.1179100529100552</v>
          </cell>
          <cell r="AC259">
            <v>6.1179100529100552</v>
          </cell>
          <cell r="AD259">
            <v>6.1179100529100552</v>
          </cell>
          <cell r="AE259">
            <v>6.1179100529100552</v>
          </cell>
          <cell r="AF259">
            <v>6.1179100529100552</v>
          </cell>
          <cell r="AG259">
            <v>6.1179100529100552</v>
          </cell>
          <cell r="AI259" t="str">
            <v xml:space="preserve"> Total Unit COGS (K Galls) Check</v>
          </cell>
          <cell r="AJ259">
            <v>0</v>
          </cell>
          <cell r="AK259">
            <v>6.1179100529100552</v>
          </cell>
          <cell r="AL259">
            <v>6.1179100529100552</v>
          </cell>
          <cell r="AM259">
            <v>0</v>
          </cell>
          <cell r="AN259">
            <v>6.1179100529100552</v>
          </cell>
          <cell r="AP259">
            <v>0</v>
          </cell>
          <cell r="AR259">
            <v>0</v>
          </cell>
        </row>
        <row r="261">
          <cell r="A261" t="str">
            <v>Total Volume (K TE Lbs)</v>
          </cell>
          <cell r="C261">
            <v>0</v>
          </cell>
          <cell r="D261">
            <v>0</v>
          </cell>
          <cell r="E261">
            <v>0</v>
          </cell>
          <cell r="F261">
            <v>0</v>
          </cell>
          <cell r="G261">
            <v>2.0026791896874276</v>
          </cell>
          <cell r="H261">
            <v>12.016075138124567</v>
          </cell>
          <cell r="I261">
            <v>6.0080375690622834</v>
          </cell>
          <cell r="J261">
            <v>0</v>
          </cell>
          <cell r="K261">
            <v>0</v>
          </cell>
          <cell r="L261">
            <v>0</v>
          </cell>
          <cell r="M261">
            <v>0</v>
          </cell>
          <cell r="N261">
            <v>0</v>
          </cell>
          <cell r="O261">
            <v>20.026791896874279</v>
          </cell>
          <cell r="Q261">
            <v>20.026791896874279</v>
          </cell>
          <cell r="S261">
            <v>20.026791896874279</v>
          </cell>
          <cell r="U261" t="str">
            <v>Total Volume (K TE Lbs)</v>
          </cell>
          <cell r="V261">
            <v>0</v>
          </cell>
          <cell r="W261">
            <v>0</v>
          </cell>
          <cell r="X261">
            <v>0</v>
          </cell>
          <cell r="Y261">
            <v>0</v>
          </cell>
          <cell r="Z261">
            <v>2.0026791896874276</v>
          </cell>
          <cell r="AA261">
            <v>14.018754327811994</v>
          </cell>
          <cell r="AB261">
            <v>20.026791896874279</v>
          </cell>
          <cell r="AC261">
            <v>20.026791896874279</v>
          </cell>
          <cell r="AD261">
            <v>20.026791896874279</v>
          </cell>
          <cell r="AE261">
            <v>20.026791896874279</v>
          </cell>
          <cell r="AF261">
            <v>20.026791896874279</v>
          </cell>
          <cell r="AG261">
            <v>20.026791896874279</v>
          </cell>
          <cell r="AI261" t="str">
            <v>Total Volume (K TE Lbs)</v>
          </cell>
          <cell r="AJ261">
            <v>0</v>
          </cell>
          <cell r="AK261">
            <v>14.018754327811994</v>
          </cell>
          <cell r="AL261">
            <v>6.0080375690622834</v>
          </cell>
          <cell r="AM261">
            <v>0</v>
          </cell>
          <cell r="AN261">
            <v>20.026791896874279</v>
          </cell>
          <cell r="AP261">
            <v>0</v>
          </cell>
          <cell r="AR261">
            <v>0</v>
          </cell>
        </row>
        <row r="262">
          <cell r="A262" t="str">
            <v>Total Netback (K TE Lbs)</v>
          </cell>
          <cell r="C262">
            <v>0</v>
          </cell>
          <cell r="D262">
            <v>0</v>
          </cell>
          <cell r="E262">
            <v>0</v>
          </cell>
          <cell r="F262">
            <v>0</v>
          </cell>
          <cell r="G262">
            <v>3.7192146504233374</v>
          </cell>
          <cell r="H262">
            <v>3.6962328915123797</v>
          </cell>
          <cell r="I262">
            <v>3.6735334059964391</v>
          </cell>
          <cell r="J262">
            <v>0</v>
          </cell>
          <cell r="K262">
            <v>0</v>
          </cell>
          <cell r="L262">
            <v>0</v>
          </cell>
          <cell r="M262">
            <v>0</v>
          </cell>
          <cell r="N262">
            <v>0</v>
          </cell>
          <cell r="O262">
            <v>3.691721221748693</v>
          </cell>
          <cell r="Q262">
            <v>3.691721221748693</v>
          </cell>
          <cell r="S262">
            <v>3.691721221748693</v>
          </cell>
          <cell r="U262" t="str">
            <v>Total Netback (K TE Lbs)</v>
          </cell>
          <cell r="V262">
            <v>0</v>
          </cell>
          <cell r="W262">
            <v>0</v>
          </cell>
          <cell r="X262">
            <v>0</v>
          </cell>
          <cell r="Y262">
            <v>0</v>
          </cell>
          <cell r="Z262">
            <v>3.7192146504233374</v>
          </cell>
          <cell r="AA262">
            <v>3.6995159999282308</v>
          </cell>
          <cell r="AB262">
            <v>3.691721221748693</v>
          </cell>
          <cell r="AC262">
            <v>3.691721221748693</v>
          </cell>
          <cell r="AD262">
            <v>3.691721221748693</v>
          </cell>
          <cell r="AE262">
            <v>3.691721221748693</v>
          </cell>
          <cell r="AF262">
            <v>3.691721221748693</v>
          </cell>
          <cell r="AG262">
            <v>3.691721221748693</v>
          </cell>
          <cell r="AI262" t="str">
            <v>Total Netback (K TE Lbs)</v>
          </cell>
          <cell r="AJ262">
            <v>0</v>
          </cell>
          <cell r="AK262">
            <v>3.6995159999282308</v>
          </cell>
          <cell r="AL262">
            <v>3.6735334059964391</v>
          </cell>
          <cell r="AM262">
            <v>0</v>
          </cell>
          <cell r="AN262">
            <v>3.691721221748693</v>
          </cell>
          <cell r="AP262">
            <v>0</v>
          </cell>
          <cell r="AR262">
            <v>0</v>
          </cell>
        </row>
        <row r="263">
          <cell r="A263" t="str">
            <v>Total Unit COGS (K TE Lbs)</v>
          </cell>
          <cell r="C263">
            <v>0</v>
          </cell>
          <cell r="D263">
            <v>0</v>
          </cell>
          <cell r="E263">
            <v>0</v>
          </cell>
          <cell r="F263">
            <v>0</v>
          </cell>
          <cell r="G263">
            <v>1.5274313740347298</v>
          </cell>
          <cell r="H263">
            <v>1.5274313740347301</v>
          </cell>
          <cell r="I263">
            <v>1.5274313740347301</v>
          </cell>
          <cell r="J263">
            <v>0</v>
          </cell>
          <cell r="K263">
            <v>0</v>
          </cell>
          <cell r="L263">
            <v>0</v>
          </cell>
          <cell r="M263">
            <v>0</v>
          </cell>
          <cell r="N263">
            <v>0</v>
          </cell>
          <cell r="O263">
            <v>1.5274313740347301</v>
          </cell>
          <cell r="Q263">
            <v>30.589550264550279</v>
          </cell>
          <cell r="S263">
            <v>30.589550264550279</v>
          </cell>
          <cell r="U263" t="str">
            <v>Total Unit COGS (K TE Lbs)</v>
          </cell>
          <cell r="V263">
            <v>0</v>
          </cell>
          <cell r="W263">
            <v>0</v>
          </cell>
          <cell r="X263">
            <v>0</v>
          </cell>
          <cell r="Y263">
            <v>0</v>
          </cell>
          <cell r="Z263">
            <v>1.5274313740347298</v>
          </cell>
          <cell r="AA263">
            <v>1.5274313740347301</v>
          </cell>
          <cell r="AB263">
            <v>1.5274313740347301</v>
          </cell>
          <cell r="AC263">
            <v>1.5274313740347301</v>
          </cell>
          <cell r="AD263">
            <v>1.5274313740347301</v>
          </cell>
          <cell r="AE263">
            <v>1.5274313740347301</v>
          </cell>
          <cell r="AF263">
            <v>1.5274313740347301</v>
          </cell>
          <cell r="AG263">
            <v>1.5274313740347301</v>
          </cell>
          <cell r="AI263" t="str">
            <v>Total Unit COGS (K TE Lbs)</v>
          </cell>
          <cell r="AJ263">
            <v>0</v>
          </cell>
          <cell r="AK263">
            <v>1.5274313740347301</v>
          </cell>
          <cell r="AL263">
            <v>1.5274313740347301</v>
          </cell>
          <cell r="AM263">
            <v>0</v>
          </cell>
          <cell r="AN263">
            <v>1.5274313740347301</v>
          </cell>
          <cell r="AP263">
            <v>0</v>
          </cell>
          <cell r="AR263">
            <v>0</v>
          </cell>
        </row>
        <row r="265">
          <cell r="A265" t="str">
            <v>Net Sales</v>
          </cell>
          <cell r="C265">
            <v>0</v>
          </cell>
          <cell r="D265">
            <v>0</v>
          </cell>
          <cell r="E265">
            <v>0</v>
          </cell>
          <cell r="F265">
            <v>0</v>
          </cell>
          <cell r="G265">
            <v>7.4483937823834188</v>
          </cell>
          <cell r="H265">
            <v>44.414212152420177</v>
          </cell>
          <cell r="I265">
            <v>22.070726714431935</v>
          </cell>
          <cell r="J265">
            <v>0</v>
          </cell>
          <cell r="K265">
            <v>0</v>
          </cell>
          <cell r="L265">
            <v>0</v>
          </cell>
          <cell r="M265">
            <v>0</v>
          </cell>
          <cell r="N265">
            <v>0</v>
          </cell>
          <cell r="O265">
            <v>73.933332649235524</v>
          </cell>
          <cell r="Q265">
            <v>73.933332649235524</v>
          </cell>
          <cell r="S265">
            <v>73.933332649235524</v>
          </cell>
          <cell r="U265" t="str">
            <v>Net Sales</v>
          </cell>
          <cell r="V265">
            <v>0</v>
          </cell>
          <cell r="W265">
            <v>0</v>
          </cell>
          <cell r="X265">
            <v>0</v>
          </cell>
          <cell r="Y265">
            <v>0</v>
          </cell>
          <cell r="Z265">
            <v>7.4483937823834188</v>
          </cell>
          <cell r="AA265">
            <v>51.862605934803597</v>
          </cell>
          <cell r="AB265">
            <v>73.933332649235524</v>
          </cell>
          <cell r="AC265">
            <v>73.933332649235524</v>
          </cell>
          <cell r="AD265">
            <v>73.933332649235524</v>
          </cell>
          <cell r="AE265">
            <v>73.933332649235524</v>
          </cell>
          <cell r="AF265">
            <v>73.933332649235524</v>
          </cell>
          <cell r="AG265">
            <v>73.933332649235524</v>
          </cell>
          <cell r="AI265" t="str">
            <v>Net Sales</v>
          </cell>
          <cell r="AJ265">
            <v>0</v>
          </cell>
          <cell r="AK265">
            <v>51.862605934803597</v>
          </cell>
          <cell r="AL265">
            <v>22.070726714431935</v>
          </cell>
          <cell r="AM265">
            <v>0</v>
          </cell>
          <cell r="AN265">
            <v>73.933332649235524</v>
          </cell>
          <cell r="AP265">
            <v>0</v>
          </cell>
          <cell r="AR265">
            <v>0</v>
          </cell>
        </row>
        <row r="267">
          <cell r="A267" t="str">
            <v>Inventory Cost</v>
          </cell>
          <cell r="C267">
            <v>0</v>
          </cell>
          <cell r="D267">
            <v>0</v>
          </cell>
          <cell r="E267">
            <v>0</v>
          </cell>
          <cell r="F267">
            <v>0</v>
          </cell>
          <cell r="G267">
            <v>3.0589550264550271</v>
          </cell>
          <cell r="H267">
            <v>18.353730158730166</v>
          </cell>
          <cell r="I267">
            <v>9.1768650793650828</v>
          </cell>
          <cell r="J267">
            <v>0</v>
          </cell>
          <cell r="K267">
            <v>0</v>
          </cell>
          <cell r="L267">
            <v>0</v>
          </cell>
          <cell r="M267">
            <v>0</v>
          </cell>
          <cell r="N267">
            <v>0</v>
          </cell>
          <cell r="O267">
            <v>30.589550264550276</v>
          </cell>
          <cell r="Q267">
            <v>30.589550264550276</v>
          </cell>
          <cell r="S267">
            <v>30.589550264550276</v>
          </cell>
          <cell r="U267" t="str">
            <v>Inventory Cost</v>
          </cell>
          <cell r="V267">
            <v>0</v>
          </cell>
          <cell r="W267">
            <v>0</v>
          </cell>
          <cell r="X267">
            <v>0</v>
          </cell>
          <cell r="Y267">
            <v>0</v>
          </cell>
          <cell r="Z267">
            <v>3.0589550264550271</v>
          </cell>
          <cell r="AA267">
            <v>21.412685185185193</v>
          </cell>
          <cell r="AB267">
            <v>30.589550264550276</v>
          </cell>
          <cell r="AC267">
            <v>30.589550264550276</v>
          </cell>
          <cell r="AD267">
            <v>30.589550264550276</v>
          </cell>
          <cell r="AE267">
            <v>30.589550264550276</v>
          </cell>
          <cell r="AF267">
            <v>30.589550264550276</v>
          </cell>
          <cell r="AG267">
            <v>30.589550264550276</v>
          </cell>
          <cell r="AI267" t="str">
            <v>Inventory Cost</v>
          </cell>
          <cell r="AJ267">
            <v>0</v>
          </cell>
          <cell r="AK267">
            <v>21.412685185185193</v>
          </cell>
          <cell r="AL267">
            <v>9.1768650793650828</v>
          </cell>
          <cell r="AM267">
            <v>0</v>
          </cell>
          <cell r="AN267">
            <v>30.589550264550276</v>
          </cell>
          <cell r="AP267">
            <v>0</v>
          </cell>
          <cell r="AR267">
            <v>0</v>
          </cell>
        </row>
        <row r="268">
          <cell r="A268" t="str">
            <v>Non Std. Cost</v>
          </cell>
          <cell r="C268">
            <v>0</v>
          </cell>
          <cell r="D268">
            <v>0</v>
          </cell>
          <cell r="E268">
            <v>0</v>
          </cell>
          <cell r="F268">
            <v>0</v>
          </cell>
          <cell r="G268">
            <v>0</v>
          </cell>
          <cell r="H268">
            <v>0</v>
          </cell>
          <cell r="I268">
            <v>0</v>
          </cell>
          <cell r="J268">
            <v>0</v>
          </cell>
          <cell r="K268">
            <v>0</v>
          </cell>
          <cell r="L268">
            <v>0</v>
          </cell>
          <cell r="M268">
            <v>0</v>
          </cell>
          <cell r="N268">
            <v>0</v>
          </cell>
          <cell r="O268">
            <v>0</v>
          </cell>
          <cell r="Q268">
            <v>0</v>
          </cell>
          <cell r="S268">
            <v>0</v>
          </cell>
          <cell r="U268" t="str">
            <v>Non Std. Cost</v>
          </cell>
          <cell r="V268">
            <v>0</v>
          </cell>
          <cell r="W268">
            <v>0</v>
          </cell>
          <cell r="X268">
            <v>0</v>
          </cell>
          <cell r="Y268">
            <v>0</v>
          </cell>
          <cell r="Z268">
            <v>0</v>
          </cell>
          <cell r="AA268">
            <v>0</v>
          </cell>
          <cell r="AB268">
            <v>0</v>
          </cell>
          <cell r="AC268">
            <v>0</v>
          </cell>
          <cell r="AD268">
            <v>0</v>
          </cell>
          <cell r="AE268">
            <v>0</v>
          </cell>
          <cell r="AF268">
            <v>0</v>
          </cell>
          <cell r="AG268">
            <v>0</v>
          </cell>
          <cell r="AI268" t="str">
            <v>Non Std. Cost</v>
          </cell>
          <cell r="AJ268">
            <v>0</v>
          </cell>
          <cell r="AK268">
            <v>0</v>
          </cell>
          <cell r="AL268">
            <v>0</v>
          </cell>
          <cell r="AM268">
            <v>0</v>
          </cell>
          <cell r="AN268">
            <v>0</v>
          </cell>
        </row>
        <row r="269">
          <cell r="A269" t="str">
            <v>Alloc. NSC (STL)</v>
          </cell>
          <cell r="C269">
            <v>0</v>
          </cell>
          <cell r="D269">
            <v>0</v>
          </cell>
          <cell r="E269">
            <v>0</v>
          </cell>
          <cell r="F269">
            <v>0</v>
          </cell>
          <cell r="G269">
            <v>0</v>
          </cell>
          <cell r="H269">
            <v>0</v>
          </cell>
          <cell r="I269">
            <v>0</v>
          </cell>
          <cell r="J269">
            <v>0</v>
          </cell>
          <cell r="K269">
            <v>0</v>
          </cell>
          <cell r="L269">
            <v>0</v>
          </cell>
          <cell r="M269">
            <v>0</v>
          </cell>
          <cell r="N269">
            <v>0</v>
          </cell>
          <cell r="O269">
            <v>0</v>
          </cell>
          <cell r="Q269">
            <v>0</v>
          </cell>
          <cell r="S269">
            <v>0</v>
          </cell>
          <cell r="U269" t="str">
            <v>Alloc. NSC (STL)</v>
          </cell>
          <cell r="V269">
            <v>0</v>
          </cell>
          <cell r="W269">
            <v>0</v>
          </cell>
          <cell r="X269">
            <v>0</v>
          </cell>
          <cell r="Y269">
            <v>0</v>
          </cell>
          <cell r="Z269">
            <v>0</v>
          </cell>
          <cell r="AA269">
            <v>0</v>
          </cell>
          <cell r="AB269">
            <v>0</v>
          </cell>
          <cell r="AC269">
            <v>0</v>
          </cell>
          <cell r="AD269">
            <v>0</v>
          </cell>
          <cell r="AE269">
            <v>0</v>
          </cell>
          <cell r="AF269">
            <v>0</v>
          </cell>
          <cell r="AG269">
            <v>0</v>
          </cell>
          <cell r="AI269" t="str">
            <v>Alloc. NSC (STL)</v>
          </cell>
          <cell r="AJ269">
            <v>0</v>
          </cell>
          <cell r="AK269">
            <v>0</v>
          </cell>
          <cell r="AL269">
            <v>0</v>
          </cell>
          <cell r="AM269">
            <v>0</v>
          </cell>
          <cell r="AN269">
            <v>0</v>
          </cell>
          <cell r="AP269">
            <v>0</v>
          </cell>
          <cell r="AR269">
            <v>0</v>
          </cell>
        </row>
        <row r="270">
          <cell r="A270" t="str">
            <v>COGS</v>
          </cell>
          <cell r="C270">
            <v>0</v>
          </cell>
          <cell r="D270">
            <v>0</v>
          </cell>
          <cell r="E270">
            <v>0</v>
          </cell>
          <cell r="F270">
            <v>0</v>
          </cell>
          <cell r="G270">
            <v>3.0589550264550271</v>
          </cell>
          <cell r="H270">
            <v>18.353730158730166</v>
          </cell>
          <cell r="I270">
            <v>9.1768650793650828</v>
          </cell>
          <cell r="J270">
            <v>0</v>
          </cell>
          <cell r="K270">
            <v>0</v>
          </cell>
          <cell r="L270">
            <v>0</v>
          </cell>
          <cell r="M270">
            <v>0</v>
          </cell>
          <cell r="N270">
            <v>0</v>
          </cell>
          <cell r="O270">
            <v>30.589550264550276</v>
          </cell>
          <cell r="Q270">
            <v>30.589550264550276</v>
          </cell>
          <cell r="S270">
            <v>30.589550264550276</v>
          </cell>
          <cell r="U270" t="str">
            <v>COGS</v>
          </cell>
          <cell r="V270">
            <v>0</v>
          </cell>
          <cell r="W270">
            <v>0</v>
          </cell>
          <cell r="X270">
            <v>0</v>
          </cell>
          <cell r="Y270">
            <v>0</v>
          </cell>
          <cell r="Z270">
            <v>3.0589550264550271</v>
          </cell>
          <cell r="AA270">
            <v>21.412685185185193</v>
          </cell>
          <cell r="AB270">
            <v>30.589550264550276</v>
          </cell>
          <cell r="AC270">
            <v>30.589550264550276</v>
          </cell>
          <cell r="AD270">
            <v>30.589550264550276</v>
          </cell>
          <cell r="AE270">
            <v>30.589550264550276</v>
          </cell>
          <cell r="AF270">
            <v>30.589550264550276</v>
          </cell>
          <cell r="AG270">
            <v>30.589550264550276</v>
          </cell>
          <cell r="AI270" t="str">
            <v>COGS</v>
          </cell>
          <cell r="AJ270">
            <v>0</v>
          </cell>
          <cell r="AK270">
            <v>21.412685185185193</v>
          </cell>
          <cell r="AL270">
            <v>9.1768650793650828</v>
          </cell>
          <cell r="AM270">
            <v>0</v>
          </cell>
          <cell r="AN270">
            <v>30.589550264550276</v>
          </cell>
          <cell r="AP270">
            <v>0</v>
          </cell>
          <cell r="AR270">
            <v>0</v>
          </cell>
        </row>
        <row r="272">
          <cell r="A272" t="str">
            <v>Gross Profit</v>
          </cell>
          <cell r="C272">
            <v>0</v>
          </cell>
          <cell r="D272">
            <v>0</v>
          </cell>
          <cell r="E272">
            <v>0</v>
          </cell>
          <cell r="F272">
            <v>0</v>
          </cell>
          <cell r="G272">
            <v>4.3894387559283921</v>
          </cell>
          <cell r="H272">
            <v>26.060481993690011</v>
          </cell>
          <cell r="I272">
            <v>12.893861635066852</v>
          </cell>
          <cell r="J272">
            <v>0</v>
          </cell>
          <cell r="K272">
            <v>0</v>
          </cell>
          <cell r="L272">
            <v>0</v>
          </cell>
          <cell r="M272">
            <v>0</v>
          </cell>
          <cell r="N272">
            <v>0</v>
          </cell>
          <cell r="O272">
            <v>43.343782384685248</v>
          </cell>
          <cell r="Q272">
            <v>43.343782384685248</v>
          </cell>
          <cell r="S272">
            <v>43.343782384685248</v>
          </cell>
          <cell r="U272" t="str">
            <v>Gross Profit</v>
          </cell>
          <cell r="V272">
            <v>0</v>
          </cell>
          <cell r="W272">
            <v>0</v>
          </cell>
          <cell r="X272">
            <v>0</v>
          </cell>
          <cell r="Y272">
            <v>0</v>
          </cell>
          <cell r="Z272">
            <v>4.3894387559283921</v>
          </cell>
          <cell r="AA272">
            <v>30.449920749618403</v>
          </cell>
          <cell r="AB272">
            <v>43.343782384685248</v>
          </cell>
          <cell r="AC272">
            <v>43.343782384685248</v>
          </cell>
          <cell r="AD272">
            <v>43.343782384685248</v>
          </cell>
          <cell r="AE272">
            <v>43.343782384685248</v>
          </cell>
          <cell r="AF272">
            <v>43.343782384685248</v>
          </cell>
          <cell r="AG272">
            <v>43.343782384685248</v>
          </cell>
          <cell r="AI272" t="str">
            <v>Gross Profit</v>
          </cell>
          <cell r="AJ272">
            <v>0</v>
          </cell>
          <cell r="AK272">
            <v>30.449920749618403</v>
          </cell>
          <cell r="AL272">
            <v>12.893861635066852</v>
          </cell>
          <cell r="AM272">
            <v>0</v>
          </cell>
          <cell r="AN272">
            <v>43.343782384685248</v>
          </cell>
          <cell r="AP272">
            <v>0</v>
          </cell>
          <cell r="AR272">
            <v>0</v>
          </cell>
        </row>
        <row r="273">
          <cell r="A273" t="str">
            <v>% of Sales</v>
          </cell>
          <cell r="C273">
            <v>0</v>
          </cell>
          <cell r="D273">
            <v>0</v>
          </cell>
          <cell r="E273">
            <v>0</v>
          </cell>
          <cell r="F273">
            <v>0</v>
          </cell>
          <cell r="G273">
            <v>0.58931346598646284</v>
          </cell>
          <cell r="H273">
            <v>0.58675997458326967</v>
          </cell>
          <cell r="I273">
            <v>0.58420648318007684</v>
          </cell>
          <cell r="J273">
            <v>0</v>
          </cell>
          <cell r="K273">
            <v>0</v>
          </cell>
          <cell r="L273">
            <v>0</v>
          </cell>
          <cell r="M273">
            <v>0</v>
          </cell>
          <cell r="N273">
            <v>0</v>
          </cell>
          <cell r="O273">
            <v>0.58625495201633426</v>
          </cell>
          <cell r="Q273">
            <v>0.58625495201633426</v>
          </cell>
          <cell r="S273">
            <v>0.58625495201633426</v>
          </cell>
          <cell r="U273" t="str">
            <v>% of Sales</v>
          </cell>
          <cell r="V273">
            <v>0</v>
          </cell>
          <cell r="W273">
            <v>0</v>
          </cell>
          <cell r="X273">
            <v>0</v>
          </cell>
          <cell r="Y273">
            <v>0</v>
          </cell>
          <cell r="Z273">
            <v>0.58931346598646284</v>
          </cell>
          <cell r="AA273">
            <v>0.58712670142138546</v>
          </cell>
          <cell r="AB273">
            <v>0.58625495201633426</v>
          </cell>
          <cell r="AC273">
            <v>0.58625495201633426</v>
          </cell>
          <cell r="AD273">
            <v>0.58625495201633426</v>
          </cell>
          <cell r="AE273">
            <v>0.58625495201633426</v>
          </cell>
          <cell r="AF273">
            <v>0.58625495201633426</v>
          </cell>
          <cell r="AG273">
            <v>0.58625495201633426</v>
          </cell>
          <cell r="AI273" t="str">
            <v>% of Sales</v>
          </cell>
          <cell r="AJ273">
            <v>0</v>
          </cell>
          <cell r="AK273">
            <v>0.58712670142138546</v>
          </cell>
          <cell r="AL273">
            <v>0.58420648318007684</v>
          </cell>
          <cell r="AM273">
            <v>0</v>
          </cell>
          <cell r="AN273">
            <v>0.58625495201633426</v>
          </cell>
          <cell r="AP273">
            <v>0</v>
          </cell>
          <cell r="AR273">
            <v>0</v>
          </cell>
        </row>
        <row r="275">
          <cell r="A275" t="str">
            <v>Marketing</v>
          </cell>
          <cell r="C275">
            <v>0.44508035510024263</v>
          </cell>
          <cell r="D275">
            <v>0.56183622793341592</v>
          </cell>
          <cell r="E275">
            <v>0.70243353784525919</v>
          </cell>
          <cell r="F275">
            <v>0.67184274649304676</v>
          </cell>
          <cell r="G275">
            <v>0.90047627468275337</v>
          </cell>
          <cell r="H275">
            <v>0.8190435333992917</v>
          </cell>
          <cell r="I275">
            <v>0.71467297049613843</v>
          </cell>
          <cell r="J275">
            <v>0.43973231529502244</v>
          </cell>
          <cell r="K275">
            <v>0.64835009819515432</v>
          </cell>
          <cell r="L275">
            <v>0.47346893318216338</v>
          </cell>
          <cell r="M275">
            <v>0.47346893318216338</v>
          </cell>
          <cell r="N275">
            <v>0.47346893318216338</v>
          </cell>
          <cell r="O275">
            <v>7.3238748589868141</v>
          </cell>
          <cell r="Q275">
            <v>7.3238748589868141</v>
          </cell>
          <cell r="S275">
            <v>7.3238748589868141</v>
          </cell>
          <cell r="U275" t="str">
            <v>Marketing</v>
          </cell>
          <cell r="V275">
            <v>0.44508035510024263</v>
          </cell>
          <cell r="W275">
            <v>1.0069165830336586</v>
          </cell>
          <cell r="X275">
            <v>1.7093501208789177</v>
          </cell>
          <cell r="Y275">
            <v>2.3811928673719645</v>
          </cell>
          <cell r="Z275">
            <v>3.2816691420547177</v>
          </cell>
          <cell r="AA275">
            <v>4.1007126754540097</v>
          </cell>
          <cell r="AB275">
            <v>4.8153856459501485</v>
          </cell>
          <cell r="AC275">
            <v>5.2551179612451708</v>
          </cell>
          <cell r="AD275">
            <v>5.9034680594403248</v>
          </cell>
          <cell r="AE275">
            <v>6.3769369926224879</v>
          </cell>
          <cell r="AF275">
            <v>6.850405925804651</v>
          </cell>
          <cell r="AG275">
            <v>7.3238748589868141</v>
          </cell>
          <cell r="AI275" t="str">
            <v>Marketing</v>
          </cell>
          <cell r="AJ275">
            <v>1.7093501208789177</v>
          </cell>
          <cell r="AK275">
            <v>2.3913625545750916</v>
          </cell>
          <cell r="AL275">
            <v>1.8027553839863151</v>
          </cell>
          <cell r="AM275">
            <v>1.4204067995464902</v>
          </cell>
          <cell r="AN275">
            <v>7.3238748589868141</v>
          </cell>
        </row>
        <row r="276">
          <cell r="A276" t="str">
            <v>Administration</v>
          </cell>
          <cell r="C276">
            <v>0</v>
          </cell>
          <cell r="D276">
            <v>0</v>
          </cell>
          <cell r="E276">
            <v>0</v>
          </cell>
          <cell r="F276">
            <v>0</v>
          </cell>
          <cell r="G276">
            <v>0</v>
          </cell>
          <cell r="H276">
            <v>0</v>
          </cell>
          <cell r="I276">
            <v>0</v>
          </cell>
          <cell r="J276">
            <v>0</v>
          </cell>
          <cell r="K276">
            <v>0</v>
          </cell>
          <cell r="L276">
            <v>0</v>
          </cell>
          <cell r="M276">
            <v>0</v>
          </cell>
          <cell r="N276">
            <v>0</v>
          </cell>
          <cell r="O276">
            <v>0</v>
          </cell>
          <cell r="Q276">
            <v>0</v>
          </cell>
          <cell r="S276">
            <v>0</v>
          </cell>
          <cell r="U276" t="str">
            <v>Administration</v>
          </cell>
          <cell r="V276">
            <v>0</v>
          </cell>
          <cell r="W276">
            <v>0</v>
          </cell>
          <cell r="X276">
            <v>0</v>
          </cell>
          <cell r="Y276">
            <v>0</v>
          </cell>
          <cell r="Z276">
            <v>0</v>
          </cell>
          <cell r="AA276">
            <v>0</v>
          </cell>
          <cell r="AB276">
            <v>0</v>
          </cell>
          <cell r="AC276">
            <v>0</v>
          </cell>
          <cell r="AD276">
            <v>0</v>
          </cell>
          <cell r="AE276">
            <v>0</v>
          </cell>
          <cell r="AF276">
            <v>0</v>
          </cell>
          <cell r="AG276">
            <v>0</v>
          </cell>
          <cell r="AI276" t="str">
            <v>Administration</v>
          </cell>
          <cell r="AJ276">
            <v>0</v>
          </cell>
          <cell r="AK276">
            <v>0</v>
          </cell>
          <cell r="AL276">
            <v>0</v>
          </cell>
          <cell r="AM276">
            <v>0</v>
          </cell>
          <cell r="AN276">
            <v>0</v>
          </cell>
        </row>
        <row r="277">
          <cell r="A277" t="str">
            <v>Technology</v>
          </cell>
          <cell r="C277">
            <v>0</v>
          </cell>
          <cell r="D277">
            <v>0</v>
          </cell>
          <cell r="E277">
            <v>0</v>
          </cell>
          <cell r="F277">
            <v>0</v>
          </cell>
          <cell r="G277">
            <v>0</v>
          </cell>
          <cell r="H277">
            <v>0</v>
          </cell>
          <cell r="I277">
            <v>0</v>
          </cell>
          <cell r="J277">
            <v>0</v>
          </cell>
          <cell r="K277">
            <v>0</v>
          </cell>
          <cell r="L277">
            <v>0</v>
          </cell>
          <cell r="M277">
            <v>0</v>
          </cell>
          <cell r="N277">
            <v>0</v>
          </cell>
          <cell r="O277">
            <v>0</v>
          </cell>
          <cell r="Q277">
            <v>0</v>
          </cell>
          <cell r="S277">
            <v>0</v>
          </cell>
          <cell r="U277" t="str">
            <v>Technology</v>
          </cell>
          <cell r="V277">
            <v>0</v>
          </cell>
          <cell r="W277">
            <v>0</v>
          </cell>
          <cell r="X277">
            <v>0</v>
          </cell>
          <cell r="Y277">
            <v>0</v>
          </cell>
          <cell r="Z277">
            <v>0</v>
          </cell>
          <cell r="AA277">
            <v>0</v>
          </cell>
          <cell r="AB277">
            <v>0</v>
          </cell>
          <cell r="AC277">
            <v>0</v>
          </cell>
          <cell r="AD277">
            <v>0</v>
          </cell>
          <cell r="AE277">
            <v>0</v>
          </cell>
          <cell r="AF277">
            <v>0</v>
          </cell>
          <cell r="AG277">
            <v>0</v>
          </cell>
          <cell r="AI277" t="str">
            <v>Technology</v>
          </cell>
          <cell r="AJ277">
            <v>0</v>
          </cell>
          <cell r="AK277">
            <v>0</v>
          </cell>
          <cell r="AL277">
            <v>0</v>
          </cell>
          <cell r="AM277">
            <v>0</v>
          </cell>
          <cell r="AN277">
            <v>0</v>
          </cell>
        </row>
        <row r="278">
          <cell r="A278" t="str">
            <v>Bad Debt Reserve</v>
          </cell>
          <cell r="C278">
            <v>0</v>
          </cell>
          <cell r="D278">
            <v>0</v>
          </cell>
          <cell r="E278">
            <v>0</v>
          </cell>
          <cell r="F278">
            <v>0</v>
          </cell>
          <cell r="G278">
            <v>0</v>
          </cell>
          <cell r="H278">
            <v>0</v>
          </cell>
          <cell r="I278">
            <v>0</v>
          </cell>
          <cell r="J278">
            <v>0</v>
          </cell>
          <cell r="K278">
            <v>0</v>
          </cell>
          <cell r="L278">
            <v>0</v>
          </cell>
          <cell r="M278">
            <v>0</v>
          </cell>
          <cell r="N278">
            <v>0</v>
          </cell>
          <cell r="O278">
            <v>0</v>
          </cell>
          <cell r="Q278">
            <v>0</v>
          </cell>
          <cell r="S278">
            <v>0</v>
          </cell>
          <cell r="U278" t="str">
            <v>Bad Debt Reserve</v>
          </cell>
          <cell r="V278">
            <v>0</v>
          </cell>
          <cell r="W278">
            <v>0</v>
          </cell>
          <cell r="X278">
            <v>0</v>
          </cell>
          <cell r="Y278">
            <v>0</v>
          </cell>
          <cell r="Z278">
            <v>0</v>
          </cell>
          <cell r="AA278">
            <v>0</v>
          </cell>
          <cell r="AB278">
            <v>0</v>
          </cell>
          <cell r="AC278">
            <v>0</v>
          </cell>
          <cell r="AD278">
            <v>0</v>
          </cell>
          <cell r="AE278">
            <v>0</v>
          </cell>
          <cell r="AF278">
            <v>0</v>
          </cell>
          <cell r="AG278">
            <v>0</v>
          </cell>
          <cell r="AI278" t="str">
            <v>Bad Debt Reserve</v>
          </cell>
          <cell r="AJ278">
            <v>0</v>
          </cell>
          <cell r="AK278">
            <v>0</v>
          </cell>
          <cell r="AL278">
            <v>0</v>
          </cell>
          <cell r="AM278">
            <v>0</v>
          </cell>
          <cell r="AN278">
            <v>0</v>
          </cell>
          <cell r="AP278">
            <v>0</v>
          </cell>
          <cell r="AR278">
            <v>0</v>
          </cell>
        </row>
        <row r="279">
          <cell r="A279" t="str">
            <v>Total Direct MAT</v>
          </cell>
          <cell r="C279">
            <v>0.44508035510024263</v>
          </cell>
          <cell r="D279">
            <v>0.56183622793341592</v>
          </cell>
          <cell r="E279">
            <v>0.70243353784525919</v>
          </cell>
          <cell r="F279">
            <v>0.67184274649304676</v>
          </cell>
          <cell r="G279">
            <v>0.90047627468275337</v>
          </cell>
          <cell r="H279">
            <v>0.8190435333992917</v>
          </cell>
          <cell r="I279">
            <v>0.71467297049613843</v>
          </cell>
          <cell r="J279">
            <v>0.43973231529502244</v>
          </cell>
          <cell r="K279">
            <v>0.64835009819515432</v>
          </cell>
          <cell r="L279">
            <v>0.47346893318216338</v>
          </cell>
          <cell r="M279">
            <v>0.47346893318216338</v>
          </cell>
          <cell r="N279">
            <v>0.47346893318216338</v>
          </cell>
          <cell r="O279">
            <v>7.3238748589868141</v>
          </cell>
          <cell r="Q279">
            <v>7.3238748589868141</v>
          </cell>
          <cell r="S279">
            <v>7.3238748589868141</v>
          </cell>
          <cell r="U279" t="str">
            <v>Total Direct MAT</v>
          </cell>
          <cell r="V279">
            <v>0.44508035510024263</v>
          </cell>
          <cell r="W279">
            <v>1.0069165830336586</v>
          </cell>
          <cell r="X279">
            <v>1.7093501208789177</v>
          </cell>
          <cell r="Y279">
            <v>2.3811928673719645</v>
          </cell>
          <cell r="Z279">
            <v>3.2816691420547177</v>
          </cell>
          <cell r="AA279">
            <v>4.1007126754540097</v>
          </cell>
          <cell r="AB279">
            <v>4.8153856459501485</v>
          </cell>
          <cell r="AC279">
            <v>5.2551179612451708</v>
          </cell>
          <cell r="AD279">
            <v>5.9034680594403248</v>
          </cell>
          <cell r="AE279">
            <v>6.3769369926224879</v>
          </cell>
          <cell r="AF279">
            <v>6.850405925804651</v>
          </cell>
          <cell r="AG279">
            <v>7.3238748589868141</v>
          </cell>
          <cell r="AI279" t="str">
            <v>Total Direct MAT</v>
          </cell>
          <cell r="AJ279">
            <v>1.7093501208789177</v>
          </cell>
          <cell r="AK279">
            <v>2.3913625545750916</v>
          </cell>
          <cell r="AL279">
            <v>1.8027553839863151</v>
          </cell>
          <cell r="AM279">
            <v>1.4204067995464902</v>
          </cell>
          <cell r="AN279">
            <v>7.3238748589868141</v>
          </cell>
          <cell r="AP279">
            <v>0</v>
          </cell>
          <cell r="AR279">
            <v>0</v>
          </cell>
        </row>
        <row r="281">
          <cell r="A281" t="str">
            <v>Marketing</v>
          </cell>
          <cell r="C281">
            <v>0</v>
          </cell>
          <cell r="D281">
            <v>0</v>
          </cell>
          <cell r="E281">
            <v>0</v>
          </cell>
          <cell r="F281">
            <v>0</v>
          </cell>
          <cell r="G281">
            <v>0</v>
          </cell>
          <cell r="H281">
            <v>0</v>
          </cell>
          <cell r="I281">
            <v>0</v>
          </cell>
          <cell r="J281">
            <v>0</v>
          </cell>
          <cell r="K281">
            <v>0</v>
          </cell>
          <cell r="L281">
            <v>0</v>
          </cell>
          <cell r="M281">
            <v>0</v>
          </cell>
          <cell r="N281">
            <v>0</v>
          </cell>
          <cell r="O281">
            <v>0</v>
          </cell>
          <cell r="Q281">
            <v>0</v>
          </cell>
          <cell r="S281">
            <v>0</v>
          </cell>
          <cell r="U281" t="str">
            <v>Marketing</v>
          </cell>
          <cell r="V281">
            <v>0</v>
          </cell>
          <cell r="W281">
            <v>0</v>
          </cell>
          <cell r="X281">
            <v>0</v>
          </cell>
          <cell r="Y281">
            <v>0</v>
          </cell>
          <cell r="Z281">
            <v>0</v>
          </cell>
          <cell r="AA281">
            <v>0</v>
          </cell>
          <cell r="AB281">
            <v>0</v>
          </cell>
          <cell r="AC281">
            <v>0</v>
          </cell>
          <cell r="AD281">
            <v>0</v>
          </cell>
          <cell r="AE281">
            <v>0</v>
          </cell>
          <cell r="AF281">
            <v>0</v>
          </cell>
          <cell r="AG281">
            <v>0</v>
          </cell>
          <cell r="AI281" t="str">
            <v>Marketing</v>
          </cell>
          <cell r="AJ281">
            <v>0</v>
          </cell>
          <cell r="AK281">
            <v>0</v>
          </cell>
          <cell r="AL281">
            <v>0</v>
          </cell>
          <cell r="AM281">
            <v>0</v>
          </cell>
          <cell r="AN281">
            <v>0</v>
          </cell>
        </row>
        <row r="282">
          <cell r="A282" t="str">
            <v>Administration</v>
          </cell>
          <cell r="C282">
            <v>0</v>
          </cell>
          <cell r="D282">
            <v>0</v>
          </cell>
          <cell r="E282">
            <v>0</v>
          </cell>
          <cell r="F282">
            <v>0</v>
          </cell>
          <cell r="G282">
            <v>0</v>
          </cell>
          <cell r="H282">
            <v>0</v>
          </cell>
          <cell r="I282">
            <v>0</v>
          </cell>
          <cell r="J282">
            <v>0</v>
          </cell>
          <cell r="K282">
            <v>0</v>
          </cell>
          <cell r="L282">
            <v>0</v>
          </cell>
          <cell r="M282">
            <v>0</v>
          </cell>
          <cell r="N282">
            <v>0</v>
          </cell>
          <cell r="O282">
            <v>0</v>
          </cell>
          <cell r="Q282">
            <v>0</v>
          </cell>
          <cell r="S282">
            <v>0</v>
          </cell>
          <cell r="U282" t="str">
            <v>Administration</v>
          </cell>
          <cell r="V282">
            <v>0</v>
          </cell>
          <cell r="W282">
            <v>0</v>
          </cell>
          <cell r="X282">
            <v>0</v>
          </cell>
          <cell r="Y282">
            <v>0</v>
          </cell>
          <cell r="Z282">
            <v>0</v>
          </cell>
          <cell r="AA282">
            <v>0</v>
          </cell>
          <cell r="AB282">
            <v>0</v>
          </cell>
          <cell r="AC282">
            <v>0</v>
          </cell>
          <cell r="AD282">
            <v>0</v>
          </cell>
          <cell r="AE282">
            <v>0</v>
          </cell>
          <cell r="AF282">
            <v>0</v>
          </cell>
          <cell r="AG282">
            <v>0</v>
          </cell>
          <cell r="AI282" t="str">
            <v>Administration</v>
          </cell>
          <cell r="AJ282">
            <v>0</v>
          </cell>
          <cell r="AK282">
            <v>0</v>
          </cell>
          <cell r="AL282">
            <v>0</v>
          </cell>
          <cell r="AM282">
            <v>0</v>
          </cell>
          <cell r="AN282">
            <v>0</v>
          </cell>
        </row>
        <row r="283">
          <cell r="A283" t="str">
            <v>Technology</v>
          </cell>
          <cell r="C283">
            <v>0</v>
          </cell>
          <cell r="D283">
            <v>0</v>
          </cell>
          <cell r="E283">
            <v>0</v>
          </cell>
          <cell r="F283">
            <v>0</v>
          </cell>
          <cell r="G283">
            <v>0</v>
          </cell>
          <cell r="H283">
            <v>0</v>
          </cell>
          <cell r="I283">
            <v>0</v>
          </cell>
          <cell r="J283">
            <v>0</v>
          </cell>
          <cell r="K283">
            <v>0</v>
          </cell>
          <cell r="L283">
            <v>0</v>
          </cell>
          <cell r="M283">
            <v>0</v>
          </cell>
          <cell r="N283">
            <v>0</v>
          </cell>
          <cell r="O283">
            <v>0</v>
          </cell>
          <cell r="Q283">
            <v>0</v>
          </cell>
          <cell r="S283">
            <v>0</v>
          </cell>
          <cell r="U283" t="str">
            <v>Technology</v>
          </cell>
          <cell r="V283">
            <v>0</v>
          </cell>
          <cell r="W283">
            <v>0</v>
          </cell>
          <cell r="X283">
            <v>0</v>
          </cell>
          <cell r="Y283">
            <v>0</v>
          </cell>
          <cell r="Z283">
            <v>0</v>
          </cell>
          <cell r="AA283">
            <v>0</v>
          </cell>
          <cell r="AB283">
            <v>0</v>
          </cell>
          <cell r="AC283">
            <v>0</v>
          </cell>
          <cell r="AD283">
            <v>0</v>
          </cell>
          <cell r="AE283">
            <v>0</v>
          </cell>
          <cell r="AF283">
            <v>0</v>
          </cell>
          <cell r="AG283">
            <v>0</v>
          </cell>
          <cell r="AI283" t="str">
            <v>Technology</v>
          </cell>
          <cell r="AJ283">
            <v>0</v>
          </cell>
          <cell r="AK283">
            <v>0</v>
          </cell>
          <cell r="AL283">
            <v>0</v>
          </cell>
          <cell r="AM283">
            <v>0</v>
          </cell>
          <cell r="AN283">
            <v>0</v>
          </cell>
          <cell r="AP283">
            <v>0</v>
          </cell>
          <cell r="AR283">
            <v>0</v>
          </cell>
        </row>
        <row r="284">
          <cell r="A284" t="str">
            <v>Total Foundation MAT</v>
          </cell>
          <cell r="C284">
            <v>0</v>
          </cell>
          <cell r="D284">
            <v>0</v>
          </cell>
          <cell r="E284">
            <v>0</v>
          </cell>
          <cell r="F284">
            <v>0</v>
          </cell>
          <cell r="G284">
            <v>0</v>
          </cell>
          <cell r="H284">
            <v>0</v>
          </cell>
          <cell r="I284">
            <v>0</v>
          </cell>
          <cell r="J284">
            <v>0</v>
          </cell>
          <cell r="K284">
            <v>0</v>
          </cell>
          <cell r="L284">
            <v>0</v>
          </cell>
          <cell r="M284">
            <v>0</v>
          </cell>
          <cell r="N284">
            <v>0</v>
          </cell>
          <cell r="O284">
            <v>0</v>
          </cell>
          <cell r="Q284">
            <v>0</v>
          </cell>
          <cell r="S284">
            <v>0</v>
          </cell>
          <cell r="U284" t="str">
            <v>Total Foundation MAT</v>
          </cell>
          <cell r="V284">
            <v>0</v>
          </cell>
          <cell r="W284">
            <v>0</v>
          </cell>
          <cell r="X284">
            <v>0</v>
          </cell>
          <cell r="Y284">
            <v>0</v>
          </cell>
          <cell r="Z284">
            <v>0</v>
          </cell>
          <cell r="AA284">
            <v>0</v>
          </cell>
          <cell r="AB284">
            <v>0</v>
          </cell>
          <cell r="AC284">
            <v>0</v>
          </cell>
          <cell r="AD284">
            <v>0</v>
          </cell>
          <cell r="AE284">
            <v>0</v>
          </cell>
          <cell r="AF284">
            <v>0</v>
          </cell>
          <cell r="AG284">
            <v>0</v>
          </cell>
          <cell r="AI284" t="str">
            <v>Total Foundation MAT</v>
          </cell>
          <cell r="AJ284">
            <v>0</v>
          </cell>
          <cell r="AK284">
            <v>0</v>
          </cell>
          <cell r="AL284">
            <v>0</v>
          </cell>
          <cell r="AM284">
            <v>0</v>
          </cell>
          <cell r="AN284">
            <v>0</v>
          </cell>
          <cell r="AP284">
            <v>0</v>
          </cell>
          <cell r="AR284">
            <v>0</v>
          </cell>
        </row>
        <row r="286">
          <cell r="A286" t="str">
            <v>Amort of Intangible  Assets</v>
          </cell>
          <cell r="C286">
            <v>0</v>
          </cell>
          <cell r="D286">
            <v>0</v>
          </cell>
          <cell r="E286">
            <v>0</v>
          </cell>
          <cell r="F286">
            <v>0</v>
          </cell>
          <cell r="G286">
            <v>0</v>
          </cell>
          <cell r="H286">
            <v>0</v>
          </cell>
          <cell r="I286">
            <v>0</v>
          </cell>
          <cell r="J286">
            <v>0</v>
          </cell>
          <cell r="K286">
            <v>0</v>
          </cell>
          <cell r="L286">
            <v>0</v>
          </cell>
          <cell r="M286">
            <v>0</v>
          </cell>
          <cell r="N286">
            <v>0</v>
          </cell>
          <cell r="O286">
            <v>0</v>
          </cell>
          <cell r="Q286">
            <v>0</v>
          </cell>
          <cell r="S286">
            <v>0</v>
          </cell>
          <cell r="U286" t="str">
            <v>Amort of Intangible  Assets</v>
          </cell>
          <cell r="V286">
            <v>0</v>
          </cell>
          <cell r="W286">
            <v>0</v>
          </cell>
          <cell r="X286">
            <v>0</v>
          </cell>
          <cell r="Y286">
            <v>0</v>
          </cell>
          <cell r="Z286">
            <v>0</v>
          </cell>
          <cell r="AA286">
            <v>0</v>
          </cell>
          <cell r="AB286">
            <v>0</v>
          </cell>
          <cell r="AC286">
            <v>0</v>
          </cell>
          <cell r="AD286">
            <v>0</v>
          </cell>
          <cell r="AE286">
            <v>0</v>
          </cell>
          <cell r="AF286">
            <v>0</v>
          </cell>
          <cell r="AG286">
            <v>0</v>
          </cell>
          <cell r="AI286" t="str">
            <v>Amort of Intangible  Assets</v>
          </cell>
          <cell r="AJ286">
            <v>0</v>
          </cell>
          <cell r="AK286">
            <v>0</v>
          </cell>
          <cell r="AL286">
            <v>0</v>
          </cell>
          <cell r="AM286">
            <v>0</v>
          </cell>
          <cell r="AN286">
            <v>0</v>
          </cell>
          <cell r="AP286">
            <v>0</v>
          </cell>
          <cell r="AR286">
            <v>0</v>
          </cell>
        </row>
        <row r="288">
          <cell r="A288" t="str">
            <v>Interest Expense</v>
          </cell>
          <cell r="C288">
            <v>0</v>
          </cell>
          <cell r="D288">
            <v>0</v>
          </cell>
          <cell r="E288">
            <v>0</v>
          </cell>
          <cell r="F288">
            <v>0</v>
          </cell>
          <cell r="G288">
            <v>0</v>
          </cell>
          <cell r="H288">
            <v>0</v>
          </cell>
          <cell r="I288">
            <v>0</v>
          </cell>
          <cell r="J288">
            <v>0</v>
          </cell>
          <cell r="K288">
            <v>0</v>
          </cell>
          <cell r="L288">
            <v>0</v>
          </cell>
          <cell r="M288">
            <v>0</v>
          </cell>
          <cell r="N288">
            <v>0</v>
          </cell>
          <cell r="O288">
            <v>0</v>
          </cell>
          <cell r="Q288">
            <v>0</v>
          </cell>
          <cell r="S288">
            <v>0</v>
          </cell>
          <cell r="U288" t="str">
            <v>Interest Expense</v>
          </cell>
          <cell r="V288">
            <v>0</v>
          </cell>
          <cell r="W288">
            <v>0</v>
          </cell>
          <cell r="X288">
            <v>0</v>
          </cell>
          <cell r="Y288">
            <v>0</v>
          </cell>
          <cell r="Z288">
            <v>0</v>
          </cell>
          <cell r="AA288">
            <v>0</v>
          </cell>
          <cell r="AB288">
            <v>0</v>
          </cell>
          <cell r="AC288">
            <v>0</v>
          </cell>
          <cell r="AD288">
            <v>0</v>
          </cell>
          <cell r="AE288">
            <v>0</v>
          </cell>
          <cell r="AF288">
            <v>0</v>
          </cell>
          <cell r="AG288">
            <v>0</v>
          </cell>
          <cell r="AI288" t="str">
            <v>Interest Expense</v>
          </cell>
          <cell r="AJ288">
            <v>0</v>
          </cell>
          <cell r="AK288">
            <v>0</v>
          </cell>
          <cell r="AL288">
            <v>0</v>
          </cell>
          <cell r="AM288">
            <v>0</v>
          </cell>
          <cell r="AN288">
            <v>0</v>
          </cell>
          <cell r="AP288">
            <v>0</v>
          </cell>
          <cell r="AR288">
            <v>0</v>
          </cell>
        </row>
        <row r="289">
          <cell r="A289" t="str">
            <v>Interest Income</v>
          </cell>
          <cell r="C289">
            <v>0</v>
          </cell>
          <cell r="D289">
            <v>0</v>
          </cell>
          <cell r="E289">
            <v>0</v>
          </cell>
          <cell r="F289">
            <v>0</v>
          </cell>
          <cell r="G289">
            <v>0</v>
          </cell>
          <cell r="H289">
            <v>0</v>
          </cell>
          <cell r="I289">
            <v>0</v>
          </cell>
          <cell r="J289">
            <v>0</v>
          </cell>
          <cell r="K289">
            <v>0</v>
          </cell>
          <cell r="L289">
            <v>0</v>
          </cell>
          <cell r="M289">
            <v>0</v>
          </cell>
          <cell r="N289">
            <v>0</v>
          </cell>
          <cell r="O289">
            <v>0</v>
          </cell>
          <cell r="Q289">
            <v>0</v>
          </cell>
          <cell r="S289">
            <v>0</v>
          </cell>
          <cell r="U289" t="str">
            <v>Interest Income</v>
          </cell>
          <cell r="V289">
            <v>0</v>
          </cell>
          <cell r="W289">
            <v>0</v>
          </cell>
          <cell r="X289">
            <v>0</v>
          </cell>
          <cell r="Y289">
            <v>0</v>
          </cell>
          <cell r="Z289">
            <v>0</v>
          </cell>
          <cell r="AA289">
            <v>0</v>
          </cell>
          <cell r="AB289">
            <v>0</v>
          </cell>
          <cell r="AC289">
            <v>0</v>
          </cell>
          <cell r="AD289">
            <v>0</v>
          </cell>
          <cell r="AE289">
            <v>0</v>
          </cell>
          <cell r="AF289">
            <v>0</v>
          </cell>
          <cell r="AG289">
            <v>0</v>
          </cell>
          <cell r="AI289" t="str">
            <v>Interest Income</v>
          </cell>
          <cell r="AJ289">
            <v>0</v>
          </cell>
          <cell r="AK289">
            <v>0</v>
          </cell>
          <cell r="AL289">
            <v>0</v>
          </cell>
          <cell r="AM289">
            <v>0</v>
          </cell>
          <cell r="AN289">
            <v>0</v>
          </cell>
          <cell r="AP289">
            <v>0</v>
          </cell>
          <cell r="AR289">
            <v>0</v>
          </cell>
        </row>
        <row r="290">
          <cell r="A290" t="str">
            <v>Other Income/Exp.</v>
          </cell>
          <cell r="C290">
            <v>0</v>
          </cell>
          <cell r="D290">
            <v>0</v>
          </cell>
          <cell r="E290">
            <v>0</v>
          </cell>
          <cell r="F290">
            <v>0</v>
          </cell>
          <cell r="G290">
            <v>0</v>
          </cell>
          <cell r="H290">
            <v>0</v>
          </cell>
          <cell r="I290">
            <v>0</v>
          </cell>
          <cell r="J290">
            <v>0</v>
          </cell>
          <cell r="K290">
            <v>0</v>
          </cell>
          <cell r="L290">
            <v>0</v>
          </cell>
          <cell r="M290">
            <v>0</v>
          </cell>
          <cell r="N290">
            <v>0</v>
          </cell>
          <cell r="O290">
            <v>0</v>
          </cell>
          <cell r="Q290">
            <v>0</v>
          </cell>
          <cell r="S290">
            <v>0</v>
          </cell>
          <cell r="U290" t="str">
            <v>Other Income/Exp.</v>
          </cell>
          <cell r="V290">
            <v>0</v>
          </cell>
          <cell r="W290">
            <v>0</v>
          </cell>
          <cell r="X290">
            <v>0</v>
          </cell>
          <cell r="Y290">
            <v>0</v>
          </cell>
          <cell r="Z290">
            <v>0</v>
          </cell>
          <cell r="AA290">
            <v>0</v>
          </cell>
          <cell r="AB290">
            <v>0</v>
          </cell>
          <cell r="AC290">
            <v>0</v>
          </cell>
          <cell r="AD290">
            <v>0</v>
          </cell>
          <cell r="AE290">
            <v>0</v>
          </cell>
          <cell r="AF290">
            <v>0</v>
          </cell>
          <cell r="AG290">
            <v>0</v>
          </cell>
          <cell r="AI290" t="str">
            <v>Other Income/Exp.</v>
          </cell>
          <cell r="AJ290">
            <v>0</v>
          </cell>
          <cell r="AK290">
            <v>0</v>
          </cell>
          <cell r="AL290">
            <v>0</v>
          </cell>
          <cell r="AM290">
            <v>0</v>
          </cell>
          <cell r="AN290">
            <v>0</v>
          </cell>
          <cell r="AP290">
            <v>0</v>
          </cell>
          <cell r="AR290">
            <v>0</v>
          </cell>
        </row>
        <row r="292">
          <cell r="A292" t="str">
            <v>Income Before Tax</v>
          </cell>
          <cell r="C292">
            <v>-0.44508035510024263</v>
          </cell>
          <cell r="D292">
            <v>-0.56183622793341592</v>
          </cell>
          <cell r="E292">
            <v>-0.70243353784525919</v>
          </cell>
          <cell r="F292">
            <v>-0.67184274649304676</v>
          </cell>
          <cell r="G292">
            <v>3.4889624812456388</v>
          </cell>
          <cell r="H292">
            <v>25.24143846029072</v>
          </cell>
          <cell r="I292">
            <v>12.179188664570713</v>
          </cell>
          <cell r="J292">
            <v>-0.43973231529502244</v>
          </cell>
          <cell r="K292">
            <v>-0.64835009819515432</v>
          </cell>
          <cell r="L292">
            <v>-0.47346893318216338</v>
          </cell>
          <cell r="M292">
            <v>-0.47346893318216338</v>
          </cell>
          <cell r="N292">
            <v>-0.47346893318216338</v>
          </cell>
          <cell r="O292">
            <v>36.019907525698436</v>
          </cell>
          <cell r="Q292">
            <v>36.019907525698436</v>
          </cell>
          <cell r="S292">
            <v>36.019907525698436</v>
          </cell>
          <cell r="U292" t="str">
            <v>Income Before Tax</v>
          </cell>
          <cell r="V292">
            <v>-0.44508035510024263</v>
          </cell>
          <cell r="W292">
            <v>-1.0069165830336586</v>
          </cell>
          <cell r="X292">
            <v>-1.7093501208789177</v>
          </cell>
          <cell r="Y292">
            <v>-2.3811928673719645</v>
          </cell>
          <cell r="Z292">
            <v>1.1077696138736743</v>
          </cell>
          <cell r="AA292">
            <v>26.349208074164395</v>
          </cell>
          <cell r="AB292">
            <v>38.528396738735097</v>
          </cell>
          <cell r="AC292">
            <v>38.088664423440079</v>
          </cell>
          <cell r="AD292">
            <v>37.440314325244927</v>
          </cell>
          <cell r="AE292">
            <v>36.966845392062758</v>
          </cell>
          <cell r="AF292">
            <v>36.493376458880597</v>
          </cell>
          <cell r="AG292">
            <v>36.019907525698436</v>
          </cell>
          <cell r="AI292" t="str">
            <v>Income Before Tax</v>
          </cell>
          <cell r="AJ292">
            <v>-1.7093501208789177</v>
          </cell>
          <cell r="AK292">
            <v>28.058558195043311</v>
          </cell>
          <cell r="AL292">
            <v>11.091106251080536</v>
          </cell>
          <cell r="AM292">
            <v>-1.4204067995464902</v>
          </cell>
          <cell r="AN292">
            <v>36.019907525698436</v>
          </cell>
          <cell r="AP292">
            <v>0</v>
          </cell>
          <cell r="AR292">
            <v>0</v>
          </cell>
        </row>
        <row r="293">
          <cell r="A293" t="str">
            <v>Privision for Taxes</v>
          </cell>
          <cell r="C293">
            <v>-0.13797491008107521</v>
          </cell>
          <cell r="D293">
            <v>-0.17416923065935894</v>
          </cell>
          <cell r="E293">
            <v>-0.21775439673203034</v>
          </cell>
          <cell r="F293">
            <v>-0.2082712514128445</v>
          </cell>
          <cell r="G293">
            <v>1.081578369186148</v>
          </cell>
          <cell r="H293">
            <v>7.8248459226901232</v>
          </cell>
          <cell r="I293">
            <v>3.7755484860169211</v>
          </cell>
          <cell r="J293">
            <v>-0.13631701774145696</v>
          </cell>
          <cell r="K293">
            <v>-0.20098853044049783</v>
          </cell>
          <cell r="L293">
            <v>-0.14677536928647064</v>
          </cell>
          <cell r="M293">
            <v>-0.14677536928647064</v>
          </cell>
          <cell r="N293">
            <v>-0.14677536928647064</v>
          </cell>
          <cell r="O293">
            <v>11.166171332966515</v>
          </cell>
          <cell r="Q293">
            <v>11.166171332966515</v>
          </cell>
          <cell r="S293">
            <v>11.166171332966515</v>
          </cell>
          <cell r="U293" t="str">
            <v>Privision for Taxes</v>
          </cell>
          <cell r="V293">
            <v>-0.13797491008107521</v>
          </cell>
          <cell r="W293">
            <v>-0.31214414074043417</v>
          </cell>
          <cell r="X293">
            <v>-0.52989853747246451</v>
          </cell>
          <cell r="Y293">
            <v>-0.73816978888530904</v>
          </cell>
          <cell r="Z293">
            <v>0.34340858030083898</v>
          </cell>
          <cell r="AA293">
            <v>8.1682545029909619</v>
          </cell>
          <cell r="AB293">
            <v>11.943802989007883</v>
          </cell>
          <cell r="AC293">
            <v>11.807485971266427</v>
          </cell>
          <cell r="AD293">
            <v>11.60649744082593</v>
          </cell>
          <cell r="AE293">
            <v>11.459722071539458</v>
          </cell>
          <cell r="AF293">
            <v>11.312946702252987</v>
          </cell>
          <cell r="AG293">
            <v>11.166171332966515</v>
          </cell>
          <cell r="AI293" t="str">
            <v>Privision for Taxes</v>
          </cell>
          <cell r="AJ293">
            <v>-0.52989853747246451</v>
          </cell>
          <cell r="AK293">
            <v>8.698153040463426</v>
          </cell>
          <cell r="AL293">
            <v>3.4382429378349664</v>
          </cell>
          <cell r="AM293">
            <v>-0.44032610785941195</v>
          </cell>
          <cell r="AN293">
            <v>11.166171332966515</v>
          </cell>
        </row>
        <row r="294">
          <cell r="A294" t="str">
            <v>Tax rate %</v>
          </cell>
          <cell r="C294">
            <v>0.31</v>
          </cell>
          <cell r="D294">
            <v>0.31</v>
          </cell>
          <cell r="E294">
            <v>0.31</v>
          </cell>
          <cell r="F294">
            <v>0.31</v>
          </cell>
          <cell r="G294">
            <v>0.31</v>
          </cell>
          <cell r="H294">
            <v>0.31</v>
          </cell>
          <cell r="I294">
            <v>0.31</v>
          </cell>
          <cell r="J294">
            <v>0.31</v>
          </cell>
          <cell r="K294">
            <v>0.31</v>
          </cell>
          <cell r="L294">
            <v>0.31</v>
          </cell>
          <cell r="M294">
            <v>0.31</v>
          </cell>
          <cell r="N294">
            <v>0.31</v>
          </cell>
          <cell r="O294">
            <v>0.31</v>
          </cell>
          <cell r="Q294">
            <v>0.31</v>
          </cell>
          <cell r="S294">
            <v>0.31</v>
          </cell>
          <cell r="U294" t="str">
            <v>Tax rate %</v>
          </cell>
          <cell r="V294">
            <v>0.31</v>
          </cell>
          <cell r="W294">
            <v>0.31</v>
          </cell>
          <cell r="X294">
            <v>0.31</v>
          </cell>
          <cell r="Y294">
            <v>0.31000000000000005</v>
          </cell>
          <cell r="Z294">
            <v>0.30999999999999994</v>
          </cell>
          <cell r="AA294">
            <v>0.31</v>
          </cell>
          <cell r="AB294">
            <v>0.31000000000000011</v>
          </cell>
          <cell r="AC294">
            <v>0.31000000000000005</v>
          </cell>
          <cell r="AD294">
            <v>0.31000000000000005</v>
          </cell>
          <cell r="AE294">
            <v>0.31000000000000005</v>
          </cell>
          <cell r="AF294">
            <v>0.31000000000000005</v>
          </cell>
          <cell r="AG294">
            <v>0.31</v>
          </cell>
          <cell r="AI294" t="str">
            <v>Tax rate %</v>
          </cell>
          <cell r="AJ294">
            <v>0.31</v>
          </cell>
          <cell r="AK294">
            <v>0.31</v>
          </cell>
          <cell r="AL294">
            <v>0.31</v>
          </cell>
          <cell r="AM294">
            <v>0.31</v>
          </cell>
          <cell r="AN294">
            <v>0.31</v>
          </cell>
          <cell r="AP294">
            <v>0</v>
          </cell>
          <cell r="AR294">
            <v>0</v>
          </cell>
        </row>
        <row r="296">
          <cell r="A296" t="str">
            <v>Net Income</v>
          </cell>
          <cell r="C296">
            <v>-0.30710544501916742</v>
          </cell>
          <cell r="D296">
            <v>-0.38766699727405696</v>
          </cell>
          <cell r="E296">
            <v>-0.48467914111322885</v>
          </cell>
          <cell r="F296">
            <v>-0.46357149508020223</v>
          </cell>
          <cell r="G296">
            <v>2.407384112059491</v>
          </cell>
          <cell r="H296">
            <v>17.416592537600597</v>
          </cell>
          <cell r="I296">
            <v>8.4036401785537915</v>
          </cell>
          <cell r="J296">
            <v>-0.30341529755356544</v>
          </cell>
          <cell r="K296">
            <v>-0.44736156775465652</v>
          </cell>
          <cell r="L296">
            <v>-0.32669356389569271</v>
          </cell>
          <cell r="M296">
            <v>-0.32669356389569271</v>
          </cell>
          <cell r="N296">
            <v>-0.32669356389569271</v>
          </cell>
          <cell r="O296">
            <v>24.853736192731922</v>
          </cell>
          <cell r="Q296">
            <v>24.853736192731922</v>
          </cell>
          <cell r="S296">
            <v>24.853736192731922</v>
          </cell>
          <cell r="U296" t="str">
            <v>Net Income</v>
          </cell>
          <cell r="V296">
            <v>-0.30710544501916742</v>
          </cell>
          <cell r="W296">
            <v>-0.69477244229322443</v>
          </cell>
          <cell r="X296">
            <v>-1.1794515834064532</v>
          </cell>
          <cell r="Y296">
            <v>-1.6430230784866553</v>
          </cell>
          <cell r="Z296">
            <v>0.76436103357283536</v>
          </cell>
          <cell r="AA296">
            <v>18.180953571173433</v>
          </cell>
          <cell r="AB296">
            <v>26.584593749727212</v>
          </cell>
          <cell r="AC296">
            <v>26.281178452173652</v>
          </cell>
          <cell r="AD296">
            <v>25.833816884418997</v>
          </cell>
          <cell r="AE296">
            <v>25.507123320523299</v>
          </cell>
          <cell r="AF296">
            <v>25.180429756627611</v>
          </cell>
          <cell r="AG296">
            <v>24.853736192731922</v>
          </cell>
          <cell r="AI296" t="str">
            <v>Net Income</v>
          </cell>
          <cell r="AJ296">
            <v>-1.1794515834064532</v>
          </cell>
          <cell r="AK296">
            <v>19.360405154579887</v>
          </cell>
          <cell r="AL296">
            <v>7.6528633132455699</v>
          </cell>
          <cell r="AM296">
            <v>-0.98008069168707823</v>
          </cell>
          <cell r="AN296">
            <v>24.853736192731922</v>
          </cell>
          <cell r="AP296">
            <v>0</v>
          </cell>
          <cell r="AR296">
            <v>0</v>
          </cell>
        </row>
        <row r="297">
          <cell r="A297" t="str">
            <v>% Sales</v>
          </cell>
          <cell r="C297">
            <v>0</v>
          </cell>
          <cell r="D297">
            <v>0</v>
          </cell>
          <cell r="E297">
            <v>0</v>
          </cell>
          <cell r="F297">
            <v>0</v>
          </cell>
          <cell r="G297">
            <v>0.32320849063503054</v>
          </cell>
          <cell r="H297">
            <v>0.39214007619521735</v>
          </cell>
          <cell r="I297">
            <v>0.38075955936053046</v>
          </cell>
          <cell r="J297">
            <v>0</v>
          </cell>
          <cell r="K297">
            <v>0</v>
          </cell>
          <cell r="L297">
            <v>0</v>
          </cell>
          <cell r="M297">
            <v>0</v>
          </cell>
          <cell r="N297">
            <v>0</v>
          </cell>
          <cell r="O297">
            <v>0.33616415359830137</v>
          </cell>
          <cell r="Q297">
            <v>0.33616415359830137</v>
          </cell>
          <cell r="S297">
            <v>0.33616415359830137</v>
          </cell>
          <cell r="U297" t="str">
            <v>% Sales</v>
          </cell>
          <cell r="V297">
            <v>0</v>
          </cell>
          <cell r="W297">
            <v>0</v>
          </cell>
          <cell r="X297">
            <v>0</v>
          </cell>
          <cell r="Y297">
            <v>0</v>
          </cell>
          <cell r="Z297">
            <v>0.10262092149057225</v>
          </cell>
          <cell r="AA297">
            <v>0.3505599698177273</v>
          </cell>
          <cell r="AB297">
            <v>0.35957521184461444</v>
          </cell>
          <cell r="AC297">
            <v>0.35547130787219289</v>
          </cell>
          <cell r="AD297">
            <v>0.34942042998363498</v>
          </cell>
          <cell r="AE297">
            <v>0.34500167118852371</v>
          </cell>
          <cell r="AF297">
            <v>0.34058291239341254</v>
          </cell>
          <cell r="AG297">
            <v>0.33616415359830137</v>
          </cell>
          <cell r="AI297" t="str">
            <v>% Sales</v>
          </cell>
          <cell r="AJ297">
            <v>0</v>
          </cell>
          <cell r="AK297">
            <v>0.37330181940563928</v>
          </cell>
          <cell r="AL297">
            <v>0.34674269734133412</v>
          </cell>
          <cell r="AM297">
            <v>0</v>
          </cell>
          <cell r="AN297">
            <v>0.33616415359830137</v>
          </cell>
          <cell r="AP297">
            <v>0</v>
          </cell>
          <cell r="AR297">
            <v>0</v>
          </cell>
        </row>
        <row r="303">
          <cell r="A303" t="str">
            <v>MEX Budget '02</v>
          </cell>
          <cell r="U303" t="str">
            <v>MEX Forecast YTD '00</v>
          </cell>
          <cell r="AI303" t="str">
            <v>MEX Forecast Qtr.'00</v>
          </cell>
        </row>
        <row r="304">
          <cell r="A304" t="str">
            <v>Butachlor</v>
          </cell>
          <cell r="C304" t="str">
            <v>Jan</v>
          </cell>
          <cell r="D304" t="str">
            <v>Feb</v>
          </cell>
          <cell r="E304" t="str">
            <v>Mar</v>
          </cell>
          <cell r="F304" t="str">
            <v>Apr</v>
          </cell>
          <cell r="G304" t="str">
            <v>May</v>
          </cell>
          <cell r="H304" t="str">
            <v>Jun</v>
          </cell>
          <cell r="I304" t="str">
            <v>Jul</v>
          </cell>
          <cell r="J304" t="str">
            <v>Aug</v>
          </cell>
          <cell r="K304" t="str">
            <v>Sep</v>
          </cell>
          <cell r="L304" t="str">
            <v>Oct</v>
          </cell>
          <cell r="M304" t="str">
            <v>Nov</v>
          </cell>
          <cell r="N304" t="str">
            <v>Dec</v>
          </cell>
          <cell r="O304" t="str">
            <v>Total</v>
          </cell>
          <cell r="Q304" t="str">
            <v>Changes</v>
          </cell>
          <cell r="S304" t="str">
            <v>Changes</v>
          </cell>
          <cell r="U304" t="str">
            <v>Butachlor</v>
          </cell>
          <cell r="V304" t="str">
            <v>Jan</v>
          </cell>
          <cell r="W304" t="str">
            <v>Feb</v>
          </cell>
          <cell r="X304" t="str">
            <v>Mar</v>
          </cell>
          <cell r="Y304" t="str">
            <v>Apr</v>
          </cell>
          <cell r="Z304" t="str">
            <v>May</v>
          </cell>
          <cell r="AA304" t="str">
            <v>Jun</v>
          </cell>
          <cell r="AB304" t="str">
            <v>Jul</v>
          </cell>
          <cell r="AC304" t="str">
            <v>Aug</v>
          </cell>
          <cell r="AD304" t="str">
            <v>Sep</v>
          </cell>
          <cell r="AE304" t="str">
            <v>Oct</v>
          </cell>
          <cell r="AF304" t="str">
            <v>Nov</v>
          </cell>
          <cell r="AG304" t="str">
            <v>Dec</v>
          </cell>
          <cell r="AI304" t="str">
            <v>Butachlor</v>
          </cell>
          <cell r="AJ304" t="str">
            <v>1st Qtr.</v>
          </cell>
          <cell r="AK304" t="str">
            <v>2nd Qtr.</v>
          </cell>
          <cell r="AL304" t="str">
            <v>3er Qtr.</v>
          </cell>
          <cell r="AM304" t="str">
            <v>4 Qtr.</v>
          </cell>
          <cell r="AN304" t="str">
            <v>Total</v>
          </cell>
          <cell r="AP304">
            <v>2003</v>
          </cell>
          <cell r="AQ304">
            <v>0</v>
          </cell>
          <cell r="AR304">
            <v>2004</v>
          </cell>
        </row>
        <row r="306">
          <cell r="A306" t="str">
            <v>Butachlor Volume (K Galls)</v>
          </cell>
          <cell r="B306">
            <v>1</v>
          </cell>
          <cell r="C306">
            <v>0</v>
          </cell>
          <cell r="D306">
            <v>0</v>
          </cell>
          <cell r="E306">
            <v>0</v>
          </cell>
          <cell r="F306">
            <v>0</v>
          </cell>
          <cell r="G306">
            <v>0</v>
          </cell>
          <cell r="H306">
            <v>0</v>
          </cell>
          <cell r="I306">
            <v>0</v>
          </cell>
          <cell r="J306">
            <v>0</v>
          </cell>
          <cell r="K306">
            <v>0</v>
          </cell>
          <cell r="L306">
            <v>0</v>
          </cell>
          <cell r="M306">
            <v>0</v>
          </cell>
          <cell r="N306">
            <v>0</v>
          </cell>
          <cell r="O306">
            <v>0</v>
          </cell>
          <cell r="Q306">
            <v>0</v>
          </cell>
          <cell r="S306">
            <v>0</v>
          </cell>
          <cell r="U306" t="str">
            <v>Butachlor Volume (K Galls)</v>
          </cell>
          <cell r="V306">
            <v>0</v>
          </cell>
          <cell r="W306">
            <v>0</v>
          </cell>
          <cell r="X306">
            <v>0</v>
          </cell>
          <cell r="Y306">
            <v>0</v>
          </cell>
          <cell r="Z306">
            <v>0</v>
          </cell>
          <cell r="AA306">
            <v>0</v>
          </cell>
          <cell r="AB306">
            <v>0</v>
          </cell>
          <cell r="AC306">
            <v>0</v>
          </cell>
          <cell r="AD306">
            <v>0</v>
          </cell>
          <cell r="AE306">
            <v>0</v>
          </cell>
          <cell r="AF306">
            <v>0</v>
          </cell>
          <cell r="AG306">
            <v>0</v>
          </cell>
          <cell r="AI306" t="str">
            <v>Butachlor Volume (K Galls)</v>
          </cell>
          <cell r="AJ306">
            <v>0</v>
          </cell>
          <cell r="AK306">
            <v>0</v>
          </cell>
          <cell r="AL306">
            <v>0</v>
          </cell>
          <cell r="AM306">
            <v>0</v>
          </cell>
          <cell r="AN306">
            <v>0</v>
          </cell>
        </row>
        <row r="307">
          <cell r="A307" t="str">
            <v>Butachlor Netback (K Galls)</v>
          </cell>
          <cell r="C307">
            <v>0</v>
          </cell>
          <cell r="D307">
            <v>0</v>
          </cell>
          <cell r="E307">
            <v>0</v>
          </cell>
          <cell r="F307">
            <v>0</v>
          </cell>
          <cell r="G307">
            <v>0</v>
          </cell>
          <cell r="H307">
            <v>0</v>
          </cell>
          <cell r="I307">
            <v>0</v>
          </cell>
          <cell r="J307">
            <v>0</v>
          </cell>
          <cell r="K307">
            <v>0</v>
          </cell>
          <cell r="L307">
            <v>0</v>
          </cell>
          <cell r="M307">
            <v>0</v>
          </cell>
          <cell r="N307">
            <v>0</v>
          </cell>
          <cell r="O307">
            <v>0</v>
          </cell>
          <cell r="Q307">
            <v>0</v>
          </cell>
          <cell r="S307">
            <v>0</v>
          </cell>
          <cell r="U307" t="str">
            <v>Butachlor Netback (K Galls)</v>
          </cell>
          <cell r="V307">
            <v>0</v>
          </cell>
          <cell r="W307">
            <v>0</v>
          </cell>
          <cell r="X307">
            <v>0</v>
          </cell>
          <cell r="Y307">
            <v>0</v>
          </cell>
          <cell r="Z307">
            <v>0</v>
          </cell>
          <cell r="AA307">
            <v>0</v>
          </cell>
          <cell r="AB307">
            <v>0</v>
          </cell>
          <cell r="AC307">
            <v>0</v>
          </cell>
          <cell r="AD307">
            <v>0</v>
          </cell>
          <cell r="AE307">
            <v>0</v>
          </cell>
          <cell r="AF307">
            <v>0</v>
          </cell>
          <cell r="AG307">
            <v>0</v>
          </cell>
          <cell r="AI307" t="str">
            <v>Butachlor Netback (K Galls)</v>
          </cell>
          <cell r="AJ307">
            <v>0</v>
          </cell>
          <cell r="AK307">
            <v>0</v>
          </cell>
          <cell r="AL307">
            <v>0</v>
          </cell>
          <cell r="AM307">
            <v>0</v>
          </cell>
          <cell r="AN307">
            <v>0</v>
          </cell>
        </row>
        <row r="308">
          <cell r="A308" t="str">
            <v>Butachlor Unit COGS (K Galls)</v>
          </cell>
          <cell r="C308">
            <v>0</v>
          </cell>
          <cell r="D308">
            <v>0</v>
          </cell>
          <cell r="E308">
            <v>0</v>
          </cell>
          <cell r="F308">
            <v>0</v>
          </cell>
          <cell r="G308">
            <v>0</v>
          </cell>
          <cell r="H308">
            <v>0</v>
          </cell>
          <cell r="I308">
            <v>0</v>
          </cell>
          <cell r="J308">
            <v>0</v>
          </cell>
          <cell r="K308">
            <v>0</v>
          </cell>
          <cell r="L308">
            <v>0</v>
          </cell>
          <cell r="M308">
            <v>0</v>
          </cell>
          <cell r="N308">
            <v>0</v>
          </cell>
          <cell r="O308">
            <v>0</v>
          </cell>
          <cell r="Q308">
            <v>0</v>
          </cell>
          <cell r="S308">
            <v>0</v>
          </cell>
          <cell r="U308" t="str">
            <v>Butachlor Unit COGS (K Galls)</v>
          </cell>
          <cell r="V308">
            <v>0</v>
          </cell>
          <cell r="W308">
            <v>0</v>
          </cell>
          <cell r="X308">
            <v>0</v>
          </cell>
          <cell r="Y308">
            <v>0</v>
          </cell>
          <cell r="Z308">
            <v>0</v>
          </cell>
          <cell r="AA308">
            <v>0</v>
          </cell>
          <cell r="AB308">
            <v>0</v>
          </cell>
          <cell r="AC308">
            <v>0</v>
          </cell>
          <cell r="AD308">
            <v>0</v>
          </cell>
          <cell r="AE308">
            <v>0</v>
          </cell>
          <cell r="AF308">
            <v>0</v>
          </cell>
          <cell r="AG308">
            <v>0</v>
          </cell>
          <cell r="AI308" t="str">
            <v>Butachlor Unit COGS (K Galls)</v>
          </cell>
          <cell r="AJ308">
            <v>0</v>
          </cell>
          <cell r="AK308">
            <v>0</v>
          </cell>
          <cell r="AL308">
            <v>0</v>
          </cell>
          <cell r="AM308">
            <v>0</v>
          </cell>
          <cell r="AN308">
            <v>0</v>
          </cell>
        </row>
        <row r="309">
          <cell r="A309" t="str">
            <v>Factor de conversión</v>
          </cell>
          <cell r="B309">
            <v>5.0066979742185698</v>
          </cell>
        </row>
        <row r="310">
          <cell r="A310" t="str">
            <v>Butachlor Volume (K TE Lbs)</v>
          </cell>
          <cell r="C310">
            <v>0</v>
          </cell>
          <cell r="D310">
            <v>0</v>
          </cell>
          <cell r="E310">
            <v>0</v>
          </cell>
          <cell r="F310">
            <v>0</v>
          </cell>
          <cell r="G310">
            <v>0</v>
          </cell>
          <cell r="H310">
            <v>0</v>
          </cell>
          <cell r="I310">
            <v>0</v>
          </cell>
          <cell r="J310">
            <v>0</v>
          </cell>
          <cell r="K310">
            <v>0</v>
          </cell>
          <cell r="L310">
            <v>0</v>
          </cell>
          <cell r="M310">
            <v>0</v>
          </cell>
          <cell r="N310">
            <v>0</v>
          </cell>
          <cell r="O310">
            <v>0</v>
          </cell>
          <cell r="Q310">
            <v>0</v>
          </cell>
          <cell r="S310">
            <v>0</v>
          </cell>
          <cell r="U310" t="str">
            <v>Butachlor Volume (K TE Lbs)</v>
          </cell>
          <cell r="V310">
            <v>0</v>
          </cell>
          <cell r="W310">
            <v>0</v>
          </cell>
          <cell r="X310">
            <v>0</v>
          </cell>
          <cell r="Y310">
            <v>0</v>
          </cell>
          <cell r="Z310">
            <v>0</v>
          </cell>
          <cell r="AA310">
            <v>0</v>
          </cell>
          <cell r="AB310">
            <v>0</v>
          </cell>
          <cell r="AC310">
            <v>0</v>
          </cell>
          <cell r="AD310">
            <v>0</v>
          </cell>
          <cell r="AE310">
            <v>0</v>
          </cell>
          <cell r="AF310">
            <v>0</v>
          </cell>
          <cell r="AG310">
            <v>0</v>
          </cell>
          <cell r="AI310" t="str">
            <v>Butachlor Volume (K TE Lbs)</v>
          </cell>
          <cell r="AJ310">
            <v>0</v>
          </cell>
          <cell r="AK310">
            <v>0</v>
          </cell>
          <cell r="AL310">
            <v>0</v>
          </cell>
          <cell r="AM310">
            <v>0</v>
          </cell>
          <cell r="AN310">
            <v>0</v>
          </cell>
          <cell r="AP310">
            <v>0</v>
          </cell>
          <cell r="AR310">
            <v>0</v>
          </cell>
        </row>
        <row r="311">
          <cell r="A311" t="str">
            <v>Butachlor Netback (K TE Lbs)</v>
          </cell>
          <cell r="C311">
            <v>0</v>
          </cell>
          <cell r="D311">
            <v>0</v>
          </cell>
          <cell r="E311">
            <v>0</v>
          </cell>
          <cell r="F311">
            <v>0</v>
          </cell>
          <cell r="G311">
            <v>0</v>
          </cell>
          <cell r="H311">
            <v>0</v>
          </cell>
          <cell r="I311">
            <v>0</v>
          </cell>
          <cell r="J311">
            <v>0</v>
          </cell>
          <cell r="K311">
            <v>0</v>
          </cell>
          <cell r="L311">
            <v>0</v>
          </cell>
          <cell r="M311">
            <v>0</v>
          </cell>
          <cell r="N311">
            <v>0</v>
          </cell>
          <cell r="O311">
            <v>0</v>
          </cell>
          <cell r="Q311">
            <v>0</v>
          </cell>
          <cell r="S311">
            <v>0</v>
          </cell>
          <cell r="U311" t="str">
            <v>Butachlor Netback (K TE Lbs)</v>
          </cell>
          <cell r="V311">
            <v>0</v>
          </cell>
          <cell r="W311">
            <v>0</v>
          </cell>
          <cell r="X311">
            <v>0</v>
          </cell>
          <cell r="Y311">
            <v>0</v>
          </cell>
          <cell r="Z311">
            <v>0</v>
          </cell>
          <cell r="AA311">
            <v>0</v>
          </cell>
          <cell r="AB311">
            <v>0</v>
          </cell>
          <cell r="AC311">
            <v>0</v>
          </cell>
          <cell r="AD311">
            <v>0</v>
          </cell>
          <cell r="AE311">
            <v>0</v>
          </cell>
          <cell r="AF311">
            <v>0</v>
          </cell>
          <cell r="AG311">
            <v>0</v>
          </cell>
          <cell r="AI311" t="str">
            <v>Butachlor Netback (K TE Lbs)</v>
          </cell>
          <cell r="AJ311">
            <v>0</v>
          </cell>
          <cell r="AK311">
            <v>0</v>
          </cell>
          <cell r="AL311">
            <v>0</v>
          </cell>
          <cell r="AM311">
            <v>0</v>
          </cell>
          <cell r="AN311">
            <v>0</v>
          </cell>
          <cell r="AP311">
            <v>0</v>
          </cell>
          <cell r="AR311">
            <v>0</v>
          </cell>
        </row>
        <row r="312">
          <cell r="A312" t="str">
            <v>Butachlor Unit COGS (K TE Lbs)</v>
          </cell>
          <cell r="C312">
            <v>0</v>
          </cell>
          <cell r="D312">
            <v>0</v>
          </cell>
          <cell r="E312">
            <v>0</v>
          </cell>
          <cell r="F312">
            <v>0</v>
          </cell>
          <cell r="G312">
            <v>0</v>
          </cell>
          <cell r="H312">
            <v>0</v>
          </cell>
          <cell r="I312">
            <v>0</v>
          </cell>
          <cell r="J312">
            <v>0</v>
          </cell>
          <cell r="K312">
            <v>0</v>
          </cell>
          <cell r="L312">
            <v>0</v>
          </cell>
          <cell r="M312">
            <v>0</v>
          </cell>
          <cell r="N312">
            <v>0</v>
          </cell>
          <cell r="O312">
            <v>0</v>
          </cell>
          <cell r="Q312">
            <v>0</v>
          </cell>
          <cell r="S312">
            <v>0</v>
          </cell>
          <cell r="U312" t="str">
            <v>Butachlor Unit COGS (K TE Lbs)</v>
          </cell>
          <cell r="V312">
            <v>0</v>
          </cell>
          <cell r="W312">
            <v>0</v>
          </cell>
          <cell r="X312">
            <v>0</v>
          </cell>
          <cell r="Y312">
            <v>0</v>
          </cell>
          <cell r="Z312">
            <v>0</v>
          </cell>
          <cell r="AA312">
            <v>0</v>
          </cell>
          <cell r="AB312">
            <v>0</v>
          </cell>
          <cell r="AC312">
            <v>0</v>
          </cell>
          <cell r="AD312">
            <v>0</v>
          </cell>
          <cell r="AE312">
            <v>0</v>
          </cell>
          <cell r="AF312">
            <v>0</v>
          </cell>
          <cell r="AG312">
            <v>0</v>
          </cell>
          <cell r="AI312" t="str">
            <v>Butachlor Unit COGS (K TE Lbs)</v>
          </cell>
          <cell r="AJ312">
            <v>0</v>
          </cell>
          <cell r="AK312">
            <v>0</v>
          </cell>
          <cell r="AL312">
            <v>0</v>
          </cell>
          <cell r="AM312">
            <v>0</v>
          </cell>
          <cell r="AN312">
            <v>0</v>
          </cell>
          <cell r="AP312">
            <v>0</v>
          </cell>
          <cell r="AR312">
            <v>0</v>
          </cell>
        </row>
        <row r="314">
          <cell r="A314" t="str">
            <v>Net Sales</v>
          </cell>
          <cell r="C314">
            <v>0</v>
          </cell>
          <cell r="D314">
            <v>0</v>
          </cell>
          <cell r="E314">
            <v>0</v>
          </cell>
          <cell r="F314">
            <v>0</v>
          </cell>
          <cell r="G314">
            <v>0</v>
          </cell>
          <cell r="H314">
            <v>0</v>
          </cell>
          <cell r="I314">
            <v>0</v>
          </cell>
          <cell r="J314">
            <v>0</v>
          </cell>
          <cell r="K314">
            <v>0</v>
          </cell>
          <cell r="L314">
            <v>0</v>
          </cell>
          <cell r="M314">
            <v>0</v>
          </cell>
          <cell r="N314">
            <v>0</v>
          </cell>
          <cell r="O314">
            <v>0</v>
          </cell>
          <cell r="Q314">
            <v>0</v>
          </cell>
          <cell r="S314">
            <v>0</v>
          </cell>
          <cell r="U314" t="str">
            <v>Net Sales</v>
          </cell>
          <cell r="V314">
            <v>0</v>
          </cell>
          <cell r="W314">
            <v>0</v>
          </cell>
          <cell r="X314">
            <v>0</v>
          </cell>
          <cell r="Y314">
            <v>0</v>
          </cell>
          <cell r="Z314">
            <v>0</v>
          </cell>
          <cell r="AA314">
            <v>0</v>
          </cell>
          <cell r="AB314">
            <v>0</v>
          </cell>
          <cell r="AC314">
            <v>0</v>
          </cell>
          <cell r="AD314">
            <v>0</v>
          </cell>
          <cell r="AE314">
            <v>0</v>
          </cell>
          <cell r="AF314">
            <v>0</v>
          </cell>
          <cell r="AG314">
            <v>0</v>
          </cell>
          <cell r="AI314" t="str">
            <v>Net Sales</v>
          </cell>
          <cell r="AJ314">
            <v>0</v>
          </cell>
          <cell r="AK314">
            <v>0</v>
          </cell>
          <cell r="AL314">
            <v>0</v>
          </cell>
          <cell r="AM314">
            <v>0</v>
          </cell>
          <cell r="AN314">
            <v>0</v>
          </cell>
          <cell r="AP314">
            <v>0</v>
          </cell>
          <cell r="AR314">
            <v>0</v>
          </cell>
        </row>
        <row r="316">
          <cell r="A316" t="str">
            <v>Inventory Cost</v>
          </cell>
          <cell r="C316">
            <v>0</v>
          </cell>
          <cell r="D316">
            <v>0</v>
          </cell>
          <cell r="E316">
            <v>0</v>
          </cell>
          <cell r="F316">
            <v>0</v>
          </cell>
          <cell r="G316">
            <v>0</v>
          </cell>
          <cell r="H316">
            <v>0</v>
          </cell>
          <cell r="I316">
            <v>0</v>
          </cell>
          <cell r="J316">
            <v>0</v>
          </cell>
          <cell r="K316">
            <v>0</v>
          </cell>
          <cell r="L316">
            <v>0</v>
          </cell>
          <cell r="M316">
            <v>0</v>
          </cell>
          <cell r="N316">
            <v>0</v>
          </cell>
          <cell r="O316">
            <v>0</v>
          </cell>
          <cell r="Q316">
            <v>0</v>
          </cell>
          <cell r="S316">
            <v>0</v>
          </cell>
          <cell r="U316" t="str">
            <v>Inventory Cost</v>
          </cell>
          <cell r="V316">
            <v>0</v>
          </cell>
          <cell r="W316">
            <v>0</v>
          </cell>
          <cell r="X316">
            <v>0</v>
          </cell>
          <cell r="Y316">
            <v>0</v>
          </cell>
          <cell r="Z316">
            <v>0</v>
          </cell>
          <cell r="AA316">
            <v>0</v>
          </cell>
          <cell r="AB316">
            <v>0</v>
          </cell>
          <cell r="AC316">
            <v>0</v>
          </cell>
          <cell r="AD316">
            <v>0</v>
          </cell>
          <cell r="AE316">
            <v>0</v>
          </cell>
          <cell r="AF316">
            <v>0</v>
          </cell>
          <cell r="AG316">
            <v>0</v>
          </cell>
          <cell r="AI316" t="str">
            <v>Inventory Cost</v>
          </cell>
          <cell r="AJ316">
            <v>0</v>
          </cell>
          <cell r="AK316">
            <v>0</v>
          </cell>
          <cell r="AL316">
            <v>0</v>
          </cell>
          <cell r="AM316">
            <v>0</v>
          </cell>
          <cell r="AN316">
            <v>0</v>
          </cell>
          <cell r="AP316">
            <v>0</v>
          </cell>
          <cell r="AR316">
            <v>0</v>
          </cell>
        </row>
        <row r="317">
          <cell r="A317" t="str">
            <v>Non Std. Cost</v>
          </cell>
          <cell r="C317">
            <v>0</v>
          </cell>
          <cell r="D317">
            <v>0</v>
          </cell>
          <cell r="E317">
            <v>0</v>
          </cell>
          <cell r="F317">
            <v>0</v>
          </cell>
          <cell r="G317">
            <v>0</v>
          </cell>
          <cell r="H317">
            <v>0</v>
          </cell>
          <cell r="I317">
            <v>0</v>
          </cell>
          <cell r="J317">
            <v>0</v>
          </cell>
          <cell r="K317">
            <v>0</v>
          </cell>
          <cell r="L317">
            <v>0</v>
          </cell>
          <cell r="M317">
            <v>0</v>
          </cell>
          <cell r="N317">
            <v>0</v>
          </cell>
          <cell r="O317">
            <v>0</v>
          </cell>
          <cell r="Q317">
            <v>0</v>
          </cell>
          <cell r="S317">
            <v>0</v>
          </cell>
          <cell r="U317" t="str">
            <v>Non Std. Cost</v>
          </cell>
          <cell r="V317">
            <v>0</v>
          </cell>
          <cell r="W317">
            <v>0</v>
          </cell>
          <cell r="X317">
            <v>0</v>
          </cell>
          <cell r="Y317">
            <v>0</v>
          </cell>
          <cell r="Z317">
            <v>0</v>
          </cell>
          <cell r="AA317">
            <v>0</v>
          </cell>
          <cell r="AB317">
            <v>0</v>
          </cell>
          <cell r="AC317">
            <v>0</v>
          </cell>
          <cell r="AD317">
            <v>0</v>
          </cell>
          <cell r="AE317">
            <v>0</v>
          </cell>
          <cell r="AF317">
            <v>0</v>
          </cell>
          <cell r="AG317">
            <v>0</v>
          </cell>
          <cell r="AI317" t="str">
            <v>Non Std. Cost</v>
          </cell>
          <cell r="AJ317">
            <v>0</v>
          </cell>
          <cell r="AK317">
            <v>0</v>
          </cell>
          <cell r="AL317">
            <v>0</v>
          </cell>
          <cell r="AM317">
            <v>0</v>
          </cell>
          <cell r="AN317">
            <v>0</v>
          </cell>
        </row>
        <row r="318">
          <cell r="A318" t="str">
            <v>Alloc. NSC (STL)</v>
          </cell>
          <cell r="C318">
            <v>0</v>
          </cell>
          <cell r="D318">
            <v>0</v>
          </cell>
          <cell r="E318">
            <v>0</v>
          </cell>
          <cell r="F318">
            <v>0</v>
          </cell>
          <cell r="G318">
            <v>0</v>
          </cell>
          <cell r="H318">
            <v>0</v>
          </cell>
          <cell r="I318">
            <v>0</v>
          </cell>
          <cell r="J318">
            <v>0</v>
          </cell>
          <cell r="K318">
            <v>0</v>
          </cell>
          <cell r="L318">
            <v>0</v>
          </cell>
          <cell r="M318">
            <v>0</v>
          </cell>
          <cell r="N318">
            <v>0</v>
          </cell>
          <cell r="O318">
            <v>0</v>
          </cell>
          <cell r="Q318">
            <v>0</v>
          </cell>
          <cell r="S318">
            <v>0</v>
          </cell>
          <cell r="U318" t="str">
            <v>Alloc. NSC (STL)</v>
          </cell>
          <cell r="V318">
            <v>0</v>
          </cell>
          <cell r="W318">
            <v>0</v>
          </cell>
          <cell r="X318">
            <v>0</v>
          </cell>
          <cell r="Y318">
            <v>0</v>
          </cell>
          <cell r="Z318">
            <v>0</v>
          </cell>
          <cell r="AA318">
            <v>0</v>
          </cell>
          <cell r="AB318">
            <v>0</v>
          </cell>
          <cell r="AC318">
            <v>0</v>
          </cell>
          <cell r="AD318">
            <v>0</v>
          </cell>
          <cell r="AE318">
            <v>0</v>
          </cell>
          <cell r="AF318">
            <v>0</v>
          </cell>
          <cell r="AG318">
            <v>0</v>
          </cell>
          <cell r="AI318" t="str">
            <v>Alloc. NSC (STL)</v>
          </cell>
          <cell r="AJ318">
            <v>0</v>
          </cell>
          <cell r="AK318">
            <v>0</v>
          </cell>
          <cell r="AL318">
            <v>0</v>
          </cell>
          <cell r="AM318">
            <v>0</v>
          </cell>
          <cell r="AN318">
            <v>0</v>
          </cell>
          <cell r="AP318">
            <v>0</v>
          </cell>
          <cell r="AR318">
            <v>0</v>
          </cell>
        </row>
        <row r="319">
          <cell r="A319" t="str">
            <v>COGS</v>
          </cell>
          <cell r="C319">
            <v>0</v>
          </cell>
          <cell r="D319">
            <v>0</v>
          </cell>
          <cell r="E319">
            <v>0</v>
          </cell>
          <cell r="F319">
            <v>0</v>
          </cell>
          <cell r="G319">
            <v>0</v>
          </cell>
          <cell r="H319">
            <v>0</v>
          </cell>
          <cell r="I319">
            <v>0</v>
          </cell>
          <cell r="J319">
            <v>0</v>
          </cell>
          <cell r="K319">
            <v>0</v>
          </cell>
          <cell r="L319">
            <v>0</v>
          </cell>
          <cell r="M319">
            <v>0</v>
          </cell>
          <cell r="N319">
            <v>0</v>
          </cell>
          <cell r="O319">
            <v>0</v>
          </cell>
          <cell r="Q319">
            <v>0</v>
          </cell>
          <cell r="S319">
            <v>0</v>
          </cell>
          <cell r="U319" t="str">
            <v>COGS</v>
          </cell>
          <cell r="V319">
            <v>0</v>
          </cell>
          <cell r="W319">
            <v>0</v>
          </cell>
          <cell r="X319">
            <v>0</v>
          </cell>
          <cell r="Y319">
            <v>0</v>
          </cell>
          <cell r="Z319">
            <v>0</v>
          </cell>
          <cell r="AA319">
            <v>0</v>
          </cell>
          <cell r="AB319">
            <v>0</v>
          </cell>
          <cell r="AC319">
            <v>0</v>
          </cell>
          <cell r="AD319">
            <v>0</v>
          </cell>
          <cell r="AE319">
            <v>0</v>
          </cell>
          <cell r="AF319">
            <v>0</v>
          </cell>
          <cell r="AG319">
            <v>0</v>
          </cell>
          <cell r="AI319" t="str">
            <v>COGS</v>
          </cell>
          <cell r="AJ319">
            <v>0</v>
          </cell>
          <cell r="AK319">
            <v>0</v>
          </cell>
          <cell r="AL319">
            <v>0</v>
          </cell>
          <cell r="AM319">
            <v>0</v>
          </cell>
          <cell r="AN319">
            <v>0</v>
          </cell>
          <cell r="AP319">
            <v>0</v>
          </cell>
          <cell r="AR319">
            <v>0</v>
          </cell>
        </row>
        <row r="321">
          <cell r="A321" t="str">
            <v>Gross Profit</v>
          </cell>
          <cell r="C321">
            <v>0</v>
          </cell>
          <cell r="D321">
            <v>0</v>
          </cell>
          <cell r="E321">
            <v>0</v>
          </cell>
          <cell r="F321">
            <v>0</v>
          </cell>
          <cell r="G321">
            <v>0</v>
          </cell>
          <cell r="H321">
            <v>0</v>
          </cell>
          <cell r="I321">
            <v>0</v>
          </cell>
          <cell r="J321">
            <v>0</v>
          </cell>
          <cell r="K321">
            <v>0</v>
          </cell>
          <cell r="L321">
            <v>0</v>
          </cell>
          <cell r="M321">
            <v>0</v>
          </cell>
          <cell r="N321">
            <v>0</v>
          </cell>
          <cell r="O321">
            <v>0</v>
          </cell>
          <cell r="Q321">
            <v>0</v>
          </cell>
          <cell r="S321">
            <v>0</v>
          </cell>
          <cell r="U321" t="str">
            <v>Gross Profit</v>
          </cell>
          <cell r="V321">
            <v>0</v>
          </cell>
          <cell r="W321">
            <v>0</v>
          </cell>
          <cell r="X321">
            <v>0</v>
          </cell>
          <cell r="Y321">
            <v>0</v>
          </cell>
          <cell r="Z321">
            <v>0</v>
          </cell>
          <cell r="AA321">
            <v>0</v>
          </cell>
          <cell r="AB321">
            <v>0</v>
          </cell>
          <cell r="AC321">
            <v>0</v>
          </cell>
          <cell r="AD321">
            <v>0</v>
          </cell>
          <cell r="AE321">
            <v>0</v>
          </cell>
          <cell r="AF321">
            <v>0</v>
          </cell>
          <cell r="AG321">
            <v>0</v>
          </cell>
          <cell r="AI321" t="str">
            <v>Gross Profit</v>
          </cell>
          <cell r="AJ321">
            <v>0</v>
          </cell>
          <cell r="AK321">
            <v>0</v>
          </cell>
          <cell r="AL321">
            <v>0</v>
          </cell>
          <cell r="AM321">
            <v>0</v>
          </cell>
          <cell r="AN321">
            <v>0</v>
          </cell>
          <cell r="AP321">
            <v>0</v>
          </cell>
          <cell r="AR321">
            <v>0</v>
          </cell>
        </row>
        <row r="322">
          <cell r="A322" t="str">
            <v>% of Sales</v>
          </cell>
          <cell r="C322">
            <v>0</v>
          </cell>
          <cell r="D322">
            <v>0</v>
          </cell>
          <cell r="E322">
            <v>0</v>
          </cell>
          <cell r="F322">
            <v>0</v>
          </cell>
          <cell r="G322">
            <v>0</v>
          </cell>
          <cell r="H322">
            <v>0</v>
          </cell>
          <cell r="I322">
            <v>0</v>
          </cell>
          <cell r="J322">
            <v>0</v>
          </cell>
          <cell r="K322">
            <v>0</v>
          </cell>
          <cell r="L322">
            <v>0</v>
          </cell>
          <cell r="M322">
            <v>0</v>
          </cell>
          <cell r="N322">
            <v>0</v>
          </cell>
          <cell r="O322">
            <v>0</v>
          </cell>
          <cell r="Q322">
            <v>0</v>
          </cell>
          <cell r="S322">
            <v>0</v>
          </cell>
          <cell r="U322" t="str">
            <v>% of Sales</v>
          </cell>
          <cell r="V322">
            <v>0</v>
          </cell>
          <cell r="W322">
            <v>0</v>
          </cell>
          <cell r="X322">
            <v>0</v>
          </cell>
          <cell r="Y322">
            <v>0</v>
          </cell>
          <cell r="Z322">
            <v>0</v>
          </cell>
          <cell r="AA322">
            <v>0</v>
          </cell>
          <cell r="AB322">
            <v>0</v>
          </cell>
          <cell r="AC322">
            <v>0</v>
          </cell>
          <cell r="AD322">
            <v>0</v>
          </cell>
          <cell r="AE322">
            <v>0</v>
          </cell>
          <cell r="AF322">
            <v>0</v>
          </cell>
          <cell r="AG322">
            <v>0</v>
          </cell>
          <cell r="AI322" t="str">
            <v>% of Sales</v>
          </cell>
          <cell r="AJ322">
            <v>0</v>
          </cell>
          <cell r="AK322">
            <v>0</v>
          </cell>
          <cell r="AL322">
            <v>0</v>
          </cell>
          <cell r="AM322">
            <v>0</v>
          </cell>
          <cell r="AN322">
            <v>0</v>
          </cell>
          <cell r="AP322">
            <v>0</v>
          </cell>
          <cell r="AR322">
            <v>0</v>
          </cell>
        </row>
        <row r="324">
          <cell r="A324" t="str">
            <v>Marketing</v>
          </cell>
          <cell r="C324">
            <v>0</v>
          </cell>
          <cell r="D324">
            <v>0</v>
          </cell>
          <cell r="E324">
            <v>0</v>
          </cell>
          <cell r="F324">
            <v>0</v>
          </cell>
          <cell r="G324">
            <v>0</v>
          </cell>
          <cell r="H324">
            <v>0</v>
          </cell>
          <cell r="I324">
            <v>0</v>
          </cell>
          <cell r="J324">
            <v>0</v>
          </cell>
          <cell r="K324">
            <v>0</v>
          </cell>
          <cell r="L324">
            <v>0</v>
          </cell>
          <cell r="M324">
            <v>0</v>
          </cell>
          <cell r="N324">
            <v>0</v>
          </cell>
          <cell r="O324">
            <v>0</v>
          </cell>
          <cell r="Q324">
            <v>0</v>
          </cell>
          <cell r="S324">
            <v>0</v>
          </cell>
          <cell r="U324" t="str">
            <v>Marketing</v>
          </cell>
          <cell r="V324">
            <v>0</v>
          </cell>
          <cell r="W324">
            <v>0</v>
          </cell>
          <cell r="X324">
            <v>0</v>
          </cell>
          <cell r="Y324">
            <v>0</v>
          </cell>
          <cell r="Z324">
            <v>0</v>
          </cell>
          <cell r="AA324">
            <v>0</v>
          </cell>
          <cell r="AB324">
            <v>0</v>
          </cell>
          <cell r="AC324">
            <v>0</v>
          </cell>
          <cell r="AD324">
            <v>0</v>
          </cell>
          <cell r="AE324">
            <v>0</v>
          </cell>
          <cell r="AF324">
            <v>0</v>
          </cell>
          <cell r="AG324">
            <v>0</v>
          </cell>
          <cell r="AI324" t="str">
            <v>Marketing</v>
          </cell>
          <cell r="AJ324">
            <v>0</v>
          </cell>
          <cell r="AK324">
            <v>0</v>
          </cell>
          <cell r="AL324">
            <v>0</v>
          </cell>
          <cell r="AM324">
            <v>0</v>
          </cell>
          <cell r="AN324">
            <v>0</v>
          </cell>
        </row>
        <row r="325">
          <cell r="A325" t="str">
            <v>Administration</v>
          </cell>
          <cell r="C325">
            <v>0</v>
          </cell>
          <cell r="D325">
            <v>0</v>
          </cell>
          <cell r="E325">
            <v>0</v>
          </cell>
          <cell r="F325">
            <v>0</v>
          </cell>
          <cell r="G325">
            <v>0</v>
          </cell>
          <cell r="H325">
            <v>0</v>
          </cell>
          <cell r="I325">
            <v>0</v>
          </cell>
          <cell r="J325">
            <v>0</v>
          </cell>
          <cell r="K325">
            <v>0</v>
          </cell>
          <cell r="L325">
            <v>0</v>
          </cell>
          <cell r="M325">
            <v>0</v>
          </cell>
          <cell r="N325">
            <v>0</v>
          </cell>
          <cell r="O325">
            <v>0</v>
          </cell>
          <cell r="Q325">
            <v>0</v>
          </cell>
          <cell r="S325">
            <v>0</v>
          </cell>
          <cell r="U325" t="str">
            <v>Administration</v>
          </cell>
          <cell r="V325">
            <v>0</v>
          </cell>
          <cell r="W325">
            <v>0</v>
          </cell>
          <cell r="X325">
            <v>0</v>
          </cell>
          <cell r="Y325">
            <v>0</v>
          </cell>
          <cell r="Z325">
            <v>0</v>
          </cell>
          <cell r="AA325">
            <v>0</v>
          </cell>
          <cell r="AB325">
            <v>0</v>
          </cell>
          <cell r="AC325">
            <v>0</v>
          </cell>
          <cell r="AD325">
            <v>0</v>
          </cell>
          <cell r="AE325">
            <v>0</v>
          </cell>
          <cell r="AF325">
            <v>0</v>
          </cell>
          <cell r="AG325">
            <v>0</v>
          </cell>
          <cell r="AI325" t="str">
            <v>Administration</v>
          </cell>
          <cell r="AJ325">
            <v>0</v>
          </cell>
          <cell r="AK325">
            <v>0</v>
          </cell>
          <cell r="AL325">
            <v>0</v>
          </cell>
          <cell r="AM325">
            <v>0</v>
          </cell>
          <cell r="AN325">
            <v>0</v>
          </cell>
        </row>
        <row r="326">
          <cell r="A326" t="str">
            <v>Technology</v>
          </cell>
          <cell r="C326">
            <v>0</v>
          </cell>
          <cell r="D326">
            <v>0</v>
          </cell>
          <cell r="E326">
            <v>0</v>
          </cell>
          <cell r="F326">
            <v>0</v>
          </cell>
          <cell r="G326">
            <v>0</v>
          </cell>
          <cell r="H326">
            <v>0</v>
          </cell>
          <cell r="I326">
            <v>0</v>
          </cell>
          <cell r="J326">
            <v>0</v>
          </cell>
          <cell r="K326">
            <v>0</v>
          </cell>
          <cell r="L326">
            <v>0</v>
          </cell>
          <cell r="M326">
            <v>0</v>
          </cell>
          <cell r="N326">
            <v>0</v>
          </cell>
          <cell r="O326">
            <v>0</v>
          </cell>
          <cell r="Q326">
            <v>0</v>
          </cell>
          <cell r="S326">
            <v>0</v>
          </cell>
          <cell r="U326" t="str">
            <v>Technology</v>
          </cell>
          <cell r="V326">
            <v>0</v>
          </cell>
          <cell r="W326">
            <v>0</v>
          </cell>
          <cell r="X326">
            <v>0</v>
          </cell>
          <cell r="Y326">
            <v>0</v>
          </cell>
          <cell r="Z326">
            <v>0</v>
          </cell>
          <cell r="AA326">
            <v>0</v>
          </cell>
          <cell r="AB326">
            <v>0</v>
          </cell>
          <cell r="AC326">
            <v>0</v>
          </cell>
          <cell r="AD326">
            <v>0</v>
          </cell>
          <cell r="AE326">
            <v>0</v>
          </cell>
          <cell r="AF326">
            <v>0</v>
          </cell>
          <cell r="AG326">
            <v>0</v>
          </cell>
          <cell r="AI326" t="str">
            <v>Technology</v>
          </cell>
          <cell r="AJ326">
            <v>0</v>
          </cell>
          <cell r="AK326">
            <v>0</v>
          </cell>
          <cell r="AL326">
            <v>0</v>
          </cell>
          <cell r="AM326">
            <v>0</v>
          </cell>
          <cell r="AN326">
            <v>0</v>
          </cell>
        </row>
        <row r="327">
          <cell r="A327" t="str">
            <v>Bad Debt Reserve</v>
          </cell>
          <cell r="C327">
            <v>0</v>
          </cell>
          <cell r="D327">
            <v>0</v>
          </cell>
          <cell r="E327">
            <v>0</v>
          </cell>
          <cell r="F327">
            <v>0</v>
          </cell>
          <cell r="G327">
            <v>0</v>
          </cell>
          <cell r="H327">
            <v>0</v>
          </cell>
          <cell r="I327">
            <v>0</v>
          </cell>
          <cell r="J327">
            <v>0</v>
          </cell>
          <cell r="K327">
            <v>0</v>
          </cell>
          <cell r="L327">
            <v>0</v>
          </cell>
          <cell r="M327">
            <v>0</v>
          </cell>
          <cell r="N327">
            <v>0</v>
          </cell>
          <cell r="O327">
            <v>0</v>
          </cell>
          <cell r="Q327">
            <v>0</v>
          </cell>
          <cell r="S327">
            <v>0</v>
          </cell>
          <cell r="U327" t="str">
            <v>Bad Debt Reserve</v>
          </cell>
          <cell r="V327">
            <v>0</v>
          </cell>
          <cell r="W327">
            <v>0</v>
          </cell>
          <cell r="X327">
            <v>0</v>
          </cell>
          <cell r="Y327">
            <v>0</v>
          </cell>
          <cell r="Z327">
            <v>0</v>
          </cell>
          <cell r="AA327">
            <v>0</v>
          </cell>
          <cell r="AB327">
            <v>0</v>
          </cell>
          <cell r="AC327">
            <v>0</v>
          </cell>
          <cell r="AD327">
            <v>0</v>
          </cell>
          <cell r="AE327">
            <v>0</v>
          </cell>
          <cell r="AF327">
            <v>0</v>
          </cell>
          <cell r="AG327">
            <v>0</v>
          </cell>
          <cell r="AI327" t="str">
            <v>Bad Debt Reserve</v>
          </cell>
          <cell r="AJ327">
            <v>0</v>
          </cell>
          <cell r="AK327">
            <v>0</v>
          </cell>
          <cell r="AL327">
            <v>0</v>
          </cell>
          <cell r="AM327">
            <v>0</v>
          </cell>
          <cell r="AN327">
            <v>0</v>
          </cell>
          <cell r="AP327">
            <v>0</v>
          </cell>
          <cell r="AR327">
            <v>0</v>
          </cell>
        </row>
        <row r="328">
          <cell r="A328" t="str">
            <v>Total Direct MAT</v>
          </cell>
          <cell r="C328">
            <v>0</v>
          </cell>
          <cell r="D328">
            <v>0</v>
          </cell>
          <cell r="E328">
            <v>0</v>
          </cell>
          <cell r="F328">
            <v>0</v>
          </cell>
          <cell r="G328">
            <v>0</v>
          </cell>
          <cell r="H328">
            <v>0</v>
          </cell>
          <cell r="I328">
            <v>0</v>
          </cell>
          <cell r="J328">
            <v>0</v>
          </cell>
          <cell r="K328">
            <v>0</v>
          </cell>
          <cell r="L328">
            <v>0</v>
          </cell>
          <cell r="M328">
            <v>0</v>
          </cell>
          <cell r="N328">
            <v>0</v>
          </cell>
          <cell r="O328">
            <v>0</v>
          </cell>
          <cell r="Q328">
            <v>0</v>
          </cell>
          <cell r="S328">
            <v>0</v>
          </cell>
          <cell r="U328" t="str">
            <v>Total Direct MAT</v>
          </cell>
          <cell r="V328">
            <v>0</v>
          </cell>
          <cell r="W328">
            <v>0</v>
          </cell>
          <cell r="X328">
            <v>0</v>
          </cell>
          <cell r="Y328">
            <v>0</v>
          </cell>
          <cell r="Z328">
            <v>0</v>
          </cell>
          <cell r="AA328">
            <v>0</v>
          </cell>
          <cell r="AB328">
            <v>0</v>
          </cell>
          <cell r="AC328">
            <v>0</v>
          </cell>
          <cell r="AD328">
            <v>0</v>
          </cell>
          <cell r="AE328">
            <v>0</v>
          </cell>
          <cell r="AF328">
            <v>0</v>
          </cell>
          <cell r="AG328">
            <v>0</v>
          </cell>
          <cell r="AI328" t="str">
            <v>Total Direct MAT</v>
          </cell>
          <cell r="AJ328">
            <v>0</v>
          </cell>
          <cell r="AK328">
            <v>0</v>
          </cell>
          <cell r="AL328">
            <v>0</v>
          </cell>
          <cell r="AM328">
            <v>0</v>
          </cell>
          <cell r="AN328">
            <v>0</v>
          </cell>
          <cell r="AP328">
            <v>0</v>
          </cell>
          <cell r="AR328">
            <v>0</v>
          </cell>
        </row>
        <row r="330">
          <cell r="A330" t="str">
            <v>Marketing</v>
          </cell>
          <cell r="C330">
            <v>0</v>
          </cell>
          <cell r="D330">
            <v>0</v>
          </cell>
          <cell r="E330">
            <v>0</v>
          </cell>
          <cell r="F330">
            <v>0</v>
          </cell>
          <cell r="G330">
            <v>0</v>
          </cell>
          <cell r="H330">
            <v>0</v>
          </cell>
          <cell r="I330">
            <v>0</v>
          </cell>
          <cell r="J330">
            <v>0</v>
          </cell>
          <cell r="K330">
            <v>0</v>
          </cell>
          <cell r="L330">
            <v>0</v>
          </cell>
          <cell r="M330">
            <v>0</v>
          </cell>
          <cell r="N330">
            <v>0</v>
          </cell>
          <cell r="O330">
            <v>0</v>
          </cell>
          <cell r="Q330">
            <v>0</v>
          </cell>
          <cell r="S330">
            <v>0</v>
          </cell>
          <cell r="U330" t="str">
            <v>Marketing</v>
          </cell>
          <cell r="V330">
            <v>0</v>
          </cell>
          <cell r="W330">
            <v>0</v>
          </cell>
          <cell r="X330">
            <v>0</v>
          </cell>
          <cell r="Y330">
            <v>0</v>
          </cell>
          <cell r="Z330">
            <v>0</v>
          </cell>
          <cell r="AA330">
            <v>0</v>
          </cell>
          <cell r="AB330">
            <v>0</v>
          </cell>
          <cell r="AC330">
            <v>0</v>
          </cell>
          <cell r="AD330">
            <v>0</v>
          </cell>
          <cell r="AE330">
            <v>0</v>
          </cell>
          <cell r="AF330">
            <v>0</v>
          </cell>
          <cell r="AG330">
            <v>0</v>
          </cell>
          <cell r="AI330" t="str">
            <v>Marketing</v>
          </cell>
          <cell r="AJ330">
            <v>0</v>
          </cell>
          <cell r="AK330">
            <v>0</v>
          </cell>
          <cell r="AL330">
            <v>0</v>
          </cell>
          <cell r="AM330">
            <v>0</v>
          </cell>
          <cell r="AN330">
            <v>0</v>
          </cell>
        </row>
        <row r="331">
          <cell r="A331" t="str">
            <v>Administration</v>
          </cell>
          <cell r="C331">
            <v>0</v>
          </cell>
          <cell r="D331">
            <v>0</v>
          </cell>
          <cell r="E331">
            <v>0</v>
          </cell>
          <cell r="F331">
            <v>0</v>
          </cell>
          <cell r="G331">
            <v>0</v>
          </cell>
          <cell r="H331">
            <v>0</v>
          </cell>
          <cell r="I331">
            <v>0</v>
          </cell>
          <cell r="J331">
            <v>0</v>
          </cell>
          <cell r="K331">
            <v>0</v>
          </cell>
          <cell r="L331">
            <v>0</v>
          </cell>
          <cell r="M331">
            <v>0</v>
          </cell>
          <cell r="N331">
            <v>0</v>
          </cell>
          <cell r="O331">
            <v>0</v>
          </cell>
          <cell r="Q331">
            <v>0</v>
          </cell>
          <cell r="S331">
            <v>0</v>
          </cell>
          <cell r="U331" t="str">
            <v>Administration</v>
          </cell>
          <cell r="V331">
            <v>0</v>
          </cell>
          <cell r="W331">
            <v>0</v>
          </cell>
          <cell r="X331">
            <v>0</v>
          </cell>
          <cell r="Y331">
            <v>0</v>
          </cell>
          <cell r="Z331">
            <v>0</v>
          </cell>
          <cell r="AA331">
            <v>0</v>
          </cell>
          <cell r="AB331">
            <v>0</v>
          </cell>
          <cell r="AC331">
            <v>0</v>
          </cell>
          <cell r="AD331">
            <v>0</v>
          </cell>
          <cell r="AE331">
            <v>0</v>
          </cell>
          <cell r="AF331">
            <v>0</v>
          </cell>
          <cell r="AG331">
            <v>0</v>
          </cell>
          <cell r="AI331" t="str">
            <v>Administration</v>
          </cell>
          <cell r="AJ331">
            <v>0</v>
          </cell>
          <cell r="AK331">
            <v>0</v>
          </cell>
          <cell r="AL331">
            <v>0</v>
          </cell>
          <cell r="AM331">
            <v>0</v>
          </cell>
          <cell r="AN331">
            <v>0</v>
          </cell>
        </row>
        <row r="332">
          <cell r="A332" t="str">
            <v>Technology</v>
          </cell>
          <cell r="C332">
            <v>0</v>
          </cell>
          <cell r="D332">
            <v>0</v>
          </cell>
          <cell r="E332">
            <v>0</v>
          </cell>
          <cell r="F332">
            <v>0</v>
          </cell>
          <cell r="G332">
            <v>0</v>
          </cell>
          <cell r="H332">
            <v>0</v>
          </cell>
          <cell r="I332">
            <v>0</v>
          </cell>
          <cell r="J332">
            <v>0</v>
          </cell>
          <cell r="K332">
            <v>0</v>
          </cell>
          <cell r="L332">
            <v>0</v>
          </cell>
          <cell r="M332">
            <v>0</v>
          </cell>
          <cell r="N332">
            <v>0</v>
          </cell>
          <cell r="O332">
            <v>0</v>
          </cell>
          <cell r="Q332">
            <v>0</v>
          </cell>
          <cell r="S332">
            <v>0</v>
          </cell>
          <cell r="U332" t="str">
            <v>Technology</v>
          </cell>
          <cell r="V332">
            <v>0</v>
          </cell>
          <cell r="W332">
            <v>0</v>
          </cell>
          <cell r="X332">
            <v>0</v>
          </cell>
          <cell r="Y332">
            <v>0</v>
          </cell>
          <cell r="Z332">
            <v>0</v>
          </cell>
          <cell r="AA332">
            <v>0</v>
          </cell>
          <cell r="AB332">
            <v>0</v>
          </cell>
          <cell r="AC332">
            <v>0</v>
          </cell>
          <cell r="AD332">
            <v>0</v>
          </cell>
          <cell r="AE332">
            <v>0</v>
          </cell>
          <cell r="AF332">
            <v>0</v>
          </cell>
          <cell r="AG332">
            <v>0</v>
          </cell>
          <cell r="AI332" t="str">
            <v>Technology</v>
          </cell>
          <cell r="AJ332">
            <v>0</v>
          </cell>
          <cell r="AK332">
            <v>0</v>
          </cell>
          <cell r="AL332">
            <v>0</v>
          </cell>
          <cell r="AM332">
            <v>0</v>
          </cell>
          <cell r="AN332">
            <v>0</v>
          </cell>
          <cell r="AP332">
            <v>0</v>
          </cell>
          <cell r="AR332">
            <v>0</v>
          </cell>
        </row>
        <row r="333">
          <cell r="A333" t="str">
            <v>Total Foundation MAT</v>
          </cell>
          <cell r="C333">
            <v>0</v>
          </cell>
          <cell r="D333">
            <v>0</v>
          </cell>
          <cell r="E333">
            <v>0</v>
          </cell>
          <cell r="F333">
            <v>0</v>
          </cell>
          <cell r="G333">
            <v>0</v>
          </cell>
          <cell r="H333">
            <v>0</v>
          </cell>
          <cell r="I333">
            <v>0</v>
          </cell>
          <cell r="J333">
            <v>0</v>
          </cell>
          <cell r="K333">
            <v>0</v>
          </cell>
          <cell r="L333">
            <v>0</v>
          </cell>
          <cell r="M333">
            <v>0</v>
          </cell>
          <cell r="N333">
            <v>0</v>
          </cell>
          <cell r="O333">
            <v>0</v>
          </cell>
          <cell r="Q333">
            <v>0</v>
          </cell>
          <cell r="S333">
            <v>0</v>
          </cell>
          <cell r="U333" t="str">
            <v>Total Foundation MAT</v>
          </cell>
          <cell r="V333">
            <v>0</v>
          </cell>
          <cell r="W333">
            <v>0</v>
          </cell>
          <cell r="X333">
            <v>0</v>
          </cell>
          <cell r="Y333">
            <v>0</v>
          </cell>
          <cell r="Z333">
            <v>0</v>
          </cell>
          <cell r="AA333">
            <v>0</v>
          </cell>
          <cell r="AB333">
            <v>0</v>
          </cell>
          <cell r="AC333">
            <v>0</v>
          </cell>
          <cell r="AD333">
            <v>0</v>
          </cell>
          <cell r="AE333">
            <v>0</v>
          </cell>
          <cell r="AF333">
            <v>0</v>
          </cell>
          <cell r="AG333">
            <v>0</v>
          </cell>
          <cell r="AI333" t="str">
            <v>Total Foundation MAT</v>
          </cell>
          <cell r="AJ333">
            <v>0</v>
          </cell>
          <cell r="AK333">
            <v>0</v>
          </cell>
          <cell r="AL333">
            <v>0</v>
          </cell>
          <cell r="AM333">
            <v>0</v>
          </cell>
          <cell r="AN333">
            <v>0</v>
          </cell>
          <cell r="AP333">
            <v>0</v>
          </cell>
          <cell r="AR333">
            <v>0</v>
          </cell>
        </row>
        <row r="335">
          <cell r="A335" t="str">
            <v>Amort of Intangible  Assets</v>
          </cell>
          <cell r="C335">
            <v>0</v>
          </cell>
          <cell r="D335">
            <v>0</v>
          </cell>
          <cell r="E335">
            <v>0</v>
          </cell>
          <cell r="F335">
            <v>0</v>
          </cell>
          <cell r="G335">
            <v>0</v>
          </cell>
          <cell r="H335">
            <v>0</v>
          </cell>
          <cell r="I335">
            <v>0</v>
          </cell>
          <cell r="J335">
            <v>0</v>
          </cell>
          <cell r="K335">
            <v>0</v>
          </cell>
          <cell r="L335">
            <v>0</v>
          </cell>
          <cell r="M335">
            <v>0</v>
          </cell>
          <cell r="N335">
            <v>0</v>
          </cell>
          <cell r="O335">
            <v>0</v>
          </cell>
          <cell r="Q335">
            <v>0</v>
          </cell>
          <cell r="S335">
            <v>0</v>
          </cell>
          <cell r="U335" t="str">
            <v>Amort of Intangible  Assets</v>
          </cell>
          <cell r="V335">
            <v>0</v>
          </cell>
          <cell r="W335">
            <v>0</v>
          </cell>
          <cell r="X335">
            <v>0</v>
          </cell>
          <cell r="Y335">
            <v>0</v>
          </cell>
          <cell r="Z335">
            <v>0</v>
          </cell>
          <cell r="AA335">
            <v>0</v>
          </cell>
          <cell r="AB335">
            <v>0</v>
          </cell>
          <cell r="AC335">
            <v>0</v>
          </cell>
          <cell r="AD335">
            <v>0</v>
          </cell>
          <cell r="AE335">
            <v>0</v>
          </cell>
          <cell r="AF335">
            <v>0</v>
          </cell>
          <cell r="AG335">
            <v>0</v>
          </cell>
          <cell r="AI335" t="str">
            <v>Amort of Intangible  Assets</v>
          </cell>
          <cell r="AJ335">
            <v>0</v>
          </cell>
          <cell r="AK335">
            <v>0</v>
          </cell>
          <cell r="AL335">
            <v>0</v>
          </cell>
          <cell r="AM335">
            <v>0</v>
          </cell>
          <cell r="AN335">
            <v>0</v>
          </cell>
        </row>
        <row r="337">
          <cell r="A337" t="str">
            <v>Interest Expense</v>
          </cell>
          <cell r="C337">
            <v>0</v>
          </cell>
          <cell r="D337">
            <v>0</v>
          </cell>
          <cell r="E337">
            <v>0</v>
          </cell>
          <cell r="F337">
            <v>0</v>
          </cell>
          <cell r="G337">
            <v>0</v>
          </cell>
          <cell r="H337">
            <v>0</v>
          </cell>
          <cell r="I337">
            <v>0</v>
          </cell>
          <cell r="J337">
            <v>0</v>
          </cell>
          <cell r="K337">
            <v>0</v>
          </cell>
          <cell r="L337">
            <v>0</v>
          </cell>
          <cell r="M337">
            <v>0</v>
          </cell>
          <cell r="N337">
            <v>0</v>
          </cell>
          <cell r="O337">
            <v>0</v>
          </cell>
          <cell r="Q337">
            <v>0</v>
          </cell>
          <cell r="S337">
            <v>0</v>
          </cell>
          <cell r="U337" t="str">
            <v>Interest Expense</v>
          </cell>
          <cell r="V337">
            <v>0</v>
          </cell>
          <cell r="W337">
            <v>0</v>
          </cell>
          <cell r="X337">
            <v>0</v>
          </cell>
          <cell r="Y337">
            <v>0</v>
          </cell>
          <cell r="Z337">
            <v>0</v>
          </cell>
          <cell r="AA337">
            <v>0</v>
          </cell>
          <cell r="AB337">
            <v>0</v>
          </cell>
          <cell r="AC337">
            <v>0</v>
          </cell>
          <cell r="AD337">
            <v>0</v>
          </cell>
          <cell r="AE337">
            <v>0</v>
          </cell>
          <cell r="AF337">
            <v>0</v>
          </cell>
          <cell r="AG337">
            <v>0</v>
          </cell>
          <cell r="AI337" t="str">
            <v>Interest Expense</v>
          </cell>
          <cell r="AJ337">
            <v>0</v>
          </cell>
          <cell r="AK337">
            <v>0</v>
          </cell>
          <cell r="AL337">
            <v>0</v>
          </cell>
          <cell r="AM337">
            <v>0</v>
          </cell>
          <cell r="AN337">
            <v>0</v>
          </cell>
        </row>
        <row r="338">
          <cell r="A338" t="str">
            <v>Interest Income</v>
          </cell>
          <cell r="C338">
            <v>0</v>
          </cell>
          <cell r="D338">
            <v>0</v>
          </cell>
          <cell r="E338">
            <v>0</v>
          </cell>
          <cell r="F338">
            <v>0</v>
          </cell>
          <cell r="G338">
            <v>0</v>
          </cell>
          <cell r="H338">
            <v>0</v>
          </cell>
          <cell r="I338">
            <v>0</v>
          </cell>
          <cell r="J338">
            <v>0</v>
          </cell>
          <cell r="K338">
            <v>0</v>
          </cell>
          <cell r="L338">
            <v>0</v>
          </cell>
          <cell r="M338">
            <v>0</v>
          </cell>
          <cell r="N338">
            <v>0</v>
          </cell>
          <cell r="O338">
            <v>0</v>
          </cell>
          <cell r="Q338">
            <v>0</v>
          </cell>
          <cell r="S338">
            <v>0</v>
          </cell>
          <cell r="U338" t="str">
            <v>Interest Income</v>
          </cell>
          <cell r="V338">
            <v>0</v>
          </cell>
          <cell r="W338">
            <v>0</v>
          </cell>
          <cell r="X338">
            <v>0</v>
          </cell>
          <cell r="Y338">
            <v>0</v>
          </cell>
          <cell r="Z338">
            <v>0</v>
          </cell>
          <cell r="AA338">
            <v>0</v>
          </cell>
          <cell r="AB338">
            <v>0</v>
          </cell>
          <cell r="AC338">
            <v>0</v>
          </cell>
          <cell r="AD338">
            <v>0</v>
          </cell>
          <cell r="AE338">
            <v>0</v>
          </cell>
          <cell r="AF338">
            <v>0</v>
          </cell>
          <cell r="AG338">
            <v>0</v>
          </cell>
          <cell r="AI338" t="str">
            <v>Interest Income</v>
          </cell>
          <cell r="AJ338">
            <v>0</v>
          </cell>
          <cell r="AK338">
            <v>0</v>
          </cell>
          <cell r="AL338">
            <v>0</v>
          </cell>
          <cell r="AM338">
            <v>0</v>
          </cell>
          <cell r="AN338">
            <v>0</v>
          </cell>
        </row>
        <row r="339">
          <cell r="A339" t="str">
            <v>Other Income/Exp.</v>
          </cell>
          <cell r="C339">
            <v>0</v>
          </cell>
          <cell r="D339">
            <v>0</v>
          </cell>
          <cell r="E339">
            <v>0</v>
          </cell>
          <cell r="F339">
            <v>0</v>
          </cell>
          <cell r="G339">
            <v>0</v>
          </cell>
          <cell r="H339">
            <v>0</v>
          </cell>
          <cell r="I339">
            <v>0</v>
          </cell>
          <cell r="J339">
            <v>0</v>
          </cell>
          <cell r="K339">
            <v>0</v>
          </cell>
          <cell r="L339">
            <v>0</v>
          </cell>
          <cell r="M339">
            <v>0</v>
          </cell>
          <cell r="N339">
            <v>0</v>
          </cell>
          <cell r="O339">
            <v>0</v>
          </cell>
          <cell r="Q339">
            <v>0</v>
          </cell>
          <cell r="S339">
            <v>0</v>
          </cell>
          <cell r="U339" t="str">
            <v>Other Income/Exp.</v>
          </cell>
          <cell r="V339">
            <v>0</v>
          </cell>
          <cell r="W339">
            <v>0</v>
          </cell>
          <cell r="X339">
            <v>0</v>
          </cell>
          <cell r="Y339">
            <v>0</v>
          </cell>
          <cell r="Z339">
            <v>0</v>
          </cell>
          <cell r="AA339">
            <v>0</v>
          </cell>
          <cell r="AB339">
            <v>0</v>
          </cell>
          <cell r="AC339">
            <v>0</v>
          </cell>
          <cell r="AD339">
            <v>0</v>
          </cell>
          <cell r="AE339">
            <v>0</v>
          </cell>
          <cell r="AF339">
            <v>0</v>
          </cell>
          <cell r="AG339">
            <v>0</v>
          </cell>
          <cell r="AI339" t="str">
            <v>Other Income/Exp.</v>
          </cell>
          <cell r="AJ339">
            <v>0</v>
          </cell>
          <cell r="AK339">
            <v>0</v>
          </cell>
          <cell r="AL339">
            <v>0</v>
          </cell>
          <cell r="AM339">
            <v>0</v>
          </cell>
          <cell r="AN339">
            <v>0</v>
          </cell>
        </row>
        <row r="341">
          <cell r="A341" t="str">
            <v>Income Before Tax</v>
          </cell>
          <cell r="C341">
            <v>0</v>
          </cell>
          <cell r="D341">
            <v>0</v>
          </cell>
          <cell r="E341">
            <v>0</v>
          </cell>
          <cell r="F341">
            <v>0</v>
          </cell>
          <cell r="G341">
            <v>0</v>
          </cell>
          <cell r="H341">
            <v>0</v>
          </cell>
          <cell r="I341">
            <v>0</v>
          </cell>
          <cell r="J341">
            <v>0</v>
          </cell>
          <cell r="K341">
            <v>0</v>
          </cell>
          <cell r="L341">
            <v>0</v>
          </cell>
          <cell r="M341">
            <v>0</v>
          </cell>
          <cell r="N341">
            <v>0</v>
          </cell>
          <cell r="O341">
            <v>0</v>
          </cell>
          <cell r="Q341">
            <v>0</v>
          </cell>
          <cell r="S341">
            <v>0</v>
          </cell>
          <cell r="U341" t="str">
            <v>Income Before Tax</v>
          </cell>
          <cell r="V341">
            <v>0</v>
          </cell>
          <cell r="W341">
            <v>0</v>
          </cell>
          <cell r="X341">
            <v>0</v>
          </cell>
          <cell r="Y341">
            <v>0</v>
          </cell>
          <cell r="Z341">
            <v>0</v>
          </cell>
          <cell r="AA341">
            <v>0</v>
          </cell>
          <cell r="AB341">
            <v>0</v>
          </cell>
          <cell r="AC341">
            <v>0</v>
          </cell>
          <cell r="AD341">
            <v>0</v>
          </cell>
          <cell r="AE341">
            <v>0</v>
          </cell>
          <cell r="AF341">
            <v>0</v>
          </cell>
          <cell r="AG341">
            <v>0</v>
          </cell>
          <cell r="AI341" t="str">
            <v>Income Before Tax</v>
          </cell>
          <cell r="AJ341">
            <v>0</v>
          </cell>
          <cell r="AK341">
            <v>0</v>
          </cell>
          <cell r="AL341">
            <v>0</v>
          </cell>
          <cell r="AM341">
            <v>0</v>
          </cell>
          <cell r="AN341">
            <v>0</v>
          </cell>
          <cell r="AP341">
            <v>0</v>
          </cell>
          <cell r="AR341">
            <v>0</v>
          </cell>
        </row>
        <row r="342">
          <cell r="A342" t="str">
            <v>Privision for Taxes</v>
          </cell>
          <cell r="C342">
            <v>0</v>
          </cell>
          <cell r="D342">
            <v>0</v>
          </cell>
          <cell r="E342">
            <v>0</v>
          </cell>
          <cell r="F342">
            <v>0</v>
          </cell>
          <cell r="G342">
            <v>0</v>
          </cell>
          <cell r="H342">
            <v>0</v>
          </cell>
          <cell r="I342">
            <v>0</v>
          </cell>
          <cell r="J342">
            <v>0</v>
          </cell>
          <cell r="K342">
            <v>0</v>
          </cell>
          <cell r="L342">
            <v>0</v>
          </cell>
          <cell r="M342">
            <v>0</v>
          </cell>
          <cell r="N342">
            <v>0</v>
          </cell>
          <cell r="O342">
            <v>0</v>
          </cell>
          <cell r="Q342">
            <v>0</v>
          </cell>
          <cell r="S342">
            <v>0</v>
          </cell>
          <cell r="U342" t="str">
            <v>Privision for Taxes</v>
          </cell>
          <cell r="V342">
            <v>0</v>
          </cell>
          <cell r="W342">
            <v>0</v>
          </cell>
          <cell r="X342">
            <v>0</v>
          </cell>
          <cell r="Y342">
            <v>0</v>
          </cell>
          <cell r="Z342">
            <v>0</v>
          </cell>
          <cell r="AA342">
            <v>0</v>
          </cell>
          <cell r="AB342">
            <v>0</v>
          </cell>
          <cell r="AC342">
            <v>0</v>
          </cell>
          <cell r="AD342">
            <v>0</v>
          </cell>
          <cell r="AE342">
            <v>0</v>
          </cell>
          <cell r="AF342">
            <v>0</v>
          </cell>
          <cell r="AG342">
            <v>0</v>
          </cell>
          <cell r="AI342" t="str">
            <v>Privision for Taxes</v>
          </cell>
          <cell r="AJ342">
            <v>0</v>
          </cell>
          <cell r="AK342">
            <v>0</v>
          </cell>
          <cell r="AL342">
            <v>0</v>
          </cell>
          <cell r="AM342">
            <v>0</v>
          </cell>
          <cell r="AN342">
            <v>0</v>
          </cell>
        </row>
        <row r="343">
          <cell r="A343" t="str">
            <v>Tax rate %</v>
          </cell>
          <cell r="C343">
            <v>0</v>
          </cell>
          <cell r="D343">
            <v>0</v>
          </cell>
          <cell r="E343">
            <v>0</v>
          </cell>
          <cell r="F343">
            <v>0</v>
          </cell>
          <cell r="G343">
            <v>0</v>
          </cell>
          <cell r="H343">
            <v>0</v>
          </cell>
          <cell r="I343">
            <v>0</v>
          </cell>
          <cell r="J343">
            <v>0</v>
          </cell>
          <cell r="K343">
            <v>0</v>
          </cell>
          <cell r="L343">
            <v>0</v>
          </cell>
          <cell r="M343">
            <v>0</v>
          </cell>
          <cell r="N343">
            <v>0</v>
          </cell>
          <cell r="O343">
            <v>0</v>
          </cell>
          <cell r="Q343">
            <v>0</v>
          </cell>
          <cell r="S343">
            <v>0</v>
          </cell>
          <cell r="U343" t="str">
            <v>Tax rate %</v>
          </cell>
          <cell r="V343">
            <v>0</v>
          </cell>
          <cell r="W343">
            <v>0</v>
          </cell>
          <cell r="X343">
            <v>0</v>
          </cell>
          <cell r="Y343">
            <v>0</v>
          </cell>
          <cell r="Z343">
            <v>0</v>
          </cell>
          <cell r="AA343">
            <v>0</v>
          </cell>
          <cell r="AB343">
            <v>0</v>
          </cell>
          <cell r="AC343">
            <v>0</v>
          </cell>
          <cell r="AD343">
            <v>0</v>
          </cell>
          <cell r="AE343">
            <v>0</v>
          </cell>
          <cell r="AF343">
            <v>0</v>
          </cell>
          <cell r="AG343">
            <v>0</v>
          </cell>
          <cell r="AI343" t="str">
            <v>Tax rate %</v>
          </cell>
          <cell r="AJ343">
            <v>0</v>
          </cell>
          <cell r="AK343">
            <v>0</v>
          </cell>
          <cell r="AL343">
            <v>0</v>
          </cell>
          <cell r="AM343">
            <v>0</v>
          </cell>
          <cell r="AN343">
            <v>0</v>
          </cell>
          <cell r="AP343">
            <v>0</v>
          </cell>
          <cell r="AR343">
            <v>0</v>
          </cell>
        </row>
        <row r="345">
          <cell r="A345" t="str">
            <v>Net Income</v>
          </cell>
          <cell r="C345">
            <v>0</v>
          </cell>
          <cell r="D345">
            <v>0</v>
          </cell>
          <cell r="E345">
            <v>0</v>
          </cell>
          <cell r="F345">
            <v>0</v>
          </cell>
          <cell r="G345">
            <v>0</v>
          </cell>
          <cell r="H345">
            <v>0</v>
          </cell>
          <cell r="I345">
            <v>0</v>
          </cell>
          <cell r="J345">
            <v>0</v>
          </cell>
          <cell r="K345">
            <v>0</v>
          </cell>
          <cell r="L345">
            <v>0</v>
          </cell>
          <cell r="M345">
            <v>0</v>
          </cell>
          <cell r="N345">
            <v>0</v>
          </cell>
          <cell r="O345">
            <v>0</v>
          </cell>
          <cell r="Q345">
            <v>0</v>
          </cell>
          <cell r="S345">
            <v>0</v>
          </cell>
          <cell r="U345" t="str">
            <v>Net Income</v>
          </cell>
          <cell r="V345">
            <v>0</v>
          </cell>
          <cell r="W345">
            <v>0</v>
          </cell>
          <cell r="X345">
            <v>0</v>
          </cell>
          <cell r="Y345">
            <v>0</v>
          </cell>
          <cell r="Z345">
            <v>0</v>
          </cell>
          <cell r="AA345">
            <v>0</v>
          </cell>
          <cell r="AB345">
            <v>0</v>
          </cell>
          <cell r="AC345">
            <v>0</v>
          </cell>
          <cell r="AD345">
            <v>0</v>
          </cell>
          <cell r="AE345">
            <v>0</v>
          </cell>
          <cell r="AF345">
            <v>0</v>
          </cell>
          <cell r="AG345">
            <v>0</v>
          </cell>
          <cell r="AI345" t="str">
            <v>Net Income</v>
          </cell>
          <cell r="AJ345">
            <v>0</v>
          </cell>
          <cell r="AK345">
            <v>0</v>
          </cell>
          <cell r="AL345">
            <v>0</v>
          </cell>
          <cell r="AM345">
            <v>0</v>
          </cell>
          <cell r="AN345">
            <v>0</v>
          </cell>
          <cell r="AP345">
            <v>0</v>
          </cell>
          <cell r="AR345">
            <v>0</v>
          </cell>
        </row>
        <row r="346">
          <cell r="A346" t="str">
            <v>% Sales</v>
          </cell>
          <cell r="C346">
            <v>0</v>
          </cell>
          <cell r="D346">
            <v>0</v>
          </cell>
          <cell r="E346">
            <v>0</v>
          </cell>
          <cell r="F346">
            <v>0</v>
          </cell>
          <cell r="G346">
            <v>0</v>
          </cell>
          <cell r="H346">
            <v>0</v>
          </cell>
          <cell r="I346">
            <v>0</v>
          </cell>
          <cell r="J346">
            <v>0</v>
          </cell>
          <cell r="K346">
            <v>0</v>
          </cell>
          <cell r="L346">
            <v>0</v>
          </cell>
          <cell r="M346">
            <v>0</v>
          </cell>
          <cell r="N346">
            <v>0</v>
          </cell>
          <cell r="O346">
            <v>0</v>
          </cell>
          <cell r="Q346">
            <v>0</v>
          </cell>
          <cell r="S346">
            <v>0</v>
          </cell>
          <cell r="U346" t="str">
            <v>% Sales</v>
          </cell>
          <cell r="V346">
            <v>0</v>
          </cell>
          <cell r="W346">
            <v>0</v>
          </cell>
          <cell r="X346">
            <v>0</v>
          </cell>
          <cell r="Y346">
            <v>0</v>
          </cell>
          <cell r="Z346">
            <v>0</v>
          </cell>
          <cell r="AA346">
            <v>0</v>
          </cell>
          <cell r="AB346">
            <v>0</v>
          </cell>
          <cell r="AC346">
            <v>0</v>
          </cell>
          <cell r="AD346">
            <v>0</v>
          </cell>
          <cell r="AE346">
            <v>0</v>
          </cell>
          <cell r="AF346">
            <v>0</v>
          </cell>
          <cell r="AG346">
            <v>0</v>
          </cell>
          <cell r="AI346" t="str">
            <v>% Sales</v>
          </cell>
          <cell r="AJ346">
            <v>0</v>
          </cell>
          <cell r="AK346">
            <v>0</v>
          </cell>
          <cell r="AL346">
            <v>0</v>
          </cell>
          <cell r="AM346">
            <v>0</v>
          </cell>
          <cell r="AN346">
            <v>0</v>
          </cell>
          <cell r="AP346">
            <v>0</v>
          </cell>
          <cell r="AR346">
            <v>0</v>
          </cell>
        </row>
        <row r="352">
          <cell r="A352" t="str">
            <v>MEX Budget '02</v>
          </cell>
          <cell r="U352" t="str">
            <v>MEX Forecast YTD '00</v>
          </cell>
          <cell r="AI352" t="str">
            <v>MEX Forecast Qtr.'00</v>
          </cell>
        </row>
        <row r="353">
          <cell r="A353" t="str">
            <v>Halosulfuron ( Sempra)</v>
          </cell>
          <cell r="C353" t="str">
            <v>Jan</v>
          </cell>
          <cell r="D353" t="str">
            <v>Feb</v>
          </cell>
          <cell r="E353" t="str">
            <v>Mar</v>
          </cell>
          <cell r="F353" t="str">
            <v>Apr</v>
          </cell>
          <cell r="G353" t="str">
            <v>May</v>
          </cell>
          <cell r="H353" t="str">
            <v>Jun</v>
          </cell>
          <cell r="I353" t="str">
            <v>Jul</v>
          </cell>
          <cell r="J353" t="str">
            <v>Aug</v>
          </cell>
          <cell r="K353" t="str">
            <v>Sep</v>
          </cell>
          <cell r="L353" t="str">
            <v>Oct</v>
          </cell>
          <cell r="M353" t="str">
            <v>Nov</v>
          </cell>
          <cell r="N353" t="str">
            <v>Dec</v>
          </cell>
          <cell r="O353" t="str">
            <v>Total</v>
          </cell>
          <cell r="Q353" t="str">
            <v>Changes</v>
          </cell>
          <cell r="S353" t="str">
            <v>Changes</v>
          </cell>
          <cell r="U353" t="str">
            <v>Halosulfuron ( Sempra)</v>
          </cell>
          <cell r="V353" t="str">
            <v>Jan</v>
          </cell>
          <cell r="W353" t="str">
            <v>Feb</v>
          </cell>
          <cell r="X353" t="str">
            <v>Mar</v>
          </cell>
          <cell r="Y353" t="str">
            <v>Apr</v>
          </cell>
          <cell r="Z353" t="str">
            <v>May</v>
          </cell>
          <cell r="AA353" t="str">
            <v>Jun</v>
          </cell>
          <cell r="AB353" t="str">
            <v>Jul</v>
          </cell>
          <cell r="AC353" t="str">
            <v>Aug</v>
          </cell>
          <cell r="AD353" t="str">
            <v>Sep</v>
          </cell>
          <cell r="AE353" t="str">
            <v>Oct</v>
          </cell>
          <cell r="AF353" t="str">
            <v>Nov</v>
          </cell>
          <cell r="AG353" t="str">
            <v>Dec</v>
          </cell>
          <cell r="AI353" t="str">
            <v>Halosulfuron ( Sempra)</v>
          </cell>
          <cell r="AJ353" t="str">
            <v>1st Qtr.</v>
          </cell>
          <cell r="AK353" t="str">
            <v>2nd Qtr.</v>
          </cell>
          <cell r="AL353" t="str">
            <v>3er Qtr.</v>
          </cell>
          <cell r="AM353" t="str">
            <v>4 Qtr.</v>
          </cell>
          <cell r="AN353" t="str">
            <v>Total</v>
          </cell>
          <cell r="AP353">
            <v>2003</v>
          </cell>
          <cell r="AQ353">
            <v>0</v>
          </cell>
          <cell r="AR353">
            <v>2004</v>
          </cell>
        </row>
        <row r="355">
          <cell r="A355" t="str">
            <v>Halosulfuron Volume (K  Kg)</v>
          </cell>
          <cell r="B355">
            <v>1</v>
          </cell>
          <cell r="C355">
            <v>2.2599999999999998</v>
          </cell>
          <cell r="D355">
            <v>30.509999999999998</v>
          </cell>
          <cell r="E355">
            <v>31.64</v>
          </cell>
          <cell r="F355">
            <v>99.44</v>
          </cell>
          <cell r="G355">
            <v>276.85000000000002</v>
          </cell>
          <cell r="H355">
            <v>423.75</v>
          </cell>
          <cell r="I355">
            <v>375.16</v>
          </cell>
          <cell r="J355">
            <v>180.8</v>
          </cell>
          <cell r="K355">
            <v>22.6</v>
          </cell>
          <cell r="L355">
            <v>41.81</v>
          </cell>
          <cell r="M355">
            <v>119.78</v>
          </cell>
          <cell r="N355">
            <v>0</v>
          </cell>
          <cell r="O355">
            <v>1604.6</v>
          </cell>
          <cell r="Q355">
            <v>1604.6</v>
          </cell>
          <cell r="S355">
            <v>1604.6</v>
          </cell>
          <cell r="U355" t="str">
            <v>Halosulfuron Volume (Kg)</v>
          </cell>
          <cell r="V355">
            <v>2.2599999999999998</v>
          </cell>
          <cell r="W355">
            <v>32.769999999999996</v>
          </cell>
          <cell r="X355">
            <v>64.41</v>
          </cell>
          <cell r="Y355">
            <v>163.85</v>
          </cell>
          <cell r="Z355">
            <v>440.70000000000005</v>
          </cell>
          <cell r="AA355">
            <v>864.45</v>
          </cell>
          <cell r="AB355">
            <v>1239.6100000000001</v>
          </cell>
          <cell r="AC355">
            <v>1420.41</v>
          </cell>
          <cell r="AD355">
            <v>1443.01</v>
          </cell>
          <cell r="AE355">
            <v>1484.82</v>
          </cell>
          <cell r="AF355">
            <v>1604.6</v>
          </cell>
          <cell r="AG355">
            <v>1604.6</v>
          </cell>
          <cell r="AI355" t="str">
            <v>Halosulfuron Volume (K Galls)</v>
          </cell>
          <cell r="AJ355">
            <v>64.41</v>
          </cell>
          <cell r="AK355">
            <v>800.04</v>
          </cell>
          <cell r="AL355">
            <v>578.56000000000006</v>
          </cell>
          <cell r="AM355">
            <v>161.59</v>
          </cell>
          <cell r="AN355">
            <v>1604.6</v>
          </cell>
        </row>
        <row r="356">
          <cell r="A356" t="str">
            <v>Halosulfuron Netback (USD/Kg)</v>
          </cell>
          <cell r="C356">
            <v>0.240379704519496</v>
          </cell>
          <cell r="D356">
            <v>0.23962537490280297</v>
          </cell>
          <cell r="E356">
            <v>0.23887576476233535</v>
          </cell>
          <cell r="F356">
            <v>0.23813082994498927</v>
          </cell>
          <cell r="G356">
            <v>0.23739052684671463</v>
          </cell>
          <cell r="H356">
            <v>0.23592364408556088</v>
          </cell>
          <cell r="I356">
            <v>0.23447477830816746</v>
          </cell>
          <cell r="J356">
            <v>0.23301989462626349</v>
          </cell>
          <cell r="K356">
            <v>0.23205426255194961</v>
          </cell>
          <cell r="L356">
            <v>0.23109660058857459</v>
          </cell>
          <cell r="M356">
            <v>0.23014681046641972</v>
          </cell>
          <cell r="N356">
            <v>0</v>
          </cell>
          <cell r="O356">
            <v>0.235170954584662</v>
          </cell>
          <cell r="Q356">
            <v>0.235170954584662</v>
          </cell>
          <cell r="S356">
            <v>0.235170954584662</v>
          </cell>
          <cell r="U356" t="str">
            <v>Halosulfuron Netback (Kg)</v>
          </cell>
          <cell r="V356">
            <v>0.240379704519496</v>
          </cell>
          <cell r="W356">
            <v>0.23967739763498871</v>
          </cell>
          <cell r="X356">
            <v>0.23928361306596602</v>
          </cell>
          <cell r="Y356">
            <v>0.23858399296495944</v>
          </cell>
          <cell r="Z356">
            <v>0.23783425142913894</v>
          </cell>
          <cell r="AA356">
            <v>0.23689767920189483</v>
          </cell>
          <cell r="AB356">
            <v>0.23616440381746684</v>
          </cell>
          <cell r="AC356">
            <v>0.2357641480731609</v>
          </cell>
          <cell r="AD356">
            <v>0.23570604493265646</v>
          </cell>
          <cell r="AE356">
            <v>0.23557625083773179</v>
          </cell>
          <cell r="AF356">
            <v>0.235170954584662</v>
          </cell>
          <cell r="AG356">
            <v>0.235170954584662</v>
          </cell>
          <cell r="AI356" t="str">
            <v>Halosulfuron Netback (K Galls)</v>
          </cell>
          <cell r="AJ356">
            <v>0.23928361306596599</v>
          </cell>
          <cell r="AK356">
            <v>0.23670559130605859</v>
          </cell>
          <cell r="AL356">
            <v>0.23392557576084519</v>
          </cell>
          <cell r="AM356">
            <v>0.23039256035816608</v>
          </cell>
          <cell r="AN356">
            <v>0.235170954584662</v>
          </cell>
        </row>
        <row r="357">
          <cell r="A357" t="str">
            <v>Halosulfuron Unit COGS (USD/Kg)</v>
          </cell>
          <cell r="C357">
            <v>0.34313295754134343</v>
          </cell>
          <cell r="D357">
            <v>0.33155400740398483</v>
          </cell>
          <cell r="E357">
            <v>0.31565020655006598</v>
          </cell>
          <cell r="F357">
            <v>0.28545883641883507</v>
          </cell>
          <cell r="G357">
            <v>0.27813937907476238</v>
          </cell>
          <cell r="H357">
            <v>0.27813937907476238</v>
          </cell>
          <cell r="I357">
            <v>0.27813937907476238</v>
          </cell>
          <cell r="J357">
            <v>0.27813937907476238</v>
          </cell>
          <cell r="K357">
            <v>0.27813937907476238</v>
          </cell>
          <cell r="L357">
            <v>0.27813937907476238</v>
          </cell>
          <cell r="M357">
            <v>0.27813937907476238</v>
          </cell>
          <cell r="N357">
            <v>0</v>
          </cell>
          <cell r="O357">
            <v>0.28043979987575468</v>
          </cell>
          <cell r="Q357">
            <v>0.28043979987575468</v>
          </cell>
          <cell r="S357">
            <v>0.28043979987575468</v>
          </cell>
          <cell r="U357" t="str">
            <v>Halosulfuron Unit COGS (Kg)</v>
          </cell>
          <cell r="V357">
            <v>0.34313295754134343</v>
          </cell>
          <cell r="W357">
            <v>0.33235255568931993</v>
          </cell>
          <cell r="X357">
            <v>0.32414789295424778</v>
          </cell>
          <cell r="Y357">
            <v>0.30066763795344559</v>
          </cell>
          <cell r="Z357">
            <v>0.28651527019632406</v>
          </cell>
          <cell r="AA357">
            <v>0.28240944121516637</v>
          </cell>
          <cell r="AB357">
            <v>0.28111713435043151</v>
          </cell>
          <cell r="AC357">
            <v>0.28073810424374335</v>
          </cell>
          <cell r="AD357">
            <v>0.28069740377124563</v>
          </cell>
          <cell r="AE357">
            <v>0.28062537415650446</v>
          </cell>
          <cell r="AF357">
            <v>0.28043979987575468</v>
          </cell>
          <cell r="AG357">
            <v>0.28043979987575468</v>
          </cell>
          <cell r="AI357" t="str">
            <v>Halosulfuron Unit COGS (K Galls)</v>
          </cell>
          <cell r="AJ357">
            <v>0.32414789295424778</v>
          </cell>
          <cell r="AK357">
            <v>0.27904914213447762</v>
          </cell>
          <cell r="AL357">
            <v>0.27813937907476244</v>
          </cell>
          <cell r="AM357">
            <v>0.27813937907476238</v>
          </cell>
          <cell r="AN357">
            <v>0.28043979987575468</v>
          </cell>
        </row>
        <row r="358">
          <cell r="A358" t="str">
            <v>Factor de conversión</v>
          </cell>
          <cell r="B358">
            <v>1.6534669663865817</v>
          </cell>
        </row>
        <row r="359">
          <cell r="A359" t="str">
            <v>Halosulfuron Volume (K TE Lbs)</v>
          </cell>
          <cell r="C359">
            <v>3.7368353440336746</v>
          </cell>
          <cell r="D359">
            <v>50.447277144454603</v>
          </cell>
          <cell r="E359">
            <v>52.315694816471449</v>
          </cell>
          <cell r="F359">
            <v>164.42075513748168</v>
          </cell>
          <cell r="G359">
            <v>457.7623296441252</v>
          </cell>
          <cell r="H359">
            <v>700.65662700631401</v>
          </cell>
          <cell r="I359">
            <v>620.31466710959</v>
          </cell>
          <cell r="J359">
            <v>298.94682752269398</v>
          </cell>
          <cell r="K359">
            <v>37.368353440336747</v>
          </cell>
          <cell r="L359">
            <v>69.131453864622983</v>
          </cell>
          <cell r="M359">
            <v>198.05227323378477</v>
          </cell>
          <cell r="N359">
            <v>0</v>
          </cell>
          <cell r="O359">
            <v>2653.1530942639092</v>
          </cell>
          <cell r="Q359">
            <v>2653.1530942639088</v>
          </cell>
          <cell r="S359">
            <v>2653.1530942639088</v>
          </cell>
          <cell r="U359" t="str">
            <v>Halosulfuron Volume (K TE Lbs)</v>
          </cell>
          <cell r="V359">
            <v>3.7368353440336746</v>
          </cell>
          <cell r="W359">
            <v>54.184112488488275</v>
          </cell>
          <cell r="X359">
            <v>106.49980730495972</v>
          </cell>
          <cell r="Y359">
            <v>270.92056244244139</v>
          </cell>
          <cell r="Z359">
            <v>728.68289208656665</v>
          </cell>
          <cell r="AA359">
            <v>1429.3395190928807</v>
          </cell>
          <cell r="AB359">
            <v>2049.6541862024706</v>
          </cell>
          <cell r="AC359">
            <v>2348.6010137251646</v>
          </cell>
          <cell r="AD359">
            <v>2385.9693671655014</v>
          </cell>
          <cell r="AE359">
            <v>2455.1008210301243</v>
          </cell>
          <cell r="AF359">
            <v>2653.1530942639092</v>
          </cell>
          <cell r="AG359">
            <v>2653.1530942639092</v>
          </cell>
          <cell r="AI359" t="str">
            <v>Halosulfuron Volume (K TE Lbs)</v>
          </cell>
          <cell r="AJ359">
            <v>106.49980730495972</v>
          </cell>
          <cell r="AK359">
            <v>1322.8397117879208</v>
          </cell>
          <cell r="AL359">
            <v>956.62984807262069</v>
          </cell>
          <cell r="AM359">
            <v>267.18372709840776</v>
          </cell>
          <cell r="AN359">
            <v>2653.1530942639092</v>
          </cell>
          <cell r="AP359">
            <v>0</v>
          </cell>
          <cell r="AR359">
            <v>0</v>
          </cell>
        </row>
        <row r="360">
          <cell r="A360" t="str">
            <v>Halosulfuron Netback (K TE Lbs)</v>
          </cell>
          <cell r="C360">
            <v>0.14537919983053055</v>
          </cell>
          <cell r="D360">
            <v>0.14492298895240124</v>
          </cell>
          <cell r="E360">
            <v>0.14446963236548024</v>
          </cell>
          <cell r="F360">
            <v>0.14401910336641954</v>
          </cell>
          <cell r="G360">
            <v>0.14357137558393324</v>
          </cell>
          <cell r="H360">
            <v>0.14268421981307472</v>
          </cell>
          <cell r="I360">
            <v>0.14180796053070169</v>
          </cell>
          <cell r="J360">
            <v>0.14092806168090283</v>
          </cell>
          <cell r="K360">
            <v>0.14034405722605478</v>
          </cell>
          <cell r="L360">
            <v>0.13976487301321994</v>
          </cell>
          <cell r="M360">
            <v>0.13919044960987217</v>
          </cell>
          <cell r="N360">
            <v>0</v>
          </cell>
          <cell r="O360">
            <v>0.14222900086029225</v>
          </cell>
          <cell r="Q360">
            <v>0.14222900086029228</v>
          </cell>
          <cell r="S360">
            <v>0.14222900086029228</v>
          </cell>
          <cell r="U360" t="str">
            <v>Halosulfuron Netback (K TE Lbs)</v>
          </cell>
          <cell r="V360">
            <v>0.14537919983053055</v>
          </cell>
          <cell r="W360">
            <v>0.14495445177158259</v>
          </cell>
          <cell r="X360">
            <v>0.14471629487033935</v>
          </cell>
          <cell r="Y360">
            <v>0.14429317175071904</v>
          </cell>
          <cell r="Z360">
            <v>0.14383973569722538</v>
          </cell>
          <cell r="AA360">
            <v>0.14327330634224955</v>
          </cell>
          <cell r="AB360">
            <v>0.14282982884960244</v>
          </cell>
          <cell r="AC360">
            <v>0.14258775824738132</v>
          </cell>
          <cell r="AD360">
            <v>0.14255261805910682</v>
          </cell>
          <cell r="AE360">
            <v>0.14247411991093498</v>
          </cell>
          <cell r="AF360">
            <v>0.14222900086029225</v>
          </cell>
          <cell r="AG360">
            <v>0.14222900086029225</v>
          </cell>
          <cell r="AI360" t="str">
            <v>Halosulfuron Netback (K TE Lbs)</v>
          </cell>
          <cell r="AJ360">
            <v>0.14471629487033932</v>
          </cell>
          <cell r="AK360">
            <v>0.143157133537022</v>
          </cell>
          <cell r="AL360">
            <v>0.14147580841730176</v>
          </cell>
          <cell r="AM360">
            <v>0.13933907664430481</v>
          </cell>
          <cell r="AN360">
            <v>0.14222900086029225</v>
          </cell>
          <cell r="AP360">
            <v>0</v>
          </cell>
          <cell r="AR360">
            <v>0</v>
          </cell>
        </row>
        <row r="361">
          <cell r="A361" t="str">
            <v>Halosulfuron Unit COGS (K TE Lbs)</v>
          </cell>
          <cell r="C361">
            <v>0.2075233219150498</v>
          </cell>
          <cell r="D361">
            <v>0.20052049066849473</v>
          </cell>
          <cell r="E361">
            <v>0.19090203370671194</v>
          </cell>
          <cell r="F361">
            <v>0.17264260019821562</v>
          </cell>
          <cell r="G361">
            <v>0.16821586685979983</v>
          </cell>
          <cell r="H361">
            <v>0.16821586685979983</v>
          </cell>
          <cell r="I361">
            <v>0.16821586685979983</v>
          </cell>
          <cell r="J361">
            <v>0.16821586685979983</v>
          </cell>
          <cell r="K361">
            <v>0.16821586685979983</v>
          </cell>
          <cell r="L361">
            <v>0.16821586685979983</v>
          </cell>
          <cell r="M361">
            <v>0.16821586685979983</v>
          </cell>
          <cell r="N361">
            <v>0</v>
          </cell>
          <cell r="O361">
            <v>0.16960713795729232</v>
          </cell>
          <cell r="Q361">
            <v>0.16960713795729238</v>
          </cell>
          <cell r="S361">
            <v>0.16960713795729238</v>
          </cell>
          <cell r="U361" t="str">
            <v>Halosulfuron Unit COGS (K TE Lbs)</v>
          </cell>
          <cell r="V361">
            <v>0.2075233219150498</v>
          </cell>
          <cell r="W361">
            <v>0.20100344454756749</v>
          </cell>
          <cell r="X361">
            <v>0.19604134799416478</v>
          </cell>
          <cell r="Y361">
            <v>0.18184072864214043</v>
          </cell>
          <cell r="Z361">
            <v>0.17328152059938801</v>
          </cell>
          <cell r="AA361">
            <v>0.17079835700155066</v>
          </cell>
          <cell r="AB361">
            <v>0.17001678295682757</v>
          </cell>
          <cell r="AC361">
            <v>0.16978754940430213</v>
          </cell>
          <cell r="AD361">
            <v>0.16976293417259497</v>
          </cell>
          <cell r="AE361">
            <v>0.16971937139438081</v>
          </cell>
          <cell r="AF361">
            <v>0.16960713795729238</v>
          </cell>
          <cell r="AG361">
            <v>0.16960713795729238</v>
          </cell>
          <cell r="AI361" t="str">
            <v>Halosulfuron Unit COGS (K TE Lbs)</v>
          </cell>
          <cell r="AJ361">
            <v>0.19604134799416478</v>
          </cell>
          <cell r="AK361">
            <v>0.16876608230299278</v>
          </cell>
          <cell r="AL361">
            <v>0.16821586685979983</v>
          </cell>
          <cell r="AM361">
            <v>0.16821586685979983</v>
          </cell>
          <cell r="AN361">
            <v>0.16960713795729238</v>
          </cell>
          <cell r="AP361">
            <v>0</v>
          </cell>
          <cell r="AR361">
            <v>0</v>
          </cell>
        </row>
        <row r="363">
          <cell r="A363" t="str">
            <v>Net Sales</v>
          </cell>
          <cell r="C363">
            <v>0.54325813221406094</v>
          </cell>
          <cell r="D363">
            <v>7.3109701882845179</v>
          </cell>
          <cell r="E363">
            <v>7.5580291970802911</v>
          </cell>
          <cell r="F363">
            <v>23.679729729729733</v>
          </cell>
          <cell r="G363">
            <v>65.721567357512953</v>
          </cell>
          <cell r="H363">
            <v>99.972644181256427</v>
          </cell>
          <cell r="I363">
            <v>87.965557830092109</v>
          </cell>
          <cell r="J363">
            <v>42.129996948428442</v>
          </cell>
          <cell r="K363">
            <v>5.2444263336740615</v>
          </cell>
          <cell r="L363">
            <v>9.6621488706083039</v>
          </cell>
          <cell r="M363">
            <v>27.566984957667753</v>
          </cell>
          <cell r="N363">
            <v>0</v>
          </cell>
          <cell r="O363">
            <v>377.35531372654862</v>
          </cell>
          <cell r="Q363">
            <v>377.35531372654862</v>
          </cell>
          <cell r="S363">
            <v>377.35531372654862</v>
          </cell>
          <cell r="U363" t="str">
            <v>Net Sales</v>
          </cell>
          <cell r="V363">
            <v>0.54325813221406094</v>
          </cell>
          <cell r="W363">
            <v>7.8542283204985788</v>
          </cell>
          <cell r="X363">
            <v>15.412257517578869</v>
          </cell>
          <cell r="Y363">
            <v>39.091987247308602</v>
          </cell>
          <cell r="Z363">
            <v>104.81355460482155</v>
          </cell>
          <cell r="AA363">
            <v>204.78619878607799</v>
          </cell>
          <cell r="AB363">
            <v>292.7517566161701</v>
          </cell>
          <cell r="AC363">
            <v>334.88175356459851</v>
          </cell>
          <cell r="AD363">
            <v>340.1261798982726</v>
          </cell>
          <cell r="AE363">
            <v>349.78832876888089</v>
          </cell>
          <cell r="AF363">
            <v>377.35531372654862</v>
          </cell>
          <cell r="AG363">
            <v>377.35531372654862</v>
          </cell>
          <cell r="AI363" t="str">
            <v>Net Sales</v>
          </cell>
          <cell r="AJ363">
            <v>15.412257517578869</v>
          </cell>
          <cell r="AK363">
            <v>189.3739412684991</v>
          </cell>
          <cell r="AL363">
            <v>135.33998111219461</v>
          </cell>
          <cell r="AM363">
            <v>37.229133828276055</v>
          </cell>
          <cell r="AN363">
            <v>377.35531372654862</v>
          </cell>
          <cell r="AP363">
            <v>0</v>
          </cell>
          <cell r="AR363">
            <v>0</v>
          </cell>
        </row>
        <row r="365">
          <cell r="A365" t="str">
            <v>Inventory Cost</v>
          </cell>
          <cell r="C365">
            <v>0.74288499611059244</v>
          </cell>
          <cell r="D365">
            <v>9.6770545545985058</v>
          </cell>
          <cell r="E365">
            <v>9.5336907834192708</v>
          </cell>
          <cell r="F365">
            <v>28.386026693488958</v>
          </cell>
          <cell r="G365">
            <v>77.002887096847971</v>
          </cell>
          <cell r="H365">
            <v>117.86156188293056</v>
          </cell>
          <cell r="I365">
            <v>104.34676945368786</v>
          </cell>
          <cell r="J365">
            <v>50.287599736717041</v>
          </cell>
          <cell r="K365">
            <v>6.2859499670896302</v>
          </cell>
          <cell r="L365">
            <v>11.629007439115815</v>
          </cell>
          <cell r="M365">
            <v>33.315534825575035</v>
          </cell>
          <cell r="N365">
            <v>0</v>
          </cell>
          <cell r="O365">
            <v>449.06896742958116</v>
          </cell>
          <cell r="Q365">
            <v>449.99370288063591</v>
          </cell>
          <cell r="S365">
            <v>449.99370288063591</v>
          </cell>
          <cell r="U365" t="str">
            <v>Inventory Cost</v>
          </cell>
          <cell r="V365">
            <v>0.74288499611059244</v>
          </cell>
          <cell r="W365">
            <v>10.419939550709099</v>
          </cell>
          <cell r="X365">
            <v>19.95363033412837</v>
          </cell>
          <cell r="Y365">
            <v>48.339657027617328</v>
          </cell>
          <cell r="Z365">
            <v>125.34254412446529</v>
          </cell>
          <cell r="AA365">
            <v>243.20410600739586</v>
          </cell>
          <cell r="AB365">
            <v>347.55087546108371</v>
          </cell>
          <cell r="AC365">
            <v>397.83847519780073</v>
          </cell>
          <cell r="AD365">
            <v>404.12442516489034</v>
          </cell>
          <cell r="AE365">
            <v>415.75343260400615</v>
          </cell>
          <cell r="AF365">
            <v>449.06896742958116</v>
          </cell>
          <cell r="AG365">
            <v>449.06896742958116</v>
          </cell>
          <cell r="AI365" t="str">
            <v>Inventory Cost</v>
          </cell>
          <cell r="AJ365">
            <v>19.95363033412837</v>
          </cell>
          <cell r="AK365">
            <v>223.25047567326749</v>
          </cell>
          <cell r="AL365">
            <v>160.92031915749453</v>
          </cell>
          <cell r="AM365">
            <v>44.944542264690853</v>
          </cell>
          <cell r="AN365">
            <v>449.06896742958122</v>
          </cell>
          <cell r="AP365">
            <v>0</v>
          </cell>
          <cell r="AR365">
            <v>0</v>
          </cell>
        </row>
        <row r="366">
          <cell r="A366" t="str">
            <v>Non Std. Cost</v>
          </cell>
          <cell r="C366">
            <v>3.2595487932843656E-2</v>
          </cell>
          <cell r="D366">
            <v>0.43865821129707105</v>
          </cell>
          <cell r="E366">
            <v>0.45348175182481743</v>
          </cell>
          <cell r="F366">
            <v>0</v>
          </cell>
          <cell r="G366">
            <v>0</v>
          </cell>
          <cell r="H366">
            <v>0</v>
          </cell>
          <cell r="I366">
            <v>0</v>
          </cell>
          <cell r="J366">
            <v>0</v>
          </cell>
          <cell r="K366">
            <v>0</v>
          </cell>
          <cell r="L366">
            <v>0</v>
          </cell>
          <cell r="M366">
            <v>0</v>
          </cell>
          <cell r="N366">
            <v>0</v>
          </cell>
          <cell r="O366">
            <v>0.92473545105473209</v>
          </cell>
          <cell r="Q366">
            <v>0</v>
          </cell>
          <cell r="S366">
            <v>0</v>
          </cell>
          <cell r="U366" t="str">
            <v>Non Std. Cost</v>
          </cell>
          <cell r="V366">
            <v>3.2595487932843656E-2</v>
          </cell>
          <cell r="W366">
            <v>0.47125369922991472</v>
          </cell>
          <cell r="X366">
            <v>0.92473545105473209</v>
          </cell>
          <cell r="Y366">
            <v>0.92473545105473209</v>
          </cell>
          <cell r="Z366">
            <v>0.92473545105473209</v>
          </cell>
          <cell r="AA366">
            <v>0.92473545105473209</v>
          </cell>
          <cell r="AB366">
            <v>0.92473545105473209</v>
          </cell>
          <cell r="AC366">
            <v>0.92473545105473209</v>
          </cell>
          <cell r="AD366">
            <v>0.92473545105473209</v>
          </cell>
          <cell r="AE366">
            <v>0.92473545105473209</v>
          </cell>
          <cell r="AF366">
            <v>0.92473545105473209</v>
          </cell>
          <cell r="AG366">
            <v>0.92473545105473209</v>
          </cell>
          <cell r="AI366" t="str">
            <v>Non Std. Cost</v>
          </cell>
          <cell r="AJ366">
            <v>0.92473545105473209</v>
          </cell>
          <cell r="AK366">
            <v>0</v>
          </cell>
          <cell r="AL366">
            <v>0</v>
          </cell>
          <cell r="AM366">
            <v>0</v>
          </cell>
          <cell r="AN366">
            <v>0.92473545105473209</v>
          </cell>
        </row>
        <row r="367">
          <cell r="A367" t="str">
            <v>Alloc. NSC (STL)</v>
          </cell>
          <cell r="C367">
            <v>0</v>
          </cell>
          <cell r="D367">
            <v>0</v>
          </cell>
          <cell r="E367">
            <v>0</v>
          </cell>
          <cell r="F367">
            <v>0</v>
          </cell>
          <cell r="G367">
            <v>0</v>
          </cell>
          <cell r="H367">
            <v>0</v>
          </cell>
          <cell r="I367">
            <v>0</v>
          </cell>
          <cell r="J367">
            <v>0</v>
          </cell>
          <cell r="K367">
            <v>0</v>
          </cell>
          <cell r="L367">
            <v>0</v>
          </cell>
          <cell r="M367">
            <v>0</v>
          </cell>
          <cell r="N367">
            <v>0</v>
          </cell>
          <cell r="O367">
            <v>0</v>
          </cell>
          <cell r="Q367">
            <v>0</v>
          </cell>
          <cell r="S367">
            <v>0</v>
          </cell>
          <cell r="U367" t="str">
            <v>Alloc. NSC (STL)</v>
          </cell>
          <cell r="V367">
            <v>0</v>
          </cell>
          <cell r="W367">
            <v>0</v>
          </cell>
          <cell r="X367">
            <v>0</v>
          </cell>
          <cell r="Y367">
            <v>0</v>
          </cell>
          <cell r="Z367">
            <v>0</v>
          </cell>
          <cell r="AA367">
            <v>0</v>
          </cell>
          <cell r="AB367">
            <v>0</v>
          </cell>
          <cell r="AC367">
            <v>0</v>
          </cell>
          <cell r="AD367">
            <v>0</v>
          </cell>
          <cell r="AE367">
            <v>0</v>
          </cell>
          <cell r="AF367">
            <v>0</v>
          </cell>
          <cell r="AG367">
            <v>0</v>
          </cell>
          <cell r="AI367" t="str">
            <v>Alloc. NSC (STL)</v>
          </cell>
          <cell r="AJ367">
            <v>0</v>
          </cell>
          <cell r="AK367">
            <v>0</v>
          </cell>
          <cell r="AL367">
            <v>0</v>
          </cell>
          <cell r="AM367">
            <v>0</v>
          </cell>
          <cell r="AN367">
            <v>0</v>
          </cell>
          <cell r="AP367">
            <v>0</v>
          </cell>
          <cell r="AR367">
            <v>0</v>
          </cell>
        </row>
        <row r="368">
          <cell r="A368" t="str">
            <v>COGS</v>
          </cell>
          <cell r="C368">
            <v>0.77548048404343606</v>
          </cell>
          <cell r="D368">
            <v>10.115712765895577</v>
          </cell>
          <cell r="E368">
            <v>9.9871725352440883</v>
          </cell>
          <cell r="F368">
            <v>28.386026693488958</v>
          </cell>
          <cell r="G368">
            <v>77.002887096847971</v>
          </cell>
          <cell r="H368">
            <v>117.86156188293056</v>
          </cell>
          <cell r="I368">
            <v>104.34676945368786</v>
          </cell>
          <cell r="J368">
            <v>50.287599736717041</v>
          </cell>
          <cell r="K368">
            <v>6.2859499670896302</v>
          </cell>
          <cell r="L368">
            <v>11.629007439115815</v>
          </cell>
          <cell r="M368">
            <v>33.315534825575035</v>
          </cell>
          <cell r="N368">
            <v>0</v>
          </cell>
          <cell r="O368">
            <v>449.99370288063591</v>
          </cell>
          <cell r="Q368">
            <v>449.99370288063591</v>
          </cell>
          <cell r="S368">
            <v>449.99370288063591</v>
          </cell>
          <cell r="U368" t="str">
            <v>COGS</v>
          </cell>
          <cell r="V368">
            <v>0.77548048404343606</v>
          </cell>
          <cell r="W368">
            <v>10.891193249939013</v>
          </cell>
          <cell r="X368">
            <v>20.878365785183103</v>
          </cell>
          <cell r="Y368">
            <v>49.264392478672058</v>
          </cell>
          <cell r="Z368">
            <v>126.26727957552002</v>
          </cell>
          <cell r="AA368">
            <v>244.12884145845061</v>
          </cell>
          <cell r="AB368">
            <v>348.47561091213845</v>
          </cell>
          <cell r="AC368">
            <v>398.76321064885548</v>
          </cell>
          <cell r="AD368">
            <v>405.04916061594508</v>
          </cell>
          <cell r="AE368">
            <v>416.67816805506089</v>
          </cell>
          <cell r="AF368">
            <v>449.99370288063591</v>
          </cell>
          <cell r="AG368">
            <v>449.99370288063591</v>
          </cell>
          <cell r="AI368" t="str">
            <v>COGS</v>
          </cell>
          <cell r="AJ368">
            <v>20.878365785183103</v>
          </cell>
          <cell r="AK368">
            <v>223.25047567326749</v>
          </cell>
          <cell r="AL368">
            <v>160.92031915749453</v>
          </cell>
          <cell r="AM368">
            <v>44.944542264690853</v>
          </cell>
          <cell r="AN368">
            <v>449.99370288063596</v>
          </cell>
          <cell r="AP368">
            <v>0</v>
          </cell>
          <cell r="AR368">
            <v>0</v>
          </cell>
        </row>
        <row r="370">
          <cell r="A370" t="str">
            <v>Gross Profit</v>
          </cell>
          <cell r="C370">
            <v>-0.23222235182937512</v>
          </cell>
          <cell r="D370">
            <v>-2.8047425776110586</v>
          </cell>
          <cell r="E370">
            <v>-2.4291433381637972</v>
          </cell>
          <cell r="F370">
            <v>-4.7062969637592253</v>
          </cell>
          <cell r="G370">
            <v>-11.281319739335018</v>
          </cell>
          <cell r="H370">
            <v>-17.888917701674131</v>
          </cell>
          <cell r="I370">
            <v>-16.381211623595746</v>
          </cell>
          <cell r="J370">
            <v>-8.1576027882885995</v>
          </cell>
          <cell r="K370">
            <v>-1.0415236334155686</v>
          </cell>
          <cell r="L370">
            <v>-1.9668585685075115</v>
          </cell>
          <cell r="M370">
            <v>-5.7485498679072826</v>
          </cell>
          <cell r="N370">
            <v>0</v>
          </cell>
          <cell r="O370">
            <v>-72.638389154087292</v>
          </cell>
          <cell r="Q370">
            <v>-72.638389154087292</v>
          </cell>
          <cell r="S370">
            <v>-72.638389154087292</v>
          </cell>
          <cell r="U370" t="str">
            <v>Gross Profit</v>
          </cell>
          <cell r="V370">
            <v>-0.23222235182937512</v>
          </cell>
          <cell r="W370">
            <v>-3.0369649294404342</v>
          </cell>
          <cell r="X370">
            <v>-5.4661082676042341</v>
          </cell>
          <cell r="Y370">
            <v>-10.172405231363456</v>
          </cell>
          <cell r="Z370">
            <v>-21.453724970698474</v>
          </cell>
          <cell r="AA370">
            <v>-39.342642672372619</v>
          </cell>
          <cell r="AB370">
            <v>-55.723854295968351</v>
          </cell>
          <cell r="AC370">
            <v>-63.881457084256965</v>
          </cell>
          <cell r="AD370">
            <v>-64.922980717672488</v>
          </cell>
          <cell r="AE370">
            <v>-66.889839286180006</v>
          </cell>
          <cell r="AF370">
            <v>-72.638389154087292</v>
          </cell>
          <cell r="AG370">
            <v>-72.638389154087292</v>
          </cell>
          <cell r="AI370" t="str">
            <v>Gross Profit</v>
          </cell>
          <cell r="AJ370">
            <v>-5.4661082676042341</v>
          </cell>
          <cell r="AK370">
            <v>-33.876534404768393</v>
          </cell>
          <cell r="AL370">
            <v>-25.580338045299925</v>
          </cell>
          <cell r="AM370">
            <v>-7.7154084364147977</v>
          </cell>
          <cell r="AN370">
            <v>-72.638389154087349</v>
          </cell>
          <cell r="AP370">
            <v>0</v>
          </cell>
          <cell r="AR370">
            <v>0</v>
          </cell>
        </row>
        <row r="371">
          <cell r="A371" t="str">
            <v>% of Sales</v>
          </cell>
          <cell r="C371">
            <v>-0.42746226528252346</v>
          </cell>
          <cell r="D371">
            <v>-0.38363479885412816</v>
          </cell>
          <cell r="E371">
            <v>-0.32139904131386376</v>
          </cell>
          <cell r="F371">
            <v>-0.19874791720492074</v>
          </cell>
          <cell r="G371">
            <v>-0.17165323641730518</v>
          </cell>
          <cell r="H371">
            <v>-0.17893812700642833</v>
          </cell>
          <cell r="I371">
            <v>-0.18622301759555152</v>
          </cell>
          <cell r="J371">
            <v>-0.19362932302782659</v>
          </cell>
          <cell r="K371">
            <v>-0.19859629388404693</v>
          </cell>
          <cell r="L371">
            <v>-0.20356326474026715</v>
          </cell>
          <cell r="M371">
            <v>-0.20853023559648748</v>
          </cell>
          <cell r="N371">
            <v>0</v>
          </cell>
          <cell r="O371">
            <v>-0.1924933517876069</v>
          </cell>
          <cell r="Q371">
            <v>-0.1924933517876069</v>
          </cell>
          <cell r="S371">
            <v>-0.1924933517876069</v>
          </cell>
          <cell r="U371" t="str">
            <v>% of Sales</v>
          </cell>
          <cell r="V371">
            <v>-0.42746226528252346</v>
          </cell>
          <cell r="W371">
            <v>-0.38666623957369889</v>
          </cell>
          <cell r="X371">
            <v>-0.35465980641510275</v>
          </cell>
          <cell r="Y371">
            <v>-0.26021714288939873</v>
          </cell>
          <cell r="Z371">
            <v>-0.20468464266463851</v>
          </cell>
          <cell r="AA371">
            <v>-0.19211569385820962</v>
          </cell>
          <cell r="AB371">
            <v>-0.19034507235776721</v>
          </cell>
          <cell r="AC371">
            <v>-0.19075824945456238</v>
          </cell>
          <cell r="AD371">
            <v>-0.19087910474015884</v>
          </cell>
          <cell r="AE371">
            <v>-0.19122947732877843</v>
          </cell>
          <cell r="AF371">
            <v>-0.1924933517876069</v>
          </cell>
          <cell r="AG371">
            <v>-0.1924933517876069</v>
          </cell>
          <cell r="AI371" t="str">
            <v>% of Sales</v>
          </cell>
          <cell r="AJ371">
            <v>-0.35465980641510275</v>
          </cell>
          <cell r="AK371">
            <v>-0.17888699035279304</v>
          </cell>
          <cell r="AL371">
            <v>-0.18900799183719588</v>
          </cell>
          <cell r="AM371">
            <v>-0.20724114807513561</v>
          </cell>
          <cell r="AN371">
            <v>-0.19249335178760707</v>
          </cell>
          <cell r="AP371">
            <v>0</v>
          </cell>
          <cell r="AR371">
            <v>0</v>
          </cell>
        </row>
        <row r="373">
          <cell r="A373" t="str">
            <v>Marketing</v>
          </cell>
          <cell r="C373">
            <v>4.3280719996442238</v>
          </cell>
          <cell r="D373">
            <v>5.4634351272517483</v>
          </cell>
          <cell r="E373">
            <v>6.8306383149046797</v>
          </cell>
          <cell r="F373">
            <v>6.5331658563221167</v>
          </cell>
          <cell r="G373">
            <v>8.756455112292242</v>
          </cell>
          <cell r="H373">
            <v>7.96458289559141</v>
          </cell>
          <cell r="I373">
            <v>6.9496576001658115</v>
          </cell>
          <cell r="J373">
            <v>4.2760663312998117</v>
          </cell>
          <cell r="K373">
            <v>6.3047175050739526</v>
          </cell>
          <cell r="L373">
            <v>4.6041295890168268</v>
          </cell>
          <cell r="M373">
            <v>4.6041295890168268</v>
          </cell>
          <cell r="N373">
            <v>4.6041295890168268</v>
          </cell>
          <cell r="O373">
            <v>71.219179509596472</v>
          </cell>
          <cell r="Q373">
            <v>71.219179509596472</v>
          </cell>
          <cell r="S373">
            <v>71.219179509596472</v>
          </cell>
          <cell r="U373" t="str">
            <v>Marketing</v>
          </cell>
          <cell r="V373">
            <v>4.3280719996442238</v>
          </cell>
          <cell r="W373">
            <v>9.7915071268959721</v>
          </cell>
          <cell r="X373">
            <v>16.622145441800651</v>
          </cell>
          <cell r="Y373">
            <v>23.155311298122768</v>
          </cell>
          <cell r="Z373">
            <v>31.911766410415012</v>
          </cell>
          <cell r="AA373">
            <v>39.876349306006425</v>
          </cell>
          <cell r="AB373">
            <v>46.826006906172239</v>
          </cell>
          <cell r="AC373">
            <v>51.102073237472048</v>
          </cell>
          <cell r="AD373">
            <v>57.406790742546001</v>
          </cell>
          <cell r="AE373">
            <v>62.010920331562829</v>
          </cell>
          <cell r="AF373">
            <v>66.615049920579651</v>
          </cell>
          <cell r="AG373">
            <v>71.219179509596472</v>
          </cell>
          <cell r="AI373" t="str">
            <v>Marketing</v>
          </cell>
          <cell r="AJ373">
            <v>16.622145441800651</v>
          </cell>
          <cell r="AK373">
            <v>23.254203864205767</v>
          </cell>
          <cell r="AL373">
            <v>17.530441436539576</v>
          </cell>
          <cell r="AM373">
            <v>13.81238876705048</v>
          </cell>
          <cell r="AN373">
            <v>71.219179509596472</v>
          </cell>
        </row>
        <row r="374">
          <cell r="A374" t="str">
            <v>Administration</v>
          </cell>
          <cell r="C374">
            <v>0</v>
          </cell>
          <cell r="D374">
            <v>0</v>
          </cell>
          <cell r="E374">
            <v>0</v>
          </cell>
          <cell r="F374">
            <v>0</v>
          </cell>
          <cell r="G374">
            <v>0</v>
          </cell>
          <cell r="H374">
            <v>0</v>
          </cell>
          <cell r="I374">
            <v>0</v>
          </cell>
          <cell r="J374">
            <v>0</v>
          </cell>
          <cell r="K374">
            <v>0</v>
          </cell>
          <cell r="L374">
            <v>0</v>
          </cell>
          <cell r="M374">
            <v>0</v>
          </cell>
          <cell r="N374">
            <v>0</v>
          </cell>
          <cell r="O374">
            <v>0</v>
          </cell>
          <cell r="Q374">
            <v>0</v>
          </cell>
          <cell r="S374">
            <v>0</v>
          </cell>
          <cell r="U374" t="str">
            <v>Administration</v>
          </cell>
          <cell r="V374">
            <v>0</v>
          </cell>
          <cell r="W374">
            <v>0</v>
          </cell>
          <cell r="X374">
            <v>0</v>
          </cell>
          <cell r="Y374">
            <v>0</v>
          </cell>
          <cell r="Z374">
            <v>0</v>
          </cell>
          <cell r="AA374">
            <v>0</v>
          </cell>
          <cell r="AB374">
            <v>0</v>
          </cell>
          <cell r="AC374">
            <v>0</v>
          </cell>
          <cell r="AD374">
            <v>0</v>
          </cell>
          <cell r="AE374">
            <v>0</v>
          </cell>
          <cell r="AF374">
            <v>0</v>
          </cell>
          <cell r="AG374">
            <v>0</v>
          </cell>
          <cell r="AI374" t="str">
            <v>Administration</v>
          </cell>
          <cell r="AJ374">
            <v>0</v>
          </cell>
          <cell r="AK374">
            <v>0</v>
          </cell>
          <cell r="AL374">
            <v>0</v>
          </cell>
          <cell r="AM374">
            <v>0</v>
          </cell>
          <cell r="AN374">
            <v>0</v>
          </cell>
        </row>
        <row r="375">
          <cell r="A375" t="str">
            <v>Technology</v>
          </cell>
          <cell r="C375">
            <v>0</v>
          </cell>
          <cell r="D375">
            <v>0</v>
          </cell>
          <cell r="E375">
            <v>0</v>
          </cell>
          <cell r="F375">
            <v>0</v>
          </cell>
          <cell r="G375">
            <v>0</v>
          </cell>
          <cell r="H375">
            <v>0</v>
          </cell>
          <cell r="I375">
            <v>0</v>
          </cell>
          <cell r="J375">
            <v>0</v>
          </cell>
          <cell r="K375">
            <v>0</v>
          </cell>
          <cell r="L375">
            <v>0</v>
          </cell>
          <cell r="M375">
            <v>0</v>
          </cell>
          <cell r="N375">
            <v>0</v>
          </cell>
          <cell r="O375">
            <v>0</v>
          </cell>
          <cell r="Q375">
            <v>0</v>
          </cell>
          <cell r="S375">
            <v>0</v>
          </cell>
          <cell r="U375" t="str">
            <v>Technology</v>
          </cell>
          <cell r="V375">
            <v>0</v>
          </cell>
          <cell r="W375">
            <v>0</v>
          </cell>
          <cell r="X375">
            <v>0</v>
          </cell>
          <cell r="Y375">
            <v>0</v>
          </cell>
          <cell r="Z375">
            <v>0</v>
          </cell>
          <cell r="AA375">
            <v>0</v>
          </cell>
          <cell r="AB375">
            <v>0</v>
          </cell>
          <cell r="AC375">
            <v>0</v>
          </cell>
          <cell r="AD375">
            <v>0</v>
          </cell>
          <cell r="AE375">
            <v>0</v>
          </cell>
          <cell r="AF375">
            <v>0</v>
          </cell>
          <cell r="AG375">
            <v>0</v>
          </cell>
          <cell r="AI375" t="str">
            <v>Technology</v>
          </cell>
          <cell r="AJ375">
            <v>0</v>
          </cell>
          <cell r="AK375">
            <v>0</v>
          </cell>
          <cell r="AL375">
            <v>0</v>
          </cell>
          <cell r="AM375">
            <v>0</v>
          </cell>
          <cell r="AN375">
            <v>0</v>
          </cell>
        </row>
        <row r="376">
          <cell r="A376" t="str">
            <v>Bad Debt Reserve</v>
          </cell>
          <cell r="C376">
            <v>0</v>
          </cell>
          <cell r="D376">
            <v>0</v>
          </cell>
          <cell r="E376">
            <v>0</v>
          </cell>
          <cell r="F376">
            <v>0</v>
          </cell>
          <cell r="G376">
            <v>0</v>
          </cell>
          <cell r="H376">
            <v>0</v>
          </cell>
          <cell r="I376">
            <v>0</v>
          </cell>
          <cell r="J376">
            <v>0</v>
          </cell>
          <cell r="K376">
            <v>0</v>
          </cell>
          <cell r="L376">
            <v>0</v>
          </cell>
          <cell r="M376">
            <v>0</v>
          </cell>
          <cell r="N376">
            <v>0</v>
          </cell>
          <cell r="O376">
            <v>0</v>
          </cell>
          <cell r="Q376">
            <v>0</v>
          </cell>
          <cell r="S376">
            <v>0</v>
          </cell>
          <cell r="U376" t="str">
            <v>Bad Debt Reserve</v>
          </cell>
          <cell r="V376">
            <v>0</v>
          </cell>
          <cell r="W376">
            <v>0</v>
          </cell>
          <cell r="X376">
            <v>0</v>
          </cell>
          <cell r="Y376">
            <v>0</v>
          </cell>
          <cell r="Z376">
            <v>0</v>
          </cell>
          <cell r="AA376">
            <v>0</v>
          </cell>
          <cell r="AB376">
            <v>0</v>
          </cell>
          <cell r="AC376">
            <v>0</v>
          </cell>
          <cell r="AD376">
            <v>0</v>
          </cell>
          <cell r="AE376">
            <v>0</v>
          </cell>
          <cell r="AF376">
            <v>0</v>
          </cell>
          <cell r="AG376">
            <v>0</v>
          </cell>
          <cell r="AI376" t="str">
            <v>Bad Debt Reserve</v>
          </cell>
          <cell r="AJ376">
            <v>0</v>
          </cell>
          <cell r="AK376">
            <v>0</v>
          </cell>
          <cell r="AL376">
            <v>0</v>
          </cell>
          <cell r="AM376">
            <v>0</v>
          </cell>
          <cell r="AN376">
            <v>0</v>
          </cell>
          <cell r="AP376">
            <v>0</v>
          </cell>
          <cell r="AR376">
            <v>0</v>
          </cell>
        </row>
        <row r="377">
          <cell r="A377" t="str">
            <v>Total Direct MAT</v>
          </cell>
          <cell r="C377">
            <v>4.3280719996442238</v>
          </cell>
          <cell r="D377">
            <v>5.4634351272517483</v>
          </cell>
          <cell r="E377">
            <v>6.8306383149046797</v>
          </cell>
          <cell r="F377">
            <v>6.5331658563221167</v>
          </cell>
          <cell r="G377">
            <v>8.756455112292242</v>
          </cell>
          <cell r="H377">
            <v>7.96458289559141</v>
          </cell>
          <cell r="I377">
            <v>6.9496576001658115</v>
          </cell>
          <cell r="J377">
            <v>4.2760663312998117</v>
          </cell>
          <cell r="K377">
            <v>6.3047175050739526</v>
          </cell>
          <cell r="L377">
            <v>4.6041295890168268</v>
          </cell>
          <cell r="M377">
            <v>4.6041295890168268</v>
          </cell>
          <cell r="N377">
            <v>4.6041295890168268</v>
          </cell>
          <cell r="O377">
            <v>71.219179509596472</v>
          </cell>
          <cell r="Q377">
            <v>71.219179509596472</v>
          </cell>
          <cell r="S377">
            <v>71.219179509596472</v>
          </cell>
          <cell r="U377" t="str">
            <v>Total Direct MAT</v>
          </cell>
          <cell r="V377">
            <v>4.3280719996442238</v>
          </cell>
          <cell r="W377">
            <v>9.7915071268959721</v>
          </cell>
          <cell r="X377">
            <v>16.622145441800651</v>
          </cell>
          <cell r="Y377">
            <v>23.155311298122768</v>
          </cell>
          <cell r="Z377">
            <v>31.911766410415012</v>
          </cell>
          <cell r="AA377">
            <v>39.876349306006425</v>
          </cell>
          <cell r="AB377">
            <v>46.826006906172239</v>
          </cell>
          <cell r="AC377">
            <v>51.102073237472048</v>
          </cell>
          <cell r="AD377">
            <v>57.406790742546001</v>
          </cell>
          <cell r="AE377">
            <v>62.010920331562829</v>
          </cell>
          <cell r="AF377">
            <v>66.615049920579651</v>
          </cell>
          <cell r="AG377">
            <v>71.219179509596472</v>
          </cell>
          <cell r="AI377" t="str">
            <v>Total Direct MAT</v>
          </cell>
          <cell r="AJ377">
            <v>16.622145441800651</v>
          </cell>
          <cell r="AK377">
            <v>23.254203864205767</v>
          </cell>
          <cell r="AL377">
            <v>17.530441436539576</v>
          </cell>
          <cell r="AM377">
            <v>13.81238876705048</v>
          </cell>
          <cell r="AN377">
            <v>71.219179509596472</v>
          </cell>
          <cell r="AP377">
            <v>0</v>
          </cell>
          <cell r="AR377">
            <v>0</v>
          </cell>
        </row>
        <row r="379">
          <cell r="A379" t="str">
            <v>Marketing</v>
          </cell>
          <cell r="C379">
            <v>0</v>
          </cell>
          <cell r="D379">
            <v>0</v>
          </cell>
          <cell r="E379">
            <v>0</v>
          </cell>
          <cell r="F379">
            <v>0</v>
          </cell>
          <cell r="G379">
            <v>0</v>
          </cell>
          <cell r="H379">
            <v>0</v>
          </cell>
          <cell r="I379">
            <v>0</v>
          </cell>
          <cell r="J379">
            <v>0</v>
          </cell>
          <cell r="K379">
            <v>0</v>
          </cell>
          <cell r="L379">
            <v>0</v>
          </cell>
          <cell r="M379">
            <v>0</v>
          </cell>
          <cell r="N379">
            <v>0</v>
          </cell>
          <cell r="O379">
            <v>0</v>
          </cell>
          <cell r="Q379">
            <v>0</v>
          </cell>
          <cell r="S379">
            <v>0</v>
          </cell>
          <cell r="U379" t="str">
            <v>Marketing</v>
          </cell>
          <cell r="V379">
            <v>0</v>
          </cell>
          <cell r="W379">
            <v>0</v>
          </cell>
          <cell r="X379">
            <v>0</v>
          </cell>
          <cell r="Y379">
            <v>0</v>
          </cell>
          <cell r="Z379">
            <v>0</v>
          </cell>
          <cell r="AA379">
            <v>0</v>
          </cell>
          <cell r="AB379">
            <v>0</v>
          </cell>
          <cell r="AC379">
            <v>0</v>
          </cell>
          <cell r="AD379">
            <v>0</v>
          </cell>
          <cell r="AE379">
            <v>0</v>
          </cell>
          <cell r="AF379">
            <v>0</v>
          </cell>
          <cell r="AG379">
            <v>0</v>
          </cell>
          <cell r="AI379" t="str">
            <v>Marketing</v>
          </cell>
          <cell r="AJ379">
            <v>0</v>
          </cell>
          <cell r="AK379">
            <v>0</v>
          </cell>
          <cell r="AL379">
            <v>0</v>
          </cell>
          <cell r="AM379">
            <v>0</v>
          </cell>
          <cell r="AN379">
            <v>0</v>
          </cell>
        </row>
        <row r="380">
          <cell r="A380" t="str">
            <v>Administration</v>
          </cell>
          <cell r="C380">
            <v>0</v>
          </cell>
          <cell r="D380">
            <v>0</v>
          </cell>
          <cell r="E380">
            <v>0</v>
          </cell>
          <cell r="F380">
            <v>0</v>
          </cell>
          <cell r="G380">
            <v>0</v>
          </cell>
          <cell r="H380">
            <v>0</v>
          </cell>
          <cell r="I380">
            <v>0</v>
          </cell>
          <cell r="J380">
            <v>0</v>
          </cell>
          <cell r="K380">
            <v>0</v>
          </cell>
          <cell r="L380">
            <v>0</v>
          </cell>
          <cell r="M380">
            <v>0</v>
          </cell>
          <cell r="N380">
            <v>0</v>
          </cell>
          <cell r="O380">
            <v>0</v>
          </cell>
          <cell r="Q380">
            <v>0</v>
          </cell>
          <cell r="S380">
            <v>0</v>
          </cell>
          <cell r="U380" t="str">
            <v>Administration</v>
          </cell>
          <cell r="V380">
            <v>0</v>
          </cell>
          <cell r="W380">
            <v>0</v>
          </cell>
          <cell r="X380">
            <v>0</v>
          </cell>
          <cell r="Y380">
            <v>0</v>
          </cell>
          <cell r="Z380">
            <v>0</v>
          </cell>
          <cell r="AA380">
            <v>0</v>
          </cell>
          <cell r="AB380">
            <v>0</v>
          </cell>
          <cell r="AC380">
            <v>0</v>
          </cell>
          <cell r="AD380">
            <v>0</v>
          </cell>
          <cell r="AE380">
            <v>0</v>
          </cell>
          <cell r="AF380">
            <v>0</v>
          </cell>
          <cell r="AG380">
            <v>0</v>
          </cell>
          <cell r="AI380" t="str">
            <v>Administration</v>
          </cell>
          <cell r="AJ380">
            <v>0</v>
          </cell>
          <cell r="AK380">
            <v>0</v>
          </cell>
          <cell r="AL380">
            <v>0</v>
          </cell>
          <cell r="AM380">
            <v>0</v>
          </cell>
          <cell r="AN380">
            <v>0</v>
          </cell>
        </row>
        <row r="381">
          <cell r="A381" t="str">
            <v>Technology</v>
          </cell>
          <cell r="C381">
            <v>0</v>
          </cell>
          <cell r="D381">
            <v>0</v>
          </cell>
          <cell r="E381">
            <v>0</v>
          </cell>
          <cell r="F381">
            <v>0</v>
          </cell>
          <cell r="G381">
            <v>0</v>
          </cell>
          <cell r="H381">
            <v>0</v>
          </cell>
          <cell r="I381">
            <v>0</v>
          </cell>
          <cell r="J381">
            <v>0</v>
          </cell>
          <cell r="K381">
            <v>0</v>
          </cell>
          <cell r="L381">
            <v>0</v>
          </cell>
          <cell r="M381">
            <v>0</v>
          </cell>
          <cell r="N381">
            <v>0</v>
          </cell>
          <cell r="O381">
            <v>0</v>
          </cell>
          <cell r="Q381">
            <v>0</v>
          </cell>
          <cell r="S381">
            <v>0</v>
          </cell>
          <cell r="U381" t="str">
            <v>Technology</v>
          </cell>
          <cell r="V381">
            <v>0</v>
          </cell>
          <cell r="W381">
            <v>0</v>
          </cell>
          <cell r="X381">
            <v>0</v>
          </cell>
          <cell r="Y381">
            <v>0</v>
          </cell>
          <cell r="Z381">
            <v>0</v>
          </cell>
          <cell r="AA381">
            <v>0</v>
          </cell>
          <cell r="AB381">
            <v>0</v>
          </cell>
          <cell r="AC381">
            <v>0</v>
          </cell>
          <cell r="AD381">
            <v>0</v>
          </cell>
          <cell r="AE381">
            <v>0</v>
          </cell>
          <cell r="AF381">
            <v>0</v>
          </cell>
          <cell r="AG381">
            <v>0</v>
          </cell>
          <cell r="AI381" t="str">
            <v>Technology</v>
          </cell>
          <cell r="AJ381">
            <v>0</v>
          </cell>
          <cell r="AK381">
            <v>0</v>
          </cell>
          <cell r="AL381">
            <v>0</v>
          </cell>
          <cell r="AM381">
            <v>0</v>
          </cell>
          <cell r="AN381">
            <v>0</v>
          </cell>
          <cell r="AP381">
            <v>0</v>
          </cell>
          <cell r="AR381">
            <v>0</v>
          </cell>
        </row>
        <row r="382">
          <cell r="A382" t="str">
            <v>Total Foundation MAT</v>
          </cell>
          <cell r="C382">
            <v>0</v>
          </cell>
          <cell r="D382">
            <v>0</v>
          </cell>
          <cell r="E382">
            <v>0</v>
          </cell>
          <cell r="F382">
            <v>0</v>
          </cell>
          <cell r="G382">
            <v>0</v>
          </cell>
          <cell r="H382">
            <v>0</v>
          </cell>
          <cell r="I382">
            <v>0</v>
          </cell>
          <cell r="J382">
            <v>0</v>
          </cell>
          <cell r="K382">
            <v>0</v>
          </cell>
          <cell r="L382">
            <v>0</v>
          </cell>
          <cell r="M382">
            <v>0</v>
          </cell>
          <cell r="N382">
            <v>0</v>
          </cell>
          <cell r="O382">
            <v>0</v>
          </cell>
          <cell r="Q382">
            <v>0</v>
          </cell>
          <cell r="S382">
            <v>0</v>
          </cell>
          <cell r="U382" t="str">
            <v>Total Foundation MAT</v>
          </cell>
          <cell r="V382">
            <v>0</v>
          </cell>
          <cell r="W382">
            <v>0</v>
          </cell>
          <cell r="X382">
            <v>0</v>
          </cell>
          <cell r="Y382">
            <v>0</v>
          </cell>
          <cell r="Z382">
            <v>0</v>
          </cell>
          <cell r="AA382">
            <v>0</v>
          </cell>
          <cell r="AB382">
            <v>0</v>
          </cell>
          <cell r="AC382">
            <v>0</v>
          </cell>
          <cell r="AD382">
            <v>0</v>
          </cell>
          <cell r="AE382">
            <v>0</v>
          </cell>
          <cell r="AF382">
            <v>0</v>
          </cell>
          <cell r="AG382">
            <v>0</v>
          </cell>
          <cell r="AI382" t="str">
            <v>Total Foundation MAT</v>
          </cell>
          <cell r="AJ382">
            <v>0</v>
          </cell>
          <cell r="AK382">
            <v>0</v>
          </cell>
          <cell r="AL382">
            <v>0</v>
          </cell>
          <cell r="AM382">
            <v>0</v>
          </cell>
          <cell r="AN382">
            <v>0</v>
          </cell>
          <cell r="AP382">
            <v>0</v>
          </cell>
          <cell r="AR382">
            <v>0</v>
          </cell>
        </row>
        <row r="384">
          <cell r="A384" t="str">
            <v>Amort of Intangible  Assets</v>
          </cell>
          <cell r="C384">
            <v>0</v>
          </cell>
          <cell r="D384">
            <v>0</v>
          </cell>
          <cell r="E384">
            <v>0</v>
          </cell>
          <cell r="F384">
            <v>0</v>
          </cell>
          <cell r="G384">
            <v>0</v>
          </cell>
          <cell r="H384">
            <v>0</v>
          </cell>
          <cell r="I384">
            <v>0</v>
          </cell>
          <cell r="J384">
            <v>0</v>
          </cell>
          <cell r="K384">
            <v>0</v>
          </cell>
          <cell r="L384">
            <v>0</v>
          </cell>
          <cell r="M384">
            <v>0</v>
          </cell>
          <cell r="N384">
            <v>0</v>
          </cell>
          <cell r="O384">
            <v>0</v>
          </cell>
          <cell r="Q384">
            <v>0</v>
          </cell>
          <cell r="S384">
            <v>0</v>
          </cell>
          <cell r="U384" t="str">
            <v>Amort of Intangible  Assets</v>
          </cell>
          <cell r="V384">
            <v>0</v>
          </cell>
          <cell r="W384">
            <v>0</v>
          </cell>
          <cell r="X384">
            <v>0</v>
          </cell>
          <cell r="Y384">
            <v>0</v>
          </cell>
          <cell r="Z384">
            <v>0</v>
          </cell>
          <cell r="AA384">
            <v>0</v>
          </cell>
          <cell r="AB384">
            <v>0</v>
          </cell>
          <cell r="AC384">
            <v>0</v>
          </cell>
          <cell r="AD384">
            <v>0</v>
          </cell>
          <cell r="AE384">
            <v>0</v>
          </cell>
          <cell r="AF384">
            <v>0</v>
          </cell>
          <cell r="AG384">
            <v>0</v>
          </cell>
          <cell r="AI384" t="str">
            <v>Amort of Intangible  Assets</v>
          </cell>
          <cell r="AJ384">
            <v>0</v>
          </cell>
          <cell r="AK384">
            <v>0</v>
          </cell>
          <cell r="AL384">
            <v>0</v>
          </cell>
          <cell r="AM384">
            <v>0</v>
          </cell>
          <cell r="AN384">
            <v>0</v>
          </cell>
        </row>
        <row r="386">
          <cell r="A386" t="str">
            <v>Interest Expense</v>
          </cell>
          <cell r="C386">
            <v>0</v>
          </cell>
          <cell r="D386">
            <v>0</v>
          </cell>
          <cell r="E386">
            <v>0</v>
          </cell>
          <cell r="F386">
            <v>0</v>
          </cell>
          <cell r="G386">
            <v>0</v>
          </cell>
          <cell r="H386">
            <v>0</v>
          </cell>
          <cell r="I386">
            <v>0</v>
          </cell>
          <cell r="J386">
            <v>0</v>
          </cell>
          <cell r="K386">
            <v>0</v>
          </cell>
          <cell r="L386">
            <v>0</v>
          </cell>
          <cell r="M386">
            <v>0</v>
          </cell>
          <cell r="N386">
            <v>0</v>
          </cell>
          <cell r="O386">
            <v>0</v>
          </cell>
          <cell r="Q386">
            <v>0</v>
          </cell>
          <cell r="S386">
            <v>0</v>
          </cell>
          <cell r="U386" t="str">
            <v>Interest Expense</v>
          </cell>
          <cell r="V386">
            <v>0</v>
          </cell>
          <cell r="W386">
            <v>0</v>
          </cell>
          <cell r="X386">
            <v>0</v>
          </cell>
          <cell r="Y386">
            <v>0</v>
          </cell>
          <cell r="Z386">
            <v>0</v>
          </cell>
          <cell r="AA386">
            <v>0</v>
          </cell>
          <cell r="AB386">
            <v>0</v>
          </cell>
          <cell r="AC386">
            <v>0</v>
          </cell>
          <cell r="AD386">
            <v>0</v>
          </cell>
          <cell r="AE386">
            <v>0</v>
          </cell>
          <cell r="AF386">
            <v>0</v>
          </cell>
          <cell r="AG386">
            <v>0</v>
          </cell>
          <cell r="AI386" t="str">
            <v>Interest Expense</v>
          </cell>
          <cell r="AJ386">
            <v>0</v>
          </cell>
          <cell r="AK386">
            <v>0</v>
          </cell>
          <cell r="AL386">
            <v>0</v>
          </cell>
          <cell r="AM386">
            <v>0</v>
          </cell>
          <cell r="AN386">
            <v>0</v>
          </cell>
        </row>
        <row r="387">
          <cell r="A387" t="str">
            <v>Interest Income</v>
          </cell>
          <cell r="C387">
            <v>0</v>
          </cell>
          <cell r="D387">
            <v>0</v>
          </cell>
          <cell r="E387">
            <v>0</v>
          </cell>
          <cell r="F387">
            <v>0</v>
          </cell>
          <cell r="G387">
            <v>0</v>
          </cell>
          <cell r="H387">
            <v>0</v>
          </cell>
          <cell r="I387">
            <v>0</v>
          </cell>
          <cell r="J387">
            <v>0</v>
          </cell>
          <cell r="K387">
            <v>0</v>
          </cell>
          <cell r="L387">
            <v>0</v>
          </cell>
          <cell r="M387">
            <v>0</v>
          </cell>
          <cell r="N387">
            <v>0</v>
          </cell>
          <cell r="O387">
            <v>0</v>
          </cell>
          <cell r="Q387">
            <v>0</v>
          </cell>
          <cell r="S387">
            <v>0</v>
          </cell>
          <cell r="U387" t="str">
            <v>Interest Income</v>
          </cell>
          <cell r="V387">
            <v>0</v>
          </cell>
          <cell r="W387">
            <v>0</v>
          </cell>
          <cell r="X387">
            <v>0</v>
          </cell>
          <cell r="Y387">
            <v>0</v>
          </cell>
          <cell r="Z387">
            <v>0</v>
          </cell>
          <cell r="AA387">
            <v>0</v>
          </cell>
          <cell r="AB387">
            <v>0</v>
          </cell>
          <cell r="AC387">
            <v>0</v>
          </cell>
          <cell r="AD387">
            <v>0</v>
          </cell>
          <cell r="AE387">
            <v>0</v>
          </cell>
          <cell r="AF387">
            <v>0</v>
          </cell>
          <cell r="AG387">
            <v>0</v>
          </cell>
          <cell r="AI387" t="str">
            <v>Interest Income</v>
          </cell>
          <cell r="AJ387">
            <v>0</v>
          </cell>
          <cell r="AK387">
            <v>0</v>
          </cell>
          <cell r="AL387">
            <v>0</v>
          </cell>
          <cell r="AM387">
            <v>0</v>
          </cell>
          <cell r="AN387">
            <v>0</v>
          </cell>
        </row>
        <row r="388">
          <cell r="A388" t="str">
            <v>Other Income/Exp.</v>
          </cell>
          <cell r="C388">
            <v>0</v>
          </cell>
          <cell r="D388">
            <v>0</v>
          </cell>
          <cell r="E388">
            <v>0</v>
          </cell>
          <cell r="F388">
            <v>0</v>
          </cell>
          <cell r="G388">
            <v>0</v>
          </cell>
          <cell r="H388">
            <v>0</v>
          </cell>
          <cell r="I388">
            <v>0</v>
          </cell>
          <cell r="J388">
            <v>0</v>
          </cell>
          <cell r="K388">
            <v>0</v>
          </cell>
          <cell r="L388">
            <v>0</v>
          </cell>
          <cell r="M388">
            <v>0</v>
          </cell>
          <cell r="N388">
            <v>0</v>
          </cell>
          <cell r="O388">
            <v>0</v>
          </cell>
          <cell r="Q388">
            <v>0</v>
          </cell>
          <cell r="S388">
            <v>0</v>
          </cell>
          <cell r="U388" t="str">
            <v>Other Income/Exp.</v>
          </cell>
          <cell r="V388">
            <v>0</v>
          </cell>
          <cell r="W388">
            <v>0</v>
          </cell>
          <cell r="X388">
            <v>0</v>
          </cell>
          <cell r="Y388">
            <v>0</v>
          </cell>
          <cell r="Z388">
            <v>0</v>
          </cell>
          <cell r="AA388">
            <v>0</v>
          </cell>
          <cell r="AB388">
            <v>0</v>
          </cell>
          <cell r="AC388">
            <v>0</v>
          </cell>
          <cell r="AD388">
            <v>0</v>
          </cell>
          <cell r="AE388">
            <v>0</v>
          </cell>
          <cell r="AF388">
            <v>0</v>
          </cell>
          <cell r="AG388">
            <v>0</v>
          </cell>
          <cell r="AI388" t="str">
            <v>Other Income/Exp.</v>
          </cell>
          <cell r="AJ388">
            <v>0</v>
          </cell>
          <cell r="AK388">
            <v>0</v>
          </cell>
          <cell r="AL388">
            <v>0</v>
          </cell>
          <cell r="AM388">
            <v>0</v>
          </cell>
          <cell r="AN388">
            <v>0</v>
          </cell>
        </row>
        <row r="390">
          <cell r="A390" t="str">
            <v>Income Before Tax</v>
          </cell>
          <cell r="C390">
            <v>-4.5602943514735994</v>
          </cell>
          <cell r="D390">
            <v>-8.2681777048628078</v>
          </cell>
          <cell r="E390">
            <v>-9.259781653068476</v>
          </cell>
          <cell r="F390">
            <v>-11.239462820081343</v>
          </cell>
          <cell r="G390">
            <v>-20.037774851627262</v>
          </cell>
          <cell r="H390">
            <v>-25.853500597265541</v>
          </cell>
          <cell r="I390">
            <v>-23.330869223761557</v>
          </cell>
          <cell r="J390">
            <v>-12.433669119588412</v>
          </cell>
          <cell r="K390">
            <v>-7.3462411384895212</v>
          </cell>
          <cell r="L390">
            <v>-6.5709881575243383</v>
          </cell>
          <cell r="M390">
            <v>-10.352679456924109</v>
          </cell>
          <cell r="N390">
            <v>-4.6041295890168268</v>
          </cell>
          <cell r="O390">
            <v>-143.85756866368376</v>
          </cell>
          <cell r="Q390">
            <v>-143.85756866368376</v>
          </cell>
          <cell r="S390">
            <v>-143.85756866368376</v>
          </cell>
          <cell r="U390" t="str">
            <v>Income Before Tax</v>
          </cell>
          <cell r="V390">
            <v>-4.5602943514735994</v>
          </cell>
          <cell r="W390">
            <v>-12.828472056336405</v>
          </cell>
          <cell r="X390">
            <v>-22.088253709404885</v>
          </cell>
          <cell r="Y390">
            <v>-33.327716529486224</v>
          </cell>
          <cell r="Z390">
            <v>-53.365491381113486</v>
          </cell>
          <cell r="AA390">
            <v>-79.218991978379051</v>
          </cell>
          <cell r="AB390">
            <v>-102.54986120214059</v>
          </cell>
          <cell r="AC390">
            <v>-114.98353032172901</v>
          </cell>
          <cell r="AD390">
            <v>-122.3297714602185</v>
          </cell>
          <cell r="AE390">
            <v>-128.90075961774284</v>
          </cell>
          <cell r="AF390">
            <v>-139.25343907466694</v>
          </cell>
          <cell r="AG390">
            <v>-143.85756866368376</v>
          </cell>
          <cell r="AI390" t="str">
            <v>Income Before Tax</v>
          </cell>
          <cell r="AJ390">
            <v>-22.088253709404885</v>
          </cell>
          <cell r="AK390">
            <v>-57.130738268974156</v>
          </cell>
          <cell r="AL390">
            <v>-43.110779481839501</v>
          </cell>
          <cell r="AM390">
            <v>-21.527797203465276</v>
          </cell>
          <cell r="AN390">
            <v>-143.85756866368382</v>
          </cell>
          <cell r="AP390">
            <v>0</v>
          </cell>
          <cell r="AR390">
            <v>0</v>
          </cell>
        </row>
        <row r="391">
          <cell r="A391" t="str">
            <v>Privision for Taxes</v>
          </cell>
          <cell r="C391">
            <v>-1.4136912489568159</v>
          </cell>
          <cell r="D391">
            <v>-2.5631350885074702</v>
          </cell>
          <cell r="E391">
            <v>-2.8705323124512274</v>
          </cell>
          <cell r="F391">
            <v>-3.4842334742252161</v>
          </cell>
          <cell r="G391">
            <v>-6.2117102040044507</v>
          </cell>
          <cell r="H391">
            <v>-8.0145851851523169</v>
          </cell>
          <cell r="I391">
            <v>-7.2325694593660828</v>
          </cell>
          <cell r="J391">
            <v>-3.8544374270724076</v>
          </cell>
          <cell r="K391">
            <v>-2.2773347529317514</v>
          </cell>
          <cell r="L391">
            <v>-2.0370063288325451</v>
          </cell>
          <cell r="M391">
            <v>-3.2093306316464738</v>
          </cell>
          <cell r="N391">
            <v>-1.4272801725952162</v>
          </cell>
          <cell r="O391">
            <v>-44.595846285741978</v>
          </cell>
          <cell r="Q391">
            <v>-44.595846285741978</v>
          </cell>
          <cell r="S391">
            <v>-44.595846285741978</v>
          </cell>
          <cell r="U391" t="str">
            <v>Privision for Taxes</v>
          </cell>
          <cell r="V391">
            <v>-1.4136912489568159</v>
          </cell>
          <cell r="W391">
            <v>-3.9768263374642858</v>
          </cell>
          <cell r="X391">
            <v>-6.8473586499155132</v>
          </cell>
          <cell r="Y391">
            <v>-10.33159212414073</v>
          </cell>
          <cell r="Z391">
            <v>-16.543302328145181</v>
          </cell>
          <cell r="AA391">
            <v>-24.557887513297498</v>
          </cell>
          <cell r="AB391">
            <v>-31.790456972663581</v>
          </cell>
          <cell r="AC391">
            <v>-35.644894399735989</v>
          </cell>
          <cell r="AD391">
            <v>-37.92222915266774</v>
          </cell>
          <cell r="AE391">
            <v>-39.959235481500286</v>
          </cell>
          <cell r="AF391">
            <v>-43.16856611314676</v>
          </cell>
          <cell r="AG391">
            <v>-44.595846285741978</v>
          </cell>
          <cell r="AI391" t="str">
            <v>Privision for Taxes</v>
          </cell>
          <cell r="AJ391">
            <v>-6.8473586499155132</v>
          </cell>
          <cell r="AK391">
            <v>-17.710528863381985</v>
          </cell>
          <cell r="AL391">
            <v>-13.364341639370242</v>
          </cell>
          <cell r="AM391">
            <v>-6.6736171330742344</v>
          </cell>
          <cell r="AN391">
            <v>-44.59584628574197</v>
          </cell>
        </row>
        <row r="392">
          <cell r="A392" t="str">
            <v>Tax rate %</v>
          </cell>
          <cell r="C392">
            <v>0.31</v>
          </cell>
          <cell r="D392">
            <v>0.31</v>
          </cell>
          <cell r="E392">
            <v>0.31</v>
          </cell>
          <cell r="F392">
            <v>0.31</v>
          </cell>
          <cell r="G392">
            <v>0.31</v>
          </cell>
          <cell r="H392">
            <v>0.31</v>
          </cell>
          <cell r="I392">
            <v>0.31</v>
          </cell>
          <cell r="J392">
            <v>0.31</v>
          </cell>
          <cell r="K392">
            <v>0.31</v>
          </cell>
          <cell r="L392">
            <v>0.31000000000000005</v>
          </cell>
          <cell r="M392">
            <v>0.31</v>
          </cell>
          <cell r="N392">
            <v>0.31</v>
          </cell>
          <cell r="O392">
            <v>0.31000000000000005</v>
          </cell>
          <cell r="Q392">
            <v>0.31000000000000005</v>
          </cell>
          <cell r="S392">
            <v>0.31000000000000005</v>
          </cell>
          <cell r="U392" t="str">
            <v>Tax rate %</v>
          </cell>
          <cell r="V392">
            <v>0.31</v>
          </cell>
          <cell r="W392">
            <v>0.31</v>
          </cell>
          <cell r="X392">
            <v>0.30999999999999994</v>
          </cell>
          <cell r="Y392">
            <v>0.31</v>
          </cell>
          <cell r="Z392">
            <v>0.31</v>
          </cell>
          <cell r="AA392">
            <v>0.30999999999999989</v>
          </cell>
          <cell r="AB392">
            <v>0.31</v>
          </cell>
          <cell r="AC392">
            <v>0.31</v>
          </cell>
          <cell r="AD392">
            <v>0.31000000000000005</v>
          </cell>
          <cell r="AE392">
            <v>0.31000000000000005</v>
          </cell>
          <cell r="AF392">
            <v>0.31000000000000005</v>
          </cell>
          <cell r="AG392">
            <v>0.31000000000000005</v>
          </cell>
          <cell r="AI392" t="str">
            <v>Tax rate %</v>
          </cell>
          <cell r="AJ392">
            <v>0.30999999999999994</v>
          </cell>
          <cell r="AK392">
            <v>0.30999999999999994</v>
          </cell>
          <cell r="AL392">
            <v>0.30999999999999994</v>
          </cell>
          <cell r="AM392">
            <v>0.30999999999999994</v>
          </cell>
          <cell r="AN392">
            <v>0.30999999999999989</v>
          </cell>
          <cell r="AP392">
            <v>0</v>
          </cell>
          <cell r="AR392">
            <v>0</v>
          </cell>
        </row>
        <row r="394">
          <cell r="A394" t="str">
            <v>Net Income</v>
          </cell>
          <cell r="C394">
            <v>-3.1466031025167833</v>
          </cell>
          <cell r="D394">
            <v>-5.7050426163553372</v>
          </cell>
          <cell r="E394">
            <v>-6.3892493406172486</v>
          </cell>
          <cell r="F394">
            <v>-7.7552293458561268</v>
          </cell>
          <cell r="G394">
            <v>-13.826064647622811</v>
          </cell>
          <cell r="H394">
            <v>-17.838915412113224</v>
          </cell>
          <cell r="I394">
            <v>-16.098299764395474</v>
          </cell>
          <cell r="J394">
            <v>-8.5792316925160037</v>
          </cell>
          <cell r="K394">
            <v>-5.0689063855577698</v>
          </cell>
          <cell r="L394">
            <v>-4.5339818286917932</v>
          </cell>
          <cell r="M394">
            <v>-7.143348825277636</v>
          </cell>
          <cell r="N394">
            <v>-3.1768494164216108</v>
          </cell>
          <cell r="O394">
            <v>-99.261722377941794</v>
          </cell>
          <cell r="Q394">
            <v>-99.261722377941794</v>
          </cell>
          <cell r="S394">
            <v>-99.261722377941794</v>
          </cell>
          <cell r="U394" t="str">
            <v>Net Income</v>
          </cell>
          <cell r="V394">
            <v>-3.1466031025167833</v>
          </cell>
          <cell r="W394">
            <v>-8.8516457188721205</v>
          </cell>
          <cell r="X394">
            <v>-15.240895059489372</v>
          </cell>
          <cell r="Y394">
            <v>-22.996124405345494</v>
          </cell>
          <cell r="Z394">
            <v>-36.822189052968305</v>
          </cell>
          <cell r="AA394">
            <v>-54.66110446508155</v>
          </cell>
          <cell r="AB394">
            <v>-70.759404229477013</v>
          </cell>
          <cell r="AC394">
            <v>-79.338635921993017</v>
          </cell>
          <cell r="AD394">
            <v>-84.407542307550756</v>
          </cell>
          <cell r="AE394">
            <v>-88.941524136242549</v>
          </cell>
          <cell r="AF394">
            <v>-96.084872961520176</v>
          </cell>
          <cell r="AG394">
            <v>-99.261722377941794</v>
          </cell>
          <cell r="AI394" t="str">
            <v>Net Income</v>
          </cell>
          <cell r="AJ394">
            <v>-15.240895059489372</v>
          </cell>
          <cell r="AK394">
            <v>-39.420209405592175</v>
          </cell>
          <cell r="AL394">
            <v>-29.746437842469259</v>
          </cell>
          <cell r="AM394">
            <v>-14.854180070391042</v>
          </cell>
          <cell r="AN394">
            <v>-99.261722377941851</v>
          </cell>
          <cell r="AP394">
            <v>0</v>
          </cell>
          <cell r="AR394">
            <v>0</v>
          </cell>
        </row>
        <row r="395">
          <cell r="A395" t="str">
            <v>% Sales</v>
          </cell>
          <cell r="C395">
            <v>-5.7920957201187777</v>
          </cell>
          <cell r="D395">
            <v>-0.78034001909861384</v>
          </cell>
          <cell r="E395">
            <v>-0.84535917684539397</v>
          </cell>
          <cell r="F395">
            <v>-0.32750497722613325</v>
          </cell>
          <cell r="G395">
            <v>-0.21037332497582753</v>
          </cell>
          <cell r="H395">
            <v>-0.17843796728803327</v>
          </cell>
          <cell r="I395">
            <v>-0.18300685133481201</v>
          </cell>
          <cell r="J395">
            <v>-0.20363713064156846</v>
          </cell>
          <cell r="K395">
            <v>-0.96653209770737147</v>
          </cell>
          <cell r="L395">
            <v>-0.46925191170298597</v>
          </cell>
          <cell r="M395">
            <v>-0.25912695335551067</v>
          </cell>
          <cell r="N395">
            <v>0</v>
          </cell>
          <cell r="O395">
            <v>-0.26304577878522212</v>
          </cell>
          <cell r="Q395">
            <v>-0.26304577878522212</v>
          </cell>
          <cell r="S395">
            <v>-0.26304577878522212</v>
          </cell>
          <cell r="U395" t="str">
            <v>% Sales</v>
          </cell>
          <cell r="V395">
            <v>-5.7920957201187777</v>
          </cell>
          <cell r="W395">
            <v>-1.1269911387437521</v>
          </cell>
          <cell r="X395">
            <v>-0.9888814174111713</v>
          </cell>
          <cell r="Y395">
            <v>-0.58825672534538975</v>
          </cell>
          <cell r="Z395">
            <v>-0.35131132792699354</v>
          </cell>
          <cell r="AA395">
            <v>-0.26691791140760013</v>
          </cell>
          <cell r="AB395">
            <v>-0.2417044565244075</v>
          </cell>
          <cell r="AC395">
            <v>-0.23691537409095845</v>
          </cell>
          <cell r="AD395">
            <v>-0.24816537889790188</v>
          </cell>
          <cell r="AE395">
            <v>-0.25427241797712974</v>
          </cell>
          <cell r="AF395">
            <v>-0.25462705695764576</v>
          </cell>
          <cell r="AG395">
            <v>-0.26304577878522212</v>
          </cell>
          <cell r="AI395" t="str">
            <v>% Sales</v>
          </cell>
          <cell r="AJ395">
            <v>-0.9888814174111713</v>
          </cell>
          <cell r="AK395">
            <v>-0.20816068536959487</v>
          </cell>
          <cell r="AL395">
            <v>-0.21979046840423269</v>
          </cell>
          <cell r="AM395">
            <v>-0.39899343720720898</v>
          </cell>
          <cell r="AN395">
            <v>-0.26304577878522228</v>
          </cell>
          <cell r="AP395">
            <v>0</v>
          </cell>
          <cell r="AR395">
            <v>0</v>
          </cell>
        </row>
        <row r="627">
          <cell r="A627" t="str">
            <v>MEX Budget '02</v>
          </cell>
          <cell r="U627" t="str">
            <v>MEX Forecast YTD '00</v>
          </cell>
          <cell r="AI627" t="str">
            <v>MEX Forecast Qtr.'00</v>
          </cell>
        </row>
        <row r="628">
          <cell r="A628" t="str">
            <v>Total Selective Chemistries</v>
          </cell>
          <cell r="C628" t="str">
            <v>Jan</v>
          </cell>
          <cell r="D628" t="str">
            <v>Feb</v>
          </cell>
          <cell r="E628" t="str">
            <v>Mar</v>
          </cell>
          <cell r="F628" t="str">
            <v>Apr</v>
          </cell>
          <cell r="G628" t="str">
            <v>May</v>
          </cell>
          <cell r="H628" t="str">
            <v>Jun</v>
          </cell>
          <cell r="I628" t="str">
            <v>Jul</v>
          </cell>
          <cell r="J628" t="str">
            <v>Aug</v>
          </cell>
          <cell r="K628" t="str">
            <v>Sep</v>
          </cell>
          <cell r="L628" t="str">
            <v>Oct</v>
          </cell>
          <cell r="M628" t="str">
            <v>Nov</v>
          </cell>
          <cell r="N628" t="str">
            <v>Dec</v>
          </cell>
          <cell r="O628" t="str">
            <v>Total</v>
          </cell>
          <cell r="Q628" t="str">
            <v>Changes</v>
          </cell>
          <cell r="S628" t="str">
            <v>Changes</v>
          </cell>
          <cell r="U628" t="str">
            <v>Total Selective Chemistries</v>
          </cell>
          <cell r="V628" t="str">
            <v>Jan</v>
          </cell>
          <cell r="W628" t="str">
            <v>Feb</v>
          </cell>
          <cell r="X628" t="str">
            <v>Mar</v>
          </cell>
          <cell r="Y628" t="str">
            <v>Apr</v>
          </cell>
          <cell r="Z628" t="str">
            <v>May</v>
          </cell>
          <cell r="AA628" t="str">
            <v>Jun</v>
          </cell>
          <cell r="AB628" t="str">
            <v>Jul</v>
          </cell>
          <cell r="AC628" t="str">
            <v>Aug</v>
          </cell>
          <cell r="AD628" t="str">
            <v>Sep</v>
          </cell>
          <cell r="AE628" t="str">
            <v>Oct</v>
          </cell>
          <cell r="AF628" t="str">
            <v>Nov</v>
          </cell>
          <cell r="AG628" t="str">
            <v>Dec</v>
          </cell>
          <cell r="AI628" t="str">
            <v>Total Selective Chemistries</v>
          </cell>
          <cell r="AJ628" t="str">
            <v>1st Qtr.</v>
          </cell>
          <cell r="AK628" t="str">
            <v>2nd Qtr.</v>
          </cell>
          <cell r="AL628" t="str">
            <v>3er Qtr.</v>
          </cell>
          <cell r="AM628" t="str">
            <v>4 Qtr.</v>
          </cell>
          <cell r="AN628" t="str">
            <v>Total</v>
          </cell>
          <cell r="AP628">
            <v>2003</v>
          </cell>
          <cell r="AQ628">
            <v>0</v>
          </cell>
          <cell r="AR628">
            <v>2004</v>
          </cell>
        </row>
        <row r="632">
          <cell r="A632" t="str">
            <v>Net Sales</v>
          </cell>
          <cell r="C632">
            <v>12.22791185729276</v>
          </cell>
          <cell r="D632">
            <v>11.193632322175731</v>
          </cell>
          <cell r="E632">
            <v>395.78257351407723</v>
          </cell>
          <cell r="F632">
            <v>640.77014189189185</v>
          </cell>
          <cell r="G632">
            <v>1889.7116176165803</v>
          </cell>
          <cell r="H632">
            <v>962.55875901132845</v>
          </cell>
          <cell r="I632">
            <v>501.59708290685774</v>
          </cell>
          <cell r="J632">
            <v>272.99702471772969</v>
          </cell>
          <cell r="K632">
            <v>112.24850125701028</v>
          </cell>
          <cell r="L632">
            <v>28.384498720664702</v>
          </cell>
          <cell r="M632">
            <v>64.857789681343675</v>
          </cell>
          <cell r="N632">
            <v>0</v>
          </cell>
          <cell r="O632">
            <v>4892.3295334969525</v>
          </cell>
          <cell r="Q632">
            <v>1577.5063549017732</v>
          </cell>
          <cell r="S632">
            <v>1577.5063549017732</v>
          </cell>
          <cell r="U632" t="str">
            <v>Net Sales</v>
          </cell>
          <cell r="V632">
            <v>12.22791185729276</v>
          </cell>
          <cell r="W632">
            <v>23.421544179468491</v>
          </cell>
          <cell r="X632">
            <v>419.2041176935457</v>
          </cell>
          <cell r="Y632">
            <v>1059.9742595854375</v>
          </cell>
          <cell r="Z632">
            <v>2949.6858772020178</v>
          </cell>
          <cell r="AA632">
            <v>3912.244636213346</v>
          </cell>
          <cell r="AB632">
            <v>4413.8417191202034</v>
          </cell>
          <cell r="AC632">
            <v>4686.8387438379332</v>
          </cell>
          <cell r="AD632">
            <v>4799.0872450949437</v>
          </cell>
          <cell r="AE632">
            <v>4827.4717438156085</v>
          </cell>
          <cell r="AF632">
            <v>4892.3295334969525</v>
          </cell>
          <cell r="AG632">
            <v>4892.3295334969525</v>
          </cell>
          <cell r="AI632" t="str">
            <v>Net Sales</v>
          </cell>
          <cell r="AJ632">
            <v>419.2041176935457</v>
          </cell>
          <cell r="AK632">
            <v>3493.0405185198006</v>
          </cell>
          <cell r="AL632">
            <v>886.8426088815977</v>
          </cell>
          <cell r="AM632">
            <v>93.24228840200837</v>
          </cell>
          <cell r="AN632">
            <v>4892.3295334969525</v>
          </cell>
          <cell r="AP632">
            <v>0</v>
          </cell>
          <cell r="AR632">
            <v>0</v>
          </cell>
        </row>
        <row r="634">
          <cell r="A634" t="str">
            <v>Inventory Cost</v>
          </cell>
          <cell r="C634">
            <v>4.9699533881313203</v>
          </cell>
          <cell r="D634">
            <v>11.036637955540845</v>
          </cell>
          <cell r="E634">
            <v>139.07705222721597</v>
          </cell>
          <cell r="F634">
            <v>254.80655694078524</v>
          </cell>
          <cell r="G634">
            <v>772.887922461882</v>
          </cell>
          <cell r="H634">
            <v>578.26513136348615</v>
          </cell>
          <cell r="I634">
            <v>390.57606728042668</v>
          </cell>
          <cell r="J634">
            <v>208.84214593804427</v>
          </cell>
          <cell r="K634">
            <v>74.476768684772111</v>
          </cell>
          <cell r="L634">
            <v>17.590257735555305</v>
          </cell>
          <cell r="M634">
            <v>45.238035418454011</v>
          </cell>
          <cell r="N634">
            <v>0</v>
          </cell>
          <cell r="O634">
            <v>2497.7665293942941</v>
          </cell>
          <cell r="Q634">
            <v>841.50330177474166</v>
          </cell>
          <cell r="S634">
            <v>841.50330177474166</v>
          </cell>
          <cell r="U634" t="str">
            <v>Inventory Cost</v>
          </cell>
          <cell r="V634">
            <v>4.9699533881313203</v>
          </cell>
          <cell r="W634">
            <v>16.006591343672167</v>
          </cell>
          <cell r="X634">
            <v>155.08364357088814</v>
          </cell>
          <cell r="Y634">
            <v>409.89020051167336</v>
          </cell>
          <cell r="Z634">
            <v>1182.7781229735554</v>
          </cell>
          <cell r="AA634">
            <v>1761.0432543370416</v>
          </cell>
          <cell r="AB634">
            <v>2151.6193216174684</v>
          </cell>
          <cell r="AC634">
            <v>2360.4614675555126</v>
          </cell>
          <cell r="AD634">
            <v>2434.9382362402848</v>
          </cell>
          <cell r="AE634">
            <v>2452.5284939758403</v>
          </cell>
          <cell r="AF634">
            <v>2497.7665293942941</v>
          </cell>
          <cell r="AG634">
            <v>2497.7665293942941</v>
          </cell>
          <cell r="AI634" t="str">
            <v>Inventory Cost</v>
          </cell>
          <cell r="AJ634">
            <v>155.08364357088814</v>
          </cell>
          <cell r="AK634">
            <v>1605.9596107661532</v>
          </cell>
          <cell r="AL634">
            <v>673.89498190324309</v>
          </cell>
          <cell r="AM634">
            <v>62.828293154009316</v>
          </cell>
          <cell r="AN634">
            <v>2497.7665293942937</v>
          </cell>
          <cell r="AP634">
            <v>0</v>
          </cell>
          <cell r="AR634">
            <v>0</v>
          </cell>
        </row>
        <row r="635">
          <cell r="A635" t="str">
            <v>Non Std. Cost</v>
          </cell>
          <cell r="C635">
            <v>3.2595487932843656E-2</v>
          </cell>
          <cell r="D635">
            <v>0.43865821129707105</v>
          </cell>
          <cell r="E635">
            <v>0.45348175182481743</v>
          </cell>
          <cell r="F635">
            <v>0</v>
          </cell>
          <cell r="G635">
            <v>0</v>
          </cell>
          <cell r="H635">
            <v>0</v>
          </cell>
          <cell r="I635">
            <v>0</v>
          </cell>
          <cell r="J635">
            <v>0</v>
          </cell>
          <cell r="K635">
            <v>0</v>
          </cell>
          <cell r="L635">
            <v>0</v>
          </cell>
          <cell r="M635">
            <v>0</v>
          </cell>
          <cell r="N635">
            <v>0</v>
          </cell>
          <cell r="O635">
            <v>0.92473545105473209</v>
          </cell>
          <cell r="Q635">
            <v>0</v>
          </cell>
          <cell r="S635">
            <v>0</v>
          </cell>
          <cell r="U635" t="str">
            <v>Non Std. Cost</v>
          </cell>
          <cell r="V635">
            <v>3.2595487932843656E-2</v>
          </cell>
          <cell r="W635">
            <v>0.47125369922991472</v>
          </cell>
          <cell r="X635">
            <v>0.92473545105473209</v>
          </cell>
          <cell r="Y635">
            <v>0.92473545105473209</v>
          </cell>
          <cell r="Z635">
            <v>0.92473545105473209</v>
          </cell>
          <cell r="AA635">
            <v>0.92473545105473209</v>
          </cell>
          <cell r="AB635">
            <v>0.92473545105473209</v>
          </cell>
          <cell r="AC635">
            <v>0.92473545105473209</v>
          </cell>
          <cell r="AD635">
            <v>0.92473545105473209</v>
          </cell>
          <cell r="AE635">
            <v>0.92473545105473209</v>
          </cell>
          <cell r="AF635">
            <v>0.92473545105473209</v>
          </cell>
          <cell r="AG635">
            <v>0.92473545105473209</v>
          </cell>
          <cell r="AI635" t="str">
            <v>Non Std. Cost</v>
          </cell>
          <cell r="AJ635">
            <v>0.92473545105473209</v>
          </cell>
          <cell r="AK635">
            <v>0</v>
          </cell>
          <cell r="AL635">
            <v>0</v>
          </cell>
          <cell r="AM635">
            <v>0</v>
          </cell>
          <cell r="AN635">
            <v>0.92473545105473209</v>
          </cell>
          <cell r="AP635">
            <v>0</v>
          </cell>
          <cell r="AR635">
            <v>0</v>
          </cell>
        </row>
        <row r="636">
          <cell r="A636" t="str">
            <v>Alloc. NSC (STL)</v>
          </cell>
          <cell r="C636">
            <v>0</v>
          </cell>
          <cell r="D636">
            <v>0</v>
          </cell>
          <cell r="E636">
            <v>0</v>
          </cell>
          <cell r="F636">
            <v>0</v>
          </cell>
          <cell r="G636">
            <v>0</v>
          </cell>
          <cell r="H636">
            <v>0</v>
          </cell>
          <cell r="I636">
            <v>0</v>
          </cell>
          <cell r="J636">
            <v>0</v>
          </cell>
          <cell r="K636">
            <v>0</v>
          </cell>
          <cell r="L636">
            <v>0</v>
          </cell>
          <cell r="M636">
            <v>0</v>
          </cell>
          <cell r="N636">
            <v>0</v>
          </cell>
          <cell r="O636">
            <v>0</v>
          </cell>
          <cell r="Q636">
            <v>0</v>
          </cell>
          <cell r="S636">
            <v>0</v>
          </cell>
          <cell r="U636" t="str">
            <v>Alloc. NSC (STL)</v>
          </cell>
          <cell r="V636">
            <v>0</v>
          </cell>
          <cell r="W636">
            <v>0</v>
          </cell>
          <cell r="X636">
            <v>0</v>
          </cell>
          <cell r="Y636">
            <v>0</v>
          </cell>
          <cell r="Z636">
            <v>0</v>
          </cell>
          <cell r="AA636">
            <v>0</v>
          </cell>
          <cell r="AB636">
            <v>0</v>
          </cell>
          <cell r="AC636">
            <v>0</v>
          </cell>
          <cell r="AD636">
            <v>0</v>
          </cell>
          <cell r="AE636">
            <v>0</v>
          </cell>
          <cell r="AF636">
            <v>0</v>
          </cell>
          <cell r="AG636">
            <v>0</v>
          </cell>
          <cell r="AI636" t="str">
            <v>Alloc. NSC (STL)</v>
          </cell>
          <cell r="AJ636">
            <v>0</v>
          </cell>
          <cell r="AK636">
            <v>0</v>
          </cell>
          <cell r="AL636">
            <v>0</v>
          </cell>
          <cell r="AM636">
            <v>0</v>
          </cell>
          <cell r="AN636">
            <v>0</v>
          </cell>
          <cell r="AP636">
            <v>0</v>
          </cell>
          <cell r="AR636">
            <v>0</v>
          </cell>
        </row>
        <row r="637">
          <cell r="A637" t="str">
            <v>COGS</v>
          </cell>
          <cell r="C637">
            <v>5.0025488760641643</v>
          </cell>
          <cell r="D637">
            <v>11.475296166837916</v>
          </cell>
          <cell r="E637">
            <v>139.5305339790408</v>
          </cell>
          <cell r="F637">
            <v>254.80655694078524</v>
          </cell>
          <cell r="G637">
            <v>772.887922461882</v>
          </cell>
          <cell r="H637">
            <v>578.26513136348615</v>
          </cell>
          <cell r="I637">
            <v>390.57606728042668</v>
          </cell>
          <cell r="J637">
            <v>208.84214593804427</v>
          </cell>
          <cell r="K637">
            <v>74.476768684772111</v>
          </cell>
          <cell r="L637">
            <v>17.590257735555305</v>
          </cell>
          <cell r="M637">
            <v>45.238035418454011</v>
          </cell>
          <cell r="N637">
            <v>0</v>
          </cell>
          <cell r="O637">
            <v>2498.691264845349</v>
          </cell>
          <cell r="Q637">
            <v>841.50330177474166</v>
          </cell>
          <cell r="S637">
            <v>841.50330177474166</v>
          </cell>
          <cell r="U637" t="str">
            <v>COGS</v>
          </cell>
          <cell r="V637">
            <v>5.0025488760641643</v>
          </cell>
          <cell r="W637">
            <v>16.477845042902082</v>
          </cell>
          <cell r="X637">
            <v>156.00837902194289</v>
          </cell>
          <cell r="Y637">
            <v>410.8149359627281</v>
          </cell>
          <cell r="Z637">
            <v>1183.70285842461</v>
          </cell>
          <cell r="AA637">
            <v>1761.9679897880962</v>
          </cell>
          <cell r="AB637">
            <v>2152.5440570685232</v>
          </cell>
          <cell r="AC637">
            <v>2361.3862030065675</v>
          </cell>
          <cell r="AD637">
            <v>2435.8629716913397</v>
          </cell>
          <cell r="AE637">
            <v>2453.4532294268952</v>
          </cell>
          <cell r="AF637">
            <v>2498.691264845349</v>
          </cell>
          <cell r="AG637">
            <v>2498.691264845349</v>
          </cell>
          <cell r="AI637" t="str">
            <v>COGS</v>
          </cell>
          <cell r="AJ637">
            <v>156.00837902194289</v>
          </cell>
          <cell r="AK637">
            <v>1605.9596107661532</v>
          </cell>
          <cell r="AL637">
            <v>673.89498190324309</v>
          </cell>
          <cell r="AM637">
            <v>62.828293154009316</v>
          </cell>
          <cell r="AN637">
            <v>2498.6912648453485</v>
          </cell>
          <cell r="AP637">
            <v>0</v>
          </cell>
          <cell r="AR637">
            <v>0</v>
          </cell>
        </row>
        <row r="639">
          <cell r="A639" t="str">
            <v>Gross Profit</v>
          </cell>
          <cell r="C639">
            <v>7.2253629812285958</v>
          </cell>
          <cell r="D639">
            <v>-0.28166384466218553</v>
          </cell>
          <cell r="E639">
            <v>256.25203953503643</v>
          </cell>
          <cell r="F639">
            <v>385.96358495110661</v>
          </cell>
          <cell r="G639">
            <v>1116.8236951546983</v>
          </cell>
          <cell r="H639">
            <v>384.2936276478423</v>
          </cell>
          <cell r="I639">
            <v>111.02101562643105</v>
          </cell>
          <cell r="J639">
            <v>64.154878779685419</v>
          </cell>
          <cell r="K639">
            <v>37.771732572238164</v>
          </cell>
          <cell r="L639">
            <v>10.794240985109397</v>
          </cell>
          <cell r="M639">
            <v>19.619754262889664</v>
          </cell>
          <cell r="N639">
            <v>0</v>
          </cell>
          <cell r="O639">
            <v>2393.6382686516035</v>
          </cell>
          <cell r="Q639">
            <v>736.00305312703154</v>
          </cell>
          <cell r="S639">
            <v>736.00305312703154</v>
          </cell>
          <cell r="U639" t="str">
            <v>Gross Profit</v>
          </cell>
          <cell r="V639">
            <v>7.2253629812285958</v>
          </cell>
          <cell r="W639">
            <v>6.9436991365664085</v>
          </cell>
          <cell r="X639">
            <v>263.19573867160284</v>
          </cell>
          <cell r="Y639">
            <v>649.15932362270939</v>
          </cell>
          <cell r="Z639">
            <v>1765.9830187774078</v>
          </cell>
          <cell r="AA639">
            <v>2150.27664642525</v>
          </cell>
          <cell r="AB639">
            <v>2261.2976620516802</v>
          </cell>
          <cell r="AC639">
            <v>2325.4525408313657</v>
          </cell>
          <cell r="AD639">
            <v>2363.224273403604</v>
          </cell>
          <cell r="AE639">
            <v>2374.0185143887134</v>
          </cell>
          <cell r="AF639">
            <v>2393.6382686516035</v>
          </cell>
          <cell r="AG639">
            <v>2393.6382686516035</v>
          </cell>
          <cell r="AI639" t="str">
            <v>Gross Profit</v>
          </cell>
          <cell r="AJ639">
            <v>263.19573867160284</v>
          </cell>
          <cell r="AK639">
            <v>1887.0809077536474</v>
          </cell>
          <cell r="AL639">
            <v>212.94762697835461</v>
          </cell>
          <cell r="AM639">
            <v>30.413995247999054</v>
          </cell>
          <cell r="AN639">
            <v>2393.638268651604</v>
          </cell>
          <cell r="AP639">
            <v>0</v>
          </cell>
          <cell r="AR639">
            <v>0</v>
          </cell>
        </row>
        <row r="640">
          <cell r="A640" t="str">
            <v>% of Sales</v>
          </cell>
          <cell r="C640">
            <v>0.59089099312728277</v>
          </cell>
          <cell r="D640">
            <v>-2.5162863720669174E-2</v>
          </cell>
          <cell r="E640">
            <v>0.64745660037485719</v>
          </cell>
          <cell r="F640">
            <v>0.60234327369177698</v>
          </cell>
          <cell r="G640">
            <v>0.59100218506530877</v>
          </cell>
          <cell r="H640">
            <v>0.39924173360861753</v>
          </cell>
          <cell r="I640">
            <v>0.22133505040149265</v>
          </cell>
          <cell r="J640">
            <v>0.23500211713303301</v>
          </cell>
          <cell r="K640">
            <v>0.33650099688862617</v>
          </cell>
          <cell r="L640">
            <v>0.38028647577457092</v>
          </cell>
          <cell r="M640">
            <v>0.3025042074249607</v>
          </cell>
          <cell r="N640">
            <v>0</v>
          </cell>
          <cell r="O640">
            <v>0.48926349957883403</v>
          </cell>
          <cell r="Q640">
            <v>0.46656107015991094</v>
          </cell>
          <cell r="S640">
            <v>0.46656107015991094</v>
          </cell>
          <cell r="U640" t="str">
            <v>% of Sales</v>
          </cell>
          <cell r="V640">
            <v>0.59089099312728277</v>
          </cell>
          <cell r="W640">
            <v>0.29646632533534273</v>
          </cell>
          <cell r="X640">
            <v>0.62784626286521605</v>
          </cell>
          <cell r="Y640">
            <v>0.61242932812028816</v>
          </cell>
          <cell r="Z640">
            <v>0.59870206262524661</v>
          </cell>
          <cell r="AA640">
            <v>0.54962734858689677</v>
          </cell>
          <cell r="AB640">
            <v>0.51231960862031478</v>
          </cell>
          <cell r="AC640">
            <v>0.49616653525551246</v>
          </cell>
          <cell r="AD640">
            <v>0.49243202982379847</v>
          </cell>
          <cell r="AE640">
            <v>0.49177263801285381</v>
          </cell>
          <cell r="AF640">
            <v>0.48926349957883403</v>
          </cell>
          <cell r="AG640">
            <v>0.48926349957883403</v>
          </cell>
          <cell r="AI640" t="str">
            <v>% of Sales</v>
          </cell>
          <cell r="AJ640">
            <v>0.62784626286521605</v>
          </cell>
          <cell r="AK640">
            <v>0.5402401998340719</v>
          </cell>
          <cell r="AL640">
            <v>0.24011884955201249</v>
          </cell>
          <cell r="AM640">
            <v>0.32618241968570089</v>
          </cell>
          <cell r="AN640">
            <v>0.48926349957883414</v>
          </cell>
          <cell r="AP640">
            <v>0</v>
          </cell>
          <cell r="AR640">
            <v>0</v>
          </cell>
        </row>
        <row r="642">
          <cell r="A642" t="str">
            <v>Marketing</v>
          </cell>
          <cell r="C642">
            <v>25.422621841449228</v>
          </cell>
          <cell r="D642">
            <v>32.091620750955315</v>
          </cell>
          <cell r="E642">
            <v>40.122422831646574</v>
          </cell>
          <cell r="F642">
            <v>38.37510212547248</v>
          </cell>
          <cell r="G642">
            <v>51.434460196071058</v>
          </cell>
          <cell r="H642">
            <v>46.783089351595677</v>
          </cell>
          <cell r="I642">
            <v>40.821529103742336</v>
          </cell>
          <cell r="J642">
            <v>25.117146230128412</v>
          </cell>
          <cell r="K642">
            <v>37.033221481028015</v>
          </cell>
          <cell r="L642">
            <v>27.04415394665881</v>
          </cell>
          <cell r="M642">
            <v>27.04415394665881</v>
          </cell>
          <cell r="N642">
            <v>27.04415394665881</v>
          </cell>
          <cell r="O642">
            <v>418.33367575206557</v>
          </cell>
          <cell r="Q642">
            <v>246.95488813765348</v>
          </cell>
          <cell r="S642">
            <v>246.95488813765348</v>
          </cell>
          <cell r="U642" t="str">
            <v>Marketing</v>
          </cell>
          <cell r="V642">
            <v>25.422621841449228</v>
          </cell>
          <cell r="W642">
            <v>57.514242592404543</v>
          </cell>
          <cell r="X642">
            <v>97.636665424051117</v>
          </cell>
          <cell r="Y642">
            <v>136.0117675495236</v>
          </cell>
          <cell r="Z642">
            <v>187.44622774559465</v>
          </cell>
          <cell r="AA642">
            <v>234.22931709719035</v>
          </cell>
          <cell r="AB642">
            <v>275.05084620093271</v>
          </cell>
          <cell r="AC642">
            <v>300.16799243106112</v>
          </cell>
          <cell r="AD642">
            <v>337.20121391208914</v>
          </cell>
          <cell r="AE642">
            <v>364.24536785874795</v>
          </cell>
          <cell r="AF642">
            <v>391.28952180540676</v>
          </cell>
          <cell r="AG642">
            <v>418.33367575206557</v>
          </cell>
          <cell r="AI642" t="str">
            <v>Marketing</v>
          </cell>
          <cell r="AJ642">
            <v>97.636665424051117</v>
          </cell>
          <cell r="AK642">
            <v>136.59265167313922</v>
          </cell>
          <cell r="AL642">
            <v>102.97189681489877</v>
          </cell>
          <cell r="AM642">
            <v>81.132461839976429</v>
          </cell>
          <cell r="AN642">
            <v>418.33367575206552</v>
          </cell>
          <cell r="AP642">
            <v>0</v>
          </cell>
          <cell r="AR642">
            <v>0</v>
          </cell>
        </row>
        <row r="643">
          <cell r="A643" t="str">
            <v>Administration</v>
          </cell>
          <cell r="C643">
            <v>0</v>
          </cell>
          <cell r="D643">
            <v>0</v>
          </cell>
          <cell r="E643">
            <v>0</v>
          </cell>
          <cell r="F643">
            <v>0</v>
          </cell>
          <cell r="G643">
            <v>0</v>
          </cell>
          <cell r="H643">
            <v>0</v>
          </cell>
          <cell r="I643">
            <v>0</v>
          </cell>
          <cell r="J643">
            <v>0</v>
          </cell>
          <cell r="K643">
            <v>0</v>
          </cell>
          <cell r="L643">
            <v>0</v>
          </cell>
          <cell r="M643">
            <v>0</v>
          </cell>
          <cell r="N643">
            <v>0</v>
          </cell>
          <cell r="O643">
            <v>0</v>
          </cell>
          <cell r="Q643">
            <v>0</v>
          </cell>
          <cell r="S643">
            <v>0</v>
          </cell>
          <cell r="U643" t="str">
            <v>Administration</v>
          </cell>
          <cell r="V643">
            <v>0</v>
          </cell>
          <cell r="W643">
            <v>0</v>
          </cell>
          <cell r="X643">
            <v>0</v>
          </cell>
          <cell r="Y643">
            <v>0</v>
          </cell>
          <cell r="Z643">
            <v>0</v>
          </cell>
          <cell r="AA643">
            <v>0</v>
          </cell>
          <cell r="AB643">
            <v>0</v>
          </cell>
          <cell r="AC643">
            <v>0</v>
          </cell>
          <cell r="AD643">
            <v>0</v>
          </cell>
          <cell r="AE643">
            <v>0</v>
          </cell>
          <cell r="AF643">
            <v>0</v>
          </cell>
          <cell r="AG643">
            <v>0</v>
          </cell>
          <cell r="AI643" t="str">
            <v>Administration</v>
          </cell>
          <cell r="AJ643">
            <v>0</v>
          </cell>
          <cell r="AK643">
            <v>0</v>
          </cell>
          <cell r="AL643">
            <v>0</v>
          </cell>
          <cell r="AM643">
            <v>0</v>
          </cell>
          <cell r="AN643">
            <v>0</v>
          </cell>
          <cell r="AP643">
            <v>0</v>
          </cell>
          <cell r="AR643">
            <v>0</v>
          </cell>
        </row>
        <row r="644">
          <cell r="A644" t="str">
            <v>Technology</v>
          </cell>
          <cell r="C644">
            <v>0</v>
          </cell>
          <cell r="D644">
            <v>0</v>
          </cell>
          <cell r="E644">
            <v>0</v>
          </cell>
          <cell r="F644">
            <v>0</v>
          </cell>
          <cell r="G644">
            <v>0</v>
          </cell>
          <cell r="H644">
            <v>0</v>
          </cell>
          <cell r="I644">
            <v>0</v>
          </cell>
          <cell r="J644">
            <v>0</v>
          </cell>
          <cell r="K644">
            <v>0</v>
          </cell>
          <cell r="L644">
            <v>0</v>
          </cell>
          <cell r="M644">
            <v>0</v>
          </cell>
          <cell r="N644">
            <v>0</v>
          </cell>
          <cell r="O644">
            <v>0</v>
          </cell>
          <cell r="Q644">
            <v>0</v>
          </cell>
          <cell r="S644">
            <v>0</v>
          </cell>
          <cell r="U644" t="str">
            <v>Technology</v>
          </cell>
          <cell r="V644">
            <v>0</v>
          </cell>
          <cell r="W644">
            <v>0</v>
          </cell>
          <cell r="X644">
            <v>0</v>
          </cell>
          <cell r="Y644">
            <v>0</v>
          </cell>
          <cell r="Z644">
            <v>0</v>
          </cell>
          <cell r="AA644">
            <v>0</v>
          </cell>
          <cell r="AB644">
            <v>0</v>
          </cell>
          <cell r="AC644">
            <v>0</v>
          </cell>
          <cell r="AD644">
            <v>0</v>
          </cell>
          <cell r="AE644">
            <v>0</v>
          </cell>
          <cell r="AF644">
            <v>0</v>
          </cell>
          <cell r="AG644">
            <v>0</v>
          </cell>
          <cell r="AI644" t="str">
            <v>Technology</v>
          </cell>
          <cell r="AJ644">
            <v>0</v>
          </cell>
          <cell r="AK644">
            <v>0</v>
          </cell>
          <cell r="AL644">
            <v>0</v>
          </cell>
          <cell r="AM644">
            <v>0</v>
          </cell>
          <cell r="AN644">
            <v>0</v>
          </cell>
          <cell r="AP644">
            <v>0</v>
          </cell>
          <cell r="AR644">
            <v>0</v>
          </cell>
        </row>
        <row r="645">
          <cell r="A645" t="str">
            <v>Bad Debt Reserve</v>
          </cell>
          <cell r="C645">
            <v>0</v>
          </cell>
          <cell r="D645">
            <v>0</v>
          </cell>
          <cell r="E645">
            <v>0</v>
          </cell>
          <cell r="F645">
            <v>0</v>
          </cell>
          <cell r="G645">
            <v>0</v>
          </cell>
          <cell r="H645">
            <v>0</v>
          </cell>
          <cell r="I645">
            <v>0</v>
          </cell>
          <cell r="J645">
            <v>0</v>
          </cell>
          <cell r="K645">
            <v>0</v>
          </cell>
          <cell r="L645">
            <v>0</v>
          </cell>
          <cell r="M645">
            <v>0</v>
          </cell>
          <cell r="N645">
            <v>0</v>
          </cell>
          <cell r="O645">
            <v>0</v>
          </cell>
          <cell r="Q645">
            <v>0</v>
          </cell>
          <cell r="S645">
            <v>0</v>
          </cell>
          <cell r="U645" t="str">
            <v>Bad Debt Reserve</v>
          </cell>
          <cell r="V645">
            <v>0</v>
          </cell>
          <cell r="W645">
            <v>0</v>
          </cell>
          <cell r="X645">
            <v>0</v>
          </cell>
          <cell r="Y645">
            <v>0</v>
          </cell>
          <cell r="Z645">
            <v>0</v>
          </cell>
          <cell r="AA645">
            <v>0</v>
          </cell>
          <cell r="AB645">
            <v>0</v>
          </cell>
          <cell r="AC645">
            <v>0</v>
          </cell>
          <cell r="AD645">
            <v>0</v>
          </cell>
          <cell r="AE645">
            <v>0</v>
          </cell>
          <cell r="AF645">
            <v>0</v>
          </cell>
          <cell r="AG645">
            <v>0</v>
          </cell>
          <cell r="AI645" t="str">
            <v>Bad Debt Reserve</v>
          </cell>
          <cell r="AJ645">
            <v>0</v>
          </cell>
          <cell r="AK645">
            <v>0</v>
          </cell>
          <cell r="AL645">
            <v>0</v>
          </cell>
          <cell r="AM645">
            <v>0</v>
          </cell>
          <cell r="AN645">
            <v>0</v>
          </cell>
          <cell r="AP645">
            <v>0</v>
          </cell>
          <cell r="AR645">
            <v>0</v>
          </cell>
        </row>
        <row r="646">
          <cell r="A646" t="str">
            <v>Total Direct MAT</v>
          </cell>
          <cell r="C646">
            <v>25.422621841449228</v>
          </cell>
          <cell r="D646">
            <v>32.091620750955315</v>
          </cell>
          <cell r="E646">
            <v>40.122422831646574</v>
          </cell>
          <cell r="F646">
            <v>38.37510212547248</v>
          </cell>
          <cell r="G646">
            <v>51.434460196071058</v>
          </cell>
          <cell r="H646">
            <v>46.783089351595677</v>
          </cell>
          <cell r="I646">
            <v>40.821529103742336</v>
          </cell>
          <cell r="J646">
            <v>25.117146230128412</v>
          </cell>
          <cell r="K646">
            <v>37.033221481028015</v>
          </cell>
          <cell r="L646">
            <v>27.04415394665881</v>
          </cell>
          <cell r="M646">
            <v>27.04415394665881</v>
          </cell>
          <cell r="N646">
            <v>27.04415394665881</v>
          </cell>
          <cell r="O646">
            <v>418.33367575206557</v>
          </cell>
          <cell r="Q646">
            <v>246.95488813765348</v>
          </cell>
          <cell r="S646">
            <v>246.95488813765348</v>
          </cell>
          <cell r="U646" t="str">
            <v>Total Direct MAT</v>
          </cell>
          <cell r="V646">
            <v>25.422621841449228</v>
          </cell>
          <cell r="W646">
            <v>57.514242592404543</v>
          </cell>
          <cell r="X646">
            <v>97.636665424051117</v>
          </cell>
          <cell r="Y646">
            <v>136.0117675495236</v>
          </cell>
          <cell r="Z646">
            <v>187.44622774559465</v>
          </cell>
          <cell r="AA646">
            <v>234.22931709719035</v>
          </cell>
          <cell r="AB646">
            <v>275.05084620093271</v>
          </cell>
          <cell r="AC646">
            <v>300.16799243106112</v>
          </cell>
          <cell r="AD646">
            <v>337.20121391208914</v>
          </cell>
          <cell r="AE646">
            <v>364.24536785874795</v>
          </cell>
          <cell r="AF646">
            <v>391.28952180540676</v>
          </cell>
          <cell r="AG646">
            <v>418.33367575206557</v>
          </cell>
          <cell r="AI646" t="str">
            <v>Total Direct MAT</v>
          </cell>
          <cell r="AJ646">
            <v>97.636665424051117</v>
          </cell>
          <cell r="AK646">
            <v>136.59265167313922</v>
          </cell>
          <cell r="AL646">
            <v>102.97189681489877</v>
          </cell>
          <cell r="AM646">
            <v>81.132461839976429</v>
          </cell>
          <cell r="AN646">
            <v>418.33367575206552</v>
          </cell>
          <cell r="AP646">
            <v>0</v>
          </cell>
          <cell r="AR646">
            <v>0</v>
          </cell>
        </row>
        <row r="648">
          <cell r="A648" t="str">
            <v>Marketing</v>
          </cell>
          <cell r="C648">
            <v>0</v>
          </cell>
          <cell r="D648">
            <v>0</v>
          </cell>
          <cell r="E648">
            <v>0</v>
          </cell>
          <cell r="F648">
            <v>0</v>
          </cell>
          <cell r="G648">
            <v>0</v>
          </cell>
          <cell r="H648">
            <v>0</v>
          </cell>
          <cell r="I648">
            <v>0</v>
          </cell>
          <cell r="J648">
            <v>0</v>
          </cell>
          <cell r="K648">
            <v>0</v>
          </cell>
          <cell r="L648">
            <v>0</v>
          </cell>
          <cell r="M648">
            <v>0</v>
          </cell>
          <cell r="N648">
            <v>0</v>
          </cell>
          <cell r="O648">
            <v>0</v>
          </cell>
          <cell r="Q648">
            <v>0</v>
          </cell>
          <cell r="S648">
            <v>0</v>
          </cell>
          <cell r="U648" t="str">
            <v>Marketing</v>
          </cell>
          <cell r="V648">
            <v>0</v>
          </cell>
          <cell r="W648">
            <v>0</v>
          </cell>
          <cell r="X648">
            <v>0</v>
          </cell>
          <cell r="Y648">
            <v>0</v>
          </cell>
          <cell r="Z648">
            <v>0</v>
          </cell>
          <cell r="AA648">
            <v>0</v>
          </cell>
          <cell r="AB648">
            <v>0</v>
          </cell>
          <cell r="AC648">
            <v>0</v>
          </cell>
          <cell r="AD648">
            <v>0</v>
          </cell>
          <cell r="AE648">
            <v>0</v>
          </cell>
          <cell r="AF648">
            <v>0</v>
          </cell>
          <cell r="AG648">
            <v>0</v>
          </cell>
          <cell r="AI648" t="str">
            <v>Marketing</v>
          </cell>
          <cell r="AJ648">
            <v>0</v>
          </cell>
          <cell r="AK648">
            <v>0</v>
          </cell>
          <cell r="AL648">
            <v>0</v>
          </cell>
          <cell r="AM648">
            <v>0</v>
          </cell>
          <cell r="AN648">
            <v>0</v>
          </cell>
          <cell r="AP648">
            <v>0</v>
          </cell>
          <cell r="AR648">
            <v>0</v>
          </cell>
        </row>
        <row r="649">
          <cell r="A649" t="str">
            <v>Administration</v>
          </cell>
          <cell r="C649">
            <v>0</v>
          </cell>
          <cell r="D649">
            <v>0</v>
          </cell>
          <cell r="E649">
            <v>0</v>
          </cell>
          <cell r="F649">
            <v>0</v>
          </cell>
          <cell r="G649">
            <v>0</v>
          </cell>
          <cell r="H649">
            <v>0</v>
          </cell>
          <cell r="I649">
            <v>0</v>
          </cell>
          <cell r="J649">
            <v>0</v>
          </cell>
          <cell r="K649">
            <v>0</v>
          </cell>
          <cell r="L649">
            <v>0</v>
          </cell>
          <cell r="M649">
            <v>0</v>
          </cell>
          <cell r="N649">
            <v>0</v>
          </cell>
          <cell r="O649">
            <v>0</v>
          </cell>
          <cell r="Q649">
            <v>0</v>
          </cell>
          <cell r="S649">
            <v>0</v>
          </cell>
          <cell r="U649" t="str">
            <v>Administration</v>
          </cell>
          <cell r="V649">
            <v>0</v>
          </cell>
          <cell r="W649">
            <v>0</v>
          </cell>
          <cell r="X649">
            <v>0</v>
          </cell>
          <cell r="Y649">
            <v>0</v>
          </cell>
          <cell r="Z649">
            <v>0</v>
          </cell>
          <cell r="AA649">
            <v>0</v>
          </cell>
          <cell r="AB649">
            <v>0</v>
          </cell>
          <cell r="AC649">
            <v>0</v>
          </cell>
          <cell r="AD649">
            <v>0</v>
          </cell>
          <cell r="AE649">
            <v>0</v>
          </cell>
          <cell r="AF649">
            <v>0</v>
          </cell>
          <cell r="AG649">
            <v>0</v>
          </cell>
          <cell r="AI649" t="str">
            <v>Administration</v>
          </cell>
          <cell r="AJ649">
            <v>0</v>
          </cell>
          <cell r="AK649">
            <v>0</v>
          </cell>
          <cell r="AL649">
            <v>0</v>
          </cell>
          <cell r="AM649">
            <v>0</v>
          </cell>
          <cell r="AN649">
            <v>0</v>
          </cell>
          <cell r="AP649">
            <v>0</v>
          </cell>
          <cell r="AR649">
            <v>0</v>
          </cell>
        </row>
        <row r="650">
          <cell r="A650" t="str">
            <v>Technology</v>
          </cell>
          <cell r="C650">
            <v>0</v>
          </cell>
          <cell r="D650">
            <v>0</v>
          </cell>
          <cell r="E650">
            <v>0</v>
          </cell>
          <cell r="F650">
            <v>0</v>
          </cell>
          <cell r="G650">
            <v>0</v>
          </cell>
          <cell r="H650">
            <v>0</v>
          </cell>
          <cell r="I650">
            <v>0</v>
          </cell>
          <cell r="J650">
            <v>0</v>
          </cell>
          <cell r="K650">
            <v>0</v>
          </cell>
          <cell r="L650">
            <v>0</v>
          </cell>
          <cell r="M650">
            <v>0</v>
          </cell>
          <cell r="N650">
            <v>0</v>
          </cell>
          <cell r="O650">
            <v>0</v>
          </cell>
          <cell r="Q650">
            <v>0</v>
          </cell>
          <cell r="S650">
            <v>0</v>
          </cell>
          <cell r="U650" t="str">
            <v>Technology</v>
          </cell>
          <cell r="V650">
            <v>0</v>
          </cell>
          <cell r="W650">
            <v>0</v>
          </cell>
          <cell r="X650">
            <v>0</v>
          </cell>
          <cell r="Y650">
            <v>0</v>
          </cell>
          <cell r="Z650">
            <v>0</v>
          </cell>
          <cell r="AA650">
            <v>0</v>
          </cell>
          <cell r="AB650">
            <v>0</v>
          </cell>
          <cell r="AC650">
            <v>0</v>
          </cell>
          <cell r="AD650">
            <v>0</v>
          </cell>
          <cell r="AE650">
            <v>0</v>
          </cell>
          <cell r="AF650">
            <v>0</v>
          </cell>
          <cell r="AG650">
            <v>0</v>
          </cell>
          <cell r="AI650" t="str">
            <v>Technology</v>
          </cell>
          <cell r="AJ650">
            <v>0</v>
          </cell>
          <cell r="AK650">
            <v>0</v>
          </cell>
          <cell r="AL650">
            <v>0</v>
          </cell>
          <cell r="AM650">
            <v>0</v>
          </cell>
          <cell r="AN650">
            <v>0</v>
          </cell>
          <cell r="AP650">
            <v>0</v>
          </cell>
          <cell r="AR650">
            <v>0</v>
          </cell>
        </row>
        <row r="651">
          <cell r="A651" t="str">
            <v>Total Foundation MAT</v>
          </cell>
          <cell r="C651">
            <v>0</v>
          </cell>
          <cell r="D651">
            <v>0</v>
          </cell>
          <cell r="E651">
            <v>0</v>
          </cell>
          <cell r="F651">
            <v>0</v>
          </cell>
          <cell r="G651">
            <v>0</v>
          </cell>
          <cell r="H651">
            <v>0</v>
          </cell>
          <cell r="I651">
            <v>0</v>
          </cell>
          <cell r="J651">
            <v>0</v>
          </cell>
          <cell r="K651">
            <v>0</v>
          </cell>
          <cell r="L651">
            <v>0</v>
          </cell>
          <cell r="M651">
            <v>0</v>
          </cell>
          <cell r="N651">
            <v>0</v>
          </cell>
          <cell r="O651">
            <v>0</v>
          </cell>
          <cell r="Q651">
            <v>0</v>
          </cell>
          <cell r="S651">
            <v>0</v>
          </cell>
          <cell r="U651" t="str">
            <v>Total Foundation MAT</v>
          </cell>
          <cell r="V651">
            <v>0</v>
          </cell>
          <cell r="W651">
            <v>0</v>
          </cell>
          <cell r="X651">
            <v>0</v>
          </cell>
          <cell r="Y651">
            <v>0</v>
          </cell>
          <cell r="Z651">
            <v>0</v>
          </cell>
          <cell r="AA651">
            <v>0</v>
          </cell>
          <cell r="AB651">
            <v>0</v>
          </cell>
          <cell r="AC651">
            <v>0</v>
          </cell>
          <cell r="AD651">
            <v>0</v>
          </cell>
          <cell r="AE651">
            <v>0</v>
          </cell>
          <cell r="AF651">
            <v>0</v>
          </cell>
          <cell r="AG651">
            <v>0</v>
          </cell>
          <cell r="AI651" t="str">
            <v>Total Foundation MAT</v>
          </cell>
          <cell r="AJ651">
            <v>0</v>
          </cell>
          <cell r="AK651">
            <v>0</v>
          </cell>
          <cell r="AL651">
            <v>0</v>
          </cell>
          <cell r="AM651">
            <v>0</v>
          </cell>
          <cell r="AN651">
            <v>0</v>
          </cell>
          <cell r="AP651">
            <v>0</v>
          </cell>
          <cell r="AR651">
            <v>0</v>
          </cell>
        </row>
        <row r="653">
          <cell r="A653" t="str">
            <v>Amort of Intangible  Assets</v>
          </cell>
          <cell r="C653">
            <v>0</v>
          </cell>
          <cell r="D653">
            <v>0</v>
          </cell>
          <cell r="E653">
            <v>0</v>
          </cell>
          <cell r="F653">
            <v>0</v>
          </cell>
          <cell r="G653">
            <v>0</v>
          </cell>
          <cell r="H653">
            <v>0</v>
          </cell>
          <cell r="I653">
            <v>0</v>
          </cell>
          <cell r="J653">
            <v>0</v>
          </cell>
          <cell r="K653">
            <v>0</v>
          </cell>
          <cell r="L653">
            <v>0</v>
          </cell>
          <cell r="M653">
            <v>0</v>
          </cell>
          <cell r="N653">
            <v>0</v>
          </cell>
          <cell r="O653">
            <v>0</v>
          </cell>
          <cell r="Q653">
            <v>0</v>
          </cell>
          <cell r="S653">
            <v>0</v>
          </cell>
          <cell r="U653" t="str">
            <v>Amort of Intangible  Assets</v>
          </cell>
          <cell r="V653">
            <v>0</v>
          </cell>
          <cell r="W653">
            <v>0</v>
          </cell>
          <cell r="X653">
            <v>0</v>
          </cell>
          <cell r="Y653">
            <v>0</v>
          </cell>
          <cell r="Z653">
            <v>0</v>
          </cell>
          <cell r="AA653">
            <v>0</v>
          </cell>
          <cell r="AB653">
            <v>0</v>
          </cell>
          <cell r="AC653">
            <v>0</v>
          </cell>
          <cell r="AD653">
            <v>0</v>
          </cell>
          <cell r="AE653">
            <v>0</v>
          </cell>
          <cell r="AF653">
            <v>0</v>
          </cell>
          <cell r="AG653">
            <v>0</v>
          </cell>
          <cell r="AI653" t="str">
            <v>Amort of Intangible  Assets</v>
          </cell>
          <cell r="AJ653">
            <v>0</v>
          </cell>
          <cell r="AK653">
            <v>0</v>
          </cell>
          <cell r="AL653">
            <v>0</v>
          </cell>
          <cell r="AM653">
            <v>0</v>
          </cell>
          <cell r="AN653">
            <v>0</v>
          </cell>
          <cell r="AP653">
            <v>0</v>
          </cell>
          <cell r="AR653">
            <v>0</v>
          </cell>
        </row>
        <row r="655">
          <cell r="A655" t="str">
            <v>Interest Expense</v>
          </cell>
          <cell r="C655">
            <v>0</v>
          </cell>
          <cell r="D655">
            <v>0</v>
          </cell>
          <cell r="E655">
            <v>0</v>
          </cell>
          <cell r="F655">
            <v>0</v>
          </cell>
          <cell r="G655">
            <v>0</v>
          </cell>
          <cell r="H655">
            <v>0</v>
          </cell>
          <cell r="I655">
            <v>0</v>
          </cell>
          <cell r="J655">
            <v>0</v>
          </cell>
          <cell r="K655">
            <v>0</v>
          </cell>
          <cell r="L655">
            <v>0</v>
          </cell>
          <cell r="M655">
            <v>0</v>
          </cell>
          <cell r="N655">
            <v>0</v>
          </cell>
          <cell r="O655">
            <v>0</v>
          </cell>
          <cell r="Q655">
            <v>0</v>
          </cell>
          <cell r="S655">
            <v>0</v>
          </cell>
          <cell r="U655" t="str">
            <v>Interest Expense</v>
          </cell>
          <cell r="V655">
            <v>0</v>
          </cell>
          <cell r="W655">
            <v>0</v>
          </cell>
          <cell r="X655">
            <v>0</v>
          </cell>
          <cell r="Y655">
            <v>0</v>
          </cell>
          <cell r="Z655">
            <v>0</v>
          </cell>
          <cell r="AA655">
            <v>0</v>
          </cell>
          <cell r="AB655">
            <v>0</v>
          </cell>
          <cell r="AC655">
            <v>0</v>
          </cell>
          <cell r="AD655">
            <v>0</v>
          </cell>
          <cell r="AE655">
            <v>0</v>
          </cell>
          <cell r="AF655">
            <v>0</v>
          </cell>
          <cell r="AG655">
            <v>0</v>
          </cell>
          <cell r="AI655" t="str">
            <v>Interest Expense</v>
          </cell>
          <cell r="AJ655">
            <v>0</v>
          </cell>
          <cell r="AK655">
            <v>0</v>
          </cell>
          <cell r="AL655">
            <v>0</v>
          </cell>
          <cell r="AM655">
            <v>0</v>
          </cell>
          <cell r="AN655">
            <v>0</v>
          </cell>
          <cell r="AP655">
            <v>0</v>
          </cell>
          <cell r="AR655">
            <v>0</v>
          </cell>
        </row>
        <row r="656">
          <cell r="A656" t="str">
            <v>Interest Income</v>
          </cell>
          <cell r="C656">
            <v>0</v>
          </cell>
          <cell r="D656">
            <v>0</v>
          </cell>
          <cell r="E656">
            <v>0</v>
          </cell>
          <cell r="F656">
            <v>0</v>
          </cell>
          <cell r="G656">
            <v>0</v>
          </cell>
          <cell r="H656">
            <v>0</v>
          </cell>
          <cell r="I656">
            <v>0</v>
          </cell>
          <cell r="J656">
            <v>0</v>
          </cell>
          <cell r="K656">
            <v>0</v>
          </cell>
          <cell r="L656">
            <v>0</v>
          </cell>
          <cell r="M656">
            <v>0</v>
          </cell>
          <cell r="N656">
            <v>0</v>
          </cell>
          <cell r="O656">
            <v>0</v>
          </cell>
          <cell r="Q656">
            <v>0</v>
          </cell>
          <cell r="S656">
            <v>0</v>
          </cell>
          <cell r="U656" t="str">
            <v>Interest Income</v>
          </cell>
          <cell r="V656">
            <v>0</v>
          </cell>
          <cell r="W656">
            <v>0</v>
          </cell>
          <cell r="X656">
            <v>0</v>
          </cell>
          <cell r="Y656">
            <v>0</v>
          </cell>
          <cell r="Z656">
            <v>0</v>
          </cell>
          <cell r="AA656">
            <v>0</v>
          </cell>
          <cell r="AB656">
            <v>0</v>
          </cell>
          <cell r="AC656">
            <v>0</v>
          </cell>
          <cell r="AD656">
            <v>0</v>
          </cell>
          <cell r="AE656">
            <v>0</v>
          </cell>
          <cell r="AF656">
            <v>0</v>
          </cell>
          <cell r="AG656">
            <v>0</v>
          </cell>
          <cell r="AI656" t="str">
            <v>Interest Income</v>
          </cell>
          <cell r="AJ656">
            <v>0</v>
          </cell>
          <cell r="AK656">
            <v>0</v>
          </cell>
          <cell r="AL656">
            <v>0</v>
          </cell>
          <cell r="AM656">
            <v>0</v>
          </cell>
          <cell r="AN656">
            <v>0</v>
          </cell>
          <cell r="AP656">
            <v>0</v>
          </cell>
          <cell r="AR656">
            <v>0</v>
          </cell>
        </row>
        <row r="657">
          <cell r="A657" t="str">
            <v>Other Income/Exp.</v>
          </cell>
          <cell r="C657">
            <v>0</v>
          </cell>
          <cell r="D657">
            <v>0</v>
          </cell>
          <cell r="E657">
            <v>0</v>
          </cell>
          <cell r="F657">
            <v>0</v>
          </cell>
          <cell r="G657">
            <v>0</v>
          </cell>
          <cell r="H657">
            <v>0</v>
          </cell>
          <cell r="I657">
            <v>0</v>
          </cell>
          <cell r="J657">
            <v>0</v>
          </cell>
          <cell r="K657">
            <v>0</v>
          </cell>
          <cell r="L657">
            <v>0</v>
          </cell>
          <cell r="M657">
            <v>0</v>
          </cell>
          <cell r="N657">
            <v>0</v>
          </cell>
          <cell r="O657">
            <v>0</v>
          </cell>
          <cell r="Q657">
            <v>0</v>
          </cell>
          <cell r="S657">
            <v>0</v>
          </cell>
          <cell r="U657" t="str">
            <v>Other Income/Exp.</v>
          </cell>
          <cell r="V657">
            <v>0</v>
          </cell>
          <cell r="W657">
            <v>0</v>
          </cell>
          <cell r="X657">
            <v>0</v>
          </cell>
          <cell r="Y657">
            <v>0</v>
          </cell>
          <cell r="Z657">
            <v>0</v>
          </cell>
          <cell r="AA657">
            <v>0</v>
          </cell>
          <cell r="AB657">
            <v>0</v>
          </cell>
          <cell r="AC657">
            <v>0</v>
          </cell>
          <cell r="AD657">
            <v>0</v>
          </cell>
          <cell r="AE657">
            <v>0</v>
          </cell>
          <cell r="AF657">
            <v>0</v>
          </cell>
          <cell r="AG657">
            <v>0</v>
          </cell>
          <cell r="AI657" t="str">
            <v>Other Income/Exp.</v>
          </cell>
          <cell r="AJ657">
            <v>0</v>
          </cell>
          <cell r="AK657">
            <v>0</v>
          </cell>
          <cell r="AL657">
            <v>0</v>
          </cell>
          <cell r="AM657">
            <v>0</v>
          </cell>
          <cell r="AN657">
            <v>0</v>
          </cell>
          <cell r="AP657">
            <v>0</v>
          </cell>
          <cell r="AR657">
            <v>0</v>
          </cell>
        </row>
        <row r="659">
          <cell r="A659" t="str">
            <v>Income Before Tax</v>
          </cell>
          <cell r="C659">
            <v>-18.197258860220632</v>
          </cell>
          <cell r="D659">
            <v>-32.373284595617498</v>
          </cell>
          <cell r="E659">
            <v>216.12961670338984</v>
          </cell>
          <cell r="F659">
            <v>347.58848282563412</v>
          </cell>
          <cell r="G659">
            <v>1065.3892349586272</v>
          </cell>
          <cell r="H659">
            <v>337.51053829624664</v>
          </cell>
          <cell r="I659">
            <v>70.199486522688716</v>
          </cell>
          <cell r="J659">
            <v>39.037732549557006</v>
          </cell>
          <cell r="K659">
            <v>0.73851109121014957</v>
          </cell>
          <cell r="L659">
            <v>-16.249912961549413</v>
          </cell>
          <cell r="M659">
            <v>-7.4243996837691455</v>
          </cell>
          <cell r="N659">
            <v>-27.04415394665881</v>
          </cell>
          <cell r="O659">
            <v>1975.304592899538</v>
          </cell>
          <cell r="Q659">
            <v>489.04816498937805</v>
          </cell>
          <cell r="S659">
            <v>489.04816498937805</v>
          </cell>
          <cell r="U659" t="str">
            <v>Income Before Tax</v>
          </cell>
          <cell r="V659">
            <v>-18.197258860220632</v>
          </cell>
          <cell r="W659">
            <v>-50.570543455838134</v>
          </cell>
          <cell r="X659">
            <v>165.55907324755174</v>
          </cell>
          <cell r="Y659">
            <v>513.1475560731858</v>
          </cell>
          <cell r="Z659">
            <v>1578.5367910318132</v>
          </cell>
          <cell r="AA659">
            <v>1916.0473293280597</v>
          </cell>
          <cell r="AB659">
            <v>1986.2468158507475</v>
          </cell>
          <cell r="AC659">
            <v>2025.2845484003046</v>
          </cell>
          <cell r="AD659">
            <v>2026.0230594915149</v>
          </cell>
          <cell r="AE659">
            <v>2009.7731465299653</v>
          </cell>
          <cell r="AF659">
            <v>2002.3487468461967</v>
          </cell>
          <cell r="AG659">
            <v>1975.304592899538</v>
          </cell>
          <cell r="AI659" t="str">
            <v>Income Before Tax</v>
          </cell>
          <cell r="AJ659">
            <v>165.55907324755174</v>
          </cell>
          <cell r="AK659">
            <v>1750.4882560805081</v>
          </cell>
          <cell r="AL659">
            <v>109.97573016345584</v>
          </cell>
          <cell r="AM659">
            <v>-50.718466591977375</v>
          </cell>
          <cell r="AN659">
            <v>1975.3045928995384</v>
          </cell>
          <cell r="AP659">
            <v>0</v>
          </cell>
          <cell r="AR659">
            <v>0</v>
          </cell>
        </row>
        <row r="660">
          <cell r="A660" t="str">
            <v>Privision for Taxes</v>
          </cell>
          <cell r="C660">
            <v>-5.6411502466683956</v>
          </cell>
          <cell r="D660">
            <v>-10.035718224641423</v>
          </cell>
          <cell r="E660">
            <v>67.000181178050838</v>
          </cell>
          <cell r="F660">
            <v>107.75242967594659</v>
          </cell>
          <cell r="G660">
            <v>330.27066283717443</v>
          </cell>
          <cell r="H660">
            <v>104.62826687183644</v>
          </cell>
          <cell r="I660">
            <v>21.761840822033498</v>
          </cell>
          <cell r="J660">
            <v>12.101697090362673</v>
          </cell>
          <cell r="K660">
            <v>0.22893843827514537</v>
          </cell>
          <cell r="L660">
            <v>-5.0374730180803189</v>
          </cell>
          <cell r="M660">
            <v>-2.3015639019684371</v>
          </cell>
          <cell r="N660">
            <v>-8.3836877234642309</v>
          </cell>
          <cell r="O660">
            <v>612.34442379885684</v>
          </cell>
          <cell r="Q660">
            <v>151.6049311467072</v>
          </cell>
          <cell r="S660">
            <v>151.6049311467072</v>
          </cell>
          <cell r="U660" t="str">
            <v>Privision for Taxes</v>
          </cell>
          <cell r="V660">
            <v>-5.6411502466683956</v>
          </cell>
          <cell r="W660">
            <v>-15.676868471309819</v>
          </cell>
          <cell r="X660">
            <v>51.323312706741021</v>
          </cell>
          <cell r="Y660">
            <v>159.07574238268762</v>
          </cell>
          <cell r="Z660">
            <v>489.34640521986205</v>
          </cell>
          <cell r="AA660">
            <v>593.97467209169849</v>
          </cell>
          <cell r="AB660">
            <v>615.73651291373199</v>
          </cell>
          <cell r="AC660">
            <v>627.83821000409466</v>
          </cell>
          <cell r="AD660">
            <v>628.06714844236978</v>
          </cell>
          <cell r="AE660">
            <v>623.02967542428951</v>
          </cell>
          <cell r="AF660">
            <v>620.72811152232111</v>
          </cell>
          <cell r="AG660">
            <v>612.34442379885684</v>
          </cell>
          <cell r="AI660" t="str">
            <v>Privision for Taxes</v>
          </cell>
          <cell r="AJ660">
            <v>51.323312706741021</v>
          </cell>
          <cell r="AK660">
            <v>542.65135938495746</v>
          </cell>
          <cell r="AL660">
            <v>34.092476350671312</v>
          </cell>
          <cell r="AM660">
            <v>-15.722724643512986</v>
          </cell>
          <cell r="AN660">
            <v>612.34442379885684</v>
          </cell>
          <cell r="AP660">
            <v>0</v>
          </cell>
          <cell r="AR660">
            <v>0</v>
          </cell>
        </row>
        <row r="661">
          <cell r="A661" t="str">
            <v>Tax rate %</v>
          </cell>
          <cell r="C661">
            <v>0.31</v>
          </cell>
          <cell r="D661">
            <v>0.30999999999999994</v>
          </cell>
          <cell r="E661">
            <v>0.30999999999999994</v>
          </cell>
          <cell r="F661">
            <v>0.31000000000000005</v>
          </cell>
          <cell r="G661">
            <v>0.31</v>
          </cell>
          <cell r="H661">
            <v>0.30999999999999994</v>
          </cell>
          <cell r="I661">
            <v>0.30999999999999994</v>
          </cell>
          <cell r="J661">
            <v>0.31000000000000005</v>
          </cell>
          <cell r="K661">
            <v>0.30999999999999867</v>
          </cell>
          <cell r="L661">
            <v>0.31000000000000005</v>
          </cell>
          <cell r="M661">
            <v>0.31000000000000028</v>
          </cell>
          <cell r="N661">
            <v>0.31</v>
          </cell>
          <cell r="O661">
            <v>0.31000000000000005</v>
          </cell>
          <cell r="Q661">
            <v>0.31</v>
          </cell>
          <cell r="S661">
            <v>0.31</v>
          </cell>
          <cell r="U661" t="str">
            <v>Tax rate %</v>
          </cell>
          <cell r="V661">
            <v>0.31</v>
          </cell>
          <cell r="W661">
            <v>0.30999999999999994</v>
          </cell>
          <cell r="X661">
            <v>0.30999999999999989</v>
          </cell>
          <cell r="Y661">
            <v>0.31000000000000005</v>
          </cell>
          <cell r="Z661">
            <v>0.31</v>
          </cell>
          <cell r="AA661">
            <v>0.31</v>
          </cell>
          <cell r="AB661">
            <v>0.31000000000000016</v>
          </cell>
          <cell r="AC661">
            <v>0.31000000000000011</v>
          </cell>
          <cell r="AD661">
            <v>0.31000000000000005</v>
          </cell>
          <cell r="AE661">
            <v>0.31000000000000011</v>
          </cell>
          <cell r="AF661">
            <v>0.31000000000000005</v>
          </cell>
          <cell r="AG661">
            <v>0.31000000000000005</v>
          </cell>
          <cell r="AI661" t="str">
            <v>Tax rate %</v>
          </cell>
          <cell r="AJ661">
            <v>0.30999999999999989</v>
          </cell>
          <cell r="AK661">
            <v>0.30999999999999994</v>
          </cell>
          <cell r="AL661">
            <v>0.31000000000000005</v>
          </cell>
          <cell r="AM661">
            <v>0.31</v>
          </cell>
          <cell r="AN661">
            <v>0.30999999999999994</v>
          </cell>
          <cell r="AP661">
            <v>0</v>
          </cell>
          <cell r="AR661">
            <v>0</v>
          </cell>
        </row>
        <row r="663">
          <cell r="A663" t="str">
            <v>Net Income</v>
          </cell>
          <cell r="C663">
            <v>-12.556108613552237</v>
          </cell>
          <cell r="D663">
            <v>-22.337566370976077</v>
          </cell>
          <cell r="E663">
            <v>149.12943552533901</v>
          </cell>
          <cell r="F663">
            <v>239.83605314968753</v>
          </cell>
          <cell r="G663">
            <v>735.11857212145276</v>
          </cell>
          <cell r="H663">
            <v>232.88227142441019</v>
          </cell>
          <cell r="I663">
            <v>48.437645700655217</v>
          </cell>
          <cell r="J663">
            <v>26.936035459194333</v>
          </cell>
          <cell r="K663">
            <v>0.5095726529350042</v>
          </cell>
          <cell r="L663">
            <v>-11.212439943469093</v>
          </cell>
          <cell r="M663">
            <v>-5.122835781800708</v>
          </cell>
          <cell r="N663">
            <v>-18.660466223194579</v>
          </cell>
          <cell r="O663">
            <v>1362.960169100681</v>
          </cell>
          <cell r="Q663">
            <v>337.44323384267085</v>
          </cell>
          <cell r="S663">
            <v>337.44323384267085</v>
          </cell>
          <cell r="U663" t="str">
            <v>Net Income</v>
          </cell>
          <cell r="V663">
            <v>-12.556108613552237</v>
          </cell>
          <cell r="W663">
            <v>-34.893674984528317</v>
          </cell>
          <cell r="X663">
            <v>114.23576054081072</v>
          </cell>
          <cell r="Y663">
            <v>354.07181369049817</v>
          </cell>
          <cell r="Z663">
            <v>1089.1903858119513</v>
          </cell>
          <cell r="AA663">
            <v>1322.0726572363612</v>
          </cell>
          <cell r="AB663">
            <v>1370.5103029370155</v>
          </cell>
          <cell r="AC663">
            <v>1397.44633839621</v>
          </cell>
          <cell r="AD663">
            <v>1397.955911049145</v>
          </cell>
          <cell r="AE663">
            <v>1386.7434711056758</v>
          </cell>
          <cell r="AF663">
            <v>1381.6206353238756</v>
          </cell>
          <cell r="AG663">
            <v>1362.960169100681</v>
          </cell>
          <cell r="AI663" t="str">
            <v>Net Income</v>
          </cell>
          <cell r="AJ663">
            <v>114.23576054081072</v>
          </cell>
          <cell r="AK663">
            <v>1207.8368966955506</v>
          </cell>
          <cell r="AL663">
            <v>75.883253812784517</v>
          </cell>
          <cell r="AM663">
            <v>-34.995741948464385</v>
          </cell>
          <cell r="AN663">
            <v>1362.9601691006815</v>
          </cell>
          <cell r="AP663">
            <v>0</v>
          </cell>
          <cell r="AR663">
            <v>0</v>
          </cell>
        </row>
        <row r="664">
          <cell r="A664" t="str">
            <v>% Sales</v>
          </cell>
          <cell r="C664">
            <v>-1.0268399674523119</v>
          </cell>
          <cell r="D664">
            <v>-1.9955601299073469</v>
          </cell>
          <cell r="E664">
            <v>0.3767963662504073</v>
          </cell>
          <cell r="F664">
            <v>0.3742934282823554</v>
          </cell>
          <cell r="G664">
            <v>0.38901098202943218</v>
          </cell>
          <cell r="H664">
            <v>0.24194083659226187</v>
          </cell>
          <cell r="I664">
            <v>9.6566840899371162E-2</v>
          </cell>
          <cell r="J664">
            <v>9.8667871882652733E-2</v>
          </cell>
          <cell r="K664">
            <v>4.5396833563796004E-3</v>
          </cell>
          <cell r="L664">
            <v>-0.39501983296629883</v>
          </cell>
          <cell r="M664">
            <v>-7.8985667056647946E-2</v>
          </cell>
          <cell r="N664">
            <v>0</v>
          </cell>
          <cell r="O664">
            <v>0.27859124365370797</v>
          </cell>
          <cell r="Q664">
            <v>0.21390927066261009</v>
          </cell>
          <cell r="S664">
            <v>0.21390927066261009</v>
          </cell>
          <cell r="U664" t="str">
            <v>% Sales</v>
          </cell>
          <cell r="V664">
            <v>-1.0268399674523119</v>
          </cell>
          <cell r="W664">
            <v>-1.4898110353934899</v>
          </cell>
          <cell r="X664">
            <v>0.27250629399666693</v>
          </cell>
          <cell r="Y664">
            <v>0.33403812450028536</v>
          </cell>
          <cell r="Z664">
            <v>0.36925639920855713</v>
          </cell>
          <cell r="AA664">
            <v>0.33793200072375656</v>
          </cell>
          <cell r="AB664">
            <v>0.31050282047952432</v>
          </cell>
          <cell r="AC664">
            <v>0.29816394691059428</v>
          </cell>
          <cell r="AD664">
            <v>0.29129620689391911</v>
          </cell>
          <cell r="AE664">
            <v>0.28726081574319084</v>
          </cell>
          <cell r="AF664">
            <v>0.28240547286607592</v>
          </cell>
          <cell r="AG664">
            <v>0.27859124365370797</v>
          </cell>
          <cell r="AI664" t="str">
            <v>% Sales</v>
          </cell>
          <cell r="AJ664">
            <v>0.27250629399666693</v>
          </cell>
          <cell r="AK664">
            <v>0.34578382079787029</v>
          </cell>
          <cell r="AL664">
            <v>8.5565638200989599E-2</v>
          </cell>
          <cell r="AM664">
            <v>-0.3753204961849757</v>
          </cell>
          <cell r="AN664">
            <v>0.27859124365370808</v>
          </cell>
          <cell r="AP664">
            <v>0</v>
          </cell>
          <cell r="AR664">
            <v>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ld Capac"/>
      <sheetName val="Inv. Build"/>
      <sheetName val="Sheet2"/>
      <sheetName val="Cash Margins"/>
      <sheetName val="HDPE_ChemData 85-98"/>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hemData 85-98"/>
    </sheetNames>
    <sheetDataSet>
      <sheetData sheetId="0"/>
      <sheetData sheetId="1"/>
      <sheetData sheetId="2"/>
      <sheetData sheetId="3" refreshError="1">
        <row r="10">
          <cell r="W10">
            <v>1.728395061728395</v>
          </cell>
          <cell r="X10">
            <v>0.37037037037037035</v>
          </cell>
          <cell r="Y10">
            <v>3.2098765432098766</v>
          </cell>
          <cell r="Z10">
            <v>2.5925925925925926</v>
          </cell>
          <cell r="AA10">
            <v>2.2222222222222223</v>
          </cell>
          <cell r="AB10">
            <v>3.7037037037037033</v>
          </cell>
          <cell r="AC10">
            <v>3.5802469135802468</v>
          </cell>
          <cell r="AD10">
            <v>5.6790123456790118</v>
          </cell>
          <cell r="AE10">
            <v>10.617283950617283</v>
          </cell>
          <cell r="AF10">
            <v>10.617283950617283</v>
          </cell>
          <cell r="AG10">
            <v>8.148148148148147</v>
          </cell>
          <cell r="AH10">
            <v>6.6666666666666661</v>
          </cell>
          <cell r="AI10">
            <v>3.9506172839506171</v>
          </cell>
          <cell r="AJ10">
            <v>4.8148148148148149</v>
          </cell>
          <cell r="AK10">
            <v>10.246913580246913</v>
          </cell>
          <cell r="AL10">
            <v>9.6296296296296298</v>
          </cell>
          <cell r="AM10">
            <v>6.1728395061728394</v>
          </cell>
          <cell r="AN10">
            <v>9.6296296296296298</v>
          </cell>
          <cell r="AO10">
            <v>11.111111111111111</v>
          </cell>
          <cell r="AP10">
            <v>6.9135802469135799</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tatement"/>
      <sheetName val="MTCP&amp;L"/>
      <sheetName val="MTCP&amp;L QTD"/>
      <sheetName val="MTCBS "/>
      <sheetName val="MTCCF"/>
      <sheetName val="AGKPI"/>
      <sheetName val="KeyProducts"/>
      <sheetName val="Working Capital KPI"/>
      <sheetName val="DSO.KPI W_fcst"/>
      <sheetName val="P&amp;L Retrieve"/>
      <sheetName val="P&amp;L Retrieve QTD"/>
      <sheetName val="Dates"/>
      <sheetName val="BS Retrieve"/>
      <sheetName val="BS Retrieve Monthly"/>
      <sheetName val="Retrieve from Planning"/>
      <sheetName val="Working Capital Budget"/>
      <sheetName val="BS Budget"/>
      <sheetName val="Module1"/>
    </sheetNames>
    <sheetDataSet>
      <sheetData sheetId="0" refreshError="1"/>
      <sheetData sheetId="1"/>
      <sheetData sheetId="2" refreshError="1"/>
      <sheetData sheetId="3"/>
      <sheetData sheetId="4"/>
      <sheetData sheetId="5" refreshError="1"/>
      <sheetData sheetId="6" refreshError="1"/>
      <sheetData sheetId="7"/>
      <sheetData sheetId="8" refreshError="1"/>
      <sheetData sheetId="9" refreshError="1"/>
      <sheetData sheetId="10" refreshError="1"/>
      <sheetData sheetId="11" refreshError="1">
        <row r="1">
          <cell r="B1" t="str">
            <v>September</v>
          </cell>
        </row>
        <row r="2">
          <cell r="B2" t="str">
            <v>SepYTD</v>
          </cell>
        </row>
        <row r="3">
          <cell r="B3" t="str">
            <v>September</v>
          </cell>
        </row>
        <row r="4">
          <cell r="B4" t="str">
            <v>September 2002</v>
          </cell>
        </row>
        <row r="5">
          <cell r="B5" t="str">
            <v>September 30</v>
          </cell>
        </row>
        <row r="6">
          <cell r="B6" t="str">
            <v>September</v>
          </cell>
        </row>
        <row r="7">
          <cell r="B7" t="str">
            <v>September 2002</v>
          </cell>
        </row>
        <row r="8">
          <cell r="B8" t="str">
            <v>September 30, 2002</v>
          </cell>
        </row>
        <row r="9">
          <cell r="B9" t="str">
            <v>September 2002</v>
          </cell>
        </row>
        <row r="11">
          <cell r="B11" t="str">
            <v>3rd Quarter</v>
          </cell>
        </row>
        <row r="12">
          <cell r="B12" t="str">
            <v>September 30</v>
          </cell>
        </row>
        <row r="13">
          <cell r="B13" t="str">
            <v>September 2002</v>
          </cell>
        </row>
        <row r="14">
          <cell r="B14" t="str">
            <v>3rd Quarter</v>
          </cell>
        </row>
        <row r="15">
          <cell r="B15" t="str">
            <v>September 2002 3rd Quarter</v>
          </cell>
        </row>
        <row r="17">
          <cell r="B17" t="str">
            <v>2002</v>
          </cell>
        </row>
        <row r="18">
          <cell r="B18" t="str">
            <v>2001</v>
          </cell>
        </row>
      </sheetData>
      <sheetData sheetId="12" refreshError="1"/>
      <sheetData sheetId="13"/>
      <sheetData sheetId="14" refreshError="1"/>
      <sheetData sheetId="15"/>
      <sheetData sheetId="16" refreshError="1"/>
      <sheetData sheetId="17"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s"/>
      <sheetName val="Summary"/>
      <sheetName val="Working Capital KPI"/>
      <sheetName val="DSO.KPI W_fcst"/>
      <sheetName val="Collections_Receivables"/>
      <sheetName val="Ar Sales Analysis"/>
      <sheetName val="Aging Analysis"/>
      <sheetName val="Qtrly Fcst_Bdgt"/>
      <sheetName val="Next Mo Fcst"/>
      <sheetName val="DSO"/>
      <sheetName val="Rec Worksheet"/>
      <sheetName val="Collection Worksheet"/>
      <sheetName val="P&amp;L Retrieve"/>
      <sheetName val="Budget Data"/>
      <sheetName val="Module1"/>
    </sheetNames>
    <sheetDataSet>
      <sheetData sheetId="0" refreshError="1">
        <row r="1">
          <cell r="B1" t="e">
            <v>#REF!</v>
          </cell>
        </row>
        <row r="2">
          <cell r="B2" t="e">
            <v>#REF!</v>
          </cell>
        </row>
        <row r="11">
          <cell r="B11" t="e">
            <v>#REF!</v>
          </cell>
        </row>
        <row r="12">
          <cell r="B12" t="e">
            <v>#REF!</v>
          </cell>
        </row>
        <row r="13">
          <cell r="B13" t="e">
            <v>#REF!</v>
          </cell>
        </row>
        <row r="14">
          <cell r="B14" t="e">
            <v>#REF!</v>
          </cell>
        </row>
        <row r="15">
          <cell r="B15" t="e">
            <v>#REF!</v>
          </cell>
        </row>
        <row r="17">
          <cell r="B17" t="str">
            <v>2001</v>
          </cell>
        </row>
        <row r="18">
          <cell r="B18" t="str">
            <v>2000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orical Feed Prices"/>
      <sheetName val="Feed Charts"/>
      <sheetName val="GGC"/>
      <sheetName val="EMN Raw Materials Index"/>
      <sheetName val="ROH Raw Material Index"/>
      <sheetName val="Quarterly Currency"/>
      <sheetName val="Price T"/>
      <sheetName val="GGC Index"/>
      <sheetName val="EMN Index"/>
      <sheetName val="ROH Index"/>
    </sheetNames>
    <sheetDataSet>
      <sheetData sheetId="0"/>
      <sheetData sheetId="1"/>
      <sheetData sheetId="2"/>
      <sheetData sheetId="3"/>
      <sheetData sheetId="4"/>
      <sheetData sheetId="5"/>
      <sheetData sheetId="6" refreshError="1">
        <row r="5">
          <cell r="F5" t="str">
            <v>Figures on a cents per pound and large buyer price basis unless otherwise noted.</v>
          </cell>
        </row>
        <row r="6">
          <cell r="AD6" t="str">
            <v>%</v>
          </cell>
          <cell r="AS6" t="str">
            <v>%</v>
          </cell>
          <cell r="AT6" t="str">
            <v>%</v>
          </cell>
        </row>
        <row r="9">
          <cell r="H9" t="str">
            <v xml:space="preserve"> </v>
          </cell>
          <cell r="I9" t="str">
            <v>3Q90</v>
          </cell>
          <cell r="J9" t="str">
            <v xml:space="preserve"> </v>
          </cell>
          <cell r="K9" t="str">
            <v xml:space="preserve"> </v>
          </cell>
          <cell r="L9" t="str">
            <v>4Q90</v>
          </cell>
          <cell r="M9" t="str">
            <v xml:space="preserve"> </v>
          </cell>
          <cell r="N9" t="str">
            <v xml:space="preserve"> </v>
          </cell>
          <cell r="O9" t="str">
            <v>1Q91</v>
          </cell>
          <cell r="P9" t="str">
            <v xml:space="preserve"> </v>
          </cell>
          <cell r="Q9" t="str">
            <v xml:space="preserve"> </v>
          </cell>
          <cell r="R9" t="str">
            <v>2Q91</v>
          </cell>
          <cell r="S9" t="str">
            <v xml:space="preserve"> </v>
          </cell>
          <cell r="T9" t="str">
            <v xml:space="preserve"> </v>
          </cell>
          <cell r="U9" t="str">
            <v>3Q91</v>
          </cell>
          <cell r="V9" t="str">
            <v xml:space="preserve"> </v>
          </cell>
          <cell r="W9" t="str">
            <v xml:space="preserve"> </v>
          </cell>
          <cell r="X9" t="str">
            <v>4Q91</v>
          </cell>
          <cell r="Y9" t="str">
            <v xml:space="preserve"> </v>
          </cell>
          <cell r="Z9" t="str">
            <v xml:space="preserve"> </v>
          </cell>
          <cell r="AA9" t="str">
            <v>1Q92</v>
          </cell>
          <cell r="AB9" t="str">
            <v xml:space="preserve"> </v>
          </cell>
          <cell r="AC9" t="str">
            <v xml:space="preserve"> </v>
          </cell>
          <cell r="AD9" t="str">
            <v>2Q92</v>
          </cell>
          <cell r="AE9" t="str">
            <v xml:space="preserve"> </v>
          </cell>
          <cell r="AF9" t="str">
            <v xml:space="preserve"> </v>
          </cell>
          <cell r="AG9" t="str">
            <v>3Q92</v>
          </cell>
          <cell r="AH9" t="str">
            <v xml:space="preserve"> </v>
          </cell>
          <cell r="AI9" t="str">
            <v xml:space="preserve"> </v>
          </cell>
          <cell r="AJ9" t="str">
            <v>4Q92</v>
          </cell>
          <cell r="AK9" t="str">
            <v xml:space="preserve"> </v>
          </cell>
          <cell r="AL9" t="str">
            <v xml:space="preserve"> </v>
          </cell>
          <cell r="AM9" t="str">
            <v>1Q93</v>
          </cell>
          <cell r="AN9" t="str">
            <v xml:space="preserve"> </v>
          </cell>
          <cell r="AO9" t="str">
            <v xml:space="preserve"> </v>
          </cell>
          <cell r="AP9" t="str">
            <v xml:space="preserve"> 2Q93</v>
          </cell>
          <cell r="AQ9" t="str">
            <v xml:space="preserve"> </v>
          </cell>
          <cell r="AR9" t="str">
            <v xml:space="preserve"> </v>
          </cell>
          <cell r="AS9" t="str">
            <v xml:space="preserve"> 3Q93</v>
          </cell>
          <cell r="AT9" t="str">
            <v xml:space="preserve"> </v>
          </cell>
          <cell r="AU9" t="str">
            <v xml:space="preserve"> </v>
          </cell>
          <cell r="AV9" t="str">
            <v>4Q93</v>
          </cell>
          <cell r="AW9" t="str">
            <v xml:space="preserve"> </v>
          </cell>
          <cell r="AX9" t="str">
            <v xml:space="preserve"> </v>
          </cell>
          <cell r="BN9" t="str">
            <v>2Q95</v>
          </cell>
          <cell r="BO9" t="str">
            <v>1Q94</v>
          </cell>
          <cell r="BP9" t="str">
            <v xml:space="preserve"> </v>
          </cell>
          <cell r="BQ9" t="str">
            <v>3Q95</v>
          </cell>
          <cell r="BR9" t="str">
            <v>2Q94</v>
          </cell>
          <cell r="BS9" t="str">
            <v xml:space="preserve"> </v>
          </cell>
          <cell r="BT9" t="str">
            <v>4Q95</v>
          </cell>
          <cell r="BU9" t="str">
            <v>3Q94</v>
          </cell>
          <cell r="BV9" t="str">
            <v xml:space="preserve"> </v>
          </cell>
          <cell r="BW9" t="str">
            <v>1Q96</v>
          </cell>
          <cell r="BX9" t="str">
            <v>4Q94</v>
          </cell>
          <cell r="BY9" t="str">
            <v xml:space="preserve"> </v>
          </cell>
          <cell r="BZ9" t="str">
            <v>2Q96</v>
          </cell>
          <cell r="CA9" t="str">
            <v>1Q95</v>
          </cell>
          <cell r="CC9" t="str">
            <v>3Q96</v>
          </cell>
          <cell r="CD9" t="str">
            <v>2Q95</v>
          </cell>
          <cell r="CF9" t="str">
            <v>4Q96</v>
          </cell>
          <cell r="CG9" t="str">
            <v>3Q95</v>
          </cell>
        </row>
        <row r="10">
          <cell r="G10" t="str">
            <v>1991</v>
          </cell>
          <cell r="H10">
            <v>33055</v>
          </cell>
          <cell r="I10">
            <v>33086</v>
          </cell>
          <cell r="J10">
            <v>33117</v>
          </cell>
          <cell r="K10">
            <v>33147</v>
          </cell>
          <cell r="L10">
            <v>33178</v>
          </cell>
          <cell r="M10">
            <v>33208</v>
          </cell>
          <cell r="N10">
            <v>33239</v>
          </cell>
          <cell r="O10">
            <v>33270</v>
          </cell>
          <cell r="P10">
            <v>33298</v>
          </cell>
          <cell r="Q10">
            <v>33329</v>
          </cell>
          <cell r="R10">
            <v>33359</v>
          </cell>
          <cell r="S10">
            <v>33390</v>
          </cell>
          <cell r="T10">
            <v>33420</v>
          </cell>
          <cell r="U10">
            <v>33451</v>
          </cell>
          <cell r="V10">
            <v>33482</v>
          </cell>
          <cell r="W10">
            <v>33512</v>
          </cell>
          <cell r="X10">
            <v>33543</v>
          </cell>
          <cell r="Y10">
            <v>33573</v>
          </cell>
          <cell r="Z10">
            <v>33604</v>
          </cell>
          <cell r="AA10">
            <v>33635</v>
          </cell>
          <cell r="AB10">
            <v>33664</v>
          </cell>
          <cell r="AC10">
            <v>33695</v>
          </cell>
          <cell r="AD10">
            <v>33725</v>
          </cell>
          <cell r="AE10">
            <v>33756</v>
          </cell>
          <cell r="AF10">
            <v>33786</v>
          </cell>
          <cell r="AG10">
            <v>33817</v>
          </cell>
          <cell r="AH10">
            <v>33848</v>
          </cell>
          <cell r="AI10">
            <v>33878</v>
          </cell>
          <cell r="AJ10">
            <v>33909</v>
          </cell>
          <cell r="AK10">
            <v>33939</v>
          </cell>
          <cell r="AL10">
            <v>33970</v>
          </cell>
          <cell r="AM10">
            <v>34001</v>
          </cell>
          <cell r="AN10">
            <v>34029</v>
          </cell>
          <cell r="AO10">
            <v>34060</v>
          </cell>
          <cell r="AP10">
            <v>34090</v>
          </cell>
          <cell r="AQ10">
            <v>34121</v>
          </cell>
          <cell r="AR10">
            <v>34151</v>
          </cell>
          <cell r="AS10">
            <v>34182</v>
          </cell>
          <cell r="AT10">
            <v>34213</v>
          </cell>
          <cell r="AU10">
            <v>34243</v>
          </cell>
          <cell r="AV10">
            <v>34274</v>
          </cell>
          <cell r="AW10">
            <v>34304</v>
          </cell>
          <cell r="AX10">
            <v>34335</v>
          </cell>
          <cell r="BN10">
            <v>34820</v>
          </cell>
          <cell r="BO10">
            <v>34851</v>
          </cell>
          <cell r="BP10">
            <v>34881</v>
          </cell>
          <cell r="BQ10">
            <v>34912</v>
          </cell>
          <cell r="BR10">
            <v>34943</v>
          </cell>
          <cell r="BS10">
            <v>34973</v>
          </cell>
          <cell r="BT10">
            <v>35004</v>
          </cell>
          <cell r="BU10">
            <v>35034</v>
          </cell>
          <cell r="BV10">
            <v>35065</v>
          </cell>
          <cell r="BW10">
            <v>35096</v>
          </cell>
          <cell r="BX10">
            <v>35125</v>
          </cell>
          <cell r="BY10">
            <v>35156</v>
          </cell>
          <cell r="BZ10">
            <v>35186</v>
          </cell>
          <cell r="CA10">
            <v>35217</v>
          </cell>
          <cell r="CB10">
            <v>35247</v>
          </cell>
          <cell r="CC10">
            <v>35278</v>
          </cell>
          <cell r="CD10">
            <v>35309</v>
          </cell>
          <cell r="CE10">
            <v>35339</v>
          </cell>
          <cell r="CF10">
            <v>35370</v>
          </cell>
          <cell r="CG10">
            <v>35400</v>
          </cell>
        </row>
        <row r="11">
          <cell r="F11" t="str">
            <v>Refinery inputs / products:</v>
          </cell>
        </row>
        <row r="12">
          <cell r="F12" t="str">
            <v xml:space="preserve">  Ethane (c/gal) -  E/P Mix</v>
          </cell>
          <cell r="G12">
            <v>20.881666666666668</v>
          </cell>
          <cell r="H12">
            <v>16.07</v>
          </cell>
          <cell r="I12">
            <v>21.96</v>
          </cell>
          <cell r="J12">
            <v>29.29</v>
          </cell>
          <cell r="K12">
            <v>34.99</v>
          </cell>
          <cell r="L12">
            <v>35.9</v>
          </cell>
          <cell r="M12">
            <v>28.92</v>
          </cell>
          <cell r="N12">
            <v>23.73</v>
          </cell>
          <cell r="O12">
            <v>15.28</v>
          </cell>
          <cell r="P12">
            <v>17.5</v>
          </cell>
          <cell r="Q12">
            <v>18.36</v>
          </cell>
          <cell r="R12">
            <v>18.600000000000001</v>
          </cell>
          <cell r="S12">
            <v>14.78</v>
          </cell>
          <cell r="T12">
            <v>15.94</v>
          </cell>
          <cell r="U12">
            <v>19.46</v>
          </cell>
          <cell r="V12">
            <v>25.63</v>
          </cell>
          <cell r="W12">
            <v>30.5</v>
          </cell>
          <cell r="X12">
            <v>28.99</v>
          </cell>
          <cell r="Y12">
            <v>21.81</v>
          </cell>
          <cell r="Z12">
            <v>17.48</v>
          </cell>
          <cell r="AA12">
            <v>19.260000000000002</v>
          </cell>
          <cell r="AB12">
            <v>19.88</v>
          </cell>
          <cell r="AC12">
            <v>18.88</v>
          </cell>
          <cell r="AD12">
            <v>20.91</v>
          </cell>
          <cell r="AE12">
            <v>24.68</v>
          </cell>
          <cell r="AF12">
            <v>24.77</v>
          </cell>
          <cell r="AG12">
            <v>26.45</v>
          </cell>
          <cell r="AH12">
            <v>26.69</v>
          </cell>
          <cell r="AI12">
            <v>25.01</v>
          </cell>
          <cell r="AJ12">
            <v>24.51</v>
          </cell>
          <cell r="AK12">
            <v>20.6</v>
          </cell>
          <cell r="AL12">
            <v>23.2</v>
          </cell>
          <cell r="AM12">
            <v>23.85</v>
          </cell>
          <cell r="AN12">
            <v>23.77</v>
          </cell>
          <cell r="AO12">
            <v>23.73</v>
          </cell>
          <cell r="AP12">
            <v>21.86</v>
          </cell>
          <cell r="AQ12">
            <v>21.48</v>
          </cell>
          <cell r="AR12">
            <v>20.04</v>
          </cell>
          <cell r="AS12">
            <v>18.91</v>
          </cell>
          <cell r="AT12">
            <v>18.23</v>
          </cell>
          <cell r="AU12">
            <v>17.2</v>
          </cell>
          <cell r="AV12">
            <v>16.29</v>
          </cell>
          <cell r="AW12">
            <v>17.02</v>
          </cell>
          <cell r="AX12">
            <v>18.350000000000001</v>
          </cell>
          <cell r="BN12">
            <v>14.89</v>
          </cell>
          <cell r="BO12">
            <v>13.73</v>
          </cell>
          <cell r="BP12">
            <v>12.51</v>
          </cell>
          <cell r="BQ12">
            <v>12.15</v>
          </cell>
          <cell r="BR12">
            <v>12.96</v>
          </cell>
          <cell r="BS12">
            <v>14.71</v>
          </cell>
          <cell r="BT12">
            <v>14.73</v>
          </cell>
          <cell r="BU12">
            <v>16.71</v>
          </cell>
          <cell r="BV12">
            <v>16.739999999999998</v>
          </cell>
          <cell r="BW12">
            <v>19.48</v>
          </cell>
          <cell r="BX12">
            <v>23.1</v>
          </cell>
          <cell r="BY12">
            <v>23.39</v>
          </cell>
          <cell r="BZ12">
            <v>20.85</v>
          </cell>
          <cell r="CA12">
            <v>20.309999999999999</v>
          </cell>
          <cell r="CB12">
            <v>22.96</v>
          </cell>
          <cell r="CC12">
            <v>24.58</v>
          </cell>
          <cell r="CD12">
            <v>28.08</v>
          </cell>
          <cell r="CE12">
            <v>30.29</v>
          </cell>
          <cell r="CF12">
            <v>32.67</v>
          </cell>
          <cell r="CG12">
            <v>33.299999999999997</v>
          </cell>
        </row>
        <row r="13">
          <cell r="F13" t="str">
            <v xml:space="preserve">  Gasoline, unleaded (c/gal) - Reg. Spot avg</v>
          </cell>
          <cell r="G13">
            <v>63.176075833333329</v>
          </cell>
          <cell r="H13">
            <v>57.295833333333327</v>
          </cell>
          <cell r="I13">
            <v>50.816930406549972</v>
          </cell>
          <cell r="J13">
            <v>47.645560300207023</v>
          </cell>
          <cell r="K13">
            <v>89.604839999999996</v>
          </cell>
          <cell r="L13">
            <v>82.354169999999996</v>
          </cell>
          <cell r="M13">
            <v>64.99194</v>
          </cell>
          <cell r="N13">
            <v>65.834680000000006</v>
          </cell>
          <cell r="O13">
            <v>60.022320000000001</v>
          </cell>
          <cell r="P13">
            <v>66.790319999999994</v>
          </cell>
          <cell r="Q13">
            <v>70.275000000000006</v>
          </cell>
          <cell r="R13">
            <v>68.987899999999996</v>
          </cell>
          <cell r="S13">
            <v>61.541670000000003</v>
          </cell>
          <cell r="T13">
            <v>63.177419999999998</v>
          </cell>
          <cell r="U13">
            <v>66.677419999999998</v>
          </cell>
          <cell r="V13">
            <v>59.970829999999999</v>
          </cell>
          <cell r="W13">
            <v>61.62097</v>
          </cell>
          <cell r="X13">
            <v>61.520829999999997</v>
          </cell>
          <cell r="Y13">
            <v>51.693550000000002</v>
          </cell>
          <cell r="Z13">
            <v>50.56</v>
          </cell>
          <cell r="AA13">
            <v>53.1</v>
          </cell>
          <cell r="AB13">
            <v>55.5</v>
          </cell>
          <cell r="AC13">
            <v>60.54</v>
          </cell>
          <cell r="AD13">
            <v>63.36</v>
          </cell>
          <cell r="AE13">
            <v>64.099999999999994</v>
          </cell>
          <cell r="AF13">
            <v>58.44</v>
          </cell>
          <cell r="AG13">
            <v>59.64</v>
          </cell>
          <cell r="AH13">
            <v>58.75</v>
          </cell>
          <cell r="AI13">
            <v>59.09</v>
          </cell>
          <cell r="AJ13">
            <v>53.92</v>
          </cell>
          <cell r="AK13">
            <v>50.55</v>
          </cell>
          <cell r="AL13">
            <v>51.54</v>
          </cell>
          <cell r="AM13">
            <v>51.23</v>
          </cell>
          <cell r="AN13">
            <v>56.09</v>
          </cell>
          <cell r="AO13">
            <v>59.647727272727302</v>
          </cell>
          <cell r="AP13">
            <v>59.773809523809497</v>
          </cell>
          <cell r="AQ13">
            <v>54.576086956521699</v>
          </cell>
          <cell r="AR13">
            <v>50.511904761904802</v>
          </cell>
          <cell r="AS13">
            <v>51.920454545454497</v>
          </cell>
          <cell r="AT13">
            <v>47.943181818181799</v>
          </cell>
          <cell r="AU13">
            <v>48.38</v>
          </cell>
          <cell r="AV13">
            <v>42.41</v>
          </cell>
          <cell r="AW13">
            <v>35.78</v>
          </cell>
          <cell r="AX13">
            <v>41.928571428571402</v>
          </cell>
          <cell r="BN13">
            <v>63.35</v>
          </cell>
          <cell r="BO13">
            <v>55.16</v>
          </cell>
          <cell r="BP13">
            <v>48.4</v>
          </cell>
          <cell r="BQ13">
            <v>50.15</v>
          </cell>
          <cell r="BR13">
            <v>51.33</v>
          </cell>
          <cell r="BS13">
            <v>45.81</v>
          </cell>
          <cell r="BT13">
            <v>45.3</v>
          </cell>
          <cell r="BU13">
            <v>47.94</v>
          </cell>
          <cell r="BV13">
            <v>49.477272727272727</v>
          </cell>
          <cell r="BW13">
            <v>51.84</v>
          </cell>
          <cell r="BX13">
            <v>58.083333333333336</v>
          </cell>
          <cell r="BY13">
            <v>66.13</v>
          </cell>
          <cell r="BZ13">
            <v>62.92</v>
          </cell>
          <cell r="CA13">
            <v>56.9375</v>
          </cell>
          <cell r="CB13">
            <v>59.17</v>
          </cell>
          <cell r="CC13">
            <v>58.227272727272727</v>
          </cell>
          <cell r="CD13">
            <v>59.38</v>
          </cell>
          <cell r="CE13">
            <v>64.130434782608702</v>
          </cell>
          <cell r="CF13">
            <v>65.62</v>
          </cell>
          <cell r="CG13">
            <v>64.785714285714292</v>
          </cell>
        </row>
        <row r="14">
          <cell r="F14" t="str">
            <v xml:space="preserve">  Heating fuel, No.6 (c/gal) - (Fuel Oil 1% Sulfer)</v>
          </cell>
          <cell r="G14">
            <v>13.429166666666667</v>
          </cell>
          <cell r="H14">
            <v>13.712939196811115</v>
          </cell>
          <cell r="I14">
            <v>13.519837270217714</v>
          </cell>
          <cell r="J14">
            <v>13.521710411569117</v>
          </cell>
          <cell r="K14">
            <v>14.564682271389934</v>
          </cell>
          <cell r="L14">
            <v>17.344375901875903</v>
          </cell>
          <cell r="M14">
            <v>16.002891113516117</v>
          </cell>
          <cell r="N14">
            <v>17.39</v>
          </cell>
          <cell r="O14">
            <v>10.96</v>
          </cell>
          <cell r="P14">
            <v>12.7</v>
          </cell>
          <cell r="Q14">
            <v>13.92</v>
          </cell>
          <cell r="R14">
            <v>13.52</v>
          </cell>
          <cell r="S14">
            <v>11.74</v>
          </cell>
          <cell r="T14">
            <v>13.43</v>
          </cell>
          <cell r="U14">
            <v>13.51</v>
          </cell>
          <cell r="V14">
            <v>13.38</v>
          </cell>
          <cell r="W14">
            <v>13.79</v>
          </cell>
          <cell r="X14">
            <v>14.26</v>
          </cell>
          <cell r="Y14">
            <v>12.55</v>
          </cell>
          <cell r="Z14">
            <v>10.4166666666667</v>
          </cell>
          <cell r="AA14">
            <v>10.514705882352899</v>
          </cell>
          <cell r="AB14">
            <v>11.1477272727273</v>
          </cell>
          <cell r="AC14">
            <v>12.3166666666667</v>
          </cell>
          <cell r="AD14">
            <v>14.2125</v>
          </cell>
          <cell r="AE14">
            <v>14.6214285714286</v>
          </cell>
          <cell r="AF14">
            <v>15.8380952380952</v>
          </cell>
          <cell r="AG14">
            <v>15.002380952380999</v>
          </cell>
          <cell r="AH14">
            <v>15.4595454545455</v>
          </cell>
          <cell r="AI14">
            <v>16.7136363636364</v>
          </cell>
          <cell r="AJ14">
            <v>15.4026315789474</v>
          </cell>
          <cell r="AK14">
            <v>12.9092857142857</v>
          </cell>
          <cell r="AL14">
            <v>13.11</v>
          </cell>
          <cell r="AM14">
            <v>13.422499999999999</v>
          </cell>
          <cell r="AN14">
            <v>14.173913043478301</v>
          </cell>
          <cell r="AO14">
            <v>15.7022727272727</v>
          </cell>
          <cell r="AP14">
            <v>15.1875</v>
          </cell>
          <cell r="AQ14">
            <v>13.824999999999999</v>
          </cell>
          <cell r="AR14">
            <v>13.685714285714299</v>
          </cell>
          <cell r="AS14">
            <v>12.9136363636364</v>
          </cell>
          <cell r="AT14">
            <v>12.847727272727299</v>
          </cell>
          <cell r="AU14">
            <v>14.995238095238101</v>
          </cell>
          <cell r="AV14">
            <v>11.57</v>
          </cell>
          <cell r="AW14">
            <v>10.804545454545501</v>
          </cell>
          <cell r="AX14">
            <v>12.0404761904762</v>
          </cell>
          <cell r="BN14">
            <v>16.565909090909098</v>
          </cell>
          <cell r="BO14">
            <v>16.145454545454498</v>
          </cell>
          <cell r="BP14">
            <v>13.1605263157895</v>
          </cell>
          <cell r="BQ14">
            <v>12.797826086956499</v>
          </cell>
          <cell r="BR14">
            <v>13.6809523809524</v>
          </cell>
          <cell r="BS14">
            <v>13.8113636363636</v>
          </cell>
          <cell r="BT14">
            <v>13.7090909090909</v>
          </cell>
          <cell r="BU14">
            <v>16.274999999999999</v>
          </cell>
          <cell r="BV14">
            <v>16.161363636363635</v>
          </cell>
          <cell r="BW14">
            <v>15.87</v>
          </cell>
          <cell r="BX14">
            <v>17.285714285714285</v>
          </cell>
          <cell r="BY14">
            <v>18.928571428571427</v>
          </cell>
          <cell r="BZ14">
            <v>17.329999999999998</v>
          </cell>
          <cell r="CA14">
            <v>15.795</v>
          </cell>
          <cell r="CB14">
            <v>16.54</v>
          </cell>
          <cell r="CC14">
            <v>16.840909090909093</v>
          </cell>
          <cell r="CD14">
            <v>16.899999999999999</v>
          </cell>
          <cell r="CE14">
            <v>19.260000000000002</v>
          </cell>
          <cell r="CF14">
            <v>18.39</v>
          </cell>
          <cell r="CG14">
            <v>18.830952380952382</v>
          </cell>
        </row>
        <row r="15">
          <cell r="F15" t="str">
            <v xml:space="preserve">  Methanol (c/gal)</v>
          </cell>
          <cell r="G15">
            <v>50.333333333333336</v>
          </cell>
          <cell r="H15">
            <v>34</v>
          </cell>
          <cell r="I15">
            <v>32</v>
          </cell>
          <cell r="J15">
            <v>33</v>
          </cell>
          <cell r="K15">
            <v>38</v>
          </cell>
          <cell r="L15">
            <v>48</v>
          </cell>
          <cell r="M15">
            <v>55</v>
          </cell>
          <cell r="N15">
            <v>58</v>
          </cell>
          <cell r="O15">
            <v>58</v>
          </cell>
          <cell r="P15">
            <v>61</v>
          </cell>
          <cell r="Q15">
            <v>59</v>
          </cell>
          <cell r="R15">
            <v>54</v>
          </cell>
          <cell r="S15">
            <v>48</v>
          </cell>
          <cell r="T15">
            <v>47</v>
          </cell>
          <cell r="U15">
            <v>42</v>
          </cell>
          <cell r="V15">
            <v>42</v>
          </cell>
          <cell r="W15">
            <v>43.5</v>
          </cell>
          <cell r="X15">
            <v>45</v>
          </cell>
          <cell r="Y15">
            <v>46.5</v>
          </cell>
          <cell r="Z15">
            <v>45.5</v>
          </cell>
          <cell r="AA15">
            <v>43.5</v>
          </cell>
          <cell r="AB15">
            <v>43.5</v>
          </cell>
          <cell r="AC15">
            <v>43.5</v>
          </cell>
          <cell r="AD15">
            <v>43</v>
          </cell>
          <cell r="AE15">
            <v>41</v>
          </cell>
          <cell r="AF15">
            <v>39</v>
          </cell>
          <cell r="AG15">
            <v>37</v>
          </cell>
          <cell r="AH15">
            <v>40.5</v>
          </cell>
          <cell r="AI15">
            <v>44</v>
          </cell>
          <cell r="AJ15">
            <v>45</v>
          </cell>
          <cell r="AK15">
            <v>45</v>
          </cell>
          <cell r="AL15">
            <v>45</v>
          </cell>
          <cell r="AM15">
            <v>44</v>
          </cell>
          <cell r="AN15">
            <v>43</v>
          </cell>
          <cell r="AO15">
            <v>43</v>
          </cell>
          <cell r="AP15">
            <v>45</v>
          </cell>
          <cell r="AQ15">
            <v>47</v>
          </cell>
          <cell r="AR15">
            <v>47</v>
          </cell>
          <cell r="AS15">
            <v>48</v>
          </cell>
          <cell r="AT15">
            <v>48</v>
          </cell>
          <cell r="AU15">
            <v>48</v>
          </cell>
          <cell r="AV15">
            <v>51</v>
          </cell>
          <cell r="AW15">
            <v>53</v>
          </cell>
          <cell r="AX15">
            <v>53</v>
          </cell>
          <cell r="BN15">
            <v>50</v>
          </cell>
          <cell r="BO15">
            <v>45</v>
          </cell>
          <cell r="BP15">
            <v>45</v>
          </cell>
          <cell r="BQ15">
            <v>43</v>
          </cell>
          <cell r="BR15">
            <v>42</v>
          </cell>
          <cell r="BS15">
            <v>42</v>
          </cell>
          <cell r="BT15">
            <v>42</v>
          </cell>
          <cell r="BU15">
            <v>42</v>
          </cell>
          <cell r="BV15">
            <v>39.6875</v>
          </cell>
          <cell r="BW15">
            <v>41.875</v>
          </cell>
          <cell r="BX15">
            <v>37.96875</v>
          </cell>
          <cell r="BY15">
            <v>38.4375</v>
          </cell>
          <cell r="BZ15">
            <v>40</v>
          </cell>
          <cell r="CA15">
            <v>41.875</v>
          </cell>
          <cell r="CB15">
            <v>46.25</v>
          </cell>
          <cell r="CC15">
            <v>47.96875</v>
          </cell>
          <cell r="CD15">
            <v>47.5</v>
          </cell>
          <cell r="CE15">
            <v>47.65625</v>
          </cell>
          <cell r="CF15">
            <v>48.125</v>
          </cell>
          <cell r="CG15">
            <v>50</v>
          </cell>
        </row>
        <row r="16">
          <cell r="F16" t="str">
            <v xml:space="preserve">  Naphtha  (c/gal)  - Light Naphtha, non-Warren </v>
          </cell>
          <cell r="G16">
            <v>49.334166666666654</v>
          </cell>
          <cell r="H16">
            <v>38.71</v>
          </cell>
          <cell r="I16">
            <v>58.57</v>
          </cell>
          <cell r="J16">
            <v>75.739999999999995</v>
          </cell>
          <cell r="K16">
            <v>78.3</v>
          </cell>
          <cell r="L16">
            <v>75.760000000000005</v>
          </cell>
          <cell r="M16">
            <v>62.41</v>
          </cell>
          <cell r="N16">
            <v>59.23</v>
          </cell>
          <cell r="O16">
            <v>49.5</v>
          </cell>
          <cell r="P16">
            <v>50.39</v>
          </cell>
          <cell r="Q16">
            <v>50.5</v>
          </cell>
          <cell r="R16">
            <v>49.25</v>
          </cell>
          <cell r="S16">
            <v>42.65</v>
          </cell>
          <cell r="T16">
            <v>44.33</v>
          </cell>
          <cell r="U16">
            <v>47.97</v>
          </cell>
          <cell r="V16">
            <v>50.33</v>
          </cell>
          <cell r="W16">
            <v>52.99</v>
          </cell>
          <cell r="X16">
            <v>51.94</v>
          </cell>
          <cell r="Y16">
            <v>42.93</v>
          </cell>
          <cell r="Z16">
            <v>41.48</v>
          </cell>
          <cell r="AA16">
            <v>43.12</v>
          </cell>
          <cell r="AB16">
            <v>43.25</v>
          </cell>
          <cell r="AC16">
            <v>41.92</v>
          </cell>
          <cell r="AD16">
            <v>44.18</v>
          </cell>
          <cell r="AE16">
            <v>46.42</v>
          </cell>
          <cell r="AF16">
            <v>48.88</v>
          </cell>
          <cell r="AG16">
            <v>48.58</v>
          </cell>
          <cell r="AH16">
            <v>48.53</v>
          </cell>
          <cell r="AI16">
            <v>48.74</v>
          </cell>
          <cell r="AJ16">
            <v>46.4</v>
          </cell>
          <cell r="AK16">
            <v>42.1</v>
          </cell>
          <cell r="AL16">
            <v>43.41</v>
          </cell>
          <cell r="AM16">
            <v>45.16</v>
          </cell>
          <cell r="AN16">
            <v>44.95</v>
          </cell>
          <cell r="AO16">
            <v>44.76</v>
          </cell>
          <cell r="AP16">
            <v>42.76</v>
          </cell>
          <cell r="AQ16">
            <v>42.33</v>
          </cell>
          <cell r="AR16">
            <v>39.869999999999997</v>
          </cell>
          <cell r="AS16">
            <v>39.58</v>
          </cell>
          <cell r="AT16">
            <v>38.159999999999997</v>
          </cell>
          <cell r="AU16">
            <v>38.08</v>
          </cell>
          <cell r="AV16">
            <v>35.58</v>
          </cell>
          <cell r="AW16">
            <v>31.36</v>
          </cell>
          <cell r="AX16">
            <v>34.24</v>
          </cell>
          <cell r="BN16">
            <v>44.18</v>
          </cell>
          <cell r="BO16">
            <v>42.33</v>
          </cell>
          <cell r="BP16">
            <v>37.75</v>
          </cell>
          <cell r="BQ16">
            <v>38.24</v>
          </cell>
          <cell r="BR16">
            <v>41</v>
          </cell>
          <cell r="BS16">
            <v>40.85</v>
          </cell>
          <cell r="BT16">
            <v>39.590000000000003</v>
          </cell>
          <cell r="BU16">
            <v>40.33</v>
          </cell>
          <cell r="BV16">
            <v>43.44</v>
          </cell>
          <cell r="BW16">
            <v>47.34</v>
          </cell>
          <cell r="BX16">
            <v>45.83</v>
          </cell>
          <cell r="BY16">
            <v>49.42</v>
          </cell>
          <cell r="BZ16">
            <v>46.27</v>
          </cell>
          <cell r="CA16">
            <v>44.88</v>
          </cell>
          <cell r="CB16">
            <v>46.07</v>
          </cell>
          <cell r="CC16">
            <v>47.97</v>
          </cell>
          <cell r="CD16">
            <v>53.24</v>
          </cell>
          <cell r="CE16">
            <v>55.86</v>
          </cell>
          <cell r="CF16">
            <v>59.41</v>
          </cell>
          <cell r="CG16">
            <v>60.88</v>
          </cell>
        </row>
        <row r="17">
          <cell r="F17" t="str">
            <v xml:space="preserve">  Natural gas ($/MMBtu)</v>
          </cell>
          <cell r="G17">
            <v>1.5858333333333334</v>
          </cell>
          <cell r="H17">
            <v>1.65</v>
          </cell>
          <cell r="I17">
            <v>1.66</v>
          </cell>
          <cell r="J17">
            <v>1.72</v>
          </cell>
          <cell r="K17">
            <v>1.94</v>
          </cell>
          <cell r="L17">
            <v>2.14</v>
          </cell>
          <cell r="M17">
            <v>2.2200000000000002</v>
          </cell>
          <cell r="N17">
            <v>2.1</v>
          </cell>
          <cell r="O17">
            <v>1.72</v>
          </cell>
          <cell r="P17">
            <v>1.61</v>
          </cell>
          <cell r="Q17">
            <v>1.38</v>
          </cell>
          <cell r="R17">
            <v>1.35</v>
          </cell>
          <cell r="S17">
            <v>1.26</v>
          </cell>
          <cell r="T17">
            <v>1.22</v>
          </cell>
          <cell r="U17">
            <v>1.34</v>
          </cell>
          <cell r="V17">
            <v>1.55</v>
          </cell>
          <cell r="W17">
            <v>1.75</v>
          </cell>
          <cell r="X17">
            <v>1.85</v>
          </cell>
          <cell r="Y17">
            <v>1.9</v>
          </cell>
          <cell r="Z17">
            <v>1.44</v>
          </cell>
          <cell r="AA17">
            <v>1.22</v>
          </cell>
          <cell r="AB17">
            <v>1.28</v>
          </cell>
          <cell r="AC17">
            <v>1.46</v>
          </cell>
          <cell r="AD17">
            <v>1.59</v>
          </cell>
          <cell r="AE17">
            <v>1.65</v>
          </cell>
          <cell r="AF17">
            <v>1.68</v>
          </cell>
          <cell r="AG17">
            <v>1.93</v>
          </cell>
          <cell r="AH17">
            <v>2.17</v>
          </cell>
          <cell r="AI17">
            <v>2.38</v>
          </cell>
          <cell r="AJ17">
            <v>2.4300000000000002</v>
          </cell>
          <cell r="AK17">
            <v>2.36</v>
          </cell>
          <cell r="AL17">
            <v>2.09</v>
          </cell>
          <cell r="AM17">
            <v>1.75</v>
          </cell>
          <cell r="AN17">
            <v>2.11</v>
          </cell>
          <cell r="AO17">
            <v>2.34</v>
          </cell>
          <cell r="AP17">
            <v>2.84</v>
          </cell>
          <cell r="AQ17">
            <v>2.27</v>
          </cell>
          <cell r="AR17">
            <v>2.08</v>
          </cell>
          <cell r="AS17">
            <v>2.23</v>
          </cell>
          <cell r="AT17">
            <v>2.4700000000000002</v>
          </cell>
          <cell r="AU17">
            <v>2.19</v>
          </cell>
          <cell r="AV17">
            <v>2.21</v>
          </cell>
          <cell r="AW17">
            <v>2.52</v>
          </cell>
          <cell r="AX17">
            <v>2.15</v>
          </cell>
          <cell r="BN17">
            <v>1.73</v>
          </cell>
          <cell r="BO17">
            <v>1.79</v>
          </cell>
          <cell r="BP17">
            <v>1.57</v>
          </cell>
          <cell r="BQ17">
            <v>1.46</v>
          </cell>
          <cell r="BR17">
            <v>1.67</v>
          </cell>
          <cell r="BS17">
            <v>1.71</v>
          </cell>
          <cell r="BT17">
            <v>1.85</v>
          </cell>
          <cell r="BU17">
            <v>2.23</v>
          </cell>
          <cell r="BV17">
            <v>2.2799999999999998</v>
          </cell>
          <cell r="BW17">
            <v>2</v>
          </cell>
          <cell r="BX17">
            <v>2.13</v>
          </cell>
          <cell r="BY17">
            <v>2.38</v>
          </cell>
          <cell r="BZ17">
            <v>2.2799999999999998</v>
          </cell>
          <cell r="CA17">
            <v>2.42</v>
          </cell>
          <cell r="CB17">
            <v>2.68</v>
          </cell>
          <cell r="CC17">
            <v>2.34</v>
          </cell>
          <cell r="CD17">
            <v>1.86</v>
          </cell>
          <cell r="CE17">
            <v>1.9</v>
          </cell>
          <cell r="CF17">
            <v>2.71</v>
          </cell>
          <cell r="CG17">
            <v>3.79</v>
          </cell>
        </row>
        <row r="18">
          <cell r="F18" t="str">
            <v xml:space="preserve">  Oil ($/bbl ) - WTI</v>
          </cell>
          <cell r="G18">
            <v>21.309166666666666</v>
          </cell>
          <cell r="H18">
            <v>18.510000000000002</v>
          </cell>
          <cell r="I18">
            <v>27.32</v>
          </cell>
          <cell r="J18">
            <v>33.83</v>
          </cell>
          <cell r="K18">
            <v>35.9</v>
          </cell>
          <cell r="L18">
            <v>32.4</v>
          </cell>
          <cell r="M18">
            <v>27.32</v>
          </cell>
          <cell r="N18">
            <v>24.2</v>
          </cell>
          <cell r="O18">
            <v>19.93</v>
          </cell>
          <cell r="P18">
            <v>19.64</v>
          </cell>
          <cell r="Q18">
            <v>20.62</v>
          </cell>
          <cell r="R18">
            <v>21.22</v>
          </cell>
          <cell r="S18">
            <v>20.21</v>
          </cell>
          <cell r="T18">
            <v>21.38</v>
          </cell>
          <cell r="U18">
            <v>21.67</v>
          </cell>
          <cell r="V18">
            <v>21.82</v>
          </cell>
          <cell r="W18">
            <v>23.16</v>
          </cell>
          <cell r="X18">
            <v>22.37</v>
          </cell>
          <cell r="Y18">
            <v>19.489999999999998</v>
          </cell>
          <cell r="Z18">
            <v>18.89</v>
          </cell>
          <cell r="AA18">
            <v>18.97</v>
          </cell>
          <cell r="AB18">
            <v>18.899999999999999</v>
          </cell>
          <cell r="AC18">
            <v>20.27</v>
          </cell>
          <cell r="AD18">
            <v>20.96</v>
          </cell>
          <cell r="AE18">
            <v>22.34</v>
          </cell>
          <cell r="AF18">
            <v>21.7</v>
          </cell>
          <cell r="AG18">
            <v>21.26</v>
          </cell>
          <cell r="AH18">
            <v>21.89</v>
          </cell>
          <cell r="AI18">
            <v>21.7</v>
          </cell>
          <cell r="AJ18">
            <v>20.329999999999998</v>
          </cell>
          <cell r="AK18">
            <v>19.39</v>
          </cell>
          <cell r="AL18">
            <v>19.059999999999999</v>
          </cell>
          <cell r="AM18">
            <v>20.100000000000001</v>
          </cell>
          <cell r="AN18">
            <v>20.36</v>
          </cell>
          <cell r="AO18">
            <v>20.329999999999998</v>
          </cell>
          <cell r="AP18">
            <v>19.98</v>
          </cell>
          <cell r="AQ18">
            <v>19.260000000000002</v>
          </cell>
          <cell r="AR18">
            <v>17.899999999999999</v>
          </cell>
          <cell r="AS18">
            <v>18.03</v>
          </cell>
          <cell r="AT18">
            <v>17.52</v>
          </cell>
          <cell r="AU18">
            <v>18.170000000000002</v>
          </cell>
          <cell r="AV18">
            <v>16.68</v>
          </cell>
          <cell r="AW18">
            <v>14.49</v>
          </cell>
          <cell r="AX18">
            <v>15.04</v>
          </cell>
          <cell r="BN18">
            <v>19.73</v>
          </cell>
          <cell r="BO18">
            <v>18.399999999999999</v>
          </cell>
          <cell r="BP18">
            <v>17.27</v>
          </cell>
          <cell r="BQ18">
            <v>18.02</v>
          </cell>
          <cell r="BR18">
            <v>18.190000000000001</v>
          </cell>
          <cell r="BS18">
            <v>17.420000000000002</v>
          </cell>
          <cell r="BT18">
            <v>17.989999999999998</v>
          </cell>
          <cell r="BU18">
            <v>19</v>
          </cell>
          <cell r="BV18">
            <v>18.84</v>
          </cell>
          <cell r="BW18">
            <v>19.079999999999998</v>
          </cell>
          <cell r="BX18">
            <v>21.31</v>
          </cell>
          <cell r="BY18">
            <v>23.49</v>
          </cell>
          <cell r="BZ18">
            <v>21.25</v>
          </cell>
          <cell r="CA18">
            <v>20.43</v>
          </cell>
          <cell r="CB18">
            <v>21.31</v>
          </cell>
          <cell r="CC18">
            <v>21.91</v>
          </cell>
          <cell r="CD18">
            <v>23.9</v>
          </cell>
          <cell r="CE18">
            <v>24.88</v>
          </cell>
          <cell r="CF18">
            <v>23.71</v>
          </cell>
          <cell r="CG18">
            <v>25.39</v>
          </cell>
        </row>
        <row r="19">
          <cell r="F19" t="str">
            <v xml:space="preserve">  Paraxylene (c/lb) - Contract</v>
          </cell>
          <cell r="G19">
            <v>20.941666666666674</v>
          </cell>
          <cell r="H19">
            <v>21.5</v>
          </cell>
          <cell r="I19">
            <v>21.5</v>
          </cell>
          <cell r="J19">
            <v>21.5</v>
          </cell>
          <cell r="K19">
            <v>27.5</v>
          </cell>
          <cell r="L19">
            <v>27.5</v>
          </cell>
          <cell r="M19">
            <v>27.5</v>
          </cell>
          <cell r="N19">
            <v>24.5</v>
          </cell>
          <cell r="O19">
            <v>24.5</v>
          </cell>
          <cell r="P19">
            <v>22</v>
          </cell>
          <cell r="Q19">
            <v>20.5</v>
          </cell>
          <cell r="R19">
            <v>20.5</v>
          </cell>
          <cell r="S19">
            <v>20.5</v>
          </cell>
          <cell r="T19">
            <v>19.8</v>
          </cell>
          <cell r="U19">
            <v>19.8</v>
          </cell>
          <cell r="V19">
            <v>19.8</v>
          </cell>
          <cell r="W19">
            <v>19.8</v>
          </cell>
          <cell r="X19">
            <v>19.8</v>
          </cell>
          <cell r="Y19">
            <v>19.8</v>
          </cell>
          <cell r="Z19">
            <v>19.75</v>
          </cell>
          <cell r="AA19">
            <v>19.75</v>
          </cell>
          <cell r="AB19">
            <v>19.75</v>
          </cell>
          <cell r="AC19">
            <v>21</v>
          </cell>
          <cell r="AD19">
            <v>21</v>
          </cell>
          <cell r="AE19">
            <v>21</v>
          </cell>
          <cell r="AF19">
            <v>21.5</v>
          </cell>
          <cell r="AG19">
            <v>21.5</v>
          </cell>
          <cell r="AH19">
            <v>21.5</v>
          </cell>
          <cell r="AI19">
            <v>20.5</v>
          </cell>
          <cell r="AJ19">
            <v>20.5</v>
          </cell>
          <cell r="AK19">
            <v>20.5</v>
          </cell>
          <cell r="AL19">
            <v>20.5</v>
          </cell>
          <cell r="AM19">
            <v>20.5</v>
          </cell>
          <cell r="AN19">
            <v>20.5</v>
          </cell>
          <cell r="AO19">
            <v>21</v>
          </cell>
          <cell r="AP19">
            <v>21</v>
          </cell>
          <cell r="AQ19">
            <v>21</v>
          </cell>
          <cell r="AR19">
            <v>21.25</v>
          </cell>
          <cell r="AS19">
            <v>21.25</v>
          </cell>
          <cell r="AT19">
            <v>21.25</v>
          </cell>
          <cell r="AU19">
            <v>21.25</v>
          </cell>
          <cell r="AV19">
            <v>21.25</v>
          </cell>
          <cell r="AW19">
            <v>21.25</v>
          </cell>
          <cell r="AX19">
            <v>22.25</v>
          </cell>
          <cell r="BN19">
            <v>36</v>
          </cell>
          <cell r="BO19">
            <v>36</v>
          </cell>
          <cell r="BP19">
            <v>40</v>
          </cell>
          <cell r="BQ19">
            <v>40</v>
          </cell>
          <cell r="BR19">
            <v>40</v>
          </cell>
          <cell r="BS19">
            <v>41</v>
          </cell>
          <cell r="BT19">
            <v>41</v>
          </cell>
          <cell r="BU19">
            <v>41</v>
          </cell>
          <cell r="BV19">
            <v>41</v>
          </cell>
          <cell r="BW19">
            <v>41</v>
          </cell>
          <cell r="BX19">
            <v>41</v>
          </cell>
          <cell r="BY19">
            <v>34.5</v>
          </cell>
          <cell r="BZ19">
            <v>34.5</v>
          </cell>
          <cell r="CA19">
            <v>34.5</v>
          </cell>
          <cell r="CB19">
            <v>22</v>
          </cell>
          <cell r="CC19">
            <v>22</v>
          </cell>
          <cell r="CD19">
            <v>22</v>
          </cell>
          <cell r="CE19">
            <v>19</v>
          </cell>
          <cell r="CF19">
            <v>19</v>
          </cell>
          <cell r="CG19">
            <v>19</v>
          </cell>
        </row>
        <row r="20">
          <cell r="F20" t="str">
            <v xml:space="preserve">  Propane (c/lb)</v>
          </cell>
          <cell r="G20">
            <v>8.0114533965244856</v>
          </cell>
          <cell r="H20">
            <v>6.5497630331753562</v>
          </cell>
          <cell r="I20">
            <v>8.9905213270142177</v>
          </cell>
          <cell r="J20">
            <v>10.810426540284361</v>
          </cell>
          <cell r="K20">
            <v>12.353080568720381</v>
          </cell>
          <cell r="L20">
            <v>11.187203791469194</v>
          </cell>
          <cell r="M20">
            <v>9.4502369668246455</v>
          </cell>
          <cell r="N20">
            <v>8.5165876777251182</v>
          </cell>
          <cell r="O20">
            <v>7.0592417061611377</v>
          </cell>
          <cell r="P20">
            <v>7.665876777251186</v>
          </cell>
          <cell r="Q20">
            <v>7.6350710900473935</v>
          </cell>
          <cell r="R20">
            <v>7.8578199052132698</v>
          </cell>
          <cell r="S20">
            <v>6.4691943127962093</v>
          </cell>
          <cell r="T20">
            <v>6.5924170616113749</v>
          </cell>
          <cell r="U20">
            <v>7.4360189573459721</v>
          </cell>
          <cell r="V20">
            <v>8.8507109004739348</v>
          </cell>
          <cell r="W20">
            <v>10.158767772511847</v>
          </cell>
          <cell r="X20">
            <v>10.175355450236967</v>
          </cell>
          <cell r="Y20">
            <v>7.7203791469194316</v>
          </cell>
          <cell r="Z20">
            <v>6.4691943127962093</v>
          </cell>
          <cell r="AA20">
            <v>6.7796208530805693</v>
          </cell>
          <cell r="AB20">
            <v>6.8341232227488158</v>
          </cell>
          <cell r="AC20">
            <v>6.8483412322274884</v>
          </cell>
          <cell r="AD20">
            <v>7.3317535545023702</v>
          </cell>
          <cell r="AE20">
            <v>7.9905213270142186</v>
          </cell>
          <cell r="AF20">
            <v>7.9739336492890995</v>
          </cell>
          <cell r="AG20">
            <v>8.3483412322274884</v>
          </cell>
          <cell r="AH20">
            <v>8.8530805687203795</v>
          </cell>
          <cell r="AI20">
            <v>8.37914691943128</v>
          </cell>
          <cell r="AJ20">
            <v>7.7440758293838865</v>
          </cell>
          <cell r="AK20">
            <v>7.3412322274881525</v>
          </cell>
          <cell r="AL20">
            <v>7.8981042654028437</v>
          </cell>
          <cell r="AM20">
            <v>7.770142180094787</v>
          </cell>
          <cell r="AN20">
            <v>8.0497630331753562</v>
          </cell>
          <cell r="AO20">
            <v>8.1327014218009488</v>
          </cell>
          <cell r="AP20">
            <v>7.7345971563981051</v>
          </cell>
          <cell r="AQ20">
            <v>7.7156398104265413</v>
          </cell>
          <cell r="AR20">
            <v>7.395734597156399</v>
          </cell>
          <cell r="AS20">
            <v>7.1800947867298586</v>
          </cell>
          <cell r="AT20">
            <v>7.0450236966824651</v>
          </cell>
          <cell r="AU20">
            <v>6.9123222748815172</v>
          </cell>
          <cell r="AV20">
            <v>6.4952606635071097</v>
          </cell>
          <cell r="AW20">
            <v>5.8033175355450233</v>
          </cell>
          <cell r="AX20">
            <v>6.1872037914691944</v>
          </cell>
          <cell r="BN20">
            <v>7.7085308056872046</v>
          </cell>
          <cell r="BO20">
            <v>7.5023696682464456</v>
          </cell>
          <cell r="BP20">
            <v>7.2748815165876781</v>
          </cell>
          <cell r="BQ20">
            <v>7.3838862559241711</v>
          </cell>
          <cell r="BR20">
            <v>7.3909952606635079</v>
          </cell>
          <cell r="BS20">
            <v>7.2938388625592427</v>
          </cell>
          <cell r="BT20">
            <v>7.3104265402843609</v>
          </cell>
          <cell r="BU20">
            <v>8.3199052132701432</v>
          </cell>
          <cell r="BV20">
            <v>8.3507109004739348</v>
          </cell>
          <cell r="BW20">
            <v>8.9834123222748818</v>
          </cell>
          <cell r="BX20">
            <v>8.6895734597156409</v>
          </cell>
          <cell r="BY20">
            <v>8.3696682464454977</v>
          </cell>
          <cell r="BZ20">
            <v>8.2227488151658772</v>
          </cell>
          <cell r="CA20">
            <v>8.206161137440759</v>
          </cell>
          <cell r="CB20">
            <v>8.4028436018957358</v>
          </cell>
          <cell r="CC20">
            <v>9.0308056872037916</v>
          </cell>
          <cell r="CD20">
            <v>10.988151658767773</v>
          </cell>
          <cell r="CE20">
            <v>12.106635071090048</v>
          </cell>
          <cell r="CF20">
            <v>13.857819905213271</v>
          </cell>
          <cell r="CG20">
            <v>14.341232227488153</v>
          </cell>
        </row>
        <row r="21">
          <cell r="F21" t="str">
            <v xml:space="preserve">  Propane (c/gal) - Non-Tet</v>
          </cell>
          <cell r="G21">
            <v>33.80833333333333</v>
          </cell>
          <cell r="H21">
            <v>27.64</v>
          </cell>
          <cell r="I21">
            <v>37.94</v>
          </cell>
          <cell r="J21">
            <v>45.62</v>
          </cell>
          <cell r="K21">
            <v>52.13</v>
          </cell>
          <cell r="L21">
            <v>47.21</v>
          </cell>
          <cell r="M21">
            <v>39.880000000000003</v>
          </cell>
          <cell r="N21">
            <v>35.94</v>
          </cell>
          <cell r="O21">
            <v>29.79</v>
          </cell>
          <cell r="P21">
            <v>32.35</v>
          </cell>
          <cell r="Q21">
            <v>32.22</v>
          </cell>
          <cell r="R21">
            <v>33.159999999999997</v>
          </cell>
          <cell r="S21">
            <v>27.3</v>
          </cell>
          <cell r="T21">
            <v>27.82</v>
          </cell>
          <cell r="U21">
            <v>31.38</v>
          </cell>
          <cell r="V21">
            <v>37.35</v>
          </cell>
          <cell r="W21">
            <v>42.87</v>
          </cell>
          <cell r="X21">
            <v>42.94</v>
          </cell>
          <cell r="Y21">
            <v>32.58</v>
          </cell>
          <cell r="Z21">
            <v>27.3</v>
          </cell>
          <cell r="AA21">
            <v>28.61</v>
          </cell>
          <cell r="AB21">
            <v>28.84</v>
          </cell>
          <cell r="AC21">
            <v>28.9</v>
          </cell>
          <cell r="AD21">
            <v>30.94</v>
          </cell>
          <cell r="AE21">
            <v>33.72</v>
          </cell>
          <cell r="AF21">
            <v>33.65</v>
          </cell>
          <cell r="AG21">
            <v>35.229999999999997</v>
          </cell>
          <cell r="AH21">
            <v>37.36</v>
          </cell>
          <cell r="AI21">
            <v>35.36</v>
          </cell>
          <cell r="AJ21">
            <v>32.68</v>
          </cell>
          <cell r="AK21">
            <v>30.98</v>
          </cell>
          <cell r="AL21">
            <v>33.33</v>
          </cell>
          <cell r="AM21">
            <v>32.79</v>
          </cell>
          <cell r="AN21">
            <v>33.97</v>
          </cell>
          <cell r="AO21">
            <v>34.32</v>
          </cell>
          <cell r="AP21">
            <v>32.64</v>
          </cell>
          <cell r="AQ21">
            <v>32.56</v>
          </cell>
          <cell r="AR21">
            <v>31.21</v>
          </cell>
          <cell r="AS21">
            <v>30.3</v>
          </cell>
          <cell r="AT21">
            <v>29.73</v>
          </cell>
          <cell r="AU21">
            <v>29.17</v>
          </cell>
          <cell r="AV21">
            <v>27.41</v>
          </cell>
          <cell r="AW21">
            <v>24.49</v>
          </cell>
          <cell r="AX21">
            <v>26.11</v>
          </cell>
          <cell r="BN21">
            <v>32.53</v>
          </cell>
          <cell r="BO21">
            <v>31.66</v>
          </cell>
          <cell r="BP21">
            <v>30.7</v>
          </cell>
          <cell r="BQ21">
            <v>31.16</v>
          </cell>
          <cell r="BR21">
            <v>31.19</v>
          </cell>
          <cell r="BS21">
            <v>30.78</v>
          </cell>
          <cell r="BT21">
            <v>30.85</v>
          </cell>
          <cell r="BU21">
            <v>35.11</v>
          </cell>
          <cell r="BV21">
            <v>35.24</v>
          </cell>
          <cell r="BW21">
            <v>37.909999999999997</v>
          </cell>
          <cell r="BX21">
            <v>36.67</v>
          </cell>
          <cell r="BY21">
            <v>35.32</v>
          </cell>
          <cell r="BZ21">
            <v>34.700000000000003</v>
          </cell>
          <cell r="CA21">
            <v>34.630000000000003</v>
          </cell>
          <cell r="CB21">
            <v>35.46</v>
          </cell>
          <cell r="CC21">
            <v>38.11</v>
          </cell>
          <cell r="CD21">
            <v>46.37</v>
          </cell>
          <cell r="CE21">
            <v>51.09</v>
          </cell>
          <cell r="CF21">
            <v>58.48</v>
          </cell>
          <cell r="CG21">
            <v>60.52</v>
          </cell>
        </row>
        <row r="22">
          <cell r="F22" t="str">
            <v xml:space="preserve">  Butane (c/gal) - N-, non Tet </v>
          </cell>
          <cell r="G22">
            <v>42.159166666666664</v>
          </cell>
          <cell r="H22">
            <v>31.64</v>
          </cell>
          <cell r="I22">
            <v>44.44</v>
          </cell>
          <cell r="J22">
            <v>55.18</v>
          </cell>
          <cell r="K22">
            <v>60.65</v>
          </cell>
          <cell r="L22">
            <v>63.25</v>
          </cell>
          <cell r="M22">
            <v>54.79</v>
          </cell>
          <cell r="N22">
            <v>51.73</v>
          </cell>
          <cell r="O22">
            <v>42.99</v>
          </cell>
          <cell r="P22">
            <v>41.73</v>
          </cell>
          <cell r="Q22">
            <v>41.65</v>
          </cell>
          <cell r="R22">
            <v>39.270000000000003</v>
          </cell>
          <cell r="S22">
            <v>34.450000000000003</v>
          </cell>
          <cell r="T22">
            <v>35.9</v>
          </cell>
          <cell r="U22">
            <v>40.28</v>
          </cell>
          <cell r="V22">
            <v>44.94</v>
          </cell>
          <cell r="W22">
            <v>47.34</v>
          </cell>
          <cell r="X22">
            <v>46.38</v>
          </cell>
          <cell r="Y22">
            <v>39.25</v>
          </cell>
          <cell r="Z22">
            <v>35.93</v>
          </cell>
          <cell r="AA22">
            <v>36.32</v>
          </cell>
          <cell r="AB22">
            <v>35.86</v>
          </cell>
          <cell r="AC22">
            <v>34.159999999999997</v>
          </cell>
          <cell r="AD22">
            <v>35.71</v>
          </cell>
          <cell r="AE22">
            <v>38.51</v>
          </cell>
          <cell r="AF22">
            <v>40.31</v>
          </cell>
          <cell r="AG22">
            <v>41.13</v>
          </cell>
          <cell r="AH22">
            <v>42.88</v>
          </cell>
          <cell r="AI22">
            <v>41.28</v>
          </cell>
          <cell r="AJ22">
            <v>39.799999999999997</v>
          </cell>
          <cell r="AK22">
            <v>37.86</v>
          </cell>
          <cell r="AL22">
            <v>40.46</v>
          </cell>
          <cell r="AM22">
            <v>41.34</v>
          </cell>
          <cell r="AN22">
            <v>41.15</v>
          </cell>
          <cell r="AO22">
            <v>39.83</v>
          </cell>
          <cell r="AP22">
            <v>36.49</v>
          </cell>
          <cell r="AQ22">
            <v>37.32</v>
          </cell>
          <cell r="AR22">
            <v>36.6</v>
          </cell>
          <cell r="AS22">
            <v>36.03</v>
          </cell>
          <cell r="AT22">
            <v>35.58</v>
          </cell>
          <cell r="AU22">
            <v>33.81</v>
          </cell>
          <cell r="AV22">
            <v>31.49</v>
          </cell>
          <cell r="AW22">
            <v>28.91</v>
          </cell>
          <cell r="AX22">
            <v>30.86</v>
          </cell>
          <cell r="BN22">
            <v>39.44</v>
          </cell>
          <cell r="BO22">
            <v>37.35</v>
          </cell>
          <cell r="BP22">
            <v>35.26</v>
          </cell>
          <cell r="BQ22">
            <v>36.409999999999997</v>
          </cell>
          <cell r="BR22">
            <v>36.979999999999997</v>
          </cell>
          <cell r="BS22">
            <v>37.130000000000003</v>
          </cell>
          <cell r="BT22">
            <v>36.020000000000003</v>
          </cell>
          <cell r="BU22">
            <v>37.94</v>
          </cell>
          <cell r="BV22">
            <v>40.15</v>
          </cell>
          <cell r="BW22">
            <v>49.48</v>
          </cell>
          <cell r="BX22">
            <v>43.05</v>
          </cell>
          <cell r="BY22">
            <v>41.73</v>
          </cell>
          <cell r="BZ22">
            <v>39.74</v>
          </cell>
          <cell r="CA22">
            <v>39.64</v>
          </cell>
          <cell r="CB22">
            <v>41.73</v>
          </cell>
          <cell r="CC22">
            <v>45.64</v>
          </cell>
          <cell r="CD22">
            <v>50.94</v>
          </cell>
          <cell r="CE22">
            <v>52.79</v>
          </cell>
          <cell r="CF22">
            <v>59.81</v>
          </cell>
          <cell r="CG22">
            <v>59.24</v>
          </cell>
        </row>
        <row r="23">
          <cell r="F23" t="str">
            <v xml:space="preserve">  Isobutane (c/gal)</v>
          </cell>
          <cell r="P23">
            <v>67.733333333333334</v>
          </cell>
          <cell r="Q23">
            <v>66.61</v>
          </cell>
          <cell r="R23">
            <v>53.708333333333336</v>
          </cell>
          <cell r="S23">
            <v>55</v>
          </cell>
          <cell r="T23">
            <v>55</v>
          </cell>
          <cell r="U23">
            <v>55</v>
          </cell>
        </row>
        <row r="24">
          <cell r="F24" t="str">
            <v xml:space="preserve">  Toluene (c/gal) - Nitration Grade </v>
          </cell>
          <cell r="P24">
            <v>107.5575</v>
          </cell>
          <cell r="Q24">
            <v>95.954166666666652</v>
          </cell>
          <cell r="R24">
            <v>99.416666666666671</v>
          </cell>
          <cell r="S24">
            <v>131.47749999999999</v>
          </cell>
          <cell r="T24">
            <v>197.46249999999998</v>
          </cell>
          <cell r="U24">
            <v>221.53666666666666</v>
          </cell>
        </row>
        <row r="25">
          <cell r="F25" t="str">
            <v xml:space="preserve">  MTBE (c/gal) - Spot Prices</v>
          </cell>
          <cell r="P25">
            <v>113.51833333333333</v>
          </cell>
          <cell r="Q25">
            <v>107.43750000000004</v>
          </cell>
          <cell r="R25">
            <v>98.928333333333342</v>
          </cell>
          <cell r="S25">
            <v>92.75</v>
          </cell>
          <cell r="T25">
            <v>84.190833333333345</v>
          </cell>
          <cell r="U25">
            <v>84.190833333333345</v>
          </cell>
        </row>
        <row r="28">
          <cell r="F28" t="str">
            <v>Olefin streams:</v>
          </cell>
        </row>
        <row r="29">
          <cell r="F29" t="str">
            <v xml:space="preserve">  Benzene (c/gal) - Contract Market</v>
          </cell>
          <cell r="G29">
            <v>122.125</v>
          </cell>
          <cell r="H29">
            <v>130</v>
          </cell>
          <cell r="I29">
            <v>130</v>
          </cell>
          <cell r="J29">
            <v>170</v>
          </cell>
          <cell r="K29">
            <v>200</v>
          </cell>
          <cell r="L29">
            <v>200</v>
          </cell>
          <cell r="M29">
            <v>150</v>
          </cell>
          <cell r="N29">
            <v>150</v>
          </cell>
          <cell r="O29">
            <v>145</v>
          </cell>
          <cell r="P29">
            <v>110</v>
          </cell>
          <cell r="Q29">
            <v>110</v>
          </cell>
          <cell r="R29">
            <v>110.5</v>
          </cell>
          <cell r="S29">
            <v>110</v>
          </cell>
          <cell r="T29">
            <v>105</v>
          </cell>
          <cell r="U29">
            <v>110</v>
          </cell>
          <cell r="V29">
            <v>125</v>
          </cell>
          <cell r="W29">
            <v>130</v>
          </cell>
          <cell r="X29">
            <v>130</v>
          </cell>
          <cell r="Y29">
            <v>130</v>
          </cell>
          <cell r="Z29">
            <v>110</v>
          </cell>
          <cell r="AA29">
            <v>105</v>
          </cell>
          <cell r="AB29">
            <v>110</v>
          </cell>
          <cell r="AC29">
            <v>115</v>
          </cell>
          <cell r="AD29">
            <v>120</v>
          </cell>
          <cell r="AE29">
            <v>120</v>
          </cell>
          <cell r="AF29">
            <v>130</v>
          </cell>
          <cell r="AG29">
            <v>120</v>
          </cell>
          <cell r="AH29">
            <v>110</v>
          </cell>
          <cell r="AI29">
            <v>90</v>
          </cell>
          <cell r="AJ29">
            <v>100</v>
          </cell>
          <cell r="AK29">
            <v>100</v>
          </cell>
          <cell r="AL29">
            <v>100</v>
          </cell>
          <cell r="AM29">
            <v>105</v>
          </cell>
          <cell r="AN29">
            <v>110</v>
          </cell>
          <cell r="AO29">
            <v>105</v>
          </cell>
          <cell r="AP29">
            <v>100</v>
          </cell>
          <cell r="AQ29">
            <v>100</v>
          </cell>
          <cell r="AR29">
            <v>95</v>
          </cell>
          <cell r="AS29">
            <v>95</v>
          </cell>
          <cell r="AT29">
            <v>95</v>
          </cell>
          <cell r="AU29">
            <v>90</v>
          </cell>
          <cell r="AV29">
            <v>90</v>
          </cell>
          <cell r="AW29">
            <v>85</v>
          </cell>
          <cell r="AX29">
            <v>85</v>
          </cell>
          <cell r="BN29">
            <v>115</v>
          </cell>
          <cell r="BO29">
            <v>105</v>
          </cell>
          <cell r="BP29">
            <v>90</v>
          </cell>
          <cell r="BQ29">
            <v>90</v>
          </cell>
          <cell r="BR29">
            <v>85</v>
          </cell>
          <cell r="BS29">
            <v>75</v>
          </cell>
          <cell r="BT29">
            <v>70</v>
          </cell>
          <cell r="BU29">
            <v>80</v>
          </cell>
          <cell r="BV29">
            <v>90</v>
          </cell>
          <cell r="BW29">
            <v>95</v>
          </cell>
          <cell r="BX29">
            <v>90</v>
          </cell>
          <cell r="BY29">
            <v>90</v>
          </cell>
          <cell r="BZ29">
            <v>100</v>
          </cell>
          <cell r="CA29">
            <v>95</v>
          </cell>
          <cell r="CB29">
            <v>95</v>
          </cell>
          <cell r="CC29">
            <v>95</v>
          </cell>
          <cell r="CD29">
            <v>115</v>
          </cell>
          <cell r="CE29">
            <v>100</v>
          </cell>
          <cell r="CF29">
            <v>100</v>
          </cell>
          <cell r="CG29">
            <v>105</v>
          </cell>
        </row>
        <row r="30">
          <cell r="F30" t="str">
            <v xml:space="preserve">  Butadiene (c/lb) - Contract Market</v>
          </cell>
          <cell r="G30">
            <v>13</v>
          </cell>
          <cell r="H30">
            <v>16.583333333333332</v>
          </cell>
          <cell r="I30">
            <v>16.666666666666668</v>
          </cell>
          <cell r="J30">
            <v>18.416666666666668</v>
          </cell>
          <cell r="K30">
            <v>24</v>
          </cell>
          <cell r="L30">
            <v>19.458333333333332</v>
          </cell>
          <cell r="M30">
            <v>21.333333333333332</v>
          </cell>
          <cell r="Q30">
            <v>22.333333333333332</v>
          </cell>
          <cell r="R30">
            <v>21.666666666666668</v>
          </cell>
          <cell r="S30">
            <v>28.916666666666668</v>
          </cell>
          <cell r="T30">
            <v>14</v>
          </cell>
          <cell r="U30">
            <v>14</v>
          </cell>
          <cell r="V30">
            <v>14</v>
          </cell>
          <cell r="W30">
            <v>11</v>
          </cell>
          <cell r="X30">
            <v>12</v>
          </cell>
          <cell r="Y30">
            <v>13</v>
          </cell>
          <cell r="Z30">
            <v>14</v>
          </cell>
          <cell r="AA30">
            <v>14</v>
          </cell>
          <cell r="AB30">
            <v>14</v>
          </cell>
          <cell r="AC30">
            <v>14</v>
          </cell>
          <cell r="AD30">
            <v>14</v>
          </cell>
          <cell r="AE30">
            <v>16</v>
          </cell>
          <cell r="AF30">
            <v>18</v>
          </cell>
          <cell r="AG30">
            <v>20</v>
          </cell>
          <cell r="AH30">
            <v>19</v>
          </cell>
          <cell r="AI30">
            <v>19</v>
          </cell>
          <cell r="AJ30">
            <v>19</v>
          </cell>
          <cell r="AK30">
            <v>18</v>
          </cell>
          <cell r="AL30">
            <v>17</v>
          </cell>
          <cell r="AM30">
            <v>16</v>
          </cell>
          <cell r="AN30">
            <v>15</v>
          </cell>
          <cell r="AO30">
            <v>15</v>
          </cell>
          <cell r="AP30">
            <v>15</v>
          </cell>
          <cell r="AQ30">
            <v>17</v>
          </cell>
          <cell r="AR30">
            <v>19</v>
          </cell>
          <cell r="AS30">
            <v>19</v>
          </cell>
          <cell r="AT30">
            <v>18</v>
          </cell>
          <cell r="AU30">
            <v>17</v>
          </cell>
          <cell r="AV30">
            <v>16</v>
          </cell>
          <cell r="AW30">
            <v>16</v>
          </cell>
          <cell r="AX30">
            <v>15</v>
          </cell>
          <cell r="BN30">
            <v>23</v>
          </cell>
          <cell r="BO30">
            <v>23</v>
          </cell>
          <cell r="BP30">
            <v>25</v>
          </cell>
          <cell r="BQ30">
            <v>25</v>
          </cell>
          <cell r="BR30">
            <v>25</v>
          </cell>
          <cell r="BS30">
            <v>25</v>
          </cell>
          <cell r="BT30">
            <v>23</v>
          </cell>
          <cell r="BU30">
            <v>21</v>
          </cell>
          <cell r="BV30">
            <v>19</v>
          </cell>
          <cell r="BW30">
            <v>19</v>
          </cell>
          <cell r="BX30">
            <v>17</v>
          </cell>
          <cell r="BY30">
            <v>17</v>
          </cell>
          <cell r="BZ30">
            <v>19</v>
          </cell>
          <cell r="CA30">
            <v>19</v>
          </cell>
          <cell r="CB30">
            <v>19</v>
          </cell>
          <cell r="CC30">
            <v>19</v>
          </cell>
          <cell r="CD30">
            <v>19</v>
          </cell>
          <cell r="CE30">
            <v>21</v>
          </cell>
          <cell r="CF30">
            <v>22.5</v>
          </cell>
          <cell r="CG30">
            <v>23</v>
          </cell>
        </row>
        <row r="31">
          <cell r="F31" t="str">
            <v xml:space="preserve">  Ethylene - Net Transaction Pipeline</v>
          </cell>
          <cell r="G31">
            <v>21.474999999999998</v>
          </cell>
          <cell r="H31">
            <v>23</v>
          </cell>
          <cell r="I31">
            <v>23</v>
          </cell>
          <cell r="J31">
            <v>26</v>
          </cell>
          <cell r="K31">
            <v>28</v>
          </cell>
          <cell r="L31">
            <v>30</v>
          </cell>
          <cell r="M31">
            <v>30</v>
          </cell>
          <cell r="N31">
            <v>28</v>
          </cell>
          <cell r="O31">
            <v>26</v>
          </cell>
          <cell r="P31">
            <v>24</v>
          </cell>
          <cell r="Q31">
            <v>22.5</v>
          </cell>
          <cell r="R31">
            <v>21.2</v>
          </cell>
          <cell r="S31">
            <v>20</v>
          </cell>
          <cell r="T31">
            <v>18</v>
          </cell>
          <cell r="U31">
            <v>18</v>
          </cell>
          <cell r="V31">
            <v>18</v>
          </cell>
          <cell r="W31">
            <v>20</v>
          </cell>
          <cell r="X31">
            <v>21</v>
          </cell>
          <cell r="Y31">
            <v>21</v>
          </cell>
          <cell r="Z31">
            <v>17.489397248307501</v>
          </cell>
          <cell r="AA31">
            <v>16.733020310111399</v>
          </cell>
          <cell r="AB31">
            <v>16.258309674601399</v>
          </cell>
          <cell r="AC31">
            <v>16.109532649049999</v>
          </cell>
          <cell r="AD31">
            <v>16.063791220790598</v>
          </cell>
          <cell r="AE31">
            <v>17.0454793623062</v>
          </cell>
          <cell r="AF31">
            <v>17.9047608648176</v>
          </cell>
          <cell r="AG31">
            <v>18.4047608648176</v>
          </cell>
          <cell r="AH31">
            <v>19.1458943000655</v>
          </cell>
          <cell r="AI31">
            <v>19.623542258135</v>
          </cell>
          <cell r="AJ31">
            <v>19.589157021183699</v>
          </cell>
          <cell r="AK31">
            <v>19.1007097619568</v>
          </cell>
          <cell r="AL31">
            <v>18.579999999999998</v>
          </cell>
          <cell r="AM31">
            <v>18.25</v>
          </cell>
          <cell r="AN31">
            <v>17.98</v>
          </cell>
          <cell r="AO31">
            <v>17.989999999999998</v>
          </cell>
          <cell r="AP31">
            <v>17.93</v>
          </cell>
          <cell r="AQ31">
            <v>17.89</v>
          </cell>
          <cell r="AR31">
            <v>17.78</v>
          </cell>
          <cell r="AS31">
            <v>17.68</v>
          </cell>
          <cell r="AT31">
            <v>17.489999999999998</v>
          </cell>
          <cell r="AU31">
            <v>17.41</v>
          </cell>
          <cell r="AV31">
            <v>17.05</v>
          </cell>
          <cell r="AW31">
            <v>16.8</v>
          </cell>
          <cell r="AX31">
            <v>16.43</v>
          </cell>
          <cell r="BN31">
            <v>28.216999999999999</v>
          </cell>
          <cell r="BO31">
            <v>27.616499999999998</v>
          </cell>
          <cell r="BP31">
            <v>26.62</v>
          </cell>
          <cell r="BQ31">
            <v>25.050999999999998</v>
          </cell>
          <cell r="BR31">
            <v>23.1525</v>
          </cell>
          <cell r="BS31">
            <v>20.872499999999999</v>
          </cell>
          <cell r="BT31">
            <v>19.496400000000001</v>
          </cell>
          <cell r="BU31">
            <v>18.248999999999999</v>
          </cell>
          <cell r="BV31">
            <v>18</v>
          </cell>
          <cell r="BW31">
            <v>18</v>
          </cell>
          <cell r="BX31">
            <v>18.973500000000001</v>
          </cell>
          <cell r="BY31">
            <v>20.25</v>
          </cell>
          <cell r="BZ31">
            <v>21.220500000000001</v>
          </cell>
          <cell r="CA31">
            <v>22.172499999999999</v>
          </cell>
          <cell r="CB31">
            <v>22.6</v>
          </cell>
          <cell r="CC31">
            <v>23.103000000000002</v>
          </cell>
          <cell r="CD31">
            <v>23.465</v>
          </cell>
          <cell r="CE31">
            <v>23.706375000000001</v>
          </cell>
          <cell r="CF31">
            <v>23.823499999999999</v>
          </cell>
          <cell r="CG31">
            <v>24.75</v>
          </cell>
        </row>
        <row r="32">
          <cell r="F32" t="str">
            <v xml:space="preserve">  Ethylene (Spot price) - Avg pipeline</v>
          </cell>
          <cell r="G32">
            <v>17.25</v>
          </cell>
          <cell r="H32">
            <v>17</v>
          </cell>
          <cell r="I32">
            <v>25</v>
          </cell>
          <cell r="J32">
            <v>27</v>
          </cell>
          <cell r="K32">
            <v>29</v>
          </cell>
          <cell r="L32">
            <v>29</v>
          </cell>
          <cell r="M32">
            <v>29</v>
          </cell>
          <cell r="N32">
            <v>27</v>
          </cell>
          <cell r="O32">
            <v>22</v>
          </cell>
          <cell r="P32">
            <v>17</v>
          </cell>
          <cell r="Q32">
            <v>17</v>
          </cell>
          <cell r="R32">
            <v>15</v>
          </cell>
          <cell r="S32">
            <v>14</v>
          </cell>
          <cell r="T32">
            <v>14</v>
          </cell>
          <cell r="U32">
            <v>14</v>
          </cell>
          <cell r="V32">
            <v>14.5</v>
          </cell>
          <cell r="W32">
            <v>16</v>
          </cell>
          <cell r="X32">
            <v>18.5</v>
          </cell>
          <cell r="Y32">
            <v>18</v>
          </cell>
          <cell r="Z32">
            <v>15.5</v>
          </cell>
          <cell r="AA32">
            <v>14.75</v>
          </cell>
          <cell r="AB32">
            <v>13</v>
          </cell>
          <cell r="AC32">
            <v>13</v>
          </cell>
          <cell r="AD32">
            <v>13</v>
          </cell>
          <cell r="AE32">
            <v>14</v>
          </cell>
          <cell r="AF32">
            <v>15</v>
          </cell>
          <cell r="AG32">
            <v>15.5</v>
          </cell>
          <cell r="AH32">
            <v>18</v>
          </cell>
          <cell r="AI32">
            <v>17.5</v>
          </cell>
          <cell r="AJ32">
            <v>17.25</v>
          </cell>
          <cell r="AK32">
            <v>15.75</v>
          </cell>
          <cell r="AL32">
            <v>14.75</v>
          </cell>
          <cell r="AM32">
            <v>14.5</v>
          </cell>
          <cell r="AN32">
            <v>14.25</v>
          </cell>
          <cell r="AO32">
            <v>13.25</v>
          </cell>
          <cell r="AP32">
            <v>13</v>
          </cell>
          <cell r="AQ32">
            <v>12.5</v>
          </cell>
          <cell r="AR32">
            <v>12.25</v>
          </cell>
          <cell r="AS32">
            <v>12.25</v>
          </cell>
          <cell r="AT32">
            <v>12</v>
          </cell>
          <cell r="AU32">
            <v>12</v>
          </cell>
          <cell r="AV32">
            <v>12</v>
          </cell>
          <cell r="AW32">
            <v>11.25</v>
          </cell>
          <cell r="AX32">
            <v>11.25</v>
          </cell>
          <cell r="BN32">
            <v>27.75</v>
          </cell>
          <cell r="BO32">
            <v>26.75</v>
          </cell>
          <cell r="BP32">
            <v>23.5</v>
          </cell>
          <cell r="BQ32">
            <v>20</v>
          </cell>
          <cell r="BR32">
            <v>17</v>
          </cell>
          <cell r="BS32">
            <v>14.75</v>
          </cell>
          <cell r="BT32">
            <v>12.5</v>
          </cell>
          <cell r="BU32">
            <v>12</v>
          </cell>
          <cell r="BV32">
            <v>12.75</v>
          </cell>
          <cell r="BW32">
            <v>14.75</v>
          </cell>
          <cell r="BX32">
            <v>17.5</v>
          </cell>
          <cell r="BY32">
            <v>20.75</v>
          </cell>
          <cell r="BZ32">
            <v>22.5</v>
          </cell>
          <cell r="CA32">
            <v>21.5</v>
          </cell>
          <cell r="CB32">
            <v>20.5</v>
          </cell>
          <cell r="CC32">
            <v>22.5</v>
          </cell>
          <cell r="CD32">
            <v>21.52</v>
          </cell>
          <cell r="CE32">
            <v>20.71</v>
          </cell>
          <cell r="CF32">
            <v>20.07</v>
          </cell>
          <cell r="CG32">
            <v>22.35</v>
          </cell>
        </row>
        <row r="33">
          <cell r="F33" t="str">
            <v xml:space="preserve">  Propylene - (polymer grade)</v>
          </cell>
          <cell r="G33">
            <v>16.541666666666668</v>
          </cell>
          <cell r="H33">
            <v>14</v>
          </cell>
          <cell r="I33">
            <v>14.5</v>
          </cell>
          <cell r="J33">
            <v>16.5</v>
          </cell>
          <cell r="K33">
            <v>19.5</v>
          </cell>
          <cell r="L33">
            <v>22.5</v>
          </cell>
          <cell r="M33">
            <v>22.5</v>
          </cell>
          <cell r="N33">
            <v>21.5</v>
          </cell>
          <cell r="O33">
            <v>20</v>
          </cell>
          <cell r="P33">
            <v>19</v>
          </cell>
          <cell r="Q33">
            <v>18</v>
          </cell>
          <cell r="R33">
            <v>17</v>
          </cell>
          <cell r="S33">
            <v>16</v>
          </cell>
          <cell r="T33">
            <v>14.5</v>
          </cell>
          <cell r="U33">
            <v>14.5</v>
          </cell>
          <cell r="V33">
            <v>14.5</v>
          </cell>
          <cell r="W33">
            <v>14.5</v>
          </cell>
          <cell r="X33">
            <v>14.5</v>
          </cell>
          <cell r="Y33">
            <v>14.5</v>
          </cell>
          <cell r="Z33">
            <v>15.5</v>
          </cell>
          <cell r="AA33">
            <v>14.5</v>
          </cell>
          <cell r="AB33">
            <v>14.5</v>
          </cell>
          <cell r="AC33">
            <v>14.5</v>
          </cell>
          <cell r="AD33">
            <v>15</v>
          </cell>
          <cell r="AE33">
            <v>15.25</v>
          </cell>
          <cell r="AF33">
            <v>15.5</v>
          </cell>
          <cell r="AG33">
            <v>15.25</v>
          </cell>
          <cell r="AH33">
            <v>15</v>
          </cell>
          <cell r="AI33">
            <v>14.5</v>
          </cell>
          <cell r="AJ33">
            <v>14</v>
          </cell>
          <cell r="AK33">
            <v>13.75</v>
          </cell>
          <cell r="AL33">
            <v>13.75</v>
          </cell>
          <cell r="AM33">
            <v>13.75</v>
          </cell>
          <cell r="AN33">
            <v>13.75</v>
          </cell>
          <cell r="AO33">
            <v>14</v>
          </cell>
          <cell r="AP33">
            <v>14.25</v>
          </cell>
          <cell r="AQ33">
            <v>14.25</v>
          </cell>
          <cell r="AR33">
            <v>14.25</v>
          </cell>
          <cell r="AS33">
            <v>13.75</v>
          </cell>
          <cell r="AT33">
            <v>13.5</v>
          </cell>
          <cell r="AU33">
            <v>13.25</v>
          </cell>
          <cell r="AV33">
            <v>13</v>
          </cell>
          <cell r="AW33">
            <v>12.75</v>
          </cell>
          <cell r="AX33">
            <v>12.75</v>
          </cell>
          <cell r="BN33">
            <v>24.75</v>
          </cell>
          <cell r="BO33">
            <v>24.75</v>
          </cell>
          <cell r="BP33">
            <v>24.75</v>
          </cell>
          <cell r="BQ33">
            <v>23.75</v>
          </cell>
          <cell r="BR33">
            <v>21.75</v>
          </cell>
          <cell r="BS33">
            <v>20.25</v>
          </cell>
          <cell r="BT33">
            <v>18.75</v>
          </cell>
          <cell r="BU33">
            <v>17.75</v>
          </cell>
          <cell r="BV33">
            <v>16.75</v>
          </cell>
          <cell r="BW33">
            <v>16.75</v>
          </cell>
          <cell r="BX33">
            <v>16.75</v>
          </cell>
          <cell r="BY33">
            <v>17.75</v>
          </cell>
          <cell r="BZ33">
            <v>18.75</v>
          </cell>
          <cell r="CA33">
            <v>19.25</v>
          </cell>
          <cell r="CB33">
            <v>19.25</v>
          </cell>
          <cell r="CC33">
            <v>19.75</v>
          </cell>
          <cell r="CD33">
            <v>19.75</v>
          </cell>
          <cell r="CE33">
            <v>19.75</v>
          </cell>
          <cell r="CF33">
            <v>19.75</v>
          </cell>
          <cell r="CG33">
            <v>20.25</v>
          </cell>
        </row>
        <row r="34">
          <cell r="F34" t="str">
            <v xml:space="preserve">  Propylene - (chemical grade)</v>
          </cell>
          <cell r="G34">
            <v>14.541666666666666</v>
          </cell>
          <cell r="H34">
            <v>12</v>
          </cell>
          <cell r="I34">
            <v>12.5</v>
          </cell>
          <cell r="J34">
            <v>14.5</v>
          </cell>
          <cell r="K34">
            <v>17.5</v>
          </cell>
          <cell r="L34">
            <v>20.5</v>
          </cell>
          <cell r="M34">
            <v>20.5</v>
          </cell>
          <cell r="N34">
            <v>19.5</v>
          </cell>
          <cell r="O34">
            <v>18</v>
          </cell>
          <cell r="P34">
            <v>17</v>
          </cell>
          <cell r="Q34">
            <v>16</v>
          </cell>
          <cell r="R34">
            <v>15</v>
          </cell>
          <cell r="S34">
            <v>14</v>
          </cell>
          <cell r="T34">
            <v>12.5</v>
          </cell>
          <cell r="U34">
            <v>12.5</v>
          </cell>
          <cell r="V34">
            <v>12.5</v>
          </cell>
          <cell r="W34">
            <v>12.5</v>
          </cell>
          <cell r="X34">
            <v>12.5</v>
          </cell>
          <cell r="Y34">
            <v>12.5</v>
          </cell>
          <cell r="Z34">
            <v>14</v>
          </cell>
          <cell r="AA34">
            <v>13</v>
          </cell>
          <cell r="AB34">
            <v>13</v>
          </cell>
          <cell r="AC34">
            <v>13</v>
          </cell>
          <cell r="AD34">
            <v>13.5</v>
          </cell>
          <cell r="AE34">
            <v>13.75</v>
          </cell>
          <cell r="AF34">
            <v>14</v>
          </cell>
          <cell r="AG34">
            <v>13.75</v>
          </cell>
          <cell r="AH34">
            <v>13.5</v>
          </cell>
          <cell r="AI34">
            <v>13</v>
          </cell>
          <cell r="AJ34">
            <v>12.5</v>
          </cell>
          <cell r="AK34">
            <v>12.25</v>
          </cell>
          <cell r="AL34">
            <v>12.25</v>
          </cell>
          <cell r="AM34">
            <v>12.25</v>
          </cell>
          <cell r="AN34">
            <v>12.25</v>
          </cell>
          <cell r="AO34">
            <v>12.5</v>
          </cell>
          <cell r="AP34">
            <v>12.75</v>
          </cell>
          <cell r="AQ34">
            <v>12.75</v>
          </cell>
          <cell r="AR34">
            <v>12.75</v>
          </cell>
          <cell r="AS34">
            <v>12.25</v>
          </cell>
          <cell r="AT34">
            <v>12</v>
          </cell>
          <cell r="AU34">
            <v>11.75</v>
          </cell>
          <cell r="AV34">
            <v>11.5</v>
          </cell>
          <cell r="AW34">
            <v>11.25</v>
          </cell>
          <cell r="AX34">
            <v>11.25</v>
          </cell>
          <cell r="BN34">
            <v>23.25</v>
          </cell>
          <cell r="BO34">
            <v>23.25</v>
          </cell>
          <cell r="BP34">
            <v>23.25</v>
          </cell>
          <cell r="BQ34">
            <v>22.25</v>
          </cell>
          <cell r="BR34">
            <v>20.25</v>
          </cell>
          <cell r="BS34">
            <v>18.75</v>
          </cell>
          <cell r="BT34">
            <v>17.25</v>
          </cell>
          <cell r="BU34">
            <v>16.25</v>
          </cell>
          <cell r="BV34">
            <v>15.25</v>
          </cell>
          <cell r="BW34">
            <v>15.25</v>
          </cell>
          <cell r="BX34">
            <v>15.25</v>
          </cell>
          <cell r="BY34">
            <v>16.25</v>
          </cell>
          <cell r="BZ34">
            <v>17.25</v>
          </cell>
          <cell r="CA34">
            <v>17.75</v>
          </cell>
          <cell r="CB34">
            <v>17.75</v>
          </cell>
          <cell r="CC34">
            <v>18.25</v>
          </cell>
          <cell r="CD34">
            <v>18.25</v>
          </cell>
          <cell r="CE34">
            <v>18.25</v>
          </cell>
          <cell r="CF34">
            <v>18.25</v>
          </cell>
          <cell r="CG34">
            <v>18.75</v>
          </cell>
        </row>
        <row r="35">
          <cell r="F35" t="str">
            <v>Organic intermediates:</v>
          </cell>
        </row>
        <row r="36">
          <cell r="F36" t="str">
            <v xml:space="preserve">  Acetone (c/lb) - contract</v>
          </cell>
          <cell r="G36">
            <v>22</v>
          </cell>
          <cell r="H36">
            <v>20</v>
          </cell>
          <cell r="I36">
            <v>20</v>
          </cell>
          <cell r="J36">
            <v>20</v>
          </cell>
          <cell r="K36">
            <v>22</v>
          </cell>
          <cell r="L36">
            <v>23</v>
          </cell>
          <cell r="M36">
            <v>24</v>
          </cell>
          <cell r="N36">
            <v>24</v>
          </cell>
          <cell r="O36">
            <v>24</v>
          </cell>
          <cell r="P36">
            <v>24</v>
          </cell>
          <cell r="Q36">
            <v>24</v>
          </cell>
          <cell r="R36">
            <v>24</v>
          </cell>
          <cell r="S36">
            <v>24</v>
          </cell>
          <cell r="T36">
            <v>21</v>
          </cell>
          <cell r="U36">
            <v>21</v>
          </cell>
          <cell r="V36">
            <v>21</v>
          </cell>
          <cell r="W36">
            <v>19</v>
          </cell>
          <cell r="X36">
            <v>19</v>
          </cell>
          <cell r="Y36">
            <v>19</v>
          </cell>
          <cell r="Z36">
            <v>17</v>
          </cell>
          <cell r="AA36">
            <v>17</v>
          </cell>
          <cell r="AB36">
            <v>17</v>
          </cell>
          <cell r="AC36">
            <v>15</v>
          </cell>
          <cell r="AD36">
            <v>15</v>
          </cell>
          <cell r="AE36">
            <v>15</v>
          </cell>
          <cell r="AF36">
            <v>15</v>
          </cell>
          <cell r="AG36">
            <v>15</v>
          </cell>
          <cell r="AH36">
            <v>15</v>
          </cell>
          <cell r="AI36">
            <v>14</v>
          </cell>
          <cell r="AJ36">
            <v>14</v>
          </cell>
          <cell r="AK36">
            <v>14</v>
          </cell>
          <cell r="AL36">
            <v>13</v>
          </cell>
          <cell r="AM36">
            <v>13</v>
          </cell>
          <cell r="AN36">
            <v>13</v>
          </cell>
          <cell r="AO36">
            <v>13</v>
          </cell>
          <cell r="AP36">
            <v>13</v>
          </cell>
          <cell r="AQ36">
            <v>13</v>
          </cell>
          <cell r="AR36">
            <v>13</v>
          </cell>
          <cell r="AS36">
            <v>13</v>
          </cell>
          <cell r="AT36">
            <v>13</v>
          </cell>
          <cell r="AU36">
            <v>11</v>
          </cell>
          <cell r="AV36">
            <v>11</v>
          </cell>
          <cell r="AW36">
            <v>11</v>
          </cell>
          <cell r="AX36">
            <v>10.5</v>
          </cell>
          <cell r="BN36">
            <v>23.75</v>
          </cell>
          <cell r="BO36">
            <v>23.75</v>
          </cell>
          <cell r="BP36">
            <v>26.75</v>
          </cell>
          <cell r="BQ36">
            <v>26.75</v>
          </cell>
          <cell r="BR36">
            <v>26.75</v>
          </cell>
          <cell r="BS36">
            <v>26.75</v>
          </cell>
          <cell r="BT36">
            <v>26.75</v>
          </cell>
          <cell r="BU36">
            <v>26.75</v>
          </cell>
          <cell r="BV36">
            <v>23.75</v>
          </cell>
          <cell r="BW36">
            <v>23.75</v>
          </cell>
          <cell r="BX36">
            <v>23.75</v>
          </cell>
          <cell r="BY36">
            <v>20.5</v>
          </cell>
          <cell r="BZ36">
            <v>20.5</v>
          </cell>
          <cell r="CA36">
            <v>20.5</v>
          </cell>
          <cell r="CB36">
            <v>17.5</v>
          </cell>
          <cell r="CC36">
            <v>17.5</v>
          </cell>
          <cell r="CD36">
            <v>17.5</v>
          </cell>
          <cell r="CE36">
            <v>16</v>
          </cell>
          <cell r="CF36">
            <v>16</v>
          </cell>
          <cell r="CG36">
            <v>16</v>
          </cell>
        </row>
        <row r="37">
          <cell r="F37" t="str">
            <v xml:space="preserve">  Acrylonitrile</v>
          </cell>
          <cell r="G37">
            <v>24.316666666666663</v>
          </cell>
          <cell r="H37">
            <v>28.166666666666668</v>
          </cell>
          <cell r="I37">
            <v>25.849999999999998</v>
          </cell>
          <cell r="J37">
            <v>32.166666666666671</v>
          </cell>
          <cell r="K37">
            <v>58.408333333333331</v>
          </cell>
          <cell r="L37">
            <v>38.166666666666664</v>
          </cell>
          <cell r="M37">
            <v>43.5</v>
          </cell>
          <cell r="T37">
            <v>24.5</v>
          </cell>
          <cell r="U37">
            <v>24</v>
          </cell>
          <cell r="V37">
            <v>23.1</v>
          </cell>
          <cell r="W37">
            <v>23.1</v>
          </cell>
          <cell r="X37">
            <v>25.6</v>
          </cell>
          <cell r="Y37">
            <v>25.6</v>
          </cell>
          <cell r="Z37">
            <v>26.8</v>
          </cell>
          <cell r="AA37">
            <v>26.8</v>
          </cell>
          <cell r="AB37">
            <v>26.8</v>
          </cell>
          <cell r="AC37">
            <v>27.7</v>
          </cell>
          <cell r="AD37">
            <v>27.7</v>
          </cell>
          <cell r="AE37">
            <v>27.7</v>
          </cell>
          <cell r="AF37">
            <v>30</v>
          </cell>
          <cell r="AG37">
            <v>30</v>
          </cell>
          <cell r="AH37">
            <v>30</v>
          </cell>
          <cell r="AI37">
            <v>28.3</v>
          </cell>
          <cell r="AJ37">
            <v>28.3</v>
          </cell>
          <cell r="AK37">
            <v>27.9</v>
          </cell>
          <cell r="AL37">
            <v>27.2</v>
          </cell>
          <cell r="AM37">
            <v>27.2</v>
          </cell>
          <cell r="AN37">
            <v>27.2</v>
          </cell>
          <cell r="AO37">
            <v>27.4</v>
          </cell>
          <cell r="AP37">
            <v>27.4</v>
          </cell>
          <cell r="AQ37">
            <v>27.4</v>
          </cell>
          <cell r="AR37">
            <v>27</v>
          </cell>
          <cell r="AS37">
            <v>27</v>
          </cell>
          <cell r="AT37">
            <v>24.3</v>
          </cell>
          <cell r="AU37">
            <v>23.4</v>
          </cell>
          <cell r="AV37">
            <v>22.7</v>
          </cell>
          <cell r="AW37">
            <v>22</v>
          </cell>
          <cell r="AX37">
            <v>21.5</v>
          </cell>
          <cell r="BN37">
            <v>67</v>
          </cell>
          <cell r="BO37">
            <v>67</v>
          </cell>
          <cell r="BP37">
            <v>67</v>
          </cell>
          <cell r="BQ37">
            <v>64.900000000000006</v>
          </cell>
          <cell r="BR37">
            <v>62</v>
          </cell>
          <cell r="BS37">
            <v>48</v>
          </cell>
          <cell r="BT37">
            <v>45</v>
          </cell>
          <cell r="BU37">
            <v>40</v>
          </cell>
          <cell r="BV37">
            <v>38</v>
          </cell>
          <cell r="BW37">
            <v>37</v>
          </cell>
          <cell r="BX37">
            <v>36</v>
          </cell>
          <cell r="BY37">
            <v>36</v>
          </cell>
          <cell r="BZ37">
            <v>36</v>
          </cell>
          <cell r="CA37">
            <v>37</v>
          </cell>
          <cell r="CB37">
            <v>38</v>
          </cell>
          <cell r="CC37">
            <v>39</v>
          </cell>
          <cell r="CD37">
            <v>40</v>
          </cell>
          <cell r="CE37">
            <v>40.25</v>
          </cell>
          <cell r="CF37">
            <v>40.25</v>
          </cell>
          <cell r="CG37">
            <v>40.5</v>
          </cell>
        </row>
        <row r="38">
          <cell r="F38" t="str">
            <v xml:space="preserve">  Caprolactam ($/ton)</v>
          </cell>
          <cell r="K38">
            <v>1495</v>
          </cell>
          <cell r="L38">
            <v>1448.25</v>
          </cell>
          <cell r="M38">
            <v>1430</v>
          </cell>
          <cell r="BN38">
            <v>1495</v>
          </cell>
          <cell r="BO38">
            <v>1495</v>
          </cell>
          <cell r="BP38">
            <v>1495</v>
          </cell>
          <cell r="BQ38">
            <v>1495</v>
          </cell>
          <cell r="BR38">
            <v>1495</v>
          </cell>
          <cell r="BS38">
            <v>1495</v>
          </cell>
          <cell r="BT38">
            <v>1495</v>
          </cell>
          <cell r="BU38">
            <v>1495</v>
          </cell>
          <cell r="BV38">
            <v>1495</v>
          </cell>
          <cell r="BW38">
            <v>1495</v>
          </cell>
          <cell r="BX38">
            <v>1495</v>
          </cell>
          <cell r="BY38">
            <v>1443</v>
          </cell>
          <cell r="BZ38">
            <v>1443</v>
          </cell>
          <cell r="CA38">
            <v>1443</v>
          </cell>
          <cell r="CB38">
            <v>1430</v>
          </cell>
          <cell r="CC38">
            <v>1430</v>
          </cell>
          <cell r="CD38">
            <v>1430</v>
          </cell>
          <cell r="CE38">
            <v>1425</v>
          </cell>
          <cell r="CF38">
            <v>1425</v>
          </cell>
          <cell r="CG38">
            <v>1425</v>
          </cell>
        </row>
        <row r="39">
          <cell r="F39" t="str">
            <v xml:space="preserve">  Cyclohexane (c/gal)</v>
          </cell>
          <cell r="K39">
            <v>120.20833333333333</v>
          </cell>
          <cell r="L39">
            <v>119.875</v>
          </cell>
          <cell r="M39">
            <v>150.33333333333334</v>
          </cell>
          <cell r="BN39">
            <v>129.5</v>
          </cell>
          <cell r="BO39">
            <v>137</v>
          </cell>
          <cell r="BP39">
            <v>123</v>
          </cell>
          <cell r="BQ39">
            <v>111</v>
          </cell>
          <cell r="BR39">
            <v>108</v>
          </cell>
          <cell r="BS39">
            <v>104</v>
          </cell>
          <cell r="BT39">
            <v>95</v>
          </cell>
          <cell r="BU39">
            <v>103</v>
          </cell>
          <cell r="BV39">
            <v>113</v>
          </cell>
          <cell r="BW39">
            <v>117</v>
          </cell>
          <cell r="BX39">
            <v>113</v>
          </cell>
          <cell r="BY39">
            <v>113</v>
          </cell>
          <cell r="BZ39">
            <v>119.5</v>
          </cell>
          <cell r="CA39">
            <v>117</v>
          </cell>
          <cell r="CB39">
            <v>114</v>
          </cell>
          <cell r="CC39">
            <v>121</v>
          </cell>
          <cell r="CD39">
            <v>133</v>
          </cell>
          <cell r="CE39">
            <v>123</v>
          </cell>
          <cell r="CF39">
            <v>126</v>
          </cell>
          <cell r="CG39">
            <v>129</v>
          </cell>
        </row>
        <row r="40">
          <cell r="F40" t="str">
            <v xml:space="preserve">  Ethylene glycol (fiber) - contract</v>
          </cell>
          <cell r="G40">
            <v>23.3125</v>
          </cell>
          <cell r="H40">
            <v>20</v>
          </cell>
          <cell r="I40">
            <v>22</v>
          </cell>
          <cell r="J40">
            <v>25</v>
          </cell>
          <cell r="K40">
            <v>29</v>
          </cell>
          <cell r="L40">
            <v>30</v>
          </cell>
          <cell r="M40">
            <v>30</v>
          </cell>
          <cell r="N40">
            <v>27</v>
          </cell>
          <cell r="O40">
            <v>26</v>
          </cell>
          <cell r="P40">
            <v>26</v>
          </cell>
          <cell r="Q40">
            <v>25</v>
          </cell>
          <cell r="R40">
            <v>23</v>
          </cell>
          <cell r="S40">
            <v>22</v>
          </cell>
          <cell r="T40">
            <v>22.5</v>
          </cell>
          <cell r="U40">
            <v>22.25</v>
          </cell>
          <cell r="V40">
            <v>21.5</v>
          </cell>
          <cell r="W40">
            <v>21.5</v>
          </cell>
          <cell r="X40">
            <v>21.5</v>
          </cell>
          <cell r="Y40">
            <v>21.5</v>
          </cell>
          <cell r="Z40">
            <v>21</v>
          </cell>
          <cell r="AA40">
            <v>21</v>
          </cell>
          <cell r="AB40">
            <v>21</v>
          </cell>
          <cell r="AC40">
            <v>19.75</v>
          </cell>
          <cell r="AD40">
            <v>19.75</v>
          </cell>
          <cell r="AE40">
            <v>19.75</v>
          </cell>
          <cell r="AF40">
            <v>19.75</v>
          </cell>
          <cell r="AG40">
            <v>19.75</v>
          </cell>
          <cell r="AH40">
            <v>19.75</v>
          </cell>
          <cell r="AI40">
            <v>21.5</v>
          </cell>
          <cell r="AJ40">
            <v>21.5</v>
          </cell>
          <cell r="AK40">
            <v>21.5</v>
          </cell>
          <cell r="AL40">
            <v>20</v>
          </cell>
          <cell r="AM40">
            <v>20</v>
          </cell>
          <cell r="AN40">
            <v>20</v>
          </cell>
          <cell r="AO40">
            <v>18</v>
          </cell>
          <cell r="AP40">
            <v>18</v>
          </cell>
          <cell r="AQ40">
            <v>18</v>
          </cell>
          <cell r="AR40">
            <v>16</v>
          </cell>
          <cell r="AS40">
            <v>16</v>
          </cell>
          <cell r="AT40">
            <v>16</v>
          </cell>
          <cell r="AU40">
            <v>16</v>
          </cell>
          <cell r="AV40">
            <v>16</v>
          </cell>
          <cell r="AW40">
            <v>16</v>
          </cell>
          <cell r="AX40">
            <v>14</v>
          </cell>
          <cell r="BN40">
            <v>26.5</v>
          </cell>
          <cell r="BO40">
            <v>26.5</v>
          </cell>
          <cell r="BP40">
            <v>29.5</v>
          </cell>
          <cell r="BQ40">
            <v>29.5</v>
          </cell>
          <cell r="BR40">
            <v>29.5</v>
          </cell>
          <cell r="BS40">
            <v>29.5</v>
          </cell>
          <cell r="BT40">
            <v>29.5</v>
          </cell>
          <cell r="BU40">
            <v>29.5</v>
          </cell>
          <cell r="BV40">
            <v>27.5</v>
          </cell>
          <cell r="BW40">
            <v>27.5</v>
          </cell>
          <cell r="BX40">
            <v>27.5</v>
          </cell>
          <cell r="BY40">
            <v>27</v>
          </cell>
          <cell r="BZ40">
            <v>27</v>
          </cell>
          <cell r="CA40">
            <v>27</v>
          </cell>
          <cell r="CB40">
            <v>23.5</v>
          </cell>
          <cell r="CC40">
            <v>23.5</v>
          </cell>
          <cell r="CD40">
            <v>23.5</v>
          </cell>
          <cell r="CE40">
            <v>24.75</v>
          </cell>
          <cell r="CF40">
            <v>24.75</v>
          </cell>
          <cell r="CG40">
            <v>24.75</v>
          </cell>
        </row>
        <row r="41">
          <cell r="F41" t="str">
            <v xml:space="preserve">  Ethylene glycol (fiber)</v>
          </cell>
          <cell r="G41">
            <v>21.416666666666668</v>
          </cell>
          <cell r="H41">
            <v>23</v>
          </cell>
          <cell r="I41">
            <v>23</v>
          </cell>
          <cell r="J41">
            <v>23</v>
          </cell>
          <cell r="K41">
            <v>23.5</v>
          </cell>
          <cell r="L41">
            <v>23.5</v>
          </cell>
          <cell r="M41">
            <v>23.5</v>
          </cell>
          <cell r="N41">
            <v>24</v>
          </cell>
          <cell r="O41">
            <v>24</v>
          </cell>
          <cell r="P41">
            <v>22</v>
          </cell>
          <cell r="Q41">
            <v>22</v>
          </cell>
          <cell r="R41">
            <v>22</v>
          </cell>
          <cell r="S41">
            <v>21</v>
          </cell>
          <cell r="T41">
            <v>21</v>
          </cell>
          <cell r="U41">
            <v>21</v>
          </cell>
          <cell r="V41">
            <v>20</v>
          </cell>
          <cell r="W41">
            <v>20</v>
          </cell>
          <cell r="X41">
            <v>20</v>
          </cell>
          <cell r="Y41">
            <v>20</v>
          </cell>
          <cell r="Z41">
            <v>20</v>
          </cell>
          <cell r="AA41">
            <v>20</v>
          </cell>
          <cell r="AB41">
            <v>20</v>
          </cell>
          <cell r="AC41">
            <v>18</v>
          </cell>
          <cell r="AD41">
            <v>18</v>
          </cell>
          <cell r="AE41">
            <v>18</v>
          </cell>
          <cell r="AF41">
            <v>18</v>
          </cell>
          <cell r="AG41">
            <v>18</v>
          </cell>
          <cell r="AH41">
            <v>18</v>
          </cell>
          <cell r="AI41">
            <v>19</v>
          </cell>
          <cell r="AJ41">
            <v>19</v>
          </cell>
          <cell r="AK41">
            <v>19</v>
          </cell>
          <cell r="AL41">
            <v>19</v>
          </cell>
          <cell r="AM41">
            <v>19</v>
          </cell>
          <cell r="AN41">
            <v>19</v>
          </cell>
          <cell r="AO41">
            <v>18</v>
          </cell>
          <cell r="AP41">
            <v>18</v>
          </cell>
          <cell r="AQ41">
            <v>18</v>
          </cell>
          <cell r="AR41">
            <v>17</v>
          </cell>
          <cell r="AS41">
            <v>17</v>
          </cell>
          <cell r="AT41">
            <v>17</v>
          </cell>
          <cell r="AU41">
            <v>16</v>
          </cell>
          <cell r="AV41">
            <v>16</v>
          </cell>
          <cell r="AW41">
            <v>16</v>
          </cell>
          <cell r="AX41">
            <v>15.5</v>
          </cell>
          <cell r="BN41">
            <v>26.5</v>
          </cell>
          <cell r="BO41">
            <v>26.5</v>
          </cell>
          <cell r="BP41">
            <v>29.5</v>
          </cell>
          <cell r="BQ41">
            <v>29.5</v>
          </cell>
          <cell r="BR41">
            <v>29.5</v>
          </cell>
          <cell r="BS41">
            <v>29.5</v>
          </cell>
          <cell r="BT41">
            <v>29.5</v>
          </cell>
          <cell r="BU41">
            <v>29.5</v>
          </cell>
          <cell r="BV41">
            <v>29.5</v>
          </cell>
          <cell r="BW41">
            <v>29.5</v>
          </cell>
          <cell r="BX41">
            <v>29.5</v>
          </cell>
          <cell r="BY41">
            <v>27.5</v>
          </cell>
          <cell r="BZ41">
            <v>27.5</v>
          </cell>
          <cell r="CA41">
            <v>27.5</v>
          </cell>
          <cell r="CB41">
            <v>25</v>
          </cell>
          <cell r="CC41">
            <v>25</v>
          </cell>
          <cell r="CD41">
            <v>25</v>
          </cell>
          <cell r="CE41">
            <v>27</v>
          </cell>
          <cell r="CF41">
            <v>27</v>
          </cell>
          <cell r="CG41">
            <v>27</v>
          </cell>
        </row>
        <row r="42">
          <cell r="F42" t="str">
            <v xml:space="preserve">  Ethylene glycol (anti-freeze)</v>
          </cell>
          <cell r="N42">
            <v>18.833333333333332</v>
          </cell>
          <cell r="O42">
            <v>18.75</v>
          </cell>
          <cell r="P42">
            <v>24.333333333333332</v>
          </cell>
          <cell r="Q42">
            <v>22.125</v>
          </cell>
          <cell r="S42" t="e">
            <v>#DIV/0!</v>
          </cell>
        </row>
        <row r="43">
          <cell r="F43" t="str">
            <v xml:space="preserve">  Phenol (c/lb) - contract (med buy low)</v>
          </cell>
          <cell r="G43">
            <v>28.166666666666668</v>
          </cell>
          <cell r="H43">
            <v>35</v>
          </cell>
          <cell r="I43">
            <v>35</v>
          </cell>
          <cell r="J43">
            <v>35</v>
          </cell>
          <cell r="K43">
            <v>40</v>
          </cell>
          <cell r="L43">
            <v>41</v>
          </cell>
          <cell r="M43">
            <v>37</v>
          </cell>
          <cell r="N43">
            <v>34</v>
          </cell>
          <cell r="O43">
            <v>33</v>
          </cell>
          <cell r="P43">
            <v>29</v>
          </cell>
          <cell r="Q43">
            <v>27</v>
          </cell>
          <cell r="R43">
            <v>27</v>
          </cell>
          <cell r="S43">
            <v>26</v>
          </cell>
          <cell r="T43">
            <v>26</v>
          </cell>
          <cell r="U43">
            <v>26</v>
          </cell>
          <cell r="V43">
            <v>26</v>
          </cell>
          <cell r="W43">
            <v>28</v>
          </cell>
          <cell r="X43">
            <v>28</v>
          </cell>
          <cell r="Y43">
            <v>28</v>
          </cell>
          <cell r="Z43">
            <v>24</v>
          </cell>
          <cell r="AA43">
            <v>24</v>
          </cell>
          <cell r="AB43">
            <v>24</v>
          </cell>
          <cell r="AC43">
            <v>27</v>
          </cell>
          <cell r="AD43">
            <v>27</v>
          </cell>
          <cell r="AE43">
            <v>27</v>
          </cell>
          <cell r="AF43">
            <v>29</v>
          </cell>
          <cell r="AG43">
            <v>29</v>
          </cell>
          <cell r="AH43">
            <v>27.5</v>
          </cell>
          <cell r="AI43">
            <v>26</v>
          </cell>
          <cell r="AJ43">
            <v>26</v>
          </cell>
          <cell r="AK43">
            <v>26</v>
          </cell>
          <cell r="AL43">
            <v>28</v>
          </cell>
          <cell r="AM43">
            <v>28</v>
          </cell>
          <cell r="AN43">
            <v>28</v>
          </cell>
          <cell r="AO43">
            <v>31</v>
          </cell>
          <cell r="AP43">
            <v>31</v>
          </cell>
          <cell r="AQ43">
            <v>31</v>
          </cell>
          <cell r="AR43">
            <v>30</v>
          </cell>
          <cell r="AS43">
            <v>29</v>
          </cell>
          <cell r="AT43">
            <v>27</v>
          </cell>
          <cell r="AU43">
            <v>27</v>
          </cell>
          <cell r="AV43">
            <v>27</v>
          </cell>
          <cell r="AW43">
            <v>25</v>
          </cell>
          <cell r="AX43">
            <v>23.5</v>
          </cell>
          <cell r="BN43">
            <v>36.5</v>
          </cell>
          <cell r="BO43">
            <v>35.5</v>
          </cell>
          <cell r="BP43">
            <v>34.5</v>
          </cell>
          <cell r="BQ43">
            <v>34.5</v>
          </cell>
          <cell r="BR43">
            <v>32.5</v>
          </cell>
          <cell r="BS43">
            <v>30.5</v>
          </cell>
          <cell r="BT43">
            <v>29.5</v>
          </cell>
          <cell r="BU43">
            <v>28.5</v>
          </cell>
          <cell r="BV43">
            <v>28.5</v>
          </cell>
          <cell r="BW43">
            <v>28.5</v>
          </cell>
          <cell r="BX43">
            <v>28.5</v>
          </cell>
          <cell r="BY43">
            <v>30.5</v>
          </cell>
          <cell r="BZ43">
            <v>30.5</v>
          </cell>
          <cell r="CA43">
            <v>30.5</v>
          </cell>
          <cell r="CB43">
            <v>33.5</v>
          </cell>
          <cell r="CC43">
            <v>33.5</v>
          </cell>
          <cell r="CD43">
            <v>33.5</v>
          </cell>
          <cell r="CE43">
            <v>35.5</v>
          </cell>
          <cell r="CF43">
            <v>35.5</v>
          </cell>
          <cell r="CG43">
            <v>35.5</v>
          </cell>
        </row>
        <row r="44">
          <cell r="F44" t="str">
            <v xml:space="preserve">  Styrene - Net Industry Avg</v>
          </cell>
          <cell r="G44">
            <v>26.594166666666666</v>
          </cell>
          <cell r="H44">
            <v>34.18</v>
          </cell>
          <cell r="I44">
            <v>34.85</v>
          </cell>
          <cell r="J44">
            <v>37.96</v>
          </cell>
          <cell r="K44">
            <v>40.99</v>
          </cell>
          <cell r="L44">
            <v>41.78</v>
          </cell>
          <cell r="M44">
            <v>36.72</v>
          </cell>
          <cell r="N44">
            <v>34.11</v>
          </cell>
          <cell r="O44">
            <v>32.21</v>
          </cell>
          <cell r="P44">
            <v>27.45</v>
          </cell>
          <cell r="Q44">
            <v>26.46</v>
          </cell>
          <cell r="R44">
            <v>25.47</v>
          </cell>
          <cell r="S44">
            <v>24.72</v>
          </cell>
          <cell r="T44">
            <v>23.29</v>
          </cell>
          <cell r="U44">
            <v>23.88</v>
          </cell>
          <cell r="V44">
            <v>24.63</v>
          </cell>
          <cell r="W44">
            <v>25.48</v>
          </cell>
          <cell r="X44">
            <v>25.76</v>
          </cell>
          <cell r="Y44">
            <v>25.67</v>
          </cell>
          <cell r="Z44">
            <v>23.7</v>
          </cell>
          <cell r="AA44">
            <v>22.71</v>
          </cell>
          <cell r="AB44">
            <v>22.72</v>
          </cell>
          <cell r="AC44">
            <v>23.27</v>
          </cell>
          <cell r="AD44">
            <v>23.98</v>
          </cell>
          <cell r="AE44">
            <v>25.01</v>
          </cell>
          <cell r="AF44">
            <v>26.27</v>
          </cell>
          <cell r="AG44">
            <v>25.74</v>
          </cell>
          <cell r="AH44">
            <v>24.59</v>
          </cell>
          <cell r="AI44">
            <v>22.47</v>
          </cell>
          <cell r="AJ44">
            <v>22.92</v>
          </cell>
          <cell r="AK44">
            <v>22.39</v>
          </cell>
          <cell r="AL44">
            <v>22.27</v>
          </cell>
          <cell r="AM44">
            <v>22.55</v>
          </cell>
          <cell r="AN44">
            <v>22.8</v>
          </cell>
          <cell r="AO44">
            <v>23.21</v>
          </cell>
          <cell r="AP44">
            <v>23.69</v>
          </cell>
          <cell r="AQ44">
            <v>23.67</v>
          </cell>
          <cell r="AR44">
            <v>23.15</v>
          </cell>
          <cell r="AS44">
            <v>23.07</v>
          </cell>
          <cell r="AT44">
            <v>22.98</v>
          </cell>
          <cell r="AU44">
            <v>22.25</v>
          </cell>
          <cell r="AV44">
            <v>22.1</v>
          </cell>
          <cell r="AW44">
            <v>20.97</v>
          </cell>
          <cell r="AX44">
            <v>20.68</v>
          </cell>
          <cell r="BN44">
            <v>37.06</v>
          </cell>
          <cell r="BO44">
            <v>36.11</v>
          </cell>
          <cell r="BP44">
            <v>33.840000000000003</v>
          </cell>
          <cell r="BQ44">
            <v>30.05</v>
          </cell>
          <cell r="BR44">
            <v>26.47</v>
          </cell>
          <cell r="BS44">
            <v>23.78</v>
          </cell>
          <cell r="BT44">
            <v>23</v>
          </cell>
          <cell r="BU44">
            <v>22.91</v>
          </cell>
          <cell r="BV44">
            <v>22.97</v>
          </cell>
          <cell r="BW44">
            <v>23.49</v>
          </cell>
          <cell r="BX44">
            <v>23.63</v>
          </cell>
          <cell r="BY44">
            <v>25.35</v>
          </cell>
          <cell r="BZ44">
            <v>25.71</v>
          </cell>
          <cell r="CA44">
            <v>25.56</v>
          </cell>
          <cell r="CB44">
            <v>25.66</v>
          </cell>
          <cell r="CC44">
            <v>25.19</v>
          </cell>
          <cell r="CD44">
            <v>26.25</v>
          </cell>
          <cell r="CE44">
            <v>24.55</v>
          </cell>
          <cell r="CF44">
            <v>24.08</v>
          </cell>
          <cell r="CG44">
            <v>24</v>
          </cell>
        </row>
        <row r="45">
          <cell r="F45" t="str">
            <v xml:space="preserve">  VCM</v>
          </cell>
          <cell r="G45">
            <v>14.874999999999998</v>
          </cell>
          <cell r="H45">
            <v>19</v>
          </cell>
          <cell r="I45">
            <v>19</v>
          </cell>
          <cell r="J45">
            <v>20</v>
          </cell>
          <cell r="K45">
            <v>21</v>
          </cell>
          <cell r="L45">
            <v>22</v>
          </cell>
          <cell r="M45">
            <v>21</v>
          </cell>
          <cell r="N45">
            <v>19</v>
          </cell>
          <cell r="O45">
            <v>18</v>
          </cell>
          <cell r="P45">
            <v>16</v>
          </cell>
          <cell r="Q45">
            <v>16</v>
          </cell>
          <cell r="R45">
            <v>14</v>
          </cell>
          <cell r="S45">
            <v>14</v>
          </cell>
          <cell r="T45">
            <v>13.2</v>
          </cell>
          <cell r="U45">
            <v>13.5</v>
          </cell>
          <cell r="V45">
            <v>13.5</v>
          </cell>
          <cell r="W45">
            <v>14.2</v>
          </cell>
          <cell r="X45">
            <v>13.7</v>
          </cell>
          <cell r="Y45">
            <v>13.4</v>
          </cell>
          <cell r="Z45">
            <v>13</v>
          </cell>
          <cell r="AA45">
            <v>12.5</v>
          </cell>
          <cell r="AB45">
            <v>12.75</v>
          </cell>
          <cell r="AC45">
            <v>12.95</v>
          </cell>
          <cell r="AD45">
            <v>13.45</v>
          </cell>
          <cell r="AE45">
            <v>13.95</v>
          </cell>
          <cell r="AF45">
            <v>14.45</v>
          </cell>
          <cell r="AG45">
            <v>14.45</v>
          </cell>
          <cell r="AH45">
            <v>14.2</v>
          </cell>
          <cell r="AI45">
            <v>14.2</v>
          </cell>
          <cell r="AJ45">
            <v>14.45</v>
          </cell>
          <cell r="AK45">
            <v>14.45</v>
          </cell>
          <cell r="AL45">
            <v>14.95</v>
          </cell>
          <cell r="AM45">
            <v>14.95</v>
          </cell>
          <cell r="AN45">
            <v>15.45</v>
          </cell>
          <cell r="AO45">
            <v>15.7</v>
          </cell>
          <cell r="AP45">
            <v>16.2</v>
          </cell>
          <cell r="AQ45">
            <v>16.45</v>
          </cell>
          <cell r="AR45">
            <v>16.7</v>
          </cell>
          <cell r="AS45">
            <v>16.95</v>
          </cell>
          <cell r="AT45">
            <v>17.95</v>
          </cell>
          <cell r="AU45">
            <v>18.2</v>
          </cell>
          <cell r="AV45">
            <v>18.2</v>
          </cell>
          <cell r="AW45">
            <v>17.95</v>
          </cell>
          <cell r="AX45">
            <v>17.7</v>
          </cell>
          <cell r="BN45">
            <v>26.45</v>
          </cell>
          <cell r="BO45">
            <v>26.2</v>
          </cell>
          <cell r="BP45">
            <v>25.2</v>
          </cell>
          <cell r="BQ45">
            <v>23.45</v>
          </cell>
          <cell r="BR45">
            <v>21.95</v>
          </cell>
          <cell r="BS45">
            <v>20.45</v>
          </cell>
          <cell r="BT45">
            <v>18.95</v>
          </cell>
          <cell r="BU45">
            <v>17.45</v>
          </cell>
          <cell r="BV45">
            <v>17.25</v>
          </cell>
          <cell r="BW45">
            <v>17.25</v>
          </cell>
          <cell r="BX45">
            <v>18.25</v>
          </cell>
          <cell r="BY45">
            <v>19.5</v>
          </cell>
          <cell r="BZ45">
            <v>20.5</v>
          </cell>
          <cell r="CA45">
            <v>21.25</v>
          </cell>
          <cell r="CB45">
            <v>21.5</v>
          </cell>
          <cell r="CC45">
            <v>21.25</v>
          </cell>
          <cell r="CD45">
            <v>21.25</v>
          </cell>
          <cell r="CE45">
            <v>21</v>
          </cell>
          <cell r="CF45">
            <v>20.5</v>
          </cell>
          <cell r="CG45">
            <v>20.25</v>
          </cell>
        </row>
        <row r="46">
          <cell r="F46" t="str">
            <v xml:space="preserve">  VAM</v>
          </cell>
          <cell r="G46">
            <v>33.833333333333336</v>
          </cell>
          <cell r="H46">
            <v>32</v>
          </cell>
          <cell r="I46">
            <v>32</v>
          </cell>
          <cell r="J46">
            <v>32</v>
          </cell>
          <cell r="K46">
            <v>34.5</v>
          </cell>
          <cell r="L46">
            <v>36.5</v>
          </cell>
          <cell r="M46">
            <v>36.5</v>
          </cell>
          <cell r="N46">
            <v>36.5</v>
          </cell>
          <cell r="O46">
            <v>36.5</v>
          </cell>
          <cell r="P46">
            <v>36.5</v>
          </cell>
          <cell r="Q46">
            <v>34.5</v>
          </cell>
          <cell r="R46">
            <v>34.5</v>
          </cell>
          <cell r="S46">
            <v>34.5</v>
          </cell>
          <cell r="T46">
            <v>33</v>
          </cell>
          <cell r="U46">
            <v>32</v>
          </cell>
          <cell r="V46">
            <v>32</v>
          </cell>
          <cell r="W46">
            <v>32</v>
          </cell>
          <cell r="X46">
            <v>32</v>
          </cell>
          <cell r="Y46">
            <v>32</v>
          </cell>
          <cell r="Z46">
            <v>33</v>
          </cell>
          <cell r="AA46">
            <v>32</v>
          </cell>
          <cell r="AB46">
            <v>31</v>
          </cell>
          <cell r="AC46">
            <v>31</v>
          </cell>
          <cell r="AD46">
            <v>31</v>
          </cell>
          <cell r="AE46">
            <v>30</v>
          </cell>
          <cell r="AF46">
            <v>30</v>
          </cell>
          <cell r="AG46">
            <v>30</v>
          </cell>
          <cell r="AH46">
            <v>30</v>
          </cell>
          <cell r="AI46">
            <v>30</v>
          </cell>
          <cell r="AJ46">
            <v>30</v>
          </cell>
          <cell r="AK46">
            <v>30</v>
          </cell>
          <cell r="AL46">
            <v>31</v>
          </cell>
          <cell r="AM46">
            <v>31</v>
          </cell>
          <cell r="AN46">
            <v>31</v>
          </cell>
          <cell r="AO46">
            <v>30.5</v>
          </cell>
          <cell r="AP46">
            <v>30.5</v>
          </cell>
          <cell r="AQ46">
            <v>30.5</v>
          </cell>
          <cell r="AR46">
            <v>30.5</v>
          </cell>
          <cell r="AS46">
            <v>31.5</v>
          </cell>
          <cell r="AT46">
            <v>31.5</v>
          </cell>
          <cell r="AU46">
            <v>31.5</v>
          </cell>
          <cell r="AV46">
            <v>31.5</v>
          </cell>
          <cell r="AW46">
            <v>31.5</v>
          </cell>
          <cell r="AX46">
            <v>31.5</v>
          </cell>
          <cell r="BN46">
            <v>41.5</v>
          </cell>
          <cell r="BO46">
            <v>41.5</v>
          </cell>
          <cell r="BP46">
            <v>41.5</v>
          </cell>
          <cell r="BQ46">
            <v>41.5</v>
          </cell>
          <cell r="BR46">
            <v>41.5</v>
          </cell>
          <cell r="BS46">
            <v>40</v>
          </cell>
          <cell r="BT46">
            <v>40</v>
          </cell>
          <cell r="BU46">
            <v>39.5</v>
          </cell>
          <cell r="BV46">
            <v>38.5</v>
          </cell>
          <cell r="BW46">
            <v>38</v>
          </cell>
          <cell r="BX46">
            <v>36</v>
          </cell>
          <cell r="BY46">
            <v>34</v>
          </cell>
          <cell r="BZ46">
            <v>31</v>
          </cell>
          <cell r="CA46">
            <v>30</v>
          </cell>
          <cell r="CB46">
            <v>32</v>
          </cell>
          <cell r="CC46">
            <v>32</v>
          </cell>
          <cell r="CD46">
            <v>32</v>
          </cell>
          <cell r="CE46">
            <v>32</v>
          </cell>
          <cell r="CF46">
            <v>32</v>
          </cell>
          <cell r="CG46">
            <v>32</v>
          </cell>
        </row>
        <row r="47">
          <cell r="F47" t="str">
            <v xml:space="preserve">  PTA (c/lb) - contract formula</v>
          </cell>
          <cell r="G47">
            <v>27.053333333333331</v>
          </cell>
          <cell r="H47">
            <v>26.72</v>
          </cell>
          <cell r="I47">
            <v>26.72</v>
          </cell>
          <cell r="J47">
            <v>26.72</v>
          </cell>
          <cell r="K47">
            <v>31.71</v>
          </cell>
          <cell r="L47">
            <v>31.71</v>
          </cell>
          <cell r="M47">
            <v>31.71</v>
          </cell>
          <cell r="N47">
            <v>30.05</v>
          </cell>
          <cell r="O47">
            <v>30.05</v>
          </cell>
          <cell r="P47">
            <v>28.38</v>
          </cell>
          <cell r="Q47">
            <v>26.67</v>
          </cell>
          <cell r="R47">
            <v>26.67</v>
          </cell>
          <cell r="S47">
            <v>26.67</v>
          </cell>
          <cell r="T47">
            <v>26.08</v>
          </cell>
          <cell r="U47">
            <v>26.08</v>
          </cell>
          <cell r="V47">
            <v>26.08</v>
          </cell>
          <cell r="W47">
            <v>25.97</v>
          </cell>
          <cell r="X47">
            <v>25.97</v>
          </cell>
          <cell r="Y47">
            <v>25.97</v>
          </cell>
          <cell r="Z47">
            <v>26.18</v>
          </cell>
          <cell r="AA47">
            <v>26.01</v>
          </cell>
          <cell r="AB47">
            <v>26.01</v>
          </cell>
          <cell r="AC47">
            <v>26.68</v>
          </cell>
          <cell r="AD47">
            <v>26.68</v>
          </cell>
          <cell r="AE47">
            <v>26.68</v>
          </cell>
          <cell r="AF47">
            <v>27.24</v>
          </cell>
          <cell r="AG47">
            <v>27.24</v>
          </cell>
          <cell r="AH47">
            <v>27.24</v>
          </cell>
          <cell r="AI47">
            <v>26.8</v>
          </cell>
          <cell r="AJ47">
            <v>26.8</v>
          </cell>
          <cell r="AK47">
            <v>26.8</v>
          </cell>
          <cell r="AL47">
            <v>26.82</v>
          </cell>
          <cell r="AM47">
            <v>26.82</v>
          </cell>
          <cell r="AN47">
            <v>26.82</v>
          </cell>
          <cell r="AO47">
            <v>27.07</v>
          </cell>
          <cell r="AP47">
            <v>27.07</v>
          </cell>
          <cell r="AQ47">
            <v>27.07</v>
          </cell>
          <cell r="AR47">
            <v>27.25</v>
          </cell>
          <cell r="AS47">
            <v>27.25</v>
          </cell>
          <cell r="AT47">
            <v>27.25</v>
          </cell>
          <cell r="AU47">
            <v>27.16</v>
          </cell>
          <cell r="AV47">
            <v>27.16</v>
          </cell>
          <cell r="AW47">
            <v>27.16</v>
          </cell>
          <cell r="AX47">
            <v>27.78</v>
          </cell>
          <cell r="BN47">
            <v>37.049999999999997</v>
          </cell>
          <cell r="BO47">
            <v>37.049999999999997</v>
          </cell>
          <cell r="BP47">
            <v>40.020000000000003</v>
          </cell>
          <cell r="BQ47">
            <v>40.020000000000003</v>
          </cell>
          <cell r="BR47">
            <v>40.020000000000003</v>
          </cell>
          <cell r="BS47">
            <v>40.700000000000003</v>
          </cell>
          <cell r="BT47">
            <v>40.700000000000003</v>
          </cell>
          <cell r="BU47">
            <v>40.700000000000003</v>
          </cell>
          <cell r="BV47">
            <v>40.82</v>
          </cell>
          <cell r="BW47">
            <v>36.76</v>
          </cell>
          <cell r="BX47">
            <v>40.82</v>
          </cell>
          <cell r="BY47">
            <v>36.76</v>
          </cell>
          <cell r="BZ47">
            <v>36.76</v>
          </cell>
          <cell r="CA47">
            <v>36.76</v>
          </cell>
          <cell r="CB47">
            <v>28.35</v>
          </cell>
          <cell r="CC47">
            <v>28.35</v>
          </cell>
          <cell r="CD47">
            <v>26.44</v>
          </cell>
          <cell r="CE47">
            <v>26.94</v>
          </cell>
          <cell r="CF47">
            <v>26.93</v>
          </cell>
          <cell r="CG47">
            <v>26.95</v>
          </cell>
        </row>
        <row r="49">
          <cell r="F49" t="str">
            <v>Plastics:</v>
          </cell>
        </row>
        <row r="50">
          <cell r="F50" t="str">
            <v xml:space="preserve">  HDPE - bm grade</v>
          </cell>
          <cell r="G50">
            <v>37.208333333333336</v>
          </cell>
          <cell r="H50">
            <v>40</v>
          </cell>
          <cell r="I50">
            <v>40</v>
          </cell>
          <cell r="J50">
            <v>41</v>
          </cell>
          <cell r="K50">
            <v>45</v>
          </cell>
          <cell r="L50">
            <v>47</v>
          </cell>
          <cell r="M50">
            <v>50</v>
          </cell>
          <cell r="N50">
            <v>49</v>
          </cell>
          <cell r="O50">
            <v>48</v>
          </cell>
          <cell r="P50">
            <v>45</v>
          </cell>
          <cell r="Q50">
            <v>41</v>
          </cell>
          <cell r="R50">
            <v>39</v>
          </cell>
          <cell r="S50">
            <v>35</v>
          </cell>
          <cell r="T50">
            <v>33</v>
          </cell>
          <cell r="U50">
            <v>32</v>
          </cell>
          <cell r="V50">
            <v>31.5</v>
          </cell>
          <cell r="W50">
            <v>31</v>
          </cell>
          <cell r="X50">
            <v>31</v>
          </cell>
          <cell r="Y50">
            <v>31</v>
          </cell>
          <cell r="Z50">
            <v>31</v>
          </cell>
          <cell r="AA50">
            <v>30</v>
          </cell>
          <cell r="AB50">
            <v>29</v>
          </cell>
          <cell r="AC50">
            <v>29</v>
          </cell>
          <cell r="AD50">
            <v>29</v>
          </cell>
          <cell r="AE50">
            <v>29.25</v>
          </cell>
          <cell r="AF50">
            <v>29.75</v>
          </cell>
          <cell r="AG50">
            <v>30</v>
          </cell>
          <cell r="AH50">
            <v>30</v>
          </cell>
          <cell r="AI50">
            <v>30</v>
          </cell>
          <cell r="AJ50">
            <v>30</v>
          </cell>
          <cell r="AK50">
            <v>30</v>
          </cell>
          <cell r="AL50">
            <v>30</v>
          </cell>
          <cell r="AM50">
            <v>29</v>
          </cell>
          <cell r="AN50">
            <v>28</v>
          </cell>
          <cell r="AO50">
            <v>27</v>
          </cell>
          <cell r="AP50">
            <v>27</v>
          </cell>
          <cell r="AQ50">
            <v>28.5</v>
          </cell>
          <cell r="AR50">
            <v>30</v>
          </cell>
          <cell r="AS50">
            <v>30</v>
          </cell>
          <cell r="AT50">
            <v>30</v>
          </cell>
          <cell r="AU50">
            <v>29.5</v>
          </cell>
          <cell r="AV50">
            <v>29</v>
          </cell>
          <cell r="AW50">
            <v>28</v>
          </cell>
          <cell r="AX50">
            <v>28</v>
          </cell>
          <cell r="BN50">
            <v>48</v>
          </cell>
          <cell r="BO50">
            <v>47</v>
          </cell>
          <cell r="BP50">
            <v>44</v>
          </cell>
          <cell r="BQ50">
            <v>42</v>
          </cell>
          <cell r="BR50">
            <v>40</v>
          </cell>
          <cell r="BS50">
            <v>38</v>
          </cell>
          <cell r="BT50">
            <v>35</v>
          </cell>
          <cell r="BU50">
            <v>33</v>
          </cell>
          <cell r="BV50">
            <v>33</v>
          </cell>
          <cell r="BW50">
            <v>32</v>
          </cell>
          <cell r="BX50">
            <v>32</v>
          </cell>
          <cell r="BY50">
            <v>35</v>
          </cell>
          <cell r="BZ50">
            <v>35</v>
          </cell>
          <cell r="CA50">
            <v>38</v>
          </cell>
          <cell r="CB50">
            <v>41</v>
          </cell>
          <cell r="CC50">
            <v>43</v>
          </cell>
          <cell r="CD50">
            <v>45</v>
          </cell>
          <cell r="CE50">
            <v>45</v>
          </cell>
          <cell r="CF50">
            <v>43</v>
          </cell>
          <cell r="CG50">
            <v>42</v>
          </cell>
        </row>
        <row r="51">
          <cell r="F51" t="str">
            <v xml:space="preserve">  LDPE - film - gp grade</v>
          </cell>
          <cell r="G51">
            <v>33.333333333333336</v>
          </cell>
          <cell r="H51">
            <v>38</v>
          </cell>
          <cell r="I51">
            <v>39</v>
          </cell>
          <cell r="J51">
            <v>40</v>
          </cell>
          <cell r="K51">
            <v>43</v>
          </cell>
          <cell r="L51">
            <v>44</v>
          </cell>
          <cell r="M51">
            <v>45</v>
          </cell>
          <cell r="N51">
            <v>44</v>
          </cell>
          <cell r="O51">
            <v>41</v>
          </cell>
          <cell r="P51">
            <v>39</v>
          </cell>
          <cell r="Q51">
            <v>37</v>
          </cell>
          <cell r="R51">
            <v>30</v>
          </cell>
          <cell r="S51">
            <v>27</v>
          </cell>
          <cell r="T51">
            <v>28</v>
          </cell>
          <cell r="U51">
            <v>28</v>
          </cell>
          <cell r="V51">
            <v>30</v>
          </cell>
          <cell r="W51">
            <v>32</v>
          </cell>
          <cell r="X51">
            <v>32</v>
          </cell>
          <cell r="Y51">
            <v>32</v>
          </cell>
          <cell r="Z51">
            <v>31</v>
          </cell>
          <cell r="AA51">
            <v>30.5</v>
          </cell>
          <cell r="AB51">
            <v>30</v>
          </cell>
          <cell r="AC51">
            <v>30</v>
          </cell>
          <cell r="AD51">
            <v>30.5</v>
          </cell>
          <cell r="AE51">
            <v>32</v>
          </cell>
          <cell r="AF51">
            <v>33</v>
          </cell>
          <cell r="AG51">
            <v>33</v>
          </cell>
          <cell r="AH51">
            <v>33</v>
          </cell>
          <cell r="AI51">
            <v>34</v>
          </cell>
          <cell r="AJ51">
            <v>34</v>
          </cell>
          <cell r="AK51">
            <v>34</v>
          </cell>
          <cell r="AL51">
            <v>34</v>
          </cell>
          <cell r="AM51">
            <v>33.5</v>
          </cell>
          <cell r="AN51">
            <v>33</v>
          </cell>
          <cell r="AO51">
            <v>32</v>
          </cell>
          <cell r="AP51">
            <v>31</v>
          </cell>
          <cell r="AQ51">
            <v>30</v>
          </cell>
          <cell r="AR51">
            <v>30</v>
          </cell>
          <cell r="AS51">
            <v>30</v>
          </cell>
          <cell r="AT51">
            <v>29.5</v>
          </cell>
          <cell r="AU51">
            <v>29</v>
          </cell>
          <cell r="AV51">
            <v>28</v>
          </cell>
          <cell r="AW51">
            <v>28</v>
          </cell>
          <cell r="AX51">
            <v>28</v>
          </cell>
          <cell r="BN51">
            <v>50</v>
          </cell>
          <cell r="BO51">
            <v>49</v>
          </cell>
          <cell r="BP51">
            <v>47</v>
          </cell>
          <cell r="BQ51">
            <v>45</v>
          </cell>
          <cell r="BR51">
            <v>43</v>
          </cell>
          <cell r="BS51">
            <v>41</v>
          </cell>
          <cell r="BT51">
            <v>38</v>
          </cell>
          <cell r="BU51">
            <v>36</v>
          </cell>
          <cell r="BV51">
            <v>35</v>
          </cell>
          <cell r="BW51">
            <v>34</v>
          </cell>
          <cell r="BX51">
            <v>34</v>
          </cell>
          <cell r="BY51">
            <v>38</v>
          </cell>
          <cell r="BZ51">
            <v>39</v>
          </cell>
          <cell r="CA51">
            <v>42</v>
          </cell>
          <cell r="CB51">
            <v>43</v>
          </cell>
          <cell r="CC51">
            <v>45</v>
          </cell>
          <cell r="CD51">
            <v>47</v>
          </cell>
          <cell r="CE51">
            <v>47</v>
          </cell>
          <cell r="CF51">
            <v>45</v>
          </cell>
          <cell r="CG51">
            <v>44</v>
          </cell>
        </row>
        <row r="52">
          <cell r="F52" t="str">
            <v xml:space="preserve">  LLDPE - film - butane film grade</v>
          </cell>
          <cell r="G52">
            <v>31.833333333333332</v>
          </cell>
          <cell r="H52">
            <v>35</v>
          </cell>
          <cell r="I52">
            <v>36</v>
          </cell>
          <cell r="J52">
            <v>37</v>
          </cell>
          <cell r="K52">
            <v>40</v>
          </cell>
          <cell r="L52">
            <v>41</v>
          </cell>
          <cell r="M52">
            <v>42</v>
          </cell>
          <cell r="N52">
            <v>41</v>
          </cell>
          <cell r="O52">
            <v>40</v>
          </cell>
          <cell r="P52">
            <v>36</v>
          </cell>
          <cell r="Q52">
            <v>33</v>
          </cell>
          <cell r="R52">
            <v>29</v>
          </cell>
          <cell r="S52">
            <v>27</v>
          </cell>
          <cell r="T52">
            <v>27</v>
          </cell>
          <cell r="U52">
            <v>27</v>
          </cell>
          <cell r="V52">
            <v>29</v>
          </cell>
          <cell r="W52">
            <v>31</v>
          </cell>
          <cell r="X52">
            <v>31</v>
          </cell>
          <cell r="Y52">
            <v>31</v>
          </cell>
          <cell r="Z52">
            <v>29</v>
          </cell>
          <cell r="AA52">
            <v>28</v>
          </cell>
          <cell r="AB52">
            <v>27.5</v>
          </cell>
          <cell r="AC52">
            <v>27.5</v>
          </cell>
          <cell r="AD52">
            <v>27.5</v>
          </cell>
          <cell r="AE52">
            <v>27.5</v>
          </cell>
          <cell r="AF52">
            <v>27</v>
          </cell>
          <cell r="AG52">
            <v>27</v>
          </cell>
          <cell r="AH52">
            <v>28</v>
          </cell>
          <cell r="AI52">
            <v>28.5</v>
          </cell>
          <cell r="AJ52">
            <v>29</v>
          </cell>
          <cell r="AK52">
            <v>29</v>
          </cell>
          <cell r="AL52">
            <v>28</v>
          </cell>
          <cell r="AM52">
            <v>28</v>
          </cell>
          <cell r="AN52">
            <v>28</v>
          </cell>
          <cell r="AO52">
            <v>28</v>
          </cell>
          <cell r="AP52">
            <v>27.5</v>
          </cell>
          <cell r="AQ52">
            <v>27.5</v>
          </cell>
          <cell r="AR52">
            <v>27</v>
          </cell>
          <cell r="AS52">
            <v>26</v>
          </cell>
          <cell r="AT52">
            <v>25.5</v>
          </cell>
          <cell r="AU52">
            <v>25</v>
          </cell>
          <cell r="AV52">
            <v>25</v>
          </cell>
          <cell r="AW52">
            <v>25</v>
          </cell>
          <cell r="AX52">
            <v>25</v>
          </cell>
          <cell r="BN52">
            <v>46</v>
          </cell>
          <cell r="BO52">
            <v>45</v>
          </cell>
          <cell r="BP52">
            <v>43</v>
          </cell>
          <cell r="BQ52">
            <v>41</v>
          </cell>
          <cell r="BR52">
            <v>39</v>
          </cell>
          <cell r="BS52">
            <v>37</v>
          </cell>
          <cell r="BT52">
            <v>34</v>
          </cell>
          <cell r="BU52">
            <v>32</v>
          </cell>
          <cell r="BV52">
            <v>31</v>
          </cell>
          <cell r="BW52">
            <v>30</v>
          </cell>
          <cell r="BX52">
            <v>30</v>
          </cell>
          <cell r="BY52">
            <v>34</v>
          </cell>
          <cell r="BZ52">
            <v>35</v>
          </cell>
          <cell r="CA52">
            <v>38</v>
          </cell>
          <cell r="CB52">
            <v>39</v>
          </cell>
          <cell r="CC52">
            <v>41</v>
          </cell>
          <cell r="CD52">
            <v>43</v>
          </cell>
          <cell r="CE52">
            <v>41</v>
          </cell>
          <cell r="CF52">
            <v>39</v>
          </cell>
          <cell r="CG52">
            <v>38</v>
          </cell>
        </row>
        <row r="53">
          <cell r="F53" t="str">
            <v xml:space="preserve">  PET - bottle grade (avg small/large)</v>
          </cell>
          <cell r="G53">
            <v>64</v>
          </cell>
          <cell r="H53">
            <v>61</v>
          </cell>
          <cell r="I53">
            <v>61</v>
          </cell>
          <cell r="J53">
            <v>61</v>
          </cell>
          <cell r="K53">
            <v>64</v>
          </cell>
          <cell r="L53">
            <v>64</v>
          </cell>
          <cell r="M53">
            <v>64</v>
          </cell>
          <cell r="N53">
            <v>64</v>
          </cell>
          <cell r="O53">
            <v>64</v>
          </cell>
          <cell r="P53">
            <v>64</v>
          </cell>
          <cell r="Q53">
            <v>64</v>
          </cell>
          <cell r="R53">
            <v>64</v>
          </cell>
          <cell r="S53">
            <v>64</v>
          </cell>
          <cell r="T53">
            <v>64</v>
          </cell>
          <cell r="U53">
            <v>64</v>
          </cell>
          <cell r="V53">
            <v>64</v>
          </cell>
          <cell r="W53">
            <v>64</v>
          </cell>
          <cell r="X53">
            <v>64</v>
          </cell>
          <cell r="Y53">
            <v>64</v>
          </cell>
          <cell r="Z53">
            <v>60.5</v>
          </cell>
          <cell r="AA53">
            <v>60.5</v>
          </cell>
          <cell r="AB53">
            <v>60.5</v>
          </cell>
          <cell r="AC53">
            <v>61.5</v>
          </cell>
          <cell r="AD53">
            <v>61.5</v>
          </cell>
          <cell r="AE53">
            <v>61.5</v>
          </cell>
          <cell r="AF53">
            <v>64.5</v>
          </cell>
          <cell r="AG53">
            <v>64.5</v>
          </cell>
          <cell r="AH53">
            <v>64.5</v>
          </cell>
          <cell r="AI53">
            <v>64.5</v>
          </cell>
          <cell r="AJ53">
            <v>64.5</v>
          </cell>
          <cell r="AK53">
            <v>64.5</v>
          </cell>
          <cell r="AL53">
            <v>64.5</v>
          </cell>
          <cell r="AM53">
            <v>64.5</v>
          </cell>
          <cell r="AN53">
            <v>64.5</v>
          </cell>
          <cell r="AO53">
            <v>64.5</v>
          </cell>
          <cell r="AP53">
            <v>64.5</v>
          </cell>
          <cell r="AQ53">
            <v>64.5</v>
          </cell>
          <cell r="AR53">
            <v>62</v>
          </cell>
          <cell r="AS53">
            <v>62</v>
          </cell>
          <cell r="AT53">
            <v>62</v>
          </cell>
          <cell r="AU53">
            <v>60.5</v>
          </cell>
          <cell r="AV53">
            <v>60.5</v>
          </cell>
          <cell r="AW53">
            <v>60.5</v>
          </cell>
          <cell r="AX53">
            <v>59.5</v>
          </cell>
          <cell r="BN53">
            <v>78</v>
          </cell>
          <cell r="BO53">
            <v>78</v>
          </cell>
          <cell r="BP53">
            <v>81.5</v>
          </cell>
          <cell r="BQ53">
            <v>81.5</v>
          </cell>
          <cell r="BR53">
            <v>81.5</v>
          </cell>
          <cell r="BS53">
            <v>79.5</v>
          </cell>
          <cell r="BT53">
            <v>79.5</v>
          </cell>
          <cell r="BU53">
            <v>79.5</v>
          </cell>
          <cell r="BV53">
            <v>75</v>
          </cell>
          <cell r="BW53">
            <v>75</v>
          </cell>
          <cell r="BX53">
            <v>75</v>
          </cell>
          <cell r="BY53">
            <v>71</v>
          </cell>
          <cell r="BZ53">
            <v>67.5</v>
          </cell>
          <cell r="CA53">
            <v>61.5</v>
          </cell>
          <cell r="CB53">
            <v>58.5</v>
          </cell>
          <cell r="CC53">
            <v>55</v>
          </cell>
          <cell r="CD53">
            <v>50.5</v>
          </cell>
          <cell r="CE53">
            <v>43</v>
          </cell>
          <cell r="CF53">
            <v>42</v>
          </cell>
          <cell r="CG53">
            <v>42</v>
          </cell>
        </row>
        <row r="54">
          <cell r="F54" t="str">
            <v xml:space="preserve">  Polypropylene - GP</v>
          </cell>
          <cell r="G54">
            <v>35</v>
          </cell>
          <cell r="H54">
            <v>38</v>
          </cell>
          <cell r="I54">
            <v>38</v>
          </cell>
          <cell r="J54">
            <v>40</v>
          </cell>
          <cell r="K54">
            <v>41</v>
          </cell>
          <cell r="L54">
            <v>42</v>
          </cell>
          <cell r="M54">
            <v>43</v>
          </cell>
          <cell r="N54">
            <v>41</v>
          </cell>
          <cell r="O54">
            <v>40</v>
          </cell>
          <cell r="P54">
            <v>39</v>
          </cell>
          <cell r="Q54">
            <v>38</v>
          </cell>
          <cell r="R54">
            <v>36</v>
          </cell>
          <cell r="S54">
            <v>34</v>
          </cell>
          <cell r="T54">
            <v>31.5</v>
          </cell>
          <cell r="U54">
            <v>31.5</v>
          </cell>
          <cell r="V54">
            <v>31.5</v>
          </cell>
          <cell r="W54">
            <v>32.5</v>
          </cell>
          <cell r="X54">
            <v>32.5</v>
          </cell>
          <cell r="Y54">
            <v>32.5</v>
          </cell>
          <cell r="Z54">
            <v>33</v>
          </cell>
          <cell r="AA54">
            <v>32.5</v>
          </cell>
          <cell r="AB54">
            <v>32</v>
          </cell>
          <cell r="AC54">
            <v>32</v>
          </cell>
          <cell r="AD54">
            <v>32</v>
          </cell>
          <cell r="AE54">
            <v>33</v>
          </cell>
          <cell r="AF54">
            <v>33</v>
          </cell>
          <cell r="AG54">
            <v>32.5</v>
          </cell>
          <cell r="AH54">
            <v>31.5</v>
          </cell>
          <cell r="AI54">
            <v>30.5</v>
          </cell>
          <cell r="AJ54">
            <v>28</v>
          </cell>
          <cell r="AK54">
            <v>27.5</v>
          </cell>
          <cell r="AL54">
            <v>27</v>
          </cell>
          <cell r="AM54">
            <v>26.5</v>
          </cell>
          <cell r="AN54">
            <v>26</v>
          </cell>
          <cell r="AO54">
            <v>26</v>
          </cell>
          <cell r="AP54">
            <v>26</v>
          </cell>
          <cell r="AQ54">
            <v>26.5</v>
          </cell>
          <cell r="AR54">
            <v>27</v>
          </cell>
          <cell r="AS54">
            <v>27</v>
          </cell>
          <cell r="AT54">
            <v>27</v>
          </cell>
          <cell r="AU54">
            <v>27</v>
          </cell>
          <cell r="AV54">
            <v>27</v>
          </cell>
          <cell r="AW54">
            <v>27</v>
          </cell>
          <cell r="AX54">
            <v>27</v>
          </cell>
          <cell r="BN54">
            <v>46</v>
          </cell>
          <cell r="BO54">
            <v>46</v>
          </cell>
          <cell r="BP54">
            <v>45</v>
          </cell>
          <cell r="BQ54">
            <v>43</v>
          </cell>
          <cell r="BR54">
            <v>41</v>
          </cell>
          <cell r="BS54">
            <v>39</v>
          </cell>
          <cell r="BT54">
            <v>37</v>
          </cell>
          <cell r="BU54">
            <v>35</v>
          </cell>
          <cell r="BV54">
            <v>34</v>
          </cell>
          <cell r="BW54">
            <v>33</v>
          </cell>
          <cell r="BX54">
            <v>34</v>
          </cell>
          <cell r="BY54">
            <v>36</v>
          </cell>
          <cell r="BZ54">
            <v>38</v>
          </cell>
          <cell r="CA54">
            <v>39</v>
          </cell>
          <cell r="CB54">
            <v>40</v>
          </cell>
          <cell r="CC54">
            <v>41</v>
          </cell>
          <cell r="CD54">
            <v>41</v>
          </cell>
          <cell r="CE54">
            <v>41</v>
          </cell>
          <cell r="CF54">
            <v>39</v>
          </cell>
          <cell r="CG54">
            <v>37</v>
          </cell>
        </row>
        <row r="55">
          <cell r="F55" t="str">
            <v xml:space="preserve">  Polystyrene - High Heat (net ind avg)</v>
          </cell>
          <cell r="G55">
            <v>38.655833333333334</v>
          </cell>
          <cell r="H55">
            <v>44</v>
          </cell>
          <cell r="I55">
            <v>44.45</v>
          </cell>
          <cell r="J55">
            <v>46.43</v>
          </cell>
          <cell r="K55">
            <v>48.8</v>
          </cell>
          <cell r="L55">
            <v>52.46</v>
          </cell>
          <cell r="M55">
            <v>52.46</v>
          </cell>
          <cell r="N55">
            <v>50.74</v>
          </cell>
          <cell r="O55">
            <v>47.14</v>
          </cell>
          <cell r="P55">
            <v>42.95</v>
          </cell>
          <cell r="Q55">
            <v>39.96</v>
          </cell>
          <cell r="R55">
            <v>37.11</v>
          </cell>
          <cell r="S55">
            <v>35.619999999999997</v>
          </cell>
          <cell r="T55">
            <v>34.869999999999997</v>
          </cell>
          <cell r="U55">
            <v>34.42</v>
          </cell>
          <cell r="V55">
            <v>34.42</v>
          </cell>
          <cell r="W55">
            <v>34.950000000000003</v>
          </cell>
          <cell r="X55">
            <v>35.47</v>
          </cell>
          <cell r="Y55">
            <v>36.22</v>
          </cell>
          <cell r="Z55">
            <v>35.47</v>
          </cell>
          <cell r="AA55">
            <v>34.57</v>
          </cell>
          <cell r="AB55">
            <v>34.270000000000003</v>
          </cell>
          <cell r="AC55">
            <v>34.270000000000003</v>
          </cell>
          <cell r="AD55">
            <v>35.17</v>
          </cell>
          <cell r="AE55">
            <v>35.99</v>
          </cell>
          <cell r="AF55">
            <v>37.49</v>
          </cell>
          <cell r="AG55">
            <v>37.64</v>
          </cell>
          <cell r="AH55">
            <v>36.89</v>
          </cell>
          <cell r="AI55">
            <v>36.14</v>
          </cell>
          <cell r="AJ55">
            <v>35.770000000000003</v>
          </cell>
          <cell r="AK55">
            <v>35.770000000000003</v>
          </cell>
          <cell r="AL55">
            <v>35.39</v>
          </cell>
          <cell r="AM55">
            <v>35.090000000000003</v>
          </cell>
          <cell r="AN55">
            <v>35.24</v>
          </cell>
          <cell r="AO55">
            <v>35.99</v>
          </cell>
          <cell r="AP55">
            <v>35.99</v>
          </cell>
          <cell r="AQ55">
            <v>36.14</v>
          </cell>
          <cell r="AR55">
            <v>36.22</v>
          </cell>
          <cell r="AS55">
            <v>36.22</v>
          </cell>
          <cell r="AT55">
            <v>36.03</v>
          </cell>
          <cell r="AU55">
            <v>35.43</v>
          </cell>
          <cell r="AV55">
            <v>35.17</v>
          </cell>
          <cell r="AW55">
            <v>35.17</v>
          </cell>
          <cell r="AX55">
            <v>33.99</v>
          </cell>
          <cell r="BN55">
            <v>51.84</v>
          </cell>
          <cell r="BO55">
            <v>51.84</v>
          </cell>
          <cell r="BP55">
            <v>51.39</v>
          </cell>
          <cell r="BQ55">
            <v>48.59</v>
          </cell>
          <cell r="BR55">
            <v>45.65</v>
          </cell>
          <cell r="BS55">
            <v>43.33</v>
          </cell>
          <cell r="BT55">
            <v>40.29</v>
          </cell>
          <cell r="BU55">
            <v>38.700000000000003</v>
          </cell>
          <cell r="BV55">
            <v>37.159999999999997</v>
          </cell>
          <cell r="BW55">
            <v>35.619999999999997</v>
          </cell>
          <cell r="BX55">
            <v>36.22</v>
          </cell>
          <cell r="BY55">
            <v>37.76</v>
          </cell>
          <cell r="BZ55">
            <v>38.06</v>
          </cell>
          <cell r="CA55">
            <v>38.06</v>
          </cell>
          <cell r="CB55">
            <v>37.76</v>
          </cell>
          <cell r="CC55">
            <v>37.46</v>
          </cell>
          <cell r="CD55">
            <v>37.46</v>
          </cell>
          <cell r="CE55">
            <v>35.92</v>
          </cell>
          <cell r="CF55">
            <v>34.520000000000003</v>
          </cell>
          <cell r="CG55">
            <v>33.880000000000003</v>
          </cell>
        </row>
        <row r="56">
          <cell r="F56" t="str">
            <v xml:space="preserve">  PVC</v>
          </cell>
          <cell r="G56">
            <v>29.125</v>
          </cell>
          <cell r="H56">
            <v>34</v>
          </cell>
          <cell r="I56">
            <v>34</v>
          </cell>
          <cell r="J56">
            <v>35</v>
          </cell>
          <cell r="K56">
            <v>35.5</v>
          </cell>
          <cell r="L56">
            <v>37</v>
          </cell>
          <cell r="M56">
            <v>36</v>
          </cell>
          <cell r="N56">
            <v>35</v>
          </cell>
          <cell r="O56">
            <v>34</v>
          </cell>
          <cell r="P56">
            <v>33</v>
          </cell>
          <cell r="Q56">
            <v>31</v>
          </cell>
          <cell r="R56">
            <v>28</v>
          </cell>
          <cell r="S56">
            <v>27</v>
          </cell>
          <cell r="T56">
            <v>26</v>
          </cell>
          <cell r="U56">
            <v>27</v>
          </cell>
          <cell r="V56">
            <v>28</v>
          </cell>
          <cell r="W56">
            <v>28</v>
          </cell>
          <cell r="X56">
            <v>27</v>
          </cell>
          <cell r="Y56">
            <v>25.5</v>
          </cell>
          <cell r="Z56">
            <v>23</v>
          </cell>
          <cell r="AA56">
            <v>22</v>
          </cell>
          <cell r="AB56">
            <v>23</v>
          </cell>
          <cell r="AC56">
            <v>23.5</v>
          </cell>
          <cell r="AD56">
            <v>24</v>
          </cell>
          <cell r="AE56">
            <v>24.25</v>
          </cell>
          <cell r="AF56">
            <v>24.25</v>
          </cell>
          <cell r="AG56">
            <v>23.5</v>
          </cell>
          <cell r="AH56">
            <v>22.75</v>
          </cell>
          <cell r="AI56">
            <v>22</v>
          </cell>
          <cell r="AJ56">
            <v>22</v>
          </cell>
          <cell r="AK56">
            <v>23.5</v>
          </cell>
          <cell r="AL56">
            <v>23</v>
          </cell>
          <cell r="AM56">
            <v>23</v>
          </cell>
          <cell r="AN56">
            <v>24.5</v>
          </cell>
          <cell r="AO56">
            <v>24.5</v>
          </cell>
          <cell r="AP56">
            <v>25.5</v>
          </cell>
          <cell r="AQ56">
            <v>27</v>
          </cell>
          <cell r="AR56">
            <v>27.5</v>
          </cell>
          <cell r="AS56">
            <v>28.5</v>
          </cell>
          <cell r="AT56">
            <v>29</v>
          </cell>
          <cell r="AU56">
            <v>29</v>
          </cell>
          <cell r="AV56">
            <v>29</v>
          </cell>
          <cell r="AW56">
            <v>28.5</v>
          </cell>
          <cell r="AX56">
            <v>28</v>
          </cell>
          <cell r="BN56">
            <v>42</v>
          </cell>
          <cell r="BO56">
            <v>41</v>
          </cell>
          <cell r="BP56">
            <v>39</v>
          </cell>
          <cell r="BQ56">
            <v>37</v>
          </cell>
          <cell r="BR56">
            <v>35</v>
          </cell>
          <cell r="BS56">
            <v>33</v>
          </cell>
          <cell r="BT56">
            <v>31</v>
          </cell>
          <cell r="BU56">
            <v>29</v>
          </cell>
          <cell r="BV56">
            <v>28</v>
          </cell>
          <cell r="BW56">
            <v>28</v>
          </cell>
          <cell r="BX56">
            <v>30</v>
          </cell>
          <cell r="BY56">
            <v>32</v>
          </cell>
          <cell r="BZ56">
            <v>33</v>
          </cell>
          <cell r="CA56">
            <v>34</v>
          </cell>
          <cell r="CB56">
            <v>34</v>
          </cell>
          <cell r="CC56">
            <v>34</v>
          </cell>
          <cell r="CD56">
            <v>33.5</v>
          </cell>
          <cell r="CE56">
            <v>32.5</v>
          </cell>
          <cell r="CF56">
            <v>31.5</v>
          </cell>
          <cell r="CG56">
            <v>30</v>
          </cell>
        </row>
        <row r="58">
          <cell r="F58" t="str">
            <v>Fibers:</v>
          </cell>
        </row>
        <row r="59">
          <cell r="F59" t="str">
            <v xml:space="preserve">  Acrylic </v>
          </cell>
          <cell r="G59">
            <v>83.875</v>
          </cell>
          <cell r="H59">
            <v>81.5</v>
          </cell>
          <cell r="I59">
            <v>81.5</v>
          </cell>
          <cell r="J59">
            <v>81.5</v>
          </cell>
          <cell r="K59">
            <v>81.5</v>
          </cell>
          <cell r="L59">
            <v>81.5</v>
          </cell>
          <cell r="M59">
            <v>81.5</v>
          </cell>
          <cell r="N59">
            <v>85</v>
          </cell>
          <cell r="O59">
            <v>85</v>
          </cell>
          <cell r="P59">
            <v>85</v>
          </cell>
          <cell r="Q59">
            <v>83.5</v>
          </cell>
          <cell r="R59">
            <v>83.5</v>
          </cell>
          <cell r="S59">
            <v>83.5</v>
          </cell>
          <cell r="T59">
            <v>83.5</v>
          </cell>
          <cell r="U59">
            <v>83.5</v>
          </cell>
          <cell r="V59">
            <v>83.5</v>
          </cell>
          <cell r="W59">
            <v>83.5</v>
          </cell>
          <cell r="X59">
            <v>83.5</v>
          </cell>
          <cell r="Y59">
            <v>83.5</v>
          </cell>
          <cell r="Z59">
            <v>84</v>
          </cell>
          <cell r="AA59">
            <v>84</v>
          </cell>
          <cell r="AB59">
            <v>84</v>
          </cell>
          <cell r="AC59">
            <v>84</v>
          </cell>
          <cell r="AD59">
            <v>84</v>
          </cell>
          <cell r="AE59">
            <v>84</v>
          </cell>
          <cell r="AF59">
            <v>84</v>
          </cell>
          <cell r="AG59">
            <v>84</v>
          </cell>
          <cell r="AH59">
            <v>84</v>
          </cell>
          <cell r="AI59">
            <v>84</v>
          </cell>
          <cell r="AJ59">
            <v>84</v>
          </cell>
          <cell r="AK59">
            <v>84</v>
          </cell>
          <cell r="AL59">
            <v>84</v>
          </cell>
          <cell r="AM59">
            <v>84</v>
          </cell>
          <cell r="AN59">
            <v>84</v>
          </cell>
          <cell r="AO59">
            <v>83</v>
          </cell>
          <cell r="AP59">
            <v>83</v>
          </cell>
          <cell r="AQ59">
            <v>83</v>
          </cell>
          <cell r="AR59">
            <v>83</v>
          </cell>
          <cell r="AS59">
            <v>83</v>
          </cell>
          <cell r="AT59">
            <v>83</v>
          </cell>
          <cell r="AU59">
            <v>83</v>
          </cell>
          <cell r="AV59">
            <v>83</v>
          </cell>
          <cell r="AW59">
            <v>83</v>
          </cell>
          <cell r="AX59">
            <v>83</v>
          </cell>
          <cell r="BN59">
            <v>82.8</v>
          </cell>
          <cell r="BO59">
            <v>82.9</v>
          </cell>
          <cell r="BP59">
            <v>83.1</v>
          </cell>
          <cell r="BQ59">
            <v>83.2</v>
          </cell>
          <cell r="BR59">
            <v>83.3</v>
          </cell>
          <cell r="BS59">
            <v>83.4</v>
          </cell>
          <cell r="BT59">
            <v>83.5</v>
          </cell>
          <cell r="BU59">
            <v>83.6</v>
          </cell>
          <cell r="BV59">
            <v>83.7</v>
          </cell>
          <cell r="BW59">
            <v>83.8</v>
          </cell>
          <cell r="BX59">
            <v>83.9</v>
          </cell>
          <cell r="BY59">
            <v>84.1</v>
          </cell>
          <cell r="BZ59">
            <v>84.2</v>
          </cell>
          <cell r="CA59">
            <v>84.3</v>
          </cell>
          <cell r="CB59">
            <v>84.4</v>
          </cell>
          <cell r="CC59">
            <v>84.5</v>
          </cell>
          <cell r="CD59">
            <v>84.6</v>
          </cell>
          <cell r="CE59">
            <v>84.7</v>
          </cell>
          <cell r="CF59">
            <v>84.8</v>
          </cell>
          <cell r="CG59">
            <v>84.9</v>
          </cell>
        </row>
        <row r="60">
          <cell r="F60" t="str">
            <v xml:space="preserve">  Cotton </v>
          </cell>
          <cell r="G60">
            <v>74.492754999999988</v>
          </cell>
          <cell r="H60">
            <v>81.101900000000001</v>
          </cell>
          <cell r="I60">
            <v>74.582610000000003</v>
          </cell>
          <cell r="J60">
            <v>74.527370000000005</v>
          </cell>
          <cell r="K60">
            <v>73.857389999999995</v>
          </cell>
          <cell r="L60">
            <v>74.830950000000001</v>
          </cell>
          <cell r="M60">
            <v>76.373329999999996</v>
          </cell>
          <cell r="N60">
            <v>77.434290000000004</v>
          </cell>
          <cell r="O60">
            <v>84.852109999999996</v>
          </cell>
          <cell r="P60">
            <v>84.913499999999999</v>
          </cell>
          <cell r="Q60">
            <v>87.564549999999997</v>
          </cell>
          <cell r="R60">
            <v>91.042270000000002</v>
          </cell>
          <cell r="S60">
            <v>83.618499999999997</v>
          </cell>
          <cell r="T60">
            <v>70.62227</v>
          </cell>
          <cell r="U60">
            <v>66.794550000000001</v>
          </cell>
          <cell r="V60">
            <v>65.093000000000004</v>
          </cell>
          <cell r="W60">
            <v>63.43</v>
          </cell>
          <cell r="X60">
            <v>59.158499999999997</v>
          </cell>
          <cell r="Y60">
            <v>59.389519999999997</v>
          </cell>
          <cell r="Z60">
            <v>57.24409</v>
          </cell>
          <cell r="AA60">
            <v>54.583159999999999</v>
          </cell>
          <cell r="AB60">
            <v>56.09545</v>
          </cell>
          <cell r="AC60">
            <v>59.46</v>
          </cell>
          <cell r="AD60">
            <v>60.685250000000003</v>
          </cell>
          <cell r="AE60">
            <v>62.428640000000001</v>
          </cell>
          <cell r="AF60">
            <v>64.205910000000003</v>
          </cell>
          <cell r="AG60">
            <v>60.844760000000001</v>
          </cell>
          <cell r="AH60">
            <v>57.617620000000002</v>
          </cell>
          <cell r="AI60">
            <v>54.121360000000003</v>
          </cell>
          <cell r="AJ60">
            <v>56.405999999999999</v>
          </cell>
          <cell r="AK60">
            <v>58.849089999999997</v>
          </cell>
          <cell r="AL60">
            <v>61.082999999999998</v>
          </cell>
          <cell r="AM60">
            <v>62.474739999999997</v>
          </cell>
          <cell r="AN60">
            <v>63.06391</v>
          </cell>
          <cell r="AO60">
            <v>62.021900000000002</v>
          </cell>
          <cell r="AP60">
            <v>61.396000000000001</v>
          </cell>
          <cell r="AQ60">
            <v>58.885449999999999</v>
          </cell>
          <cell r="AR60">
            <v>59.245240000000003</v>
          </cell>
          <cell r="AS60">
            <v>56.375450000000001</v>
          </cell>
          <cell r="AT60">
            <v>57.102379999999997</v>
          </cell>
          <cell r="AU60">
            <v>58.150480000000002</v>
          </cell>
          <cell r="AV60">
            <v>59.033999999999999</v>
          </cell>
          <cell r="AW60">
            <v>64.963329999999999</v>
          </cell>
          <cell r="AX60">
            <v>71.346190000000007</v>
          </cell>
          <cell r="BN60">
            <v>107.3173</v>
          </cell>
          <cell r="BO60">
            <v>112.87050000000001</v>
          </cell>
          <cell r="BP60">
            <v>84.076840000000004</v>
          </cell>
          <cell r="BQ60">
            <v>79.150869999999998</v>
          </cell>
          <cell r="BR60">
            <v>89.44</v>
          </cell>
          <cell r="BS60">
            <v>87.562269999999998</v>
          </cell>
          <cell r="BT60">
            <v>89</v>
          </cell>
          <cell r="BU60">
            <v>88</v>
          </cell>
          <cell r="BV60">
            <v>86</v>
          </cell>
          <cell r="BW60">
            <v>85</v>
          </cell>
          <cell r="BX60">
            <v>85</v>
          </cell>
          <cell r="BY60">
            <v>84</v>
          </cell>
          <cell r="BZ60">
            <v>83</v>
          </cell>
          <cell r="CA60">
            <v>82</v>
          </cell>
          <cell r="CB60">
            <v>76</v>
          </cell>
          <cell r="CC60">
            <v>77</v>
          </cell>
          <cell r="CD60">
            <v>75</v>
          </cell>
          <cell r="CE60">
            <v>72</v>
          </cell>
          <cell r="CF60">
            <v>69</v>
          </cell>
          <cell r="CG60">
            <v>69</v>
          </cell>
        </row>
        <row r="61">
          <cell r="F61" t="str">
            <v xml:space="preserve">  Nylon 6 </v>
          </cell>
          <cell r="K61">
            <v>93.7</v>
          </cell>
          <cell r="L61">
            <v>94.541666666666671</v>
          </cell>
          <cell r="M61">
            <v>96</v>
          </cell>
          <cell r="BN61">
            <v>93.2</v>
          </cell>
          <cell r="BO61">
            <v>93.3</v>
          </cell>
          <cell r="BP61">
            <v>93.4</v>
          </cell>
          <cell r="BQ61">
            <v>93.5</v>
          </cell>
          <cell r="BR61">
            <v>93.5</v>
          </cell>
          <cell r="BS61">
            <v>96.5</v>
          </cell>
          <cell r="BT61">
            <v>96.5</v>
          </cell>
          <cell r="BU61">
            <v>94.5</v>
          </cell>
          <cell r="BV61">
            <v>95</v>
          </cell>
          <cell r="BW61">
            <v>94.5</v>
          </cell>
          <cell r="BX61">
            <v>94</v>
          </cell>
          <cell r="BY61">
            <v>93.5</v>
          </cell>
          <cell r="BZ61">
            <v>93</v>
          </cell>
          <cell r="CA61">
            <v>93</v>
          </cell>
          <cell r="CB61">
            <v>94</v>
          </cell>
          <cell r="CC61">
            <v>94.5</v>
          </cell>
          <cell r="CD61">
            <v>95</v>
          </cell>
          <cell r="CE61">
            <v>95.5</v>
          </cell>
          <cell r="CF61">
            <v>96</v>
          </cell>
          <cell r="CG61">
            <v>96.5</v>
          </cell>
        </row>
        <row r="62">
          <cell r="F62" t="str">
            <v xml:space="preserve">  Polyester, textile staple</v>
          </cell>
          <cell r="K62">
            <v>86.791666666666671</v>
          </cell>
          <cell r="L62">
            <v>84.625</v>
          </cell>
          <cell r="M62">
            <v>82</v>
          </cell>
          <cell r="BN62">
            <v>89</v>
          </cell>
          <cell r="BO62">
            <v>89</v>
          </cell>
          <cell r="BP62">
            <v>89</v>
          </cell>
          <cell r="BQ62">
            <v>90</v>
          </cell>
          <cell r="BR62">
            <v>91</v>
          </cell>
          <cell r="BS62">
            <v>87.5</v>
          </cell>
          <cell r="BT62">
            <v>87.5</v>
          </cell>
          <cell r="BU62">
            <v>87.5</v>
          </cell>
          <cell r="BV62">
            <v>87.5</v>
          </cell>
          <cell r="BW62">
            <v>87.5</v>
          </cell>
          <cell r="BX62">
            <v>87.5</v>
          </cell>
          <cell r="BY62">
            <v>86</v>
          </cell>
          <cell r="BZ62">
            <v>86</v>
          </cell>
          <cell r="CA62">
            <v>86</v>
          </cell>
          <cell r="CB62">
            <v>82.5</v>
          </cell>
          <cell r="CC62">
            <v>82.5</v>
          </cell>
          <cell r="CD62">
            <v>82.5</v>
          </cell>
          <cell r="CE62">
            <v>82.5</v>
          </cell>
          <cell r="CF62">
            <v>82.5</v>
          </cell>
          <cell r="CG62">
            <v>82.5</v>
          </cell>
        </row>
        <row r="64">
          <cell r="F64" t="str">
            <v>Inorganics:</v>
          </cell>
        </row>
        <row r="65">
          <cell r="F65" t="str">
            <v xml:space="preserve">  Caustic soda ($/st) - diaphragm</v>
          </cell>
          <cell r="G65">
            <v>270</v>
          </cell>
          <cell r="H65">
            <v>270</v>
          </cell>
          <cell r="I65">
            <v>270</v>
          </cell>
          <cell r="J65">
            <v>270</v>
          </cell>
          <cell r="K65">
            <v>270</v>
          </cell>
          <cell r="L65">
            <v>270</v>
          </cell>
          <cell r="M65">
            <v>270</v>
          </cell>
          <cell r="N65">
            <v>270</v>
          </cell>
          <cell r="O65">
            <v>270</v>
          </cell>
          <cell r="P65">
            <v>270</v>
          </cell>
          <cell r="Q65">
            <v>285</v>
          </cell>
          <cell r="R65">
            <v>285</v>
          </cell>
          <cell r="S65">
            <v>285</v>
          </cell>
          <cell r="T65">
            <v>270</v>
          </cell>
          <cell r="U65">
            <v>265</v>
          </cell>
          <cell r="V65">
            <v>260</v>
          </cell>
          <cell r="W65">
            <v>260</v>
          </cell>
          <cell r="X65">
            <v>260</v>
          </cell>
          <cell r="Y65">
            <v>260</v>
          </cell>
          <cell r="Z65">
            <v>250</v>
          </cell>
          <cell r="AA65">
            <v>245</v>
          </cell>
          <cell r="AB65">
            <v>240</v>
          </cell>
          <cell r="AC65">
            <v>240</v>
          </cell>
          <cell r="AD65">
            <v>245</v>
          </cell>
          <cell r="AE65">
            <v>250</v>
          </cell>
          <cell r="AF65">
            <v>220</v>
          </cell>
          <cell r="AG65">
            <v>220</v>
          </cell>
          <cell r="AH65">
            <v>220</v>
          </cell>
          <cell r="AI65">
            <v>200</v>
          </cell>
          <cell r="AJ65">
            <v>200</v>
          </cell>
          <cell r="AK65">
            <v>200</v>
          </cell>
          <cell r="AL65">
            <v>160</v>
          </cell>
          <cell r="AM65">
            <v>160</v>
          </cell>
          <cell r="AN65">
            <v>160</v>
          </cell>
          <cell r="AO65">
            <v>95</v>
          </cell>
          <cell r="AP65">
            <v>95</v>
          </cell>
          <cell r="AQ65">
            <v>95</v>
          </cell>
          <cell r="AR65">
            <v>80</v>
          </cell>
          <cell r="AS65">
            <v>70</v>
          </cell>
          <cell r="AT65">
            <v>60</v>
          </cell>
          <cell r="AU65">
            <v>50</v>
          </cell>
          <cell r="AV65">
            <v>45</v>
          </cell>
          <cell r="AW65">
            <v>30</v>
          </cell>
          <cell r="AX65">
            <v>30</v>
          </cell>
          <cell r="BN65">
            <v>250</v>
          </cell>
          <cell r="BO65">
            <v>250</v>
          </cell>
          <cell r="BP65">
            <v>235</v>
          </cell>
          <cell r="BQ65">
            <v>235</v>
          </cell>
          <cell r="BR65">
            <v>235</v>
          </cell>
          <cell r="BS65">
            <v>245</v>
          </cell>
          <cell r="BT65">
            <v>245</v>
          </cell>
          <cell r="BU65">
            <v>245</v>
          </cell>
          <cell r="BV65">
            <v>238</v>
          </cell>
          <cell r="BW65">
            <v>238</v>
          </cell>
          <cell r="BX65">
            <v>238</v>
          </cell>
          <cell r="BY65">
            <v>220</v>
          </cell>
          <cell r="BZ65">
            <v>205</v>
          </cell>
          <cell r="CA65">
            <v>205</v>
          </cell>
          <cell r="CB65">
            <v>190</v>
          </cell>
          <cell r="CC65">
            <v>180</v>
          </cell>
          <cell r="CD65">
            <v>165</v>
          </cell>
          <cell r="CE65">
            <v>165</v>
          </cell>
          <cell r="CF65">
            <v>155</v>
          </cell>
          <cell r="CG65">
            <v>140</v>
          </cell>
        </row>
        <row r="66">
          <cell r="F66" t="str">
            <v xml:space="preserve">  Chlorine ($/st) - into chemicals</v>
          </cell>
          <cell r="G66">
            <v>61.25</v>
          </cell>
          <cell r="H66">
            <v>85</v>
          </cell>
          <cell r="I66">
            <v>82.5</v>
          </cell>
          <cell r="J66">
            <v>80</v>
          </cell>
          <cell r="K66">
            <v>80</v>
          </cell>
          <cell r="L66">
            <v>85</v>
          </cell>
          <cell r="M66">
            <v>85</v>
          </cell>
          <cell r="N66">
            <v>70</v>
          </cell>
          <cell r="O66">
            <v>70</v>
          </cell>
          <cell r="P66">
            <v>70</v>
          </cell>
          <cell r="Q66">
            <v>65</v>
          </cell>
          <cell r="R66">
            <v>65</v>
          </cell>
          <cell r="S66">
            <v>65</v>
          </cell>
          <cell r="T66">
            <v>65</v>
          </cell>
          <cell r="U66">
            <v>65</v>
          </cell>
          <cell r="V66">
            <v>65</v>
          </cell>
          <cell r="W66">
            <v>45</v>
          </cell>
          <cell r="X66">
            <v>45</v>
          </cell>
          <cell r="Y66">
            <v>45</v>
          </cell>
          <cell r="Z66">
            <v>45</v>
          </cell>
          <cell r="AA66">
            <v>45</v>
          </cell>
          <cell r="AB66">
            <v>50</v>
          </cell>
          <cell r="AC66">
            <v>55</v>
          </cell>
          <cell r="AD66">
            <v>55</v>
          </cell>
          <cell r="AE66">
            <v>55</v>
          </cell>
          <cell r="AF66">
            <v>70</v>
          </cell>
          <cell r="AG66">
            <v>70</v>
          </cell>
          <cell r="AH66">
            <v>70</v>
          </cell>
          <cell r="AI66">
            <v>70</v>
          </cell>
          <cell r="AJ66">
            <v>70</v>
          </cell>
          <cell r="AK66">
            <v>70</v>
          </cell>
          <cell r="AL66">
            <v>75</v>
          </cell>
          <cell r="AM66">
            <v>75</v>
          </cell>
          <cell r="AN66">
            <v>80</v>
          </cell>
          <cell r="AO66">
            <v>110</v>
          </cell>
          <cell r="AP66">
            <v>110</v>
          </cell>
          <cell r="AQ66">
            <v>95</v>
          </cell>
          <cell r="AR66">
            <v>150</v>
          </cell>
          <cell r="AS66">
            <v>145</v>
          </cell>
          <cell r="AT66">
            <v>145</v>
          </cell>
          <cell r="AU66">
            <v>180</v>
          </cell>
          <cell r="AV66">
            <v>185</v>
          </cell>
          <cell r="AW66">
            <v>185</v>
          </cell>
          <cell r="AX66">
            <v>185</v>
          </cell>
          <cell r="BN66">
            <v>165</v>
          </cell>
          <cell r="BO66">
            <v>170</v>
          </cell>
          <cell r="BP66">
            <v>175</v>
          </cell>
          <cell r="BQ66">
            <v>175</v>
          </cell>
          <cell r="BR66">
            <v>175</v>
          </cell>
          <cell r="BS66">
            <v>175</v>
          </cell>
          <cell r="BT66">
            <v>170</v>
          </cell>
          <cell r="BU66">
            <v>167.5</v>
          </cell>
          <cell r="BV66">
            <v>162.5</v>
          </cell>
          <cell r="BW66">
            <v>147.5</v>
          </cell>
          <cell r="BX66">
            <v>147.5</v>
          </cell>
          <cell r="BY66">
            <v>157.5</v>
          </cell>
          <cell r="BZ66">
            <v>157.5</v>
          </cell>
          <cell r="CA66">
            <v>157.5</v>
          </cell>
          <cell r="CB66">
            <v>157.5</v>
          </cell>
          <cell r="CC66">
            <v>170</v>
          </cell>
          <cell r="CD66">
            <v>170</v>
          </cell>
          <cell r="CE66">
            <v>167.5</v>
          </cell>
          <cell r="CF66">
            <v>167.5</v>
          </cell>
          <cell r="CG66">
            <v>167.5</v>
          </cell>
        </row>
        <row r="67">
          <cell r="F67" t="str">
            <v xml:space="preserve">  ECU ($/st) (2)</v>
          </cell>
          <cell r="G67">
            <v>358.25</v>
          </cell>
          <cell r="H67">
            <v>382</v>
          </cell>
          <cell r="I67">
            <v>379.5</v>
          </cell>
          <cell r="J67">
            <v>377</v>
          </cell>
          <cell r="K67">
            <v>377</v>
          </cell>
          <cell r="L67">
            <v>382</v>
          </cell>
          <cell r="M67">
            <v>382</v>
          </cell>
          <cell r="N67">
            <v>367</v>
          </cell>
          <cell r="O67">
            <v>367</v>
          </cell>
          <cell r="P67">
            <v>367</v>
          </cell>
          <cell r="Q67">
            <v>378.5</v>
          </cell>
          <cell r="R67">
            <v>378.5</v>
          </cell>
          <cell r="S67">
            <v>378.5</v>
          </cell>
          <cell r="T67">
            <v>362</v>
          </cell>
          <cell r="U67">
            <v>356.5</v>
          </cell>
          <cell r="V67">
            <v>351</v>
          </cell>
          <cell r="W67">
            <v>331</v>
          </cell>
          <cell r="X67">
            <v>331</v>
          </cell>
          <cell r="Y67">
            <v>331</v>
          </cell>
          <cell r="Z67">
            <v>320</v>
          </cell>
          <cell r="AA67">
            <v>314.5</v>
          </cell>
          <cell r="AB67">
            <v>314</v>
          </cell>
          <cell r="AC67">
            <v>319</v>
          </cell>
          <cell r="AD67">
            <v>324.5</v>
          </cell>
          <cell r="AE67">
            <v>330</v>
          </cell>
          <cell r="AF67">
            <v>312</v>
          </cell>
          <cell r="AG67">
            <v>312</v>
          </cell>
          <cell r="AH67">
            <v>312</v>
          </cell>
          <cell r="AI67">
            <v>290</v>
          </cell>
          <cell r="AJ67">
            <v>290</v>
          </cell>
          <cell r="AK67">
            <v>290</v>
          </cell>
          <cell r="AL67">
            <v>251</v>
          </cell>
          <cell r="AM67">
            <v>251</v>
          </cell>
          <cell r="AN67">
            <v>256</v>
          </cell>
          <cell r="AO67">
            <v>214.5</v>
          </cell>
          <cell r="AP67">
            <v>214.5</v>
          </cell>
          <cell r="AQ67">
            <v>199.5</v>
          </cell>
          <cell r="AR67">
            <v>238</v>
          </cell>
          <cell r="AS67">
            <v>222</v>
          </cell>
          <cell r="AT67">
            <v>211</v>
          </cell>
          <cell r="AU67">
            <v>235</v>
          </cell>
          <cell r="AV67">
            <v>234.5</v>
          </cell>
          <cell r="AW67">
            <v>218</v>
          </cell>
          <cell r="AX67">
            <v>218</v>
          </cell>
          <cell r="BN67">
            <v>440</v>
          </cell>
          <cell r="BO67">
            <v>445</v>
          </cell>
          <cell r="BP67">
            <v>433.5</v>
          </cell>
          <cell r="BQ67">
            <v>433.5</v>
          </cell>
          <cell r="BR67">
            <v>433.5</v>
          </cell>
          <cell r="BS67">
            <v>444.5</v>
          </cell>
          <cell r="BT67">
            <v>439.5</v>
          </cell>
          <cell r="BU67">
            <v>437</v>
          </cell>
          <cell r="BV67">
            <v>424.3</v>
          </cell>
          <cell r="BW67">
            <v>409.3</v>
          </cell>
          <cell r="BX67">
            <v>409.3</v>
          </cell>
          <cell r="BY67">
            <v>399.5</v>
          </cell>
          <cell r="BZ67">
            <v>383</v>
          </cell>
          <cell r="CA67">
            <v>383</v>
          </cell>
          <cell r="CB67">
            <v>366.5</v>
          </cell>
          <cell r="CC67">
            <v>368</v>
          </cell>
          <cell r="CD67">
            <v>351.5</v>
          </cell>
          <cell r="CE67">
            <v>349</v>
          </cell>
          <cell r="CF67">
            <v>338</v>
          </cell>
          <cell r="CG67">
            <v>321.5</v>
          </cell>
        </row>
        <row r="68">
          <cell r="F68" t="str">
            <v xml:space="preserve">  Soda ash ($/st)</v>
          </cell>
          <cell r="G68">
            <v>86</v>
          </cell>
          <cell r="H68">
            <v>83</v>
          </cell>
          <cell r="I68">
            <v>83</v>
          </cell>
          <cell r="J68">
            <v>83</v>
          </cell>
          <cell r="K68">
            <v>83</v>
          </cell>
          <cell r="L68">
            <v>83</v>
          </cell>
          <cell r="M68">
            <v>83</v>
          </cell>
          <cell r="N68">
            <v>86</v>
          </cell>
          <cell r="O68">
            <v>86</v>
          </cell>
          <cell r="W68">
            <v>83</v>
          </cell>
          <cell r="X68">
            <v>83</v>
          </cell>
          <cell r="Y68">
            <v>83</v>
          </cell>
          <cell r="Z68">
            <v>83</v>
          </cell>
          <cell r="AA68">
            <v>83</v>
          </cell>
          <cell r="AB68">
            <v>83</v>
          </cell>
          <cell r="AC68">
            <v>83</v>
          </cell>
          <cell r="AD68">
            <v>86</v>
          </cell>
          <cell r="AE68">
            <v>86</v>
          </cell>
          <cell r="BN68">
            <v>74.5</v>
          </cell>
          <cell r="BO68">
            <v>74.5</v>
          </cell>
          <cell r="BP68">
            <v>73</v>
          </cell>
          <cell r="BQ68">
            <v>73</v>
          </cell>
          <cell r="BR68">
            <v>73</v>
          </cell>
          <cell r="BS68">
            <v>73</v>
          </cell>
          <cell r="BT68">
            <v>73</v>
          </cell>
          <cell r="BU68">
            <v>73</v>
          </cell>
          <cell r="BV68">
            <v>76.5</v>
          </cell>
          <cell r="BW68">
            <v>78.5</v>
          </cell>
          <cell r="BX68">
            <v>78.5</v>
          </cell>
          <cell r="BY68">
            <v>78.5</v>
          </cell>
          <cell r="BZ68">
            <v>78.5</v>
          </cell>
          <cell r="CA68">
            <v>78.5</v>
          </cell>
          <cell r="CB68">
            <v>78.5</v>
          </cell>
          <cell r="CC68">
            <v>78.5</v>
          </cell>
          <cell r="CD68">
            <v>78.5</v>
          </cell>
          <cell r="CE68">
            <v>78.5</v>
          </cell>
          <cell r="CF68">
            <v>77.5</v>
          </cell>
          <cell r="CG68">
            <v>77.5</v>
          </cell>
        </row>
        <row r="69">
          <cell r="F69" t="str">
            <v xml:space="preserve">  Titanium dioxide </v>
          </cell>
          <cell r="G69">
            <v>90.25</v>
          </cell>
          <cell r="H69">
            <v>82.7</v>
          </cell>
          <cell r="I69">
            <v>80.024999999999991</v>
          </cell>
          <cell r="J69">
            <v>82.425000000000011</v>
          </cell>
          <cell r="K69">
            <v>90.8</v>
          </cell>
          <cell r="L69">
            <v>90.8</v>
          </cell>
          <cell r="M69">
            <v>90.8</v>
          </cell>
          <cell r="N69">
            <v>94.1</v>
          </cell>
          <cell r="O69">
            <v>94.1</v>
          </cell>
          <cell r="P69">
            <v>94.1</v>
          </cell>
          <cell r="Q69">
            <v>90.5</v>
          </cell>
          <cell r="R69">
            <v>90.5</v>
          </cell>
          <cell r="S69">
            <v>90.5</v>
          </cell>
          <cell r="T69">
            <v>89</v>
          </cell>
          <cell r="U69">
            <v>89</v>
          </cell>
          <cell r="V69">
            <v>89</v>
          </cell>
          <cell r="W69">
            <v>87.4</v>
          </cell>
          <cell r="X69">
            <v>87.4</v>
          </cell>
          <cell r="Y69">
            <v>87.4</v>
          </cell>
          <cell r="Z69">
            <v>84.6</v>
          </cell>
          <cell r="AA69">
            <v>84.6</v>
          </cell>
          <cell r="AB69">
            <v>84.6</v>
          </cell>
          <cell r="AC69">
            <v>82.7</v>
          </cell>
          <cell r="AD69">
            <v>82.7</v>
          </cell>
          <cell r="AE69">
            <v>82.7</v>
          </cell>
          <cell r="AF69">
            <v>81.400000000000006</v>
          </cell>
          <cell r="AG69">
            <v>81.400000000000006</v>
          </cell>
          <cell r="AH69">
            <v>81.400000000000006</v>
          </cell>
          <cell r="AI69">
            <v>82.1</v>
          </cell>
          <cell r="AJ69">
            <v>82.1</v>
          </cell>
          <cell r="AK69">
            <v>82.1</v>
          </cell>
          <cell r="AL69">
            <v>82.3</v>
          </cell>
          <cell r="AM69">
            <v>82.3</v>
          </cell>
          <cell r="AN69">
            <v>82.3</v>
          </cell>
          <cell r="AO69">
            <v>79.7</v>
          </cell>
          <cell r="AP69">
            <v>79.7</v>
          </cell>
          <cell r="AQ69">
            <v>79.7</v>
          </cell>
          <cell r="AR69">
            <v>79.099999999999994</v>
          </cell>
          <cell r="AS69">
            <v>79.099999999999994</v>
          </cell>
          <cell r="AT69">
            <v>79.099999999999994</v>
          </cell>
          <cell r="AU69">
            <v>79</v>
          </cell>
          <cell r="AV69">
            <v>79</v>
          </cell>
          <cell r="AW69">
            <v>79</v>
          </cell>
          <cell r="AX69">
            <v>80.5</v>
          </cell>
          <cell r="AY69">
            <v>80.5</v>
          </cell>
          <cell r="AZ69">
            <v>80.5</v>
          </cell>
          <cell r="BA69">
            <v>81.599999999999994</v>
          </cell>
          <cell r="BB69">
            <v>81.599999999999994</v>
          </cell>
          <cell r="BC69">
            <v>81.599999999999994</v>
          </cell>
          <cell r="BD69">
            <v>83.5</v>
          </cell>
          <cell r="BE69">
            <v>83.5</v>
          </cell>
          <cell r="BF69">
            <v>83.5</v>
          </cell>
          <cell r="BG69">
            <v>84.1</v>
          </cell>
          <cell r="BH69">
            <v>84.1</v>
          </cell>
          <cell r="BI69">
            <v>84.1</v>
          </cell>
          <cell r="BJ69">
            <v>82</v>
          </cell>
          <cell r="BK69">
            <v>83</v>
          </cell>
          <cell r="BL69">
            <v>88</v>
          </cell>
          <cell r="BM69">
            <v>87</v>
          </cell>
          <cell r="BN69">
            <v>94</v>
          </cell>
          <cell r="BO69">
            <v>94</v>
          </cell>
          <cell r="BP69">
            <v>95</v>
          </cell>
          <cell r="BQ69">
            <v>95</v>
          </cell>
          <cell r="BR69">
            <v>95</v>
          </cell>
          <cell r="BS69">
            <v>95</v>
          </cell>
          <cell r="BT69">
            <v>95</v>
          </cell>
          <cell r="BU69">
            <v>95</v>
          </cell>
          <cell r="BV69">
            <v>95</v>
          </cell>
          <cell r="BW69">
            <v>94</v>
          </cell>
          <cell r="BX69">
            <v>90</v>
          </cell>
          <cell r="BY69">
            <v>87.2</v>
          </cell>
          <cell r="BZ69">
            <v>87.2</v>
          </cell>
          <cell r="CA69">
            <v>87.2</v>
          </cell>
          <cell r="CB69">
            <v>82.6</v>
          </cell>
          <cell r="CC69">
            <v>82.6</v>
          </cell>
          <cell r="CD69">
            <v>82.6</v>
          </cell>
          <cell r="CE69">
            <v>80.5</v>
          </cell>
          <cell r="CF69">
            <v>80.5</v>
          </cell>
          <cell r="CG69">
            <v>80.5</v>
          </cell>
          <cell r="CH69">
            <v>77.5</v>
          </cell>
          <cell r="CI69">
            <v>77.5</v>
          </cell>
          <cell r="CJ69">
            <v>77.5</v>
          </cell>
          <cell r="CK69">
            <v>78.900000000000006</v>
          </cell>
          <cell r="CL69">
            <v>78.900000000000006</v>
          </cell>
          <cell r="CM69">
            <v>78.900000000000006</v>
          </cell>
          <cell r="CN69">
            <v>79.400000000000006</v>
          </cell>
          <cell r="CO69">
            <v>79.400000000000006</v>
          </cell>
          <cell r="CP69">
            <v>79.400000000000006</v>
          </cell>
          <cell r="CQ69">
            <v>82</v>
          </cell>
          <cell r="CR69">
            <v>82</v>
          </cell>
          <cell r="CS69">
            <v>83</v>
          </cell>
          <cell r="CT69">
            <v>83</v>
          </cell>
          <cell r="CU69">
            <v>84</v>
          </cell>
          <cell r="CV69">
            <v>86</v>
          </cell>
          <cell r="CW69">
            <v>87.5</v>
          </cell>
          <cell r="CX69">
            <v>88.2</v>
          </cell>
          <cell r="CY69">
            <v>89.2</v>
          </cell>
          <cell r="CZ69">
            <v>89</v>
          </cell>
          <cell r="DA69">
            <v>90</v>
          </cell>
          <cell r="DB69">
            <v>90</v>
          </cell>
          <cell r="DC69">
            <v>90.5</v>
          </cell>
          <cell r="DD69">
            <v>91</v>
          </cell>
          <cell r="DE69">
            <v>92</v>
          </cell>
          <cell r="DF69">
            <v>90.1</v>
          </cell>
          <cell r="DG69">
            <v>90.2</v>
          </cell>
          <cell r="DH69">
            <v>90.2</v>
          </cell>
          <cell r="DI69">
            <v>88.7</v>
          </cell>
          <cell r="DJ69">
            <v>88.8</v>
          </cell>
          <cell r="DK69">
            <v>88.5</v>
          </cell>
          <cell r="DL69">
            <v>87</v>
          </cell>
          <cell r="DM69">
            <v>86.9</v>
          </cell>
          <cell r="DN69">
            <v>86.9</v>
          </cell>
          <cell r="DO69">
            <v>85.1</v>
          </cell>
          <cell r="DP69">
            <v>84.3</v>
          </cell>
          <cell r="DQ69">
            <v>84</v>
          </cell>
          <cell r="DR69">
            <v>86</v>
          </cell>
          <cell r="DS69">
            <v>86</v>
          </cell>
          <cell r="DT69">
            <v>86</v>
          </cell>
          <cell r="DU69">
            <v>89</v>
          </cell>
          <cell r="DV69">
            <v>89</v>
          </cell>
          <cell r="DW69">
            <v>89</v>
          </cell>
          <cell r="DX69">
            <v>88</v>
          </cell>
          <cell r="DY69">
            <v>88</v>
          </cell>
          <cell r="DZ69">
            <v>88</v>
          </cell>
          <cell r="EA69">
            <v>87.907441016333948</v>
          </cell>
          <cell r="EB69">
            <v>87.907441016333948</v>
          </cell>
          <cell r="EC69">
            <v>87.907441016333948</v>
          </cell>
          <cell r="ED69">
            <v>87.477313974591652</v>
          </cell>
          <cell r="EE69">
            <v>87.477313974591652</v>
          </cell>
          <cell r="EF69">
            <v>87.477313974591652</v>
          </cell>
          <cell r="EG69">
            <v>86.887477313974586</v>
          </cell>
          <cell r="EH69">
            <v>86.887477313974586</v>
          </cell>
          <cell r="EI69">
            <v>86.887477313974586</v>
          </cell>
          <cell r="EJ69">
            <v>86.433756805807633</v>
          </cell>
          <cell r="EK69">
            <v>86.433756805807633</v>
          </cell>
          <cell r="EL69">
            <v>86.433756805807633</v>
          </cell>
          <cell r="EM69">
            <v>86.206896551724128</v>
          </cell>
          <cell r="EN69">
            <v>86.206896551724128</v>
          </cell>
          <cell r="EO69">
            <v>86.206896551724128</v>
          </cell>
          <cell r="EP69">
            <v>86.433756805807633</v>
          </cell>
          <cell r="EQ69">
            <v>86.433756805807633</v>
          </cell>
          <cell r="ER69">
            <v>86.433756805807633</v>
          </cell>
          <cell r="ES69">
            <v>87.568058076225043</v>
          </cell>
          <cell r="ET69">
            <v>87.568058076225043</v>
          </cell>
          <cell r="EU69">
            <v>87.568058076225043</v>
          </cell>
          <cell r="EV69">
            <v>88.021778584392024</v>
          </cell>
          <cell r="EW69">
            <v>88.021778584392024</v>
          </cell>
          <cell r="EX69">
            <v>88.021778584392024</v>
          </cell>
          <cell r="EY69">
            <v>88.021778584392024</v>
          </cell>
          <cell r="EZ69">
            <v>88.021778584392024</v>
          </cell>
          <cell r="FA69">
            <v>88.021778584392024</v>
          </cell>
          <cell r="FB69">
            <v>86.433756805807633</v>
          </cell>
          <cell r="FC69">
            <v>86.206896551724128</v>
          </cell>
          <cell r="FD69">
            <v>86.206896551724128</v>
          </cell>
          <cell r="FE69">
            <v>86.206896551724128</v>
          </cell>
          <cell r="FF69">
            <v>86.433756805807633</v>
          </cell>
          <cell r="FG69">
            <v>86.433756805807633</v>
          </cell>
          <cell r="FH69">
            <v>86.433756805807633</v>
          </cell>
          <cell r="FI69">
            <v>87.568058076225043</v>
          </cell>
          <cell r="FJ69">
            <v>87.568058076225043</v>
          </cell>
          <cell r="FK69">
            <v>87.568058076225043</v>
          </cell>
          <cell r="FL69">
            <v>88.021778584392024</v>
          </cell>
          <cell r="FM69">
            <v>88.021778584392024</v>
          </cell>
          <cell r="FN69">
            <v>88.021778584392024</v>
          </cell>
          <cell r="FO69">
            <v>88.021778584392024</v>
          </cell>
          <cell r="FP69">
            <v>88.021778584392024</v>
          </cell>
          <cell r="FQ69">
            <v>88.021778584392024</v>
          </cell>
        </row>
        <row r="72">
          <cell r="F72" t="str">
            <v>Currency,  US$ per Euro</v>
          </cell>
          <cell r="G72">
            <v>1.1828511325981221</v>
          </cell>
          <cell r="H72">
            <v>1.1904761904761905</v>
          </cell>
          <cell r="I72">
            <v>1.25</v>
          </cell>
          <cell r="J72">
            <v>1.25</v>
          </cell>
          <cell r="K72">
            <v>1.2820512820512819</v>
          </cell>
          <cell r="L72">
            <v>1.3157894736842106</v>
          </cell>
          <cell r="M72">
            <v>1.3157894736842106</v>
          </cell>
          <cell r="N72">
            <v>1.2987012987012987</v>
          </cell>
          <cell r="O72">
            <v>1.3157894736842106</v>
          </cell>
          <cell r="P72">
            <v>1.2195121951219512</v>
          </cell>
          <cell r="Q72">
            <v>1.1494252873563218</v>
          </cell>
          <cell r="R72">
            <v>1.1363636363636365</v>
          </cell>
          <cell r="S72">
            <v>1.0989010989010988</v>
          </cell>
          <cell r="T72">
            <v>1.0869565217391304</v>
          </cell>
          <cell r="U72">
            <v>1.1235955056179776</v>
          </cell>
          <cell r="V72">
            <v>1.1627906976744187</v>
          </cell>
          <cell r="W72">
            <v>1.1627906976744187</v>
          </cell>
          <cell r="X72">
            <v>1.2048192771084338</v>
          </cell>
          <cell r="Y72">
            <v>1.2345679012345678</v>
          </cell>
          <cell r="Z72">
            <v>1.2345679012345678</v>
          </cell>
          <cell r="AA72">
            <v>1.2048192771084338</v>
          </cell>
          <cell r="AB72">
            <v>1.1764705882352942</v>
          </cell>
          <cell r="AC72">
            <v>1.1904761904761905</v>
          </cell>
          <cell r="AD72">
            <v>1.2048192771084338</v>
          </cell>
          <cell r="AE72">
            <v>1.2345679012345678</v>
          </cell>
          <cell r="AF72">
            <v>1.3157894736842106</v>
          </cell>
          <cell r="AG72">
            <v>1.3513513513513513</v>
          </cell>
          <cell r="AH72">
            <v>1.3513513513513513</v>
          </cell>
          <cell r="AI72">
            <v>1.3157894736842106</v>
          </cell>
          <cell r="AJ72">
            <v>1.2345679012345678</v>
          </cell>
          <cell r="AK72">
            <v>1.2345679012345678</v>
          </cell>
          <cell r="AL72">
            <v>1.2048192771084338</v>
          </cell>
          <cell r="AM72">
            <v>1.1904761904761905</v>
          </cell>
          <cell r="AN72">
            <v>1.1904761904761905</v>
          </cell>
          <cell r="AO72">
            <v>1.2195121951219512</v>
          </cell>
          <cell r="AP72">
            <v>1.2195121951219512</v>
          </cell>
          <cell r="AQ72">
            <v>1.1764705882352942</v>
          </cell>
          <cell r="AR72">
            <v>1.1494252873563218</v>
          </cell>
          <cell r="AS72">
            <v>1.1627906976744187</v>
          </cell>
          <cell r="AT72">
            <v>1.2048192771084338</v>
          </cell>
          <cell r="AU72">
            <v>1.1904761904761905</v>
          </cell>
          <cell r="AV72">
            <v>1.1494252873563218</v>
          </cell>
          <cell r="AW72">
            <v>1.1494252873563218</v>
          </cell>
          <cell r="AX72">
            <v>1.1235955056179776</v>
          </cell>
          <cell r="AY72">
            <v>1.1235955056179776</v>
          </cell>
          <cell r="AZ72">
            <v>1.1627906976744187</v>
          </cell>
          <cell r="BA72">
            <v>1.1494252873563218</v>
          </cell>
          <cell r="BB72">
            <v>1.1764705882352942</v>
          </cell>
          <cell r="BC72">
            <v>1.2048192771084338</v>
          </cell>
          <cell r="BD72">
            <v>1.25</v>
          </cell>
          <cell r="BE72">
            <v>1.25</v>
          </cell>
          <cell r="BF72">
            <v>1.2658227848101264</v>
          </cell>
          <cell r="BG72">
            <v>1.2820512820512819</v>
          </cell>
          <cell r="BH72">
            <v>1.2658227848101264</v>
          </cell>
          <cell r="BI72">
            <v>1.25</v>
          </cell>
          <cell r="BJ72">
            <v>1.2820512820512819</v>
          </cell>
          <cell r="BK72">
            <v>1.2987012987012987</v>
          </cell>
          <cell r="BL72">
            <v>1.3888888888888888</v>
          </cell>
          <cell r="BM72">
            <v>1.4925373134328357</v>
          </cell>
          <cell r="BN72">
            <v>1.3888888888888888</v>
          </cell>
          <cell r="BO72">
            <v>1.3888888888888888</v>
          </cell>
          <cell r="BP72">
            <v>1.4084507042253522</v>
          </cell>
          <cell r="BQ72">
            <v>1.3513513513513513</v>
          </cell>
          <cell r="BR72">
            <v>1.3333333333333333</v>
          </cell>
          <cell r="BS72">
            <v>1.3888888888888888</v>
          </cell>
          <cell r="BT72">
            <v>1.3698630136986301</v>
          </cell>
          <cell r="BU72">
            <v>1.3513513513513513</v>
          </cell>
          <cell r="BV72">
            <v>1.3333333333333333</v>
          </cell>
          <cell r="BW72">
            <v>1.3333333333333333</v>
          </cell>
          <cell r="BX72">
            <v>1.3157894736842106</v>
          </cell>
          <cell r="BY72">
            <v>1.2987012987012987</v>
          </cell>
          <cell r="BZ72">
            <v>1.2820512820512819</v>
          </cell>
          <cell r="CA72">
            <v>1.2820512820512819</v>
          </cell>
          <cell r="CB72">
            <v>1.2987012987012987</v>
          </cell>
          <cell r="CC72">
            <v>1.3157894736842106</v>
          </cell>
          <cell r="CD72">
            <v>1.2987012987012987</v>
          </cell>
          <cell r="CE72">
            <v>1.2820512820512819</v>
          </cell>
          <cell r="CF72">
            <v>1.2987012987012987</v>
          </cell>
          <cell r="CG72">
            <v>1.25</v>
          </cell>
          <cell r="CH72">
            <v>1.2195121951219512</v>
          </cell>
          <cell r="CI72">
            <v>1.1627906976744187</v>
          </cell>
          <cell r="CJ72">
            <v>1.1494252873563218</v>
          </cell>
          <cell r="CK72">
            <v>1.1363636363636365</v>
          </cell>
          <cell r="CL72">
            <v>1.1494252873563218</v>
          </cell>
          <cell r="CM72">
            <v>1.1363636363636365</v>
          </cell>
          <cell r="CN72">
            <v>1.0869565217391304</v>
          </cell>
          <cell r="CO72">
            <v>1.0638297872340425</v>
          </cell>
          <cell r="CP72">
            <v>1.0989010989010988</v>
          </cell>
          <cell r="CQ72">
            <v>1.1111111111111112</v>
          </cell>
          <cell r="CR72">
            <v>1.1235955056179776</v>
          </cell>
          <cell r="CS72">
            <v>1.0989010989010988</v>
          </cell>
          <cell r="CT72">
            <v>1.075268817204301</v>
          </cell>
          <cell r="CU72">
            <v>1.075268817204301</v>
          </cell>
          <cell r="CV72">
            <v>1.075268817204301</v>
          </cell>
          <cell r="CW72">
            <v>1.075268817204301</v>
          </cell>
          <cell r="CX72">
            <v>1.0989010989010988</v>
          </cell>
          <cell r="CY72">
            <v>1.0869565217391304</v>
          </cell>
          <cell r="CZ72">
            <v>1.0869565217391304</v>
          </cell>
          <cell r="DA72">
            <v>1.0989010989010988</v>
          </cell>
          <cell r="DB72">
            <v>1.1494252873563218</v>
          </cell>
          <cell r="DC72">
            <v>1.1904761904761905</v>
          </cell>
          <cell r="DD72">
            <v>1.1627906976744187</v>
          </cell>
          <cell r="DE72">
            <v>1.17</v>
          </cell>
          <cell r="DF72">
            <v>1.1399999999999999</v>
          </cell>
          <cell r="DG72">
            <v>1.1000000000000001</v>
          </cell>
          <cell r="DH72">
            <v>1.08</v>
          </cell>
          <cell r="DI72">
            <v>1.06</v>
          </cell>
          <cell r="DJ72">
            <v>1.04</v>
          </cell>
          <cell r="DK72">
            <v>1.04</v>
          </cell>
          <cell r="DL72">
            <v>1.07</v>
          </cell>
          <cell r="DM72">
            <v>1.06</v>
          </cell>
          <cell r="DN72">
            <v>1.07</v>
          </cell>
          <cell r="DO72">
            <v>1.05</v>
          </cell>
          <cell r="DP72">
            <v>1.01</v>
          </cell>
          <cell r="DQ72">
            <v>1.01</v>
          </cell>
          <cell r="DR72">
            <v>0.97</v>
          </cell>
          <cell r="DS72">
            <v>0.96</v>
          </cell>
          <cell r="DT72">
            <v>0.96</v>
          </cell>
          <cell r="DU72">
            <v>0.91</v>
          </cell>
          <cell r="DV72">
            <v>0.94</v>
          </cell>
          <cell r="DW72">
            <v>0.95</v>
          </cell>
          <cell r="DX72">
            <v>0.93</v>
          </cell>
          <cell r="DY72">
            <v>0.89</v>
          </cell>
          <cell r="DZ72">
            <v>0.88</v>
          </cell>
          <cell r="EA72">
            <v>0.85</v>
          </cell>
          <cell r="EB72">
            <v>0.87</v>
          </cell>
          <cell r="EC72">
            <v>0.94</v>
          </cell>
          <cell r="ED72">
            <v>0.94</v>
          </cell>
          <cell r="EE72">
            <v>0.92</v>
          </cell>
          <cell r="EF72">
            <v>0.88</v>
          </cell>
          <cell r="EG72">
            <v>0.89</v>
          </cell>
          <cell r="EH72">
            <v>0.85</v>
          </cell>
          <cell r="EI72">
            <v>0.85</v>
          </cell>
          <cell r="EJ72">
            <v>0.88</v>
          </cell>
          <cell r="EK72">
            <v>0.91</v>
          </cell>
          <cell r="EL72">
            <v>0.91</v>
          </cell>
          <cell r="EM72">
            <v>0.9</v>
          </cell>
          <cell r="EN72">
            <v>0.9</v>
          </cell>
          <cell r="EO72">
            <v>0.89</v>
          </cell>
          <cell r="EP72">
            <v>0.86</v>
          </cell>
          <cell r="EQ72">
            <v>0.87</v>
          </cell>
          <cell r="ER72">
            <v>0.87</v>
          </cell>
          <cell r="ES72">
            <v>0.9</v>
          </cell>
          <cell r="ET72">
            <v>0.93</v>
          </cell>
          <cell r="EU72">
            <v>0.99</v>
          </cell>
          <cell r="EV72">
            <v>0.98</v>
          </cell>
          <cell r="EW72">
            <v>0.98</v>
          </cell>
          <cell r="EX72">
            <v>0.99</v>
          </cell>
          <cell r="EY72">
            <v>0.99</v>
          </cell>
          <cell r="EZ72">
            <v>0.99</v>
          </cell>
          <cell r="FA72">
            <v>1.05</v>
          </cell>
          <cell r="FB72">
            <v>1.0768</v>
          </cell>
          <cell r="FC72">
            <v>1.0806</v>
          </cell>
          <cell r="FD72">
            <v>1.0914999999999999</v>
          </cell>
          <cell r="FE72">
            <v>1.1184000000000001</v>
          </cell>
          <cell r="FF72">
            <v>1.1783999999999999</v>
          </cell>
          <cell r="FG72">
            <v>1.1511</v>
          </cell>
          <cell r="FH72">
            <v>1.1232</v>
          </cell>
          <cell r="FI72">
            <v>1.0984</v>
          </cell>
          <cell r="FJ72">
            <v>1.1656</v>
          </cell>
          <cell r="FK72">
            <v>1.1593</v>
          </cell>
          <cell r="FL72">
            <v>1.1995</v>
          </cell>
          <cell r="FM72">
            <v>1.2595000000000001</v>
          </cell>
          <cell r="FN72">
            <v>1.25</v>
          </cell>
          <cell r="FO72">
            <v>1.2658227848101264</v>
          </cell>
          <cell r="FP72">
            <v>1.2195121951219512</v>
          </cell>
          <cell r="FQ72">
            <v>1.2048192771084338</v>
          </cell>
          <cell r="FR72">
            <v>1.2048192771084338</v>
          </cell>
          <cell r="FS72">
            <v>1.2195121951219512</v>
          </cell>
          <cell r="FT72">
            <v>1.2195121951219512</v>
          </cell>
          <cell r="FU72">
            <v>1.2195121951219512</v>
          </cell>
          <cell r="FV72">
            <v>1.2195121951219512</v>
          </cell>
          <cell r="FW72">
            <v>1.25</v>
          </cell>
          <cell r="FX72">
            <v>1.2987012987012987</v>
          </cell>
          <cell r="FY72">
            <v>1.3333333333333333</v>
          </cell>
          <cell r="FZ72">
            <v>1.3140604467805519</v>
          </cell>
          <cell r="GA72">
            <v>1.3003901170351104</v>
          </cell>
          <cell r="GB72">
            <v>1.3192612137203166</v>
          </cell>
          <cell r="GC72">
            <v>1.2953367875647668</v>
          </cell>
          <cell r="GD72">
            <v>1.2706480304955527</v>
          </cell>
          <cell r="GE72">
            <v>1.2165450121654502</v>
          </cell>
          <cell r="GF72">
            <v>1.2048192771084338</v>
          </cell>
          <cell r="GG72">
            <v>1.2285012285012287</v>
          </cell>
          <cell r="GH72">
            <v>1.2254901960784315</v>
          </cell>
          <cell r="GI72">
            <v>1.2033694344163659</v>
          </cell>
          <cell r="GJ72">
            <v>1.2048192771084338</v>
          </cell>
          <cell r="GK72">
            <v>1.1862396204033214</v>
          </cell>
          <cell r="GL72">
            <v>1.2091898428053205</v>
          </cell>
          <cell r="GM72">
            <v>1.1961722488038278</v>
          </cell>
          <cell r="GN72">
            <v>1.2019230769230769</v>
          </cell>
          <cell r="GO72">
            <v>1.2239902080783354</v>
          </cell>
          <cell r="GP72">
            <v>1.2755102040816326</v>
          </cell>
          <cell r="GQ72">
            <v>1.2674271229404308</v>
          </cell>
          <cell r="GR72">
            <v>1.2706480304955527</v>
          </cell>
          <cell r="GS72">
            <v>1.2804097311139564</v>
          </cell>
          <cell r="GT72">
            <v>1.2738853503184713</v>
          </cell>
          <cell r="GU72">
            <v>1.2610340479192939</v>
          </cell>
          <cell r="GV72">
            <v>1.2853470437017995</v>
          </cell>
          <cell r="GW72">
            <v>1.321003963011889</v>
          </cell>
          <cell r="GX72">
            <v>1.3020833333333333</v>
          </cell>
          <cell r="GY72">
            <v>1.3071895424836601</v>
          </cell>
          <cell r="GZ72">
            <v>1.3227513227513228</v>
          </cell>
          <cell r="HA72">
            <v>1.3495276653171391</v>
          </cell>
          <cell r="HB72">
            <v>1.3531799729364005</v>
          </cell>
          <cell r="HC72">
            <v>1.3422818791946309</v>
          </cell>
          <cell r="HD72">
            <v>1.3717421124828533</v>
          </cell>
          <cell r="HE72">
            <v>1.3623978201634879</v>
          </cell>
          <cell r="HF72">
            <v>1.3869625520110958</v>
          </cell>
          <cell r="HG72">
            <v>1.4224751066856332</v>
          </cell>
          <cell r="HH72">
            <v>1.4662756598240467</v>
          </cell>
          <cell r="HI72">
            <v>1.4556040756914119</v>
          </cell>
          <cell r="HJ72">
            <v>1.4705882352941175</v>
          </cell>
          <cell r="HK72">
            <v>1.4727540500736376</v>
          </cell>
          <cell r="HL72">
            <v>1.5479876160990711</v>
          </cell>
          <cell r="HM72">
            <v>1.5772870662460567</v>
          </cell>
          <cell r="HN72">
            <v>1.557632398753894</v>
          </cell>
          <cell r="HO72">
            <v>1.5552099533437014</v>
          </cell>
          <cell r="HP72">
            <v>1.5797788309636651</v>
          </cell>
          <cell r="HQ72">
            <v>1.5797788309636651</v>
          </cell>
          <cell r="HR72">
            <v>1.5797788309636651</v>
          </cell>
          <cell r="HS72">
            <v>1.5797788309636651</v>
          </cell>
          <cell r="HT72">
            <v>1.5797788309636651</v>
          </cell>
          <cell r="HU72">
            <v>1.5797788309636651</v>
          </cell>
          <cell r="HV72">
            <v>1.5797788309636651</v>
          </cell>
          <cell r="HW72">
            <v>1.5649452269170578</v>
          </cell>
          <cell r="HX72">
            <v>1.5503875968992247</v>
          </cell>
          <cell r="HY72">
            <v>1.5360983102918586</v>
          </cell>
          <cell r="HZ72">
            <v>1.519756838905775</v>
          </cell>
          <cell r="IA72">
            <v>1.506024096385542</v>
          </cell>
          <cell r="IB72">
            <v>1.4903129657228018</v>
          </cell>
          <cell r="IC72">
            <v>1.4749262536873156</v>
          </cell>
          <cell r="ID72">
            <v>1.4598540145985401</v>
          </cell>
          <cell r="IE72">
            <v>1.4450867052023122</v>
          </cell>
          <cell r="IF72">
            <v>1.4306151645207441</v>
          </cell>
          <cell r="IG72">
            <v>1.4144271570014144</v>
          </cell>
          <cell r="IH72">
            <v>1.4513788098693761</v>
          </cell>
          <cell r="II72">
            <v>1.4430014430014431</v>
          </cell>
          <cell r="IJ72">
            <v>1.4326647564469914</v>
          </cell>
          <cell r="IK72">
            <v>1.4245014245014247</v>
          </cell>
        </row>
        <row r="73">
          <cell r="F73" t="str">
            <v xml:space="preserve">Currency, Euro per US$ </v>
          </cell>
          <cell r="G73">
            <v>0.84833333333333327</v>
          </cell>
          <cell r="H73">
            <v>0.84</v>
          </cell>
          <cell r="I73">
            <v>0.8</v>
          </cell>
          <cell r="J73">
            <v>0.8</v>
          </cell>
          <cell r="K73">
            <v>0.78</v>
          </cell>
          <cell r="L73">
            <v>0.7599999999999999</v>
          </cell>
          <cell r="M73">
            <v>0.7599999999999999</v>
          </cell>
          <cell r="N73">
            <v>0.77</v>
          </cell>
          <cell r="O73">
            <v>0.7599999999999999</v>
          </cell>
          <cell r="P73">
            <v>0.82000000000000006</v>
          </cell>
          <cell r="Q73">
            <v>0.87000000000000011</v>
          </cell>
          <cell r="R73">
            <v>0.87999999999999989</v>
          </cell>
          <cell r="S73">
            <v>0.91000000000000014</v>
          </cell>
          <cell r="T73">
            <v>0.92</v>
          </cell>
          <cell r="U73">
            <v>0.8899999999999999</v>
          </cell>
          <cell r="V73">
            <v>0.86</v>
          </cell>
          <cell r="W73">
            <v>0.86</v>
          </cell>
          <cell r="X73">
            <v>0.83</v>
          </cell>
          <cell r="Y73">
            <v>0.81</v>
          </cell>
          <cell r="Z73">
            <v>0.81</v>
          </cell>
          <cell r="AA73">
            <v>0.83</v>
          </cell>
          <cell r="AB73">
            <v>0.85</v>
          </cell>
          <cell r="AC73">
            <v>0.84</v>
          </cell>
          <cell r="AD73">
            <v>0.83</v>
          </cell>
          <cell r="AE73">
            <v>0.81</v>
          </cell>
          <cell r="AF73">
            <v>0.7599999999999999</v>
          </cell>
          <cell r="AG73">
            <v>0.74</v>
          </cell>
          <cell r="AH73">
            <v>0.74</v>
          </cell>
          <cell r="AI73">
            <v>0.7599999999999999</v>
          </cell>
          <cell r="AJ73">
            <v>0.81</v>
          </cell>
          <cell r="AK73">
            <v>0.81</v>
          </cell>
          <cell r="AL73">
            <v>0.83</v>
          </cell>
          <cell r="AM73">
            <v>0.84</v>
          </cell>
          <cell r="AN73">
            <v>0.84</v>
          </cell>
          <cell r="AO73">
            <v>0.82000000000000006</v>
          </cell>
          <cell r="AP73">
            <v>0.82000000000000006</v>
          </cell>
          <cell r="AQ73">
            <v>0.85</v>
          </cell>
          <cell r="AR73">
            <v>0.87000000000000011</v>
          </cell>
          <cell r="AS73">
            <v>0.86</v>
          </cell>
          <cell r="AT73">
            <v>0.83</v>
          </cell>
          <cell r="AU73">
            <v>0.84</v>
          </cell>
          <cell r="AV73">
            <v>0.87000000000000011</v>
          </cell>
          <cell r="AW73">
            <v>0.87000000000000011</v>
          </cell>
          <cell r="AX73">
            <v>0.8899999999999999</v>
          </cell>
          <cell r="AY73">
            <v>0.8899999999999999</v>
          </cell>
          <cell r="AZ73">
            <v>0.86</v>
          </cell>
          <cell r="BA73">
            <v>0.87000000000000011</v>
          </cell>
          <cell r="BB73">
            <v>0.85</v>
          </cell>
          <cell r="BC73">
            <v>0.83</v>
          </cell>
          <cell r="BD73">
            <v>0.8</v>
          </cell>
          <cell r="BE73">
            <v>0.8</v>
          </cell>
          <cell r="BF73">
            <v>0.79</v>
          </cell>
          <cell r="BG73">
            <v>0.78</v>
          </cell>
          <cell r="BH73">
            <v>0.79</v>
          </cell>
          <cell r="BI73">
            <v>0.8</v>
          </cell>
          <cell r="BJ73">
            <v>0.78</v>
          </cell>
          <cell r="BK73">
            <v>0.77</v>
          </cell>
          <cell r="BL73">
            <v>0.72</v>
          </cell>
          <cell r="BM73">
            <v>0.67</v>
          </cell>
          <cell r="BN73">
            <v>0.72</v>
          </cell>
          <cell r="BO73">
            <v>0.72</v>
          </cell>
          <cell r="BP73">
            <v>0.71</v>
          </cell>
          <cell r="BQ73">
            <v>0.74</v>
          </cell>
          <cell r="BR73">
            <v>0.75</v>
          </cell>
          <cell r="BS73">
            <v>0.72</v>
          </cell>
          <cell r="BT73">
            <v>0.73000000000000009</v>
          </cell>
          <cell r="BU73">
            <v>0.74</v>
          </cell>
          <cell r="BV73">
            <v>0.75</v>
          </cell>
          <cell r="BW73">
            <v>0.75</v>
          </cell>
          <cell r="BX73">
            <v>0.7599999999999999</v>
          </cell>
          <cell r="BY73">
            <v>0.77</v>
          </cell>
          <cell r="BZ73">
            <v>0.78</v>
          </cell>
          <cell r="CA73">
            <v>0.78</v>
          </cell>
          <cell r="CB73">
            <v>0.77</v>
          </cell>
          <cell r="CC73">
            <v>0.7599999999999999</v>
          </cell>
          <cell r="CD73">
            <v>0.77</v>
          </cell>
          <cell r="CE73">
            <v>0.78</v>
          </cell>
          <cell r="CF73">
            <v>0.77</v>
          </cell>
          <cell r="CG73">
            <v>0.8</v>
          </cell>
          <cell r="CH73">
            <v>0.82000000000000006</v>
          </cell>
          <cell r="CI73">
            <v>0.86</v>
          </cell>
          <cell r="CJ73">
            <v>0.87000000000000011</v>
          </cell>
          <cell r="CK73">
            <v>0.87999999999999989</v>
          </cell>
          <cell r="CL73">
            <v>0.87000000000000011</v>
          </cell>
          <cell r="CM73">
            <v>0.87999999999999989</v>
          </cell>
          <cell r="CN73">
            <v>0.92</v>
          </cell>
          <cell r="CO73">
            <v>0.94000000000000006</v>
          </cell>
          <cell r="CP73">
            <v>0.91000000000000014</v>
          </cell>
          <cell r="CQ73">
            <v>0.89999999999999991</v>
          </cell>
          <cell r="CR73">
            <v>0.8899999999999999</v>
          </cell>
          <cell r="CS73">
            <v>0.91000000000000014</v>
          </cell>
          <cell r="CT73">
            <v>0.93</v>
          </cell>
          <cell r="CU73">
            <v>0.93</v>
          </cell>
          <cell r="CV73">
            <v>0.93</v>
          </cell>
          <cell r="CW73">
            <v>0.93</v>
          </cell>
          <cell r="CX73">
            <v>0.91</v>
          </cell>
          <cell r="CY73">
            <v>0.92</v>
          </cell>
          <cell r="CZ73">
            <v>0.92</v>
          </cell>
          <cell r="DA73">
            <v>0.91</v>
          </cell>
          <cell r="DB73">
            <v>0.87</v>
          </cell>
          <cell r="DC73">
            <v>0.84</v>
          </cell>
          <cell r="DD73">
            <v>0.86</v>
          </cell>
          <cell r="DE73">
            <v>0.85470085470085477</v>
          </cell>
          <cell r="DF73">
            <v>0.87719298245614041</v>
          </cell>
          <cell r="DG73">
            <v>0.90909090909090906</v>
          </cell>
          <cell r="DH73">
            <v>0.92592592592592582</v>
          </cell>
          <cell r="DI73">
            <v>0.94339622641509424</v>
          </cell>
          <cell r="DJ73">
            <v>0.96153846153846145</v>
          </cell>
          <cell r="DK73">
            <v>0.96153846153846145</v>
          </cell>
          <cell r="DL73">
            <v>0.93457943925233644</v>
          </cell>
          <cell r="DM73">
            <v>0.94339622641509424</v>
          </cell>
          <cell r="DN73">
            <v>0.93457943925233644</v>
          </cell>
          <cell r="DO73">
            <v>0.95238095238095233</v>
          </cell>
          <cell r="DP73">
            <v>0.99009900990099009</v>
          </cell>
          <cell r="DQ73">
            <v>0.99009900990099009</v>
          </cell>
          <cell r="DR73">
            <v>1.0309278350515465</v>
          </cell>
          <cell r="DS73">
            <v>1.0416666666666667</v>
          </cell>
          <cell r="DT73">
            <v>1.0416666666666667</v>
          </cell>
          <cell r="DU73">
            <v>1.0989010989010988</v>
          </cell>
          <cell r="DV73">
            <v>1.0638297872340425</v>
          </cell>
          <cell r="DW73">
            <v>1.0526315789473684</v>
          </cell>
          <cell r="DX73">
            <v>1.075268817204301</v>
          </cell>
          <cell r="DY73">
            <v>1.1235955056179776</v>
          </cell>
          <cell r="DZ73">
            <v>1.1363636363636365</v>
          </cell>
          <cell r="EA73">
            <v>1.1764705882352942</v>
          </cell>
          <cell r="EB73">
            <v>1.1494252873563218</v>
          </cell>
          <cell r="EC73">
            <v>1.0638297872340425</v>
          </cell>
          <cell r="ED73">
            <v>1.0638297872340425</v>
          </cell>
          <cell r="EE73">
            <v>1.0869565217391304</v>
          </cell>
          <cell r="EF73">
            <v>1.1363636363636365</v>
          </cell>
          <cell r="EG73">
            <v>1.1235955056179776</v>
          </cell>
          <cell r="EH73">
            <v>1.1764705882352942</v>
          </cell>
          <cell r="EI73">
            <v>1.1764705882352942</v>
          </cell>
          <cell r="EJ73">
            <v>1.1363636363636365</v>
          </cell>
          <cell r="EK73">
            <v>1.0989010989010988</v>
          </cell>
          <cell r="EL73">
            <v>1.0989010989010988</v>
          </cell>
          <cell r="EM73">
            <v>1.1111111111111112</v>
          </cell>
          <cell r="EN73">
            <v>1.1111111111111112</v>
          </cell>
          <cell r="EO73">
            <v>1.1235955056179776</v>
          </cell>
          <cell r="EP73">
            <v>1.1627906976744187</v>
          </cell>
          <cell r="EQ73">
            <v>1.1494252873563218</v>
          </cell>
          <cell r="ER73">
            <v>1.1494252873563218</v>
          </cell>
          <cell r="ES73">
            <v>1.1111111111111112</v>
          </cell>
          <cell r="ET73">
            <v>1.075268817204301</v>
          </cell>
          <cell r="EU73">
            <v>1.0101010101010102</v>
          </cell>
          <cell r="EV73">
            <v>1.0204081632653061</v>
          </cell>
          <cell r="EW73">
            <v>1.0204081632653061</v>
          </cell>
          <cell r="EX73">
            <v>1.0101010101010102</v>
          </cell>
          <cell r="EY73">
            <v>1.0101010101010102</v>
          </cell>
          <cell r="EZ73">
            <v>1.0101010101010102</v>
          </cell>
          <cell r="FA73">
            <v>0.95238095238095233</v>
          </cell>
          <cell r="FB73">
            <v>0.92867756315007433</v>
          </cell>
          <cell r="FC73">
            <v>0.92541180825467328</v>
          </cell>
          <cell r="FD73">
            <v>0.91617040769583147</v>
          </cell>
          <cell r="FE73">
            <v>0.89413447782546485</v>
          </cell>
          <cell r="FF73">
            <v>0.8486082824168365</v>
          </cell>
          <cell r="FG73">
            <v>0.86873425419164274</v>
          </cell>
          <cell r="FH73">
            <v>0.8903133903133903</v>
          </cell>
          <cell r="FI73">
            <v>0.91041514930808443</v>
          </cell>
          <cell r="FJ73">
            <v>0.85792724776938922</v>
          </cell>
          <cell r="FK73">
            <v>0.86258949365996718</v>
          </cell>
          <cell r="FL73">
            <v>0.8336807002917882</v>
          </cell>
          <cell r="FM73">
            <v>0.79396585946804288</v>
          </cell>
          <cell r="FN73">
            <v>0.8</v>
          </cell>
          <cell r="FO73">
            <v>0.79</v>
          </cell>
          <cell r="FP73">
            <v>0.82</v>
          </cell>
          <cell r="FQ73">
            <v>0.83</v>
          </cell>
          <cell r="FR73">
            <v>0.83</v>
          </cell>
          <cell r="FS73">
            <v>0.82</v>
          </cell>
          <cell r="FT73">
            <v>0.82</v>
          </cell>
          <cell r="FU73">
            <v>0.82</v>
          </cell>
          <cell r="FV73">
            <v>0.82</v>
          </cell>
          <cell r="FW73">
            <v>0.8</v>
          </cell>
          <cell r="FX73">
            <v>0.77</v>
          </cell>
          <cell r="FY73">
            <v>0.75</v>
          </cell>
          <cell r="FZ73">
            <v>0.76100000000000001</v>
          </cell>
          <cell r="GA73">
            <v>0.76900000000000002</v>
          </cell>
          <cell r="GB73">
            <v>0.75800000000000001</v>
          </cell>
          <cell r="GC73">
            <v>0.77200000000000002</v>
          </cell>
          <cell r="GD73">
            <v>0.78700000000000003</v>
          </cell>
          <cell r="GE73">
            <v>0.82199999999999995</v>
          </cell>
          <cell r="GF73">
            <v>0.83</v>
          </cell>
          <cell r="GG73">
            <v>0.81399999999999995</v>
          </cell>
          <cell r="GH73">
            <v>0.81599999999999995</v>
          </cell>
          <cell r="GI73">
            <v>0.83099999999999996</v>
          </cell>
          <cell r="GJ73">
            <v>0.83</v>
          </cell>
          <cell r="GK73">
            <v>0.84299999999999997</v>
          </cell>
          <cell r="GL73">
            <v>0.82699999999999996</v>
          </cell>
          <cell r="GM73">
            <v>0.83599999999999997</v>
          </cell>
          <cell r="GN73">
            <v>0.83199999999999996</v>
          </cell>
          <cell r="GO73">
            <v>0.81699999999999995</v>
          </cell>
          <cell r="GP73">
            <v>0.78400000000000003</v>
          </cell>
          <cell r="GQ73">
            <v>0.78900000000000003</v>
          </cell>
          <cell r="GR73">
            <v>0.78700000000000003</v>
          </cell>
          <cell r="GS73">
            <v>0.78100000000000003</v>
          </cell>
          <cell r="GT73">
            <v>0.78500000000000003</v>
          </cell>
          <cell r="GU73">
            <v>0.79300000000000004</v>
          </cell>
          <cell r="GV73">
            <v>0.77800000000000002</v>
          </cell>
          <cell r="GW73">
            <v>0.75700000000000001</v>
          </cell>
          <cell r="GX73">
            <v>0.76800000000000002</v>
          </cell>
          <cell r="GY73">
            <v>0.76500000000000001</v>
          </cell>
          <cell r="GZ73">
            <v>0.75600000000000001</v>
          </cell>
          <cell r="HA73">
            <v>0.74099999999999999</v>
          </cell>
          <cell r="HB73">
            <v>0.73899999999999999</v>
          </cell>
          <cell r="HC73">
            <v>0.745</v>
          </cell>
          <cell r="HD73">
            <v>0.72899999999999998</v>
          </cell>
          <cell r="HE73">
            <v>0.73399999999999999</v>
          </cell>
          <cell r="HF73">
            <v>0.72099999999999997</v>
          </cell>
          <cell r="HG73">
            <v>0.70299999999999996</v>
          </cell>
          <cell r="HH73">
            <v>0.68200000000000005</v>
          </cell>
          <cell r="HI73">
            <v>0.68700000000000006</v>
          </cell>
          <cell r="HJ73">
            <v>0.68</v>
          </cell>
          <cell r="HK73">
            <v>0.67900000000000005</v>
          </cell>
          <cell r="HL73">
            <v>0.64600000000000002</v>
          </cell>
          <cell r="HM73">
            <v>0.63400000000000001</v>
          </cell>
          <cell r="HN73">
            <v>0.64200000000000002</v>
          </cell>
          <cell r="HO73">
            <v>0.64300000000000002</v>
          </cell>
          <cell r="HP73">
            <v>0.63300000000000001</v>
          </cell>
          <cell r="HQ73">
            <v>0.63300000000000001</v>
          </cell>
          <cell r="HR73">
            <v>0.63300000000000001</v>
          </cell>
          <cell r="HS73">
            <v>0.63300000000000001</v>
          </cell>
          <cell r="HT73">
            <v>0.63300000000000001</v>
          </cell>
          <cell r="HU73">
            <v>0.63300000000000001</v>
          </cell>
          <cell r="HV73">
            <v>0.63300000000000001</v>
          </cell>
          <cell r="HW73">
            <v>0.63900000000000001</v>
          </cell>
          <cell r="HX73">
            <v>0.64500000000000002</v>
          </cell>
          <cell r="HY73">
            <v>0.65100000000000002</v>
          </cell>
          <cell r="HZ73">
            <v>0.65800000000000003</v>
          </cell>
          <cell r="IA73">
            <v>0.66400000000000003</v>
          </cell>
          <cell r="IB73">
            <v>0.67100000000000004</v>
          </cell>
          <cell r="IC73">
            <v>0.67800000000000005</v>
          </cell>
          <cell r="ID73">
            <v>0.68500000000000005</v>
          </cell>
          <cell r="IE73">
            <v>0.69199999999999995</v>
          </cell>
          <cell r="IF73">
            <v>0.69899999999999995</v>
          </cell>
          <cell r="IG73">
            <v>0.70699999999999996</v>
          </cell>
          <cell r="IH73">
            <v>0.68899999999999995</v>
          </cell>
          <cell r="II73">
            <v>0.69299999999999995</v>
          </cell>
          <cell r="IJ73">
            <v>0.69799999999999995</v>
          </cell>
          <cell r="IK73">
            <v>0.70199999999999996</v>
          </cell>
        </row>
        <row r="74">
          <cell r="F74" t="str">
            <v>Notes:</v>
          </cell>
          <cell r="EW74">
            <v>0.98333333333333339</v>
          </cell>
          <cell r="EZ74">
            <v>1.01</v>
          </cell>
          <cell r="FC74">
            <v>1.0829666666666666</v>
          </cell>
          <cell r="FF74">
            <v>1.1493</v>
          </cell>
          <cell r="FI74">
            <v>1.1290666666666667</v>
          </cell>
          <cell r="FL74">
            <v>1.2060999999999999</v>
          </cell>
          <cell r="FM74">
            <v>0.98333333333333339</v>
          </cell>
          <cell r="FO74">
            <v>1.2451116599773593</v>
          </cell>
          <cell r="FP74">
            <v>1.01</v>
          </cell>
          <cell r="FR74">
            <v>1.2097169164462729</v>
          </cell>
          <cell r="FS74">
            <v>1.0829666666666666</v>
          </cell>
          <cell r="FU74">
            <v>1.2195121951219512</v>
          </cell>
          <cell r="FV74">
            <v>4.6252741182181811E-2</v>
          </cell>
          <cell r="FX74">
            <v>1.2940115440115438</v>
          </cell>
          <cell r="FY74">
            <v>1.1290666666666667</v>
          </cell>
          <cell r="GB74">
            <v>1.2060999999999999</v>
          </cell>
          <cell r="GE74">
            <v>1.2451116599773593</v>
          </cell>
          <cell r="GH74">
            <v>1.2097169164462729</v>
          </cell>
          <cell r="GK74">
            <v>1.2195121951219512</v>
          </cell>
          <cell r="GL74">
            <v>4.6252741182181811E-2</v>
          </cell>
          <cell r="GN74">
            <v>1.2940115440115438</v>
          </cell>
        </row>
        <row r="75">
          <cell r="F75" t="str">
            <v>(1) A weighted average was taken of fiber and antifreeze grade prices.</v>
          </cell>
          <cell r="CX75">
            <v>88.3</v>
          </cell>
          <cell r="DA75">
            <v>89.666666666666671</v>
          </cell>
          <cell r="DD75">
            <v>91.166666666666671</v>
          </cell>
          <cell r="DG75">
            <v>90.166666666666671</v>
          </cell>
          <cell r="DJ75">
            <v>88.666666666666671</v>
          </cell>
          <cell r="DM75">
            <v>88.3</v>
          </cell>
          <cell r="DN75">
            <v>88.3</v>
          </cell>
          <cell r="DP75">
            <v>89.666666666666671</v>
          </cell>
          <cell r="DQ75">
            <v>89.666666666666671</v>
          </cell>
          <cell r="DS75">
            <v>91.166666666666671</v>
          </cell>
          <cell r="DT75">
            <v>91.166666666666671</v>
          </cell>
          <cell r="DV75">
            <v>90.166666666666671</v>
          </cell>
          <cell r="DW75">
            <v>90.166666666666671</v>
          </cell>
          <cell r="DY75">
            <v>88.666666666666671</v>
          </cell>
          <cell r="DZ75">
            <v>88.666666666666671</v>
          </cell>
          <cell r="FV75">
            <v>-4.4208000000000136E-2</v>
          </cell>
          <cell r="GL75">
            <v>-4.4208000000000136E-2</v>
          </cell>
        </row>
        <row r="76">
          <cell r="F76" t="str">
            <v>(2) ECU price = (1.1 X Caustic soda price) + Chlorine price.</v>
          </cell>
          <cell r="CW76" t="str">
            <v>YOY</v>
          </cell>
          <cell r="DI76" t="str">
            <v>YOY</v>
          </cell>
          <cell r="DJ76">
            <v>4.1525103812760644E-3</v>
          </cell>
          <cell r="DL76" t="str">
            <v>YOY</v>
          </cell>
          <cell r="DM76" t="str">
            <v>YOY</v>
          </cell>
          <cell r="DX76" t="str">
            <v>YOY</v>
          </cell>
          <cell r="DY76" t="str">
            <v>YOY</v>
          </cell>
          <cell r="DZ76">
            <v>4.1525103812760644E-3</v>
          </cell>
        </row>
        <row r="77">
          <cell r="CW77" t="str">
            <v>SEQ</v>
          </cell>
          <cell r="DI77" t="str">
            <v>SEQ</v>
          </cell>
          <cell r="DJ77">
            <v>-1.6635859519408491E-2</v>
          </cell>
          <cell r="DL77" t="str">
            <v>SEQ</v>
          </cell>
          <cell r="DM77" t="str">
            <v>SEQ</v>
          </cell>
          <cell r="DX77" t="str">
            <v>SEQ</v>
          </cell>
          <cell r="DY77" t="str">
            <v>SEQ</v>
          </cell>
          <cell r="DZ77">
            <v>-1.6635859519408491E-2</v>
          </cell>
        </row>
        <row r="79">
          <cell r="F79" t="str">
            <v>Indexed Raw Material Costs</v>
          </cell>
        </row>
        <row r="81">
          <cell r="G81">
            <v>0</v>
          </cell>
          <cell r="H81">
            <v>33055</v>
          </cell>
          <cell r="I81">
            <v>33086</v>
          </cell>
          <cell r="J81">
            <v>33117</v>
          </cell>
          <cell r="K81">
            <v>33147</v>
          </cell>
          <cell r="L81">
            <v>33178</v>
          </cell>
          <cell r="M81">
            <v>33208</v>
          </cell>
          <cell r="N81">
            <v>33239</v>
          </cell>
          <cell r="O81">
            <v>33270</v>
          </cell>
          <cell r="P81">
            <v>33298</v>
          </cell>
          <cell r="Q81">
            <v>33329</v>
          </cell>
          <cell r="R81">
            <v>33359</v>
          </cell>
          <cell r="S81">
            <v>33390</v>
          </cell>
          <cell r="T81">
            <v>33420</v>
          </cell>
          <cell r="U81">
            <v>33451</v>
          </cell>
          <cell r="V81">
            <v>33482</v>
          </cell>
          <cell r="W81">
            <v>33512</v>
          </cell>
          <cell r="X81">
            <v>33543</v>
          </cell>
          <cell r="Y81">
            <v>33573</v>
          </cell>
          <cell r="Z81">
            <v>33604</v>
          </cell>
          <cell r="AA81">
            <v>33635</v>
          </cell>
          <cell r="AB81">
            <v>33664</v>
          </cell>
          <cell r="AC81">
            <v>33695</v>
          </cell>
          <cell r="AD81">
            <v>33725</v>
          </cell>
          <cell r="AE81">
            <v>33756</v>
          </cell>
          <cell r="AF81">
            <v>33786</v>
          </cell>
          <cell r="AG81">
            <v>33817</v>
          </cell>
          <cell r="AH81">
            <v>33848</v>
          </cell>
          <cell r="AI81">
            <v>33878</v>
          </cell>
          <cell r="AJ81">
            <v>33909</v>
          </cell>
          <cell r="AK81">
            <v>33939</v>
          </cell>
          <cell r="AL81">
            <v>33970</v>
          </cell>
          <cell r="AM81">
            <v>34001</v>
          </cell>
          <cell r="AN81">
            <v>34029</v>
          </cell>
          <cell r="AO81">
            <v>34060</v>
          </cell>
          <cell r="AP81">
            <v>34090</v>
          </cell>
          <cell r="AQ81">
            <v>34121</v>
          </cell>
          <cell r="AR81">
            <v>34151</v>
          </cell>
          <cell r="AS81">
            <v>34182</v>
          </cell>
          <cell r="AT81">
            <v>34213</v>
          </cell>
          <cell r="AU81">
            <v>34243</v>
          </cell>
          <cell r="AV81">
            <v>34274</v>
          </cell>
          <cell r="AW81">
            <v>34304</v>
          </cell>
          <cell r="AX81">
            <v>34335</v>
          </cell>
          <cell r="AY81">
            <v>34366</v>
          </cell>
          <cell r="AZ81">
            <v>34394</v>
          </cell>
          <cell r="BA81">
            <v>34425</v>
          </cell>
          <cell r="BB81">
            <v>34455</v>
          </cell>
          <cell r="BC81">
            <v>34486</v>
          </cell>
          <cell r="BD81">
            <v>34516</v>
          </cell>
          <cell r="BE81">
            <v>34547</v>
          </cell>
          <cell r="BF81">
            <v>34578</v>
          </cell>
          <cell r="BG81">
            <v>34608</v>
          </cell>
          <cell r="BH81">
            <v>34639</v>
          </cell>
          <cell r="BI81">
            <v>34669</v>
          </cell>
          <cell r="BJ81">
            <v>34700</v>
          </cell>
          <cell r="BK81">
            <v>34731</v>
          </cell>
          <cell r="BL81">
            <v>34759</v>
          </cell>
          <cell r="BM81">
            <v>34790</v>
          </cell>
          <cell r="BN81">
            <v>34820</v>
          </cell>
          <cell r="BO81">
            <v>34851</v>
          </cell>
          <cell r="BP81">
            <v>34881</v>
          </cell>
          <cell r="BQ81">
            <v>34912</v>
          </cell>
          <cell r="BR81">
            <v>34943</v>
          </cell>
          <cell r="BS81">
            <v>34973</v>
          </cell>
          <cell r="BT81">
            <v>35004</v>
          </cell>
          <cell r="BU81">
            <v>35034</v>
          </cell>
          <cell r="BV81">
            <v>35065</v>
          </cell>
          <cell r="BW81">
            <v>35096</v>
          </cell>
          <cell r="BX81">
            <v>35125</v>
          </cell>
          <cell r="BY81">
            <v>35156</v>
          </cell>
          <cell r="BZ81">
            <v>35186</v>
          </cell>
          <cell r="CA81">
            <v>35217</v>
          </cell>
          <cell r="CB81">
            <v>35247</v>
          </cell>
          <cell r="CC81">
            <v>35278</v>
          </cell>
          <cell r="CD81">
            <v>35309</v>
          </cell>
          <cell r="CE81">
            <v>35339</v>
          </cell>
          <cell r="CF81">
            <v>35370</v>
          </cell>
          <cell r="CG81">
            <v>35400</v>
          </cell>
          <cell r="CH81">
            <v>35431</v>
          </cell>
          <cell r="CI81">
            <v>35462</v>
          </cell>
          <cell r="CJ81">
            <v>35490</v>
          </cell>
          <cell r="CK81">
            <v>35521</v>
          </cell>
          <cell r="CL81">
            <v>35551</v>
          </cell>
          <cell r="CM81">
            <v>35582</v>
          </cell>
          <cell r="CN81">
            <v>35612</v>
          </cell>
          <cell r="CO81">
            <v>35643</v>
          </cell>
          <cell r="CP81">
            <v>35674</v>
          </cell>
          <cell r="CQ81">
            <v>35704</v>
          </cell>
          <cell r="CR81">
            <v>35735</v>
          </cell>
          <cell r="CS81">
            <v>35765</v>
          </cell>
          <cell r="CT81">
            <v>35796</v>
          </cell>
          <cell r="CU81">
            <v>35827</v>
          </cell>
          <cell r="CV81">
            <v>35855</v>
          </cell>
          <cell r="CW81">
            <v>35886</v>
          </cell>
          <cell r="CX81">
            <v>35916</v>
          </cell>
          <cell r="CY81">
            <v>35947</v>
          </cell>
          <cell r="CZ81">
            <v>35977</v>
          </cell>
          <cell r="DA81">
            <v>36008</v>
          </cell>
          <cell r="DB81">
            <v>36039</v>
          </cell>
          <cell r="DC81">
            <v>36069</v>
          </cell>
          <cell r="DD81">
            <v>36100</v>
          </cell>
          <cell r="DE81">
            <v>36130</v>
          </cell>
          <cell r="DF81">
            <v>36161</v>
          </cell>
          <cell r="DG81">
            <v>36192</v>
          </cell>
          <cell r="DH81">
            <v>36220</v>
          </cell>
          <cell r="DI81">
            <v>36251</v>
          </cell>
          <cell r="DJ81">
            <v>36281</v>
          </cell>
          <cell r="DK81">
            <v>36312</v>
          </cell>
          <cell r="DL81">
            <v>36342</v>
          </cell>
          <cell r="DM81">
            <v>36373</v>
          </cell>
          <cell r="DN81">
            <v>36404</v>
          </cell>
          <cell r="DO81">
            <v>36434</v>
          </cell>
          <cell r="DP81">
            <v>36465</v>
          </cell>
          <cell r="DQ81">
            <v>36495</v>
          </cell>
          <cell r="DR81">
            <v>36526</v>
          </cell>
          <cell r="DS81">
            <v>36557</v>
          </cell>
          <cell r="DT81">
            <v>36586</v>
          </cell>
          <cell r="DU81">
            <v>36617</v>
          </cell>
          <cell r="DV81">
            <v>36647</v>
          </cell>
          <cell r="DW81">
            <v>36678</v>
          </cell>
          <cell r="DX81">
            <v>36708</v>
          </cell>
          <cell r="DY81">
            <v>36739</v>
          </cell>
          <cell r="DZ81">
            <v>36770</v>
          </cell>
          <cell r="EA81">
            <v>36800</v>
          </cell>
          <cell r="EB81">
            <v>36831</v>
          </cell>
          <cell r="EC81">
            <v>36861</v>
          </cell>
          <cell r="ED81">
            <v>36892</v>
          </cell>
          <cell r="EE81">
            <v>36923</v>
          </cell>
          <cell r="EF81">
            <v>36951</v>
          </cell>
          <cell r="EG81">
            <v>36982</v>
          </cell>
          <cell r="EH81">
            <v>37012</v>
          </cell>
          <cell r="EI81">
            <v>37043</v>
          </cell>
          <cell r="EJ81">
            <v>37073</v>
          </cell>
          <cell r="EK81">
            <v>37104</v>
          </cell>
          <cell r="EL81">
            <v>37135</v>
          </cell>
          <cell r="EM81">
            <v>37165</v>
          </cell>
          <cell r="EN81">
            <v>37196</v>
          </cell>
          <cell r="EO81">
            <v>37226</v>
          </cell>
          <cell r="EP81">
            <v>37257</v>
          </cell>
          <cell r="EQ81">
            <v>37288</v>
          </cell>
          <cell r="ER81">
            <v>37316</v>
          </cell>
          <cell r="ES81">
            <v>37347</v>
          </cell>
          <cell r="ET81">
            <v>37377</v>
          </cell>
          <cell r="EU81">
            <v>37408</v>
          </cell>
          <cell r="EV81">
            <v>37438</v>
          </cell>
          <cell r="EW81">
            <v>37469</v>
          </cell>
          <cell r="EX81">
            <v>37500</v>
          </cell>
          <cell r="EY81">
            <v>37530</v>
          </cell>
          <cell r="EZ81">
            <v>37561</v>
          </cell>
          <cell r="FA81">
            <v>37591</v>
          </cell>
          <cell r="FB81">
            <v>37135</v>
          </cell>
          <cell r="FC81">
            <v>37165</v>
          </cell>
          <cell r="FD81">
            <v>37196</v>
          </cell>
          <cell r="FE81">
            <v>37226</v>
          </cell>
          <cell r="FF81">
            <v>37257</v>
          </cell>
          <cell r="FG81">
            <v>37288</v>
          </cell>
          <cell r="FH81">
            <v>37316</v>
          </cell>
          <cell r="FI81">
            <v>37347</v>
          </cell>
          <cell r="FJ81">
            <v>37377</v>
          </cell>
          <cell r="FK81">
            <v>37408</v>
          </cell>
          <cell r="FL81">
            <v>37438</v>
          </cell>
          <cell r="FM81">
            <v>37469</v>
          </cell>
          <cell r="FN81">
            <v>37500</v>
          </cell>
          <cell r="FO81">
            <v>37530</v>
          </cell>
          <cell r="FP81">
            <v>37561</v>
          </cell>
          <cell r="FQ81">
            <v>37591</v>
          </cell>
        </row>
        <row r="83">
          <cell r="F83" t="str">
            <v xml:space="preserve">  Ethane (c/gal) -  E/P Mix</v>
          </cell>
          <cell r="H83" t="e">
            <v>#DIV/0!</v>
          </cell>
          <cell r="I83" t="e">
            <v>#DIV/0!</v>
          </cell>
          <cell r="J83" t="e">
            <v>#DIV/0!</v>
          </cell>
          <cell r="K83" t="e">
            <v>#DIV/0!</v>
          </cell>
          <cell r="L83" t="e">
            <v>#DIV/0!</v>
          </cell>
          <cell r="M83" t="e">
            <v>#DIV/0!</v>
          </cell>
          <cell r="N83" t="e">
            <v>#DIV/0!</v>
          </cell>
          <cell r="O83" t="e">
            <v>#DIV/0!</v>
          </cell>
          <cell r="P83" t="e">
            <v>#DIV/0!</v>
          </cell>
          <cell r="Q83" t="e">
            <v>#DIV/0!</v>
          </cell>
          <cell r="R83" t="e">
            <v>#DIV/0!</v>
          </cell>
          <cell r="S83" t="e">
            <v>#DIV/0!</v>
          </cell>
          <cell r="T83" t="e">
            <v>#DIV/0!</v>
          </cell>
          <cell r="U83" t="e">
            <v>#DIV/0!</v>
          </cell>
          <cell r="V83" t="e">
            <v>#DIV/0!</v>
          </cell>
          <cell r="W83" t="e">
            <v>#DIV/0!</v>
          </cell>
          <cell r="X83" t="e">
            <v>#DIV/0!</v>
          </cell>
          <cell r="Y83" t="e">
            <v>#DIV/0!</v>
          </cell>
          <cell r="Z83" t="e">
            <v>#DIV/0!</v>
          </cell>
          <cell r="AA83" t="e">
            <v>#DIV/0!</v>
          </cell>
          <cell r="AB83" t="e">
            <v>#DIV/0!</v>
          </cell>
          <cell r="AC83" t="e">
            <v>#DIV/0!</v>
          </cell>
          <cell r="AD83" t="e">
            <v>#DIV/0!</v>
          </cell>
          <cell r="AE83" t="e">
            <v>#DIV/0!</v>
          </cell>
          <cell r="AF83" t="e">
            <v>#DIV/0!</v>
          </cell>
          <cell r="AG83" t="e">
            <v>#DIV/0!</v>
          </cell>
          <cell r="AH83" t="e">
            <v>#DIV/0!</v>
          </cell>
          <cell r="AI83" t="e">
            <v>#DIV/0!</v>
          </cell>
          <cell r="AJ83" t="e">
            <v>#DIV/0!</v>
          </cell>
          <cell r="AK83" t="e">
            <v>#DIV/0!</v>
          </cell>
          <cell r="AL83" t="e">
            <v>#DIV/0!</v>
          </cell>
          <cell r="AM83" t="e">
            <v>#DIV/0!</v>
          </cell>
          <cell r="AN83" t="e">
            <v>#DIV/0!</v>
          </cell>
          <cell r="AO83" t="e">
            <v>#DIV/0!</v>
          </cell>
          <cell r="AP83" t="e">
            <v>#DIV/0!</v>
          </cell>
          <cell r="AQ83" t="e">
            <v>#DIV/0!</v>
          </cell>
          <cell r="AR83" t="e">
            <v>#DIV/0!</v>
          </cell>
          <cell r="AS83" t="e">
            <v>#DIV/0!</v>
          </cell>
          <cell r="AT83" t="e">
            <v>#DIV/0!</v>
          </cell>
          <cell r="AU83" t="e">
            <v>#DIV/0!</v>
          </cell>
          <cell r="AV83" t="e">
            <v>#DIV/0!</v>
          </cell>
          <cell r="AW83" t="e">
            <v>#DIV/0!</v>
          </cell>
          <cell r="AX83" t="e">
            <v>#DIV/0!</v>
          </cell>
          <cell r="AY83" t="e">
            <v>#DIV/0!</v>
          </cell>
          <cell r="AZ83" t="e">
            <v>#DIV/0!</v>
          </cell>
          <cell r="BA83" t="e">
            <v>#DIV/0!</v>
          </cell>
          <cell r="BB83" t="e">
            <v>#DIV/0!</v>
          </cell>
          <cell r="BC83" t="e">
            <v>#DIV/0!</v>
          </cell>
          <cell r="BD83" t="e">
            <v>#DIV/0!</v>
          </cell>
          <cell r="BE83" t="e">
            <v>#DIV/0!</v>
          </cell>
          <cell r="BF83" t="e">
            <v>#DIV/0!</v>
          </cell>
          <cell r="BG83" t="e">
            <v>#DIV/0!</v>
          </cell>
          <cell r="BH83" t="e">
            <v>#DIV/0!</v>
          </cell>
          <cell r="BI83" t="e">
            <v>#DIV/0!</v>
          </cell>
          <cell r="BJ83" t="e">
            <v>#DIV/0!</v>
          </cell>
          <cell r="BK83" t="e">
            <v>#DIV/0!</v>
          </cell>
          <cell r="BL83" t="e">
            <v>#DIV/0!</v>
          </cell>
          <cell r="BM83" t="e">
            <v>#DIV/0!</v>
          </cell>
          <cell r="BN83" t="e">
            <v>#DIV/0!</v>
          </cell>
          <cell r="BO83" t="e">
            <v>#DIV/0!</v>
          </cell>
          <cell r="BP83" t="e">
            <v>#DIV/0!</v>
          </cell>
          <cell r="BQ83" t="e">
            <v>#DIV/0!</v>
          </cell>
          <cell r="BR83" t="e">
            <v>#DIV/0!</v>
          </cell>
          <cell r="BS83" t="e">
            <v>#DIV/0!</v>
          </cell>
          <cell r="BT83" t="e">
            <v>#DIV/0!</v>
          </cell>
          <cell r="BU83" t="e">
            <v>#DIV/0!</v>
          </cell>
          <cell r="BV83" t="e">
            <v>#DIV/0!</v>
          </cell>
          <cell r="BW83" t="e">
            <v>#DIV/0!</v>
          </cell>
          <cell r="BX83" t="e">
            <v>#DIV/0!</v>
          </cell>
          <cell r="BY83" t="e">
            <v>#DIV/0!</v>
          </cell>
          <cell r="BZ83" t="e">
            <v>#DIV/0!</v>
          </cell>
          <cell r="CA83" t="e">
            <v>#DIV/0!</v>
          </cell>
          <cell r="CB83" t="e">
            <v>#DIV/0!</v>
          </cell>
          <cell r="CC83" t="e">
            <v>#DIV/0!</v>
          </cell>
          <cell r="CD83" t="e">
            <v>#DIV/0!</v>
          </cell>
          <cell r="CE83" t="e">
            <v>#DIV/0!</v>
          </cell>
          <cell r="CF83" t="e">
            <v>#DIV/0!</v>
          </cell>
          <cell r="CG83" t="e">
            <v>#DIV/0!</v>
          </cell>
          <cell r="CH83" t="e">
            <v>#DIV/0!</v>
          </cell>
          <cell r="CI83" t="e">
            <v>#DIV/0!</v>
          </cell>
          <cell r="CJ83" t="e">
            <v>#DIV/0!</v>
          </cell>
          <cell r="CK83" t="e">
            <v>#DIV/0!</v>
          </cell>
          <cell r="CL83" t="e">
            <v>#DIV/0!</v>
          </cell>
          <cell r="CM83" t="e">
            <v>#DIV/0!</v>
          </cell>
          <cell r="CN83" t="e">
            <v>#DIV/0!</v>
          </cell>
          <cell r="CO83" t="e">
            <v>#DIV/0!</v>
          </cell>
          <cell r="CP83" t="e">
            <v>#DIV/0!</v>
          </cell>
          <cell r="CQ83" t="e">
            <v>#DIV/0!</v>
          </cell>
          <cell r="CR83" t="e">
            <v>#DIV/0!</v>
          </cell>
          <cell r="CS83" t="e">
            <v>#DIV/0!</v>
          </cell>
          <cell r="CT83" t="e">
            <v>#DIV/0!</v>
          </cell>
          <cell r="CU83" t="e">
            <v>#DIV/0!</v>
          </cell>
          <cell r="CV83" t="e">
            <v>#DIV/0!</v>
          </cell>
          <cell r="CW83" t="e">
            <v>#DIV/0!</v>
          </cell>
          <cell r="CX83" t="e">
            <v>#DIV/0!</v>
          </cell>
          <cell r="CY83" t="e">
            <v>#DIV/0!</v>
          </cell>
          <cell r="CZ83" t="e">
            <v>#DIV/0!</v>
          </cell>
          <cell r="DA83" t="e">
            <v>#DIV/0!</v>
          </cell>
          <cell r="DB83" t="e">
            <v>#DIV/0!</v>
          </cell>
          <cell r="DC83" t="e">
            <v>#DIV/0!</v>
          </cell>
          <cell r="DD83" t="e">
            <v>#DIV/0!</v>
          </cell>
          <cell r="DE83" t="e">
            <v>#DIV/0!</v>
          </cell>
          <cell r="DF83" t="e">
            <v>#DIV/0!</v>
          </cell>
          <cell r="DG83" t="e">
            <v>#DIV/0!</v>
          </cell>
          <cell r="DH83" t="e">
            <v>#DIV/0!</v>
          </cell>
          <cell r="DI83" t="e">
            <v>#DIV/0!</v>
          </cell>
          <cell r="DJ83" t="e">
            <v>#DIV/0!</v>
          </cell>
          <cell r="DK83" t="e">
            <v>#DIV/0!</v>
          </cell>
          <cell r="DL83" t="e">
            <v>#DIV/0!</v>
          </cell>
          <cell r="DM83" t="e">
            <v>#DIV/0!</v>
          </cell>
          <cell r="DN83" t="e">
            <v>#DIV/0!</v>
          </cell>
          <cell r="DO83" t="e">
            <v>#DIV/0!</v>
          </cell>
          <cell r="DP83" t="e">
            <v>#DIV/0!</v>
          </cell>
          <cell r="DQ83" t="e">
            <v>#DIV/0!</v>
          </cell>
          <cell r="DR83" t="e">
            <v>#DIV/0!</v>
          </cell>
          <cell r="DS83" t="e">
            <v>#DIV/0!</v>
          </cell>
          <cell r="DT83" t="e">
            <v>#DIV/0!</v>
          </cell>
          <cell r="DU83" t="e">
            <v>#DIV/0!</v>
          </cell>
        </row>
        <row r="84">
          <cell r="F84" t="str">
            <v xml:space="preserve">  Naphtha  (c/gal)  - Light Naphtha, non-Warren </v>
          </cell>
          <cell r="H84" t="e">
            <v>#DIV/0!</v>
          </cell>
          <cell r="I84" t="e">
            <v>#DIV/0!</v>
          </cell>
          <cell r="J84" t="e">
            <v>#DIV/0!</v>
          </cell>
          <cell r="K84" t="e">
            <v>#DIV/0!</v>
          </cell>
          <cell r="L84" t="e">
            <v>#DIV/0!</v>
          </cell>
          <cell r="M84" t="e">
            <v>#DIV/0!</v>
          </cell>
          <cell r="N84" t="e">
            <v>#DIV/0!</v>
          </cell>
          <cell r="O84" t="e">
            <v>#DIV/0!</v>
          </cell>
          <cell r="P84" t="e">
            <v>#DIV/0!</v>
          </cell>
          <cell r="Q84" t="e">
            <v>#DIV/0!</v>
          </cell>
          <cell r="R84" t="e">
            <v>#DIV/0!</v>
          </cell>
          <cell r="S84" t="e">
            <v>#DIV/0!</v>
          </cell>
          <cell r="T84" t="e">
            <v>#DIV/0!</v>
          </cell>
          <cell r="U84" t="e">
            <v>#DIV/0!</v>
          </cell>
          <cell r="V84" t="e">
            <v>#DIV/0!</v>
          </cell>
          <cell r="W84" t="e">
            <v>#DIV/0!</v>
          </cell>
          <cell r="X84" t="e">
            <v>#DIV/0!</v>
          </cell>
          <cell r="Y84" t="e">
            <v>#DIV/0!</v>
          </cell>
          <cell r="Z84" t="e">
            <v>#DIV/0!</v>
          </cell>
          <cell r="AA84" t="e">
            <v>#DIV/0!</v>
          </cell>
          <cell r="AB84" t="e">
            <v>#DIV/0!</v>
          </cell>
          <cell r="AC84" t="e">
            <v>#DIV/0!</v>
          </cell>
          <cell r="AD84" t="e">
            <v>#DIV/0!</v>
          </cell>
          <cell r="AE84" t="e">
            <v>#DIV/0!</v>
          </cell>
          <cell r="AF84" t="e">
            <v>#DIV/0!</v>
          </cell>
          <cell r="AG84" t="e">
            <v>#DIV/0!</v>
          </cell>
          <cell r="AH84" t="e">
            <v>#DIV/0!</v>
          </cell>
          <cell r="AI84" t="e">
            <v>#DIV/0!</v>
          </cell>
          <cell r="AJ84" t="e">
            <v>#DIV/0!</v>
          </cell>
          <cell r="AK84" t="e">
            <v>#DIV/0!</v>
          </cell>
          <cell r="AL84" t="e">
            <v>#DIV/0!</v>
          </cell>
          <cell r="AM84" t="e">
            <v>#DIV/0!</v>
          </cell>
          <cell r="AN84" t="e">
            <v>#DIV/0!</v>
          </cell>
          <cell r="AO84" t="e">
            <v>#DIV/0!</v>
          </cell>
          <cell r="AP84" t="e">
            <v>#DIV/0!</v>
          </cell>
          <cell r="AQ84" t="e">
            <v>#DIV/0!</v>
          </cell>
          <cell r="AR84" t="e">
            <v>#DIV/0!</v>
          </cell>
          <cell r="AS84" t="e">
            <v>#DIV/0!</v>
          </cell>
          <cell r="AT84" t="e">
            <v>#DIV/0!</v>
          </cell>
          <cell r="AU84" t="e">
            <v>#DIV/0!</v>
          </cell>
          <cell r="AV84" t="e">
            <v>#DIV/0!</v>
          </cell>
          <cell r="AW84" t="e">
            <v>#DIV/0!</v>
          </cell>
          <cell r="AX84" t="e">
            <v>#DIV/0!</v>
          </cell>
          <cell r="AY84" t="e">
            <v>#DIV/0!</v>
          </cell>
          <cell r="AZ84" t="e">
            <v>#DIV/0!</v>
          </cell>
          <cell r="BA84" t="e">
            <v>#DIV/0!</v>
          </cell>
          <cell r="BB84" t="e">
            <v>#DIV/0!</v>
          </cell>
          <cell r="BC84" t="e">
            <v>#DIV/0!</v>
          </cell>
          <cell r="BD84" t="e">
            <v>#DIV/0!</v>
          </cell>
          <cell r="BE84" t="e">
            <v>#DIV/0!</v>
          </cell>
          <cell r="BF84" t="e">
            <v>#DIV/0!</v>
          </cell>
          <cell r="BG84" t="e">
            <v>#DIV/0!</v>
          </cell>
          <cell r="BH84" t="e">
            <v>#DIV/0!</v>
          </cell>
          <cell r="BI84" t="e">
            <v>#DIV/0!</v>
          </cell>
          <cell r="BJ84" t="e">
            <v>#DIV/0!</v>
          </cell>
          <cell r="BK84" t="e">
            <v>#DIV/0!</v>
          </cell>
          <cell r="BL84" t="e">
            <v>#DIV/0!</v>
          </cell>
          <cell r="BM84" t="e">
            <v>#DIV/0!</v>
          </cell>
          <cell r="BN84" t="e">
            <v>#DIV/0!</v>
          </cell>
          <cell r="BO84" t="e">
            <v>#DIV/0!</v>
          </cell>
          <cell r="BP84" t="e">
            <v>#DIV/0!</v>
          </cell>
          <cell r="BQ84" t="e">
            <v>#DIV/0!</v>
          </cell>
          <cell r="BR84" t="e">
            <v>#DIV/0!</v>
          </cell>
          <cell r="BS84" t="e">
            <v>#DIV/0!</v>
          </cell>
          <cell r="BT84" t="e">
            <v>#DIV/0!</v>
          </cell>
          <cell r="BU84" t="e">
            <v>#DIV/0!</v>
          </cell>
          <cell r="BV84" t="e">
            <v>#DIV/0!</v>
          </cell>
          <cell r="BW84" t="e">
            <v>#DIV/0!</v>
          </cell>
          <cell r="BX84" t="e">
            <v>#DIV/0!</v>
          </cell>
          <cell r="BY84" t="e">
            <v>#DIV/0!</v>
          </cell>
          <cell r="BZ84" t="e">
            <v>#DIV/0!</v>
          </cell>
          <cell r="CA84" t="e">
            <v>#DIV/0!</v>
          </cell>
          <cell r="CB84" t="e">
            <v>#DIV/0!</v>
          </cell>
          <cell r="CC84" t="e">
            <v>#DIV/0!</v>
          </cell>
          <cell r="CD84" t="e">
            <v>#DIV/0!</v>
          </cell>
          <cell r="CE84" t="e">
            <v>#DIV/0!</v>
          </cell>
          <cell r="CF84" t="e">
            <v>#DIV/0!</v>
          </cell>
          <cell r="CG84" t="e">
            <v>#DIV/0!</v>
          </cell>
          <cell r="CH84" t="e">
            <v>#DIV/0!</v>
          </cell>
          <cell r="CI84" t="e">
            <v>#DIV/0!</v>
          </cell>
          <cell r="CJ84" t="e">
            <v>#DIV/0!</v>
          </cell>
          <cell r="CK84" t="e">
            <v>#DIV/0!</v>
          </cell>
          <cell r="CL84" t="e">
            <v>#DIV/0!</v>
          </cell>
          <cell r="CM84" t="e">
            <v>#DIV/0!</v>
          </cell>
          <cell r="CN84" t="e">
            <v>#DIV/0!</v>
          </cell>
          <cell r="CO84" t="e">
            <v>#DIV/0!</v>
          </cell>
          <cell r="CP84" t="e">
            <v>#DIV/0!</v>
          </cell>
          <cell r="CQ84" t="e">
            <v>#DIV/0!</v>
          </cell>
          <cell r="CR84" t="e">
            <v>#DIV/0!</v>
          </cell>
          <cell r="CS84" t="e">
            <v>#DIV/0!</v>
          </cell>
          <cell r="CT84" t="e">
            <v>#DIV/0!</v>
          </cell>
          <cell r="CU84" t="e">
            <v>#DIV/0!</v>
          </cell>
          <cell r="CV84" t="e">
            <v>#DIV/0!</v>
          </cell>
          <cell r="CW84" t="e">
            <v>#DIV/0!</v>
          </cell>
          <cell r="CX84" t="e">
            <v>#DIV/0!</v>
          </cell>
          <cell r="CY84" t="e">
            <v>#DIV/0!</v>
          </cell>
          <cell r="CZ84" t="e">
            <v>#DIV/0!</v>
          </cell>
          <cell r="DA84" t="e">
            <v>#DIV/0!</v>
          </cell>
          <cell r="DB84" t="e">
            <v>#DIV/0!</v>
          </cell>
          <cell r="DC84" t="e">
            <v>#DIV/0!</v>
          </cell>
          <cell r="DD84" t="e">
            <v>#DIV/0!</v>
          </cell>
          <cell r="DE84" t="e">
            <v>#DIV/0!</v>
          </cell>
          <cell r="DF84" t="e">
            <v>#DIV/0!</v>
          </cell>
        </row>
        <row r="85">
          <cell r="F85" t="str">
            <v xml:space="preserve">  Natural gas ($/MMBtu)</v>
          </cell>
          <cell r="H85" t="e">
            <v>#DIV/0!</v>
          </cell>
          <cell r="I85" t="e">
            <v>#DIV/0!</v>
          </cell>
          <cell r="J85" t="e">
            <v>#DIV/0!</v>
          </cell>
          <cell r="K85" t="e">
            <v>#DIV/0!</v>
          </cell>
          <cell r="L85" t="e">
            <v>#DIV/0!</v>
          </cell>
          <cell r="M85" t="e">
            <v>#DIV/0!</v>
          </cell>
          <cell r="N85" t="e">
            <v>#DIV/0!</v>
          </cell>
          <cell r="O85" t="e">
            <v>#DIV/0!</v>
          </cell>
          <cell r="P85" t="e">
            <v>#DIV/0!</v>
          </cell>
          <cell r="Q85" t="e">
            <v>#DIV/0!</v>
          </cell>
          <cell r="R85" t="e">
            <v>#DIV/0!</v>
          </cell>
          <cell r="S85" t="e">
            <v>#DIV/0!</v>
          </cell>
          <cell r="T85" t="e">
            <v>#DIV/0!</v>
          </cell>
          <cell r="U85" t="e">
            <v>#DIV/0!</v>
          </cell>
          <cell r="V85" t="e">
            <v>#DIV/0!</v>
          </cell>
          <cell r="W85" t="e">
            <v>#DIV/0!</v>
          </cell>
          <cell r="X85" t="e">
            <v>#DIV/0!</v>
          </cell>
          <cell r="Y85" t="e">
            <v>#DIV/0!</v>
          </cell>
          <cell r="Z85" t="e">
            <v>#DIV/0!</v>
          </cell>
          <cell r="AA85" t="e">
            <v>#DIV/0!</v>
          </cell>
          <cell r="AB85" t="e">
            <v>#DIV/0!</v>
          </cell>
          <cell r="AC85" t="e">
            <v>#DIV/0!</v>
          </cell>
          <cell r="AD85" t="e">
            <v>#DIV/0!</v>
          </cell>
          <cell r="AE85" t="e">
            <v>#DIV/0!</v>
          </cell>
          <cell r="AF85" t="e">
            <v>#DIV/0!</v>
          </cell>
          <cell r="AG85" t="e">
            <v>#DIV/0!</v>
          </cell>
          <cell r="AH85" t="e">
            <v>#DIV/0!</v>
          </cell>
          <cell r="AI85" t="e">
            <v>#DIV/0!</v>
          </cell>
          <cell r="AJ85" t="e">
            <v>#DIV/0!</v>
          </cell>
          <cell r="AK85" t="e">
            <v>#DIV/0!</v>
          </cell>
          <cell r="AL85" t="e">
            <v>#DIV/0!</v>
          </cell>
          <cell r="AM85" t="e">
            <v>#DIV/0!</v>
          </cell>
          <cell r="AN85" t="e">
            <v>#DIV/0!</v>
          </cell>
          <cell r="AO85" t="e">
            <v>#DIV/0!</v>
          </cell>
          <cell r="AP85" t="e">
            <v>#DIV/0!</v>
          </cell>
          <cell r="AQ85" t="e">
            <v>#DIV/0!</v>
          </cell>
          <cell r="AR85" t="e">
            <v>#DIV/0!</v>
          </cell>
          <cell r="AS85" t="e">
            <v>#DIV/0!</v>
          </cell>
          <cell r="AT85" t="e">
            <v>#DIV/0!</v>
          </cell>
          <cell r="AU85" t="e">
            <v>#DIV/0!</v>
          </cell>
          <cell r="AV85" t="e">
            <v>#DIV/0!</v>
          </cell>
          <cell r="AW85" t="e">
            <v>#DIV/0!</v>
          </cell>
          <cell r="AX85" t="e">
            <v>#DIV/0!</v>
          </cell>
          <cell r="AY85" t="e">
            <v>#DIV/0!</v>
          </cell>
          <cell r="AZ85" t="e">
            <v>#DIV/0!</v>
          </cell>
          <cell r="BA85" t="e">
            <v>#DIV/0!</v>
          </cell>
          <cell r="BB85" t="e">
            <v>#DIV/0!</v>
          </cell>
          <cell r="BC85" t="e">
            <v>#DIV/0!</v>
          </cell>
          <cell r="BD85" t="e">
            <v>#DIV/0!</v>
          </cell>
          <cell r="BE85" t="e">
            <v>#DIV/0!</v>
          </cell>
          <cell r="BF85" t="e">
            <v>#DIV/0!</v>
          </cell>
          <cell r="BG85" t="e">
            <v>#DIV/0!</v>
          </cell>
          <cell r="BH85" t="e">
            <v>#DIV/0!</v>
          </cell>
          <cell r="BI85" t="e">
            <v>#DIV/0!</v>
          </cell>
          <cell r="BJ85" t="e">
            <v>#DIV/0!</v>
          </cell>
          <cell r="BK85" t="e">
            <v>#DIV/0!</v>
          </cell>
          <cell r="BL85" t="e">
            <v>#DIV/0!</v>
          </cell>
          <cell r="BM85" t="e">
            <v>#DIV/0!</v>
          </cell>
          <cell r="BN85" t="e">
            <v>#DIV/0!</v>
          </cell>
          <cell r="BO85" t="e">
            <v>#DIV/0!</v>
          </cell>
          <cell r="BP85" t="e">
            <v>#DIV/0!</v>
          </cell>
          <cell r="BQ85" t="e">
            <v>#DIV/0!</v>
          </cell>
          <cell r="BR85" t="e">
            <v>#DIV/0!</v>
          </cell>
          <cell r="BS85" t="e">
            <v>#DIV/0!</v>
          </cell>
          <cell r="BT85" t="e">
            <v>#DIV/0!</v>
          </cell>
          <cell r="BU85" t="e">
            <v>#DIV/0!</v>
          </cell>
          <cell r="BV85" t="e">
            <v>#DIV/0!</v>
          </cell>
          <cell r="BW85" t="e">
            <v>#DIV/0!</v>
          </cell>
          <cell r="BX85" t="e">
            <v>#DIV/0!</v>
          </cell>
          <cell r="BY85" t="e">
            <v>#DIV/0!</v>
          </cell>
          <cell r="BZ85" t="e">
            <v>#DIV/0!</v>
          </cell>
          <cell r="CA85" t="e">
            <v>#DIV/0!</v>
          </cell>
          <cell r="CB85" t="e">
            <v>#DIV/0!</v>
          </cell>
          <cell r="CC85" t="e">
            <v>#DIV/0!</v>
          </cell>
          <cell r="CD85" t="e">
            <v>#DIV/0!</v>
          </cell>
          <cell r="CE85" t="e">
            <v>#DIV/0!</v>
          </cell>
          <cell r="CF85" t="e">
            <v>#DIV/0!</v>
          </cell>
          <cell r="CG85" t="e">
            <v>#DIV/0!</v>
          </cell>
          <cell r="CH85" t="e">
            <v>#DIV/0!</v>
          </cell>
          <cell r="CI85" t="e">
            <v>#DIV/0!</v>
          </cell>
          <cell r="CJ85" t="e">
            <v>#DIV/0!</v>
          </cell>
          <cell r="CK85" t="e">
            <v>#DIV/0!</v>
          </cell>
          <cell r="CL85" t="e">
            <v>#DIV/0!</v>
          </cell>
          <cell r="CM85" t="e">
            <v>#DIV/0!</v>
          </cell>
          <cell r="CN85" t="e">
            <v>#DIV/0!</v>
          </cell>
          <cell r="CO85" t="e">
            <v>#DIV/0!</v>
          </cell>
          <cell r="CP85" t="e">
            <v>#DIV/0!</v>
          </cell>
          <cell r="CQ85" t="e">
            <v>#DIV/0!</v>
          </cell>
          <cell r="CR85" t="e">
            <v>#DIV/0!</v>
          </cell>
          <cell r="CS85" t="e">
            <v>#DIV/0!</v>
          </cell>
          <cell r="CT85" t="e">
            <v>#DIV/0!</v>
          </cell>
          <cell r="CU85" t="e">
            <v>#DIV/0!</v>
          </cell>
          <cell r="CV85" t="e">
            <v>#DIV/0!</v>
          </cell>
          <cell r="CW85" t="e">
            <v>#DIV/0!</v>
          </cell>
          <cell r="CX85" t="e">
            <v>#DIV/0!</v>
          </cell>
          <cell r="CY85" t="e">
            <v>#DIV/0!</v>
          </cell>
          <cell r="CZ85" t="e">
            <v>#DIV/0!</v>
          </cell>
          <cell r="DA85" t="e">
            <v>#DIV/0!</v>
          </cell>
          <cell r="DB85" t="e">
            <v>#DIV/0!</v>
          </cell>
          <cell r="DC85" t="e">
            <v>#DIV/0!</v>
          </cell>
          <cell r="DD85" t="e">
            <v>#DIV/0!</v>
          </cell>
          <cell r="DE85" t="e">
            <v>#DIV/0!</v>
          </cell>
          <cell r="DF85" t="e">
            <v>#DIV/0!</v>
          </cell>
          <cell r="DG85" t="e">
            <v>#DIV/0!</v>
          </cell>
          <cell r="DH85" t="e">
            <v>#DIV/0!</v>
          </cell>
          <cell r="DI85" t="e">
            <v>#DIV/0!</v>
          </cell>
          <cell r="DJ85" t="e">
            <v>#DIV/0!</v>
          </cell>
          <cell r="DK85" t="e">
            <v>#DIV/0!</v>
          </cell>
          <cell r="DL85" t="e">
            <v>#DIV/0!</v>
          </cell>
          <cell r="DM85" t="e">
            <v>#DIV/0!</v>
          </cell>
          <cell r="DN85" t="e">
            <v>#DIV/0!</v>
          </cell>
          <cell r="DO85" t="e">
            <v>#DIV/0!</v>
          </cell>
          <cell r="DP85" t="e">
            <v>#DIV/0!</v>
          </cell>
          <cell r="DQ85" t="e">
            <v>#DIV/0!</v>
          </cell>
          <cell r="DR85" t="e">
            <v>#DIV/0!</v>
          </cell>
          <cell r="DS85" t="e">
            <v>#DIV/0!</v>
          </cell>
          <cell r="DT85" t="e">
            <v>#DIV/0!</v>
          </cell>
          <cell r="DU85" t="e">
            <v>#DIV/0!</v>
          </cell>
          <cell r="DV85" t="e">
            <v>#DIV/0!</v>
          </cell>
          <cell r="DW85" t="e">
            <v>#DIV/0!</v>
          </cell>
          <cell r="DX85" t="e">
            <v>#DIV/0!</v>
          </cell>
        </row>
        <row r="86">
          <cell r="F86" t="str">
            <v xml:space="preserve">  Oil ($/bbl ) - WTI</v>
          </cell>
          <cell r="H86" t="e">
            <v>#DIV/0!</v>
          </cell>
          <cell r="I86" t="e">
            <v>#DIV/0!</v>
          </cell>
          <cell r="J86" t="e">
            <v>#DIV/0!</v>
          </cell>
          <cell r="K86" t="e">
            <v>#DIV/0!</v>
          </cell>
          <cell r="L86" t="e">
            <v>#DIV/0!</v>
          </cell>
          <cell r="M86" t="e">
            <v>#DIV/0!</v>
          </cell>
          <cell r="N86" t="e">
            <v>#DIV/0!</v>
          </cell>
          <cell r="O86" t="e">
            <v>#DIV/0!</v>
          </cell>
          <cell r="P86" t="e">
            <v>#DIV/0!</v>
          </cell>
          <cell r="Q86" t="e">
            <v>#DIV/0!</v>
          </cell>
          <cell r="R86" t="e">
            <v>#DIV/0!</v>
          </cell>
          <cell r="S86" t="e">
            <v>#DIV/0!</v>
          </cell>
          <cell r="T86" t="e">
            <v>#DIV/0!</v>
          </cell>
          <cell r="U86" t="e">
            <v>#DIV/0!</v>
          </cell>
          <cell r="V86" t="e">
            <v>#DIV/0!</v>
          </cell>
          <cell r="W86" t="e">
            <v>#DIV/0!</v>
          </cell>
          <cell r="X86" t="e">
            <v>#DIV/0!</v>
          </cell>
          <cell r="Y86" t="e">
            <v>#DIV/0!</v>
          </cell>
          <cell r="Z86" t="e">
            <v>#DIV/0!</v>
          </cell>
          <cell r="AA86" t="e">
            <v>#DIV/0!</v>
          </cell>
          <cell r="AB86" t="e">
            <v>#DIV/0!</v>
          </cell>
          <cell r="AC86" t="e">
            <v>#DIV/0!</v>
          </cell>
          <cell r="AD86" t="e">
            <v>#DIV/0!</v>
          </cell>
          <cell r="AE86" t="e">
            <v>#DIV/0!</v>
          </cell>
          <cell r="AF86" t="e">
            <v>#DIV/0!</v>
          </cell>
          <cell r="AG86" t="e">
            <v>#DIV/0!</v>
          </cell>
          <cell r="AH86" t="e">
            <v>#DIV/0!</v>
          </cell>
          <cell r="AI86" t="e">
            <v>#DIV/0!</v>
          </cell>
          <cell r="AJ86" t="e">
            <v>#DIV/0!</v>
          </cell>
          <cell r="AK86" t="e">
            <v>#DIV/0!</v>
          </cell>
          <cell r="AL86" t="e">
            <v>#DIV/0!</v>
          </cell>
          <cell r="AM86" t="e">
            <v>#DIV/0!</v>
          </cell>
          <cell r="AN86" t="e">
            <v>#DIV/0!</v>
          </cell>
          <cell r="AO86" t="e">
            <v>#DIV/0!</v>
          </cell>
          <cell r="AP86" t="e">
            <v>#DIV/0!</v>
          </cell>
          <cell r="AQ86" t="e">
            <v>#DIV/0!</v>
          </cell>
          <cell r="AR86" t="e">
            <v>#DIV/0!</v>
          </cell>
          <cell r="AS86" t="e">
            <v>#DIV/0!</v>
          </cell>
          <cell r="AT86" t="e">
            <v>#DIV/0!</v>
          </cell>
          <cell r="AU86" t="e">
            <v>#DIV/0!</v>
          </cell>
          <cell r="AV86" t="e">
            <v>#DIV/0!</v>
          </cell>
          <cell r="AW86" t="e">
            <v>#DIV/0!</v>
          </cell>
          <cell r="AX86" t="e">
            <v>#DIV/0!</v>
          </cell>
          <cell r="AY86" t="e">
            <v>#DIV/0!</v>
          </cell>
          <cell r="AZ86" t="e">
            <v>#DIV/0!</v>
          </cell>
          <cell r="BA86" t="e">
            <v>#DIV/0!</v>
          </cell>
          <cell r="BB86" t="e">
            <v>#DIV/0!</v>
          </cell>
          <cell r="BC86" t="e">
            <v>#DIV/0!</v>
          </cell>
          <cell r="BD86" t="e">
            <v>#DIV/0!</v>
          </cell>
          <cell r="BE86" t="e">
            <v>#DIV/0!</v>
          </cell>
          <cell r="BF86" t="e">
            <v>#DIV/0!</v>
          </cell>
          <cell r="BG86" t="e">
            <v>#DIV/0!</v>
          </cell>
          <cell r="BH86" t="e">
            <v>#DIV/0!</v>
          </cell>
          <cell r="BI86" t="e">
            <v>#DIV/0!</v>
          </cell>
          <cell r="BJ86" t="e">
            <v>#DIV/0!</v>
          </cell>
          <cell r="BK86" t="e">
            <v>#DIV/0!</v>
          </cell>
          <cell r="BL86" t="e">
            <v>#DIV/0!</v>
          </cell>
          <cell r="BM86" t="e">
            <v>#DIV/0!</v>
          </cell>
          <cell r="BN86" t="e">
            <v>#DIV/0!</v>
          </cell>
          <cell r="BO86" t="e">
            <v>#DIV/0!</v>
          </cell>
          <cell r="BP86" t="e">
            <v>#DIV/0!</v>
          </cell>
          <cell r="BQ86" t="e">
            <v>#DIV/0!</v>
          </cell>
          <cell r="BR86" t="e">
            <v>#DIV/0!</v>
          </cell>
          <cell r="BS86" t="e">
            <v>#DIV/0!</v>
          </cell>
          <cell r="BT86" t="e">
            <v>#DIV/0!</v>
          </cell>
          <cell r="BU86" t="e">
            <v>#DIV/0!</v>
          </cell>
          <cell r="BV86" t="e">
            <v>#DIV/0!</v>
          </cell>
          <cell r="BW86" t="e">
            <v>#DIV/0!</v>
          </cell>
          <cell r="BX86" t="e">
            <v>#DIV/0!</v>
          </cell>
          <cell r="BY86" t="e">
            <v>#DIV/0!</v>
          </cell>
          <cell r="BZ86" t="e">
            <v>#DIV/0!</v>
          </cell>
          <cell r="CA86" t="e">
            <v>#DIV/0!</v>
          </cell>
          <cell r="CB86" t="e">
            <v>#DIV/0!</v>
          </cell>
          <cell r="CC86" t="e">
            <v>#DIV/0!</v>
          </cell>
          <cell r="CD86" t="e">
            <v>#DIV/0!</v>
          </cell>
          <cell r="CE86" t="e">
            <v>#DIV/0!</v>
          </cell>
          <cell r="CF86" t="e">
            <v>#DIV/0!</v>
          </cell>
          <cell r="CG86" t="e">
            <v>#DIV/0!</v>
          </cell>
          <cell r="CH86" t="e">
            <v>#DIV/0!</v>
          </cell>
          <cell r="CI86" t="e">
            <v>#DIV/0!</v>
          </cell>
          <cell r="CJ86" t="e">
            <v>#DIV/0!</v>
          </cell>
          <cell r="CK86" t="e">
            <v>#DIV/0!</v>
          </cell>
          <cell r="CL86" t="e">
            <v>#DIV/0!</v>
          </cell>
          <cell r="CM86" t="e">
            <v>#DIV/0!</v>
          </cell>
          <cell r="CN86" t="e">
            <v>#DIV/0!</v>
          </cell>
          <cell r="CO86" t="e">
            <v>#DIV/0!</v>
          </cell>
          <cell r="CP86" t="e">
            <v>#DIV/0!</v>
          </cell>
          <cell r="CQ86" t="e">
            <v>#DIV/0!</v>
          </cell>
          <cell r="CR86" t="e">
            <v>#DIV/0!</v>
          </cell>
          <cell r="CS86" t="e">
            <v>#DIV/0!</v>
          </cell>
          <cell r="CT86" t="e">
            <v>#DIV/0!</v>
          </cell>
          <cell r="CU86" t="e">
            <v>#DIV/0!</v>
          </cell>
          <cell r="CV86" t="e">
            <v>#DIV/0!</v>
          </cell>
          <cell r="CW86" t="e">
            <v>#DIV/0!</v>
          </cell>
          <cell r="CX86" t="e">
            <v>#DIV/0!</v>
          </cell>
          <cell r="CY86" t="e">
            <v>#DIV/0!</v>
          </cell>
          <cell r="CZ86" t="e">
            <v>#DIV/0!</v>
          </cell>
          <cell r="DA86" t="e">
            <v>#DIV/0!</v>
          </cell>
          <cell r="DB86" t="e">
            <v>#DIV/0!</v>
          </cell>
          <cell r="DC86" t="e">
            <v>#DIV/0!</v>
          </cell>
          <cell r="DD86" t="e">
            <v>#DIV/0!</v>
          </cell>
          <cell r="DE86" t="e">
            <v>#DIV/0!</v>
          </cell>
          <cell r="DF86" t="e">
            <v>#DIV/0!</v>
          </cell>
          <cell r="DG86" t="e">
            <v>#DIV/0!</v>
          </cell>
          <cell r="DH86" t="e">
            <v>#DIV/0!</v>
          </cell>
          <cell r="DI86" t="e">
            <v>#DIV/0!</v>
          </cell>
          <cell r="DJ86" t="e">
            <v>#DIV/0!</v>
          </cell>
          <cell r="DK86" t="e">
            <v>#DIV/0!</v>
          </cell>
          <cell r="DL86" t="e">
            <v>#DIV/0!</v>
          </cell>
          <cell r="DM86" t="e">
            <v>#DIV/0!</v>
          </cell>
          <cell r="DN86" t="e">
            <v>#DIV/0!</v>
          </cell>
          <cell r="DO86" t="e">
            <v>#DIV/0!</v>
          </cell>
          <cell r="DP86" t="e">
            <v>#DIV/0!</v>
          </cell>
          <cell r="DQ86" t="e">
            <v>#DIV/0!</v>
          </cell>
          <cell r="DR86" t="e">
            <v>#DIV/0!</v>
          </cell>
          <cell r="DS86" t="e">
            <v>#DIV/0!</v>
          </cell>
          <cell r="DT86" t="e">
            <v>#DIV/0!</v>
          </cell>
          <cell r="DU86" t="e">
            <v>#DIV/0!</v>
          </cell>
          <cell r="DV86" t="e">
            <v>#DIV/0!</v>
          </cell>
          <cell r="DW86" t="e">
            <v>#DIV/0!</v>
          </cell>
          <cell r="DX86" t="e">
            <v>#DIV/0!</v>
          </cell>
        </row>
        <row r="87">
          <cell r="F87" t="str">
            <v xml:space="preserve">  Ethylene - Net Transaction Pipeline</v>
          </cell>
          <cell r="H87" t="e">
            <v>#DIV/0!</v>
          </cell>
          <cell r="I87" t="e">
            <v>#DIV/0!</v>
          </cell>
          <cell r="J87" t="e">
            <v>#DIV/0!</v>
          </cell>
          <cell r="K87" t="e">
            <v>#DIV/0!</v>
          </cell>
          <cell r="L87" t="e">
            <v>#DIV/0!</v>
          </cell>
          <cell r="M87" t="e">
            <v>#DIV/0!</v>
          </cell>
          <cell r="N87" t="e">
            <v>#DIV/0!</v>
          </cell>
          <cell r="O87" t="e">
            <v>#DIV/0!</v>
          </cell>
          <cell r="P87" t="e">
            <v>#DIV/0!</v>
          </cell>
          <cell r="Q87" t="e">
            <v>#DIV/0!</v>
          </cell>
          <cell r="R87" t="e">
            <v>#DIV/0!</v>
          </cell>
          <cell r="S87" t="e">
            <v>#DIV/0!</v>
          </cell>
          <cell r="T87" t="e">
            <v>#DIV/0!</v>
          </cell>
          <cell r="U87" t="e">
            <v>#DIV/0!</v>
          </cell>
          <cell r="V87" t="e">
            <v>#DIV/0!</v>
          </cell>
          <cell r="W87" t="e">
            <v>#DIV/0!</v>
          </cell>
          <cell r="X87" t="e">
            <v>#DIV/0!</v>
          </cell>
          <cell r="Y87" t="e">
            <v>#DIV/0!</v>
          </cell>
          <cell r="Z87" t="e">
            <v>#DIV/0!</v>
          </cell>
          <cell r="AA87" t="e">
            <v>#DIV/0!</v>
          </cell>
          <cell r="AB87" t="e">
            <v>#DIV/0!</v>
          </cell>
          <cell r="AC87" t="e">
            <v>#DIV/0!</v>
          </cell>
          <cell r="AD87" t="e">
            <v>#DIV/0!</v>
          </cell>
          <cell r="AE87" t="e">
            <v>#DIV/0!</v>
          </cell>
          <cell r="AF87" t="e">
            <v>#DIV/0!</v>
          </cell>
          <cell r="AG87" t="e">
            <v>#DIV/0!</v>
          </cell>
          <cell r="AH87" t="e">
            <v>#DIV/0!</v>
          </cell>
          <cell r="AI87" t="e">
            <v>#DIV/0!</v>
          </cell>
          <cell r="AJ87" t="e">
            <v>#DIV/0!</v>
          </cell>
          <cell r="AK87" t="e">
            <v>#DIV/0!</v>
          </cell>
          <cell r="AL87" t="e">
            <v>#DIV/0!</v>
          </cell>
          <cell r="AM87" t="e">
            <v>#DIV/0!</v>
          </cell>
          <cell r="AN87" t="e">
            <v>#DIV/0!</v>
          </cell>
          <cell r="AO87" t="e">
            <v>#DIV/0!</v>
          </cell>
          <cell r="AP87" t="e">
            <v>#DIV/0!</v>
          </cell>
          <cell r="AQ87" t="e">
            <v>#DIV/0!</v>
          </cell>
          <cell r="AR87" t="e">
            <v>#DIV/0!</v>
          </cell>
          <cell r="AS87" t="e">
            <v>#DIV/0!</v>
          </cell>
          <cell r="AT87" t="e">
            <v>#DIV/0!</v>
          </cell>
          <cell r="AU87" t="e">
            <v>#DIV/0!</v>
          </cell>
          <cell r="AV87" t="e">
            <v>#DIV/0!</v>
          </cell>
          <cell r="AW87" t="e">
            <v>#DIV/0!</v>
          </cell>
          <cell r="AX87" t="e">
            <v>#DIV/0!</v>
          </cell>
          <cell r="AY87" t="e">
            <v>#DIV/0!</v>
          </cell>
          <cell r="AZ87" t="e">
            <v>#DIV/0!</v>
          </cell>
          <cell r="BA87" t="e">
            <v>#DIV/0!</v>
          </cell>
          <cell r="BB87" t="e">
            <v>#DIV/0!</v>
          </cell>
          <cell r="BC87" t="e">
            <v>#DIV/0!</v>
          </cell>
          <cell r="BD87" t="e">
            <v>#DIV/0!</v>
          </cell>
          <cell r="BE87" t="e">
            <v>#DIV/0!</v>
          </cell>
          <cell r="BF87" t="e">
            <v>#DIV/0!</v>
          </cell>
          <cell r="BG87" t="e">
            <v>#DIV/0!</v>
          </cell>
          <cell r="BH87" t="e">
            <v>#DIV/0!</v>
          </cell>
          <cell r="BI87" t="e">
            <v>#DIV/0!</v>
          </cell>
          <cell r="BJ87" t="e">
            <v>#DIV/0!</v>
          </cell>
          <cell r="BK87" t="e">
            <v>#DIV/0!</v>
          </cell>
          <cell r="BL87" t="e">
            <v>#DIV/0!</v>
          </cell>
          <cell r="BM87" t="e">
            <v>#DIV/0!</v>
          </cell>
          <cell r="BN87" t="e">
            <v>#DIV/0!</v>
          </cell>
          <cell r="BO87" t="e">
            <v>#DIV/0!</v>
          </cell>
          <cell r="BP87" t="e">
            <v>#DIV/0!</v>
          </cell>
          <cell r="BQ87" t="e">
            <v>#DIV/0!</v>
          </cell>
          <cell r="BR87" t="e">
            <v>#DIV/0!</v>
          </cell>
          <cell r="BS87" t="e">
            <v>#DIV/0!</v>
          </cell>
          <cell r="BT87" t="e">
            <v>#DIV/0!</v>
          </cell>
          <cell r="BU87" t="e">
            <v>#DIV/0!</v>
          </cell>
          <cell r="BV87" t="e">
            <v>#DIV/0!</v>
          </cell>
          <cell r="BW87" t="e">
            <v>#DIV/0!</v>
          </cell>
          <cell r="BX87" t="e">
            <v>#DIV/0!</v>
          </cell>
          <cell r="BY87" t="e">
            <v>#DIV/0!</v>
          </cell>
          <cell r="BZ87" t="e">
            <v>#DIV/0!</v>
          </cell>
          <cell r="CA87" t="e">
            <v>#DIV/0!</v>
          </cell>
          <cell r="CB87" t="e">
            <v>#DIV/0!</v>
          </cell>
          <cell r="CC87" t="e">
            <v>#DIV/0!</v>
          </cell>
          <cell r="CD87" t="e">
            <v>#DIV/0!</v>
          </cell>
          <cell r="CE87" t="e">
            <v>#DIV/0!</v>
          </cell>
          <cell r="CF87" t="e">
            <v>#DIV/0!</v>
          </cell>
          <cell r="CG87" t="e">
            <v>#DIV/0!</v>
          </cell>
          <cell r="CH87" t="e">
            <v>#DIV/0!</v>
          </cell>
          <cell r="CI87" t="e">
            <v>#DIV/0!</v>
          </cell>
          <cell r="CJ87" t="e">
            <v>#DIV/0!</v>
          </cell>
          <cell r="CK87" t="e">
            <v>#DIV/0!</v>
          </cell>
          <cell r="CL87" t="e">
            <v>#DIV/0!</v>
          </cell>
          <cell r="CM87" t="e">
            <v>#DIV/0!</v>
          </cell>
          <cell r="CN87" t="e">
            <v>#DIV/0!</v>
          </cell>
          <cell r="CO87" t="e">
            <v>#DIV/0!</v>
          </cell>
          <cell r="CP87" t="e">
            <v>#DIV/0!</v>
          </cell>
          <cell r="CQ87" t="e">
            <v>#DIV/0!</v>
          </cell>
          <cell r="CR87" t="e">
            <v>#DIV/0!</v>
          </cell>
          <cell r="CS87" t="e">
            <v>#DIV/0!</v>
          </cell>
          <cell r="CT87" t="e">
            <v>#DIV/0!</v>
          </cell>
          <cell r="CU87" t="e">
            <v>#DIV/0!</v>
          </cell>
          <cell r="CV87" t="e">
            <v>#DIV/0!</v>
          </cell>
          <cell r="CW87" t="e">
            <v>#DIV/0!</v>
          </cell>
          <cell r="CX87" t="e">
            <v>#DIV/0!</v>
          </cell>
          <cell r="CY87" t="e">
            <v>#DIV/0!</v>
          </cell>
          <cell r="CZ87" t="e">
            <v>#DIV/0!</v>
          </cell>
          <cell r="DA87" t="e">
            <v>#DIV/0!</v>
          </cell>
          <cell r="DB87" t="e">
            <v>#DIV/0!</v>
          </cell>
          <cell r="DC87" t="e">
            <v>#DIV/0!</v>
          </cell>
          <cell r="DD87" t="e">
            <v>#DIV/0!</v>
          </cell>
          <cell r="DE87" t="e">
            <v>#DIV/0!</v>
          </cell>
          <cell r="DF87" t="e">
            <v>#DIV/0!</v>
          </cell>
          <cell r="DG87" t="e">
            <v>#DIV/0!</v>
          </cell>
          <cell r="DH87" t="e">
            <v>#DIV/0!</v>
          </cell>
          <cell r="DI87" t="e">
            <v>#DIV/0!</v>
          </cell>
          <cell r="DJ87" t="e">
            <v>#DIV/0!</v>
          </cell>
          <cell r="DK87" t="e">
            <v>#DIV/0!</v>
          </cell>
          <cell r="DL87" t="e">
            <v>#DIV/0!</v>
          </cell>
          <cell r="DM87" t="e">
            <v>#DIV/0!</v>
          </cell>
          <cell r="DN87" t="e">
            <v>#DIV/0!</v>
          </cell>
          <cell r="DO87" t="e">
            <v>#DIV/0!</v>
          </cell>
          <cell r="DP87" t="e">
            <v>#DIV/0!</v>
          </cell>
          <cell r="DQ87" t="e">
            <v>#DIV/0!</v>
          </cell>
          <cell r="DR87" t="e">
            <v>#DIV/0!</v>
          </cell>
          <cell r="DS87" t="e">
            <v>#DIV/0!</v>
          </cell>
          <cell r="DT87" t="e">
            <v>#DIV/0!</v>
          </cell>
          <cell r="DU87" t="e">
            <v>#DIV/0!</v>
          </cell>
          <cell r="DV87" t="e">
            <v>#DIV/0!</v>
          </cell>
          <cell r="DW87" t="e">
            <v>#DIV/0!</v>
          </cell>
          <cell r="DX87" t="e">
            <v>#DIV/0!</v>
          </cell>
        </row>
        <row r="89">
          <cell r="F89" t="str">
            <v>Ethylene/Ethane Cost Spread</v>
          </cell>
        </row>
        <row r="91">
          <cell r="H91">
            <v>33055</v>
          </cell>
          <cell r="I91">
            <v>33086</v>
          </cell>
          <cell r="J91">
            <v>33117</v>
          </cell>
          <cell r="K91">
            <v>33147</v>
          </cell>
          <cell r="L91">
            <v>33178</v>
          </cell>
          <cell r="M91">
            <v>33208</v>
          </cell>
          <cell r="N91">
            <v>33239</v>
          </cell>
          <cell r="O91">
            <v>33270</v>
          </cell>
          <cell r="P91">
            <v>33298</v>
          </cell>
          <cell r="Q91">
            <v>33329</v>
          </cell>
          <cell r="R91">
            <v>33359</v>
          </cell>
          <cell r="S91">
            <v>33390</v>
          </cell>
          <cell r="T91">
            <v>33420</v>
          </cell>
          <cell r="U91">
            <v>33451</v>
          </cell>
          <cell r="V91">
            <v>33482</v>
          </cell>
          <cell r="W91">
            <v>33512</v>
          </cell>
          <cell r="X91">
            <v>33543</v>
          </cell>
          <cell r="Y91">
            <v>33573</v>
          </cell>
          <cell r="Z91">
            <v>33604</v>
          </cell>
          <cell r="AA91">
            <v>33635</v>
          </cell>
          <cell r="AB91">
            <v>33664</v>
          </cell>
          <cell r="AC91">
            <v>33695</v>
          </cell>
          <cell r="AD91">
            <v>33725</v>
          </cell>
          <cell r="AE91">
            <v>33756</v>
          </cell>
          <cell r="AF91">
            <v>33786</v>
          </cell>
          <cell r="AG91">
            <v>33817</v>
          </cell>
          <cell r="AH91">
            <v>33848</v>
          </cell>
          <cell r="AI91">
            <v>33878</v>
          </cell>
          <cell r="AJ91">
            <v>33909</v>
          </cell>
          <cell r="AK91">
            <v>33939</v>
          </cell>
          <cell r="AL91">
            <v>33970</v>
          </cell>
          <cell r="AM91">
            <v>34001</v>
          </cell>
          <cell r="AN91">
            <v>34029</v>
          </cell>
          <cell r="AO91">
            <v>34060</v>
          </cell>
          <cell r="AP91">
            <v>34090</v>
          </cell>
          <cell r="AQ91">
            <v>34121</v>
          </cell>
          <cell r="AR91">
            <v>34151</v>
          </cell>
          <cell r="AS91">
            <v>34182</v>
          </cell>
          <cell r="AT91">
            <v>34213</v>
          </cell>
          <cell r="AU91">
            <v>34243</v>
          </cell>
          <cell r="AV91">
            <v>34274</v>
          </cell>
          <cell r="AW91">
            <v>34304</v>
          </cell>
          <cell r="AX91">
            <v>34335</v>
          </cell>
          <cell r="AY91">
            <v>34366</v>
          </cell>
          <cell r="AZ91">
            <v>34394</v>
          </cell>
          <cell r="BA91">
            <v>34425</v>
          </cell>
          <cell r="BB91">
            <v>34455</v>
          </cell>
          <cell r="BC91">
            <v>34486</v>
          </cell>
          <cell r="BD91">
            <v>34516</v>
          </cell>
          <cell r="BE91">
            <v>34547</v>
          </cell>
          <cell r="BF91">
            <v>34578</v>
          </cell>
          <cell r="BG91">
            <v>34608</v>
          </cell>
          <cell r="BH91">
            <v>34639</v>
          </cell>
          <cell r="BI91">
            <v>34669</v>
          </cell>
          <cell r="BJ91">
            <v>34700</v>
          </cell>
          <cell r="BK91">
            <v>34731</v>
          </cell>
          <cell r="BL91">
            <v>34759</v>
          </cell>
          <cell r="BM91">
            <v>34790</v>
          </cell>
          <cell r="BN91">
            <v>34820</v>
          </cell>
          <cell r="BO91">
            <v>34851</v>
          </cell>
          <cell r="BP91">
            <v>34881</v>
          </cell>
          <cell r="BQ91">
            <v>34912</v>
          </cell>
          <cell r="BR91">
            <v>34943</v>
          </cell>
          <cell r="BS91">
            <v>34973</v>
          </cell>
          <cell r="BT91">
            <v>35004</v>
          </cell>
          <cell r="BU91">
            <v>35034</v>
          </cell>
          <cell r="BV91">
            <v>35065</v>
          </cell>
          <cell r="BW91">
            <v>35096</v>
          </cell>
          <cell r="BX91">
            <v>35125</v>
          </cell>
          <cell r="BY91">
            <v>35156</v>
          </cell>
          <cell r="BZ91">
            <v>35186</v>
          </cell>
          <cell r="CA91">
            <v>35217</v>
          </cell>
          <cell r="CB91">
            <v>35247</v>
          </cell>
          <cell r="CC91">
            <v>35278</v>
          </cell>
          <cell r="CD91">
            <v>35309</v>
          </cell>
          <cell r="CE91">
            <v>35339</v>
          </cell>
          <cell r="CF91">
            <v>35370</v>
          </cell>
          <cell r="CG91">
            <v>35400</v>
          </cell>
          <cell r="CH91">
            <v>35431</v>
          </cell>
          <cell r="CI91">
            <v>35462</v>
          </cell>
          <cell r="CJ91">
            <v>35490</v>
          </cell>
          <cell r="CK91">
            <v>35521</v>
          </cell>
          <cell r="CL91">
            <v>35551</v>
          </cell>
          <cell r="CM91">
            <v>35582</v>
          </cell>
          <cell r="CN91">
            <v>35612</v>
          </cell>
          <cell r="CO91">
            <v>35643</v>
          </cell>
          <cell r="CP91">
            <v>35674</v>
          </cell>
          <cell r="CQ91">
            <v>35704</v>
          </cell>
          <cell r="CR91">
            <v>35735</v>
          </cell>
          <cell r="CS91">
            <v>35765</v>
          </cell>
          <cell r="CT91">
            <v>35796</v>
          </cell>
          <cell r="CU91">
            <v>35827</v>
          </cell>
          <cell r="CV91">
            <v>35855</v>
          </cell>
          <cell r="CW91">
            <v>35886</v>
          </cell>
          <cell r="CX91">
            <v>35916</v>
          </cell>
          <cell r="CY91">
            <v>35947</v>
          </cell>
          <cell r="CZ91">
            <v>35977</v>
          </cell>
          <cell r="DA91">
            <v>36008</v>
          </cell>
          <cell r="DB91">
            <v>36039</v>
          </cell>
          <cell r="DC91">
            <v>36069</v>
          </cell>
          <cell r="DD91">
            <v>36100</v>
          </cell>
          <cell r="DE91">
            <v>36130</v>
          </cell>
          <cell r="DF91">
            <v>35674</v>
          </cell>
          <cell r="DG91">
            <v>35704</v>
          </cell>
          <cell r="DH91">
            <v>35735</v>
          </cell>
          <cell r="DI91">
            <v>35765</v>
          </cell>
          <cell r="DJ91">
            <v>35796</v>
          </cell>
          <cell r="DK91">
            <v>35827</v>
          </cell>
          <cell r="DL91">
            <v>35855</v>
          </cell>
          <cell r="DM91">
            <v>35886</v>
          </cell>
          <cell r="DN91">
            <v>35916</v>
          </cell>
          <cell r="DO91">
            <v>35947</v>
          </cell>
          <cell r="DP91">
            <v>35977</v>
          </cell>
          <cell r="DQ91">
            <v>36008</v>
          </cell>
          <cell r="DR91">
            <v>36039</v>
          </cell>
          <cell r="DS91">
            <v>36069</v>
          </cell>
          <cell r="DT91">
            <v>36100</v>
          </cell>
          <cell r="DU91">
            <v>36130</v>
          </cell>
        </row>
        <row r="92">
          <cell r="F92" t="str">
            <v>Ethylene, c/lb</v>
          </cell>
          <cell r="H92">
            <v>23</v>
          </cell>
          <cell r="I92">
            <v>23</v>
          </cell>
          <cell r="J92">
            <v>26</v>
          </cell>
          <cell r="K92">
            <v>28</v>
          </cell>
          <cell r="L92">
            <v>30</v>
          </cell>
          <cell r="M92">
            <v>30</v>
          </cell>
          <cell r="N92">
            <v>28</v>
          </cell>
          <cell r="O92">
            <v>26</v>
          </cell>
          <cell r="P92">
            <v>24</v>
          </cell>
          <cell r="Q92">
            <v>22.5</v>
          </cell>
          <cell r="R92">
            <v>21.2</v>
          </cell>
          <cell r="S92">
            <v>20</v>
          </cell>
          <cell r="T92">
            <v>18</v>
          </cell>
          <cell r="U92">
            <v>18</v>
          </cell>
          <cell r="V92">
            <v>18</v>
          </cell>
          <cell r="W92">
            <v>20</v>
          </cell>
          <cell r="X92">
            <v>21</v>
          </cell>
          <cell r="Y92">
            <v>21</v>
          </cell>
          <cell r="Z92">
            <v>17.489397248307501</v>
          </cell>
          <cell r="AA92">
            <v>16.733020310111399</v>
          </cell>
          <cell r="AB92">
            <v>16.258309674601399</v>
          </cell>
          <cell r="AC92">
            <v>16.109532649049999</v>
          </cell>
          <cell r="AD92">
            <v>16.063791220790598</v>
          </cell>
          <cell r="AE92">
            <v>17.0454793623062</v>
          </cell>
          <cell r="AF92">
            <v>17.9047608648176</v>
          </cell>
          <cell r="AG92">
            <v>18.4047608648176</v>
          </cell>
          <cell r="AH92">
            <v>19.1458943000655</v>
          </cell>
          <cell r="AI92">
            <v>19.623542258135</v>
          </cell>
          <cell r="AJ92">
            <v>19.589157021183699</v>
          </cell>
          <cell r="AK92">
            <v>19.1007097619568</v>
          </cell>
          <cell r="AL92">
            <v>18.579999999999998</v>
          </cell>
          <cell r="AM92">
            <v>18.25</v>
          </cell>
          <cell r="AN92">
            <v>17.98</v>
          </cell>
          <cell r="AO92">
            <v>17.989999999999998</v>
          </cell>
          <cell r="AP92">
            <v>17.93</v>
          </cell>
          <cell r="AQ92">
            <v>17.89</v>
          </cell>
          <cell r="AR92">
            <v>17.78</v>
          </cell>
          <cell r="AS92">
            <v>17.68</v>
          </cell>
          <cell r="AT92">
            <v>17.489999999999998</v>
          </cell>
          <cell r="AU92">
            <v>17.41</v>
          </cell>
          <cell r="AV92">
            <v>17.05</v>
          </cell>
          <cell r="AW92">
            <v>16.8</v>
          </cell>
          <cell r="AX92">
            <v>16.43</v>
          </cell>
          <cell r="AY92">
            <v>16.21</v>
          </cell>
          <cell r="AZ92">
            <v>16.61</v>
          </cell>
          <cell r="BA92">
            <v>17.104500000000002</v>
          </cell>
          <cell r="BB92">
            <v>18.09225</v>
          </cell>
          <cell r="BC92">
            <v>19.057500000000001</v>
          </cell>
          <cell r="BD92">
            <v>20.048999999999999</v>
          </cell>
          <cell r="BE92">
            <v>21.027000000000001</v>
          </cell>
          <cell r="BF92">
            <v>22.936</v>
          </cell>
          <cell r="BG92">
            <v>24.913499999999999</v>
          </cell>
          <cell r="BH92">
            <v>25.890499999999999</v>
          </cell>
          <cell r="BI92">
            <v>26.46</v>
          </cell>
          <cell r="BJ92">
            <v>27.37</v>
          </cell>
          <cell r="BK92">
            <v>28.332999999999998</v>
          </cell>
          <cell r="BL92">
            <v>28.274999999999999</v>
          </cell>
          <cell r="BM92">
            <v>28.245999999999999</v>
          </cell>
          <cell r="BN92">
            <v>28.216999999999999</v>
          </cell>
          <cell r="BO92">
            <v>27.616499999999998</v>
          </cell>
          <cell r="BP92">
            <v>26.62</v>
          </cell>
          <cell r="BQ92">
            <v>25.050999999999998</v>
          </cell>
          <cell r="BR92">
            <v>23.1525</v>
          </cell>
          <cell r="BS92">
            <v>20.872499999999999</v>
          </cell>
          <cell r="BT92">
            <v>19.496400000000001</v>
          </cell>
          <cell r="BU92">
            <v>18.248999999999999</v>
          </cell>
          <cell r="BV92">
            <v>18</v>
          </cell>
          <cell r="BW92">
            <v>18</v>
          </cell>
          <cell r="BX92">
            <v>18.973500000000001</v>
          </cell>
          <cell r="BY92">
            <v>20.25</v>
          </cell>
          <cell r="BZ92">
            <v>21.220500000000001</v>
          </cell>
          <cell r="CA92">
            <v>22.172499999999999</v>
          </cell>
          <cell r="CB92">
            <v>22.6</v>
          </cell>
          <cell r="CC92">
            <v>23.103000000000002</v>
          </cell>
          <cell r="CD92">
            <v>23.465</v>
          </cell>
          <cell r="CE92">
            <v>23.706375000000001</v>
          </cell>
          <cell r="CF92">
            <v>23.823499999999999</v>
          </cell>
          <cell r="CG92">
            <v>24.75</v>
          </cell>
          <cell r="CH92">
            <v>25.712699999999998</v>
          </cell>
          <cell r="CI92">
            <v>25.712699999999998</v>
          </cell>
          <cell r="CJ92">
            <v>25.712699999999998</v>
          </cell>
          <cell r="CK92">
            <v>25.65</v>
          </cell>
          <cell r="CL92">
            <v>25.2</v>
          </cell>
          <cell r="CM92">
            <v>24.653749999999999</v>
          </cell>
          <cell r="CN92">
            <v>24.653749999999999</v>
          </cell>
          <cell r="CO92">
            <v>24.598749999999999</v>
          </cell>
          <cell r="CP92">
            <v>24.447500000000002</v>
          </cell>
          <cell r="CQ92">
            <v>23.948999999999998</v>
          </cell>
          <cell r="CR92">
            <v>23.452500000000001</v>
          </cell>
          <cell r="CS92">
            <v>22.672875000000001</v>
          </cell>
          <cell r="CT92">
            <v>21.9</v>
          </cell>
          <cell r="CU92">
            <v>20.8</v>
          </cell>
          <cell r="CV92">
            <v>19.7</v>
          </cell>
          <cell r="CW92">
            <v>18.7</v>
          </cell>
          <cell r="CX92">
            <v>17.95</v>
          </cell>
          <cell r="CY92">
            <v>17.45</v>
          </cell>
          <cell r="CZ92">
            <v>16.95</v>
          </cell>
          <cell r="DA92">
            <v>16.45</v>
          </cell>
          <cell r="DB92">
            <v>15.95</v>
          </cell>
          <cell r="DC92">
            <v>15.95</v>
          </cell>
          <cell r="DD92">
            <v>15.95</v>
          </cell>
          <cell r="DE92">
            <v>15.95</v>
          </cell>
          <cell r="DF92">
            <v>24.447500000000002</v>
          </cell>
          <cell r="DG92">
            <v>23.948999999999998</v>
          </cell>
          <cell r="DH92">
            <v>23.452500000000001</v>
          </cell>
          <cell r="DI92">
            <v>22.672875000000001</v>
          </cell>
          <cell r="DJ92">
            <v>21.9</v>
          </cell>
          <cell r="DK92">
            <v>20.8</v>
          </cell>
          <cell r="DL92">
            <v>19.7</v>
          </cell>
          <cell r="DM92">
            <v>18.7</v>
          </cell>
          <cell r="DN92">
            <v>17.95</v>
          </cell>
          <cell r="DO92">
            <v>17.45</v>
          </cell>
          <cell r="DP92">
            <v>16.95</v>
          </cell>
          <cell r="DQ92">
            <v>16.45</v>
          </cell>
          <cell r="DR92">
            <v>15.95</v>
          </cell>
          <cell r="DS92">
            <v>15.95</v>
          </cell>
          <cell r="DT92">
            <v>15.95</v>
          </cell>
          <cell r="DU92">
            <v>15.95</v>
          </cell>
        </row>
        <row r="94">
          <cell r="F94" t="str">
            <v xml:space="preserve">Ethane, </v>
          </cell>
          <cell r="H94">
            <v>16.07</v>
          </cell>
          <cell r="I94">
            <v>21.96</v>
          </cell>
          <cell r="J94">
            <v>29.29</v>
          </cell>
          <cell r="K94">
            <v>34.99</v>
          </cell>
          <cell r="L94">
            <v>35.9</v>
          </cell>
          <cell r="M94">
            <v>28.92</v>
          </cell>
          <cell r="N94">
            <v>23.73</v>
          </cell>
          <cell r="O94">
            <v>15.28</v>
          </cell>
          <cell r="P94">
            <v>17.5</v>
          </cell>
          <cell r="Q94">
            <v>18.36</v>
          </cell>
          <cell r="R94">
            <v>18.600000000000001</v>
          </cell>
          <cell r="S94">
            <v>14.78</v>
          </cell>
          <cell r="T94">
            <v>15.94</v>
          </cell>
          <cell r="U94">
            <v>19.46</v>
          </cell>
          <cell r="V94">
            <v>25.63</v>
          </cell>
          <cell r="W94">
            <v>30.5</v>
          </cell>
          <cell r="X94">
            <v>28.99</v>
          </cell>
          <cell r="Y94">
            <v>21.81</v>
          </cell>
          <cell r="Z94">
            <v>17.48</v>
          </cell>
          <cell r="AA94">
            <v>19.260000000000002</v>
          </cell>
          <cell r="AB94">
            <v>19.88</v>
          </cell>
          <cell r="AC94">
            <v>18.88</v>
          </cell>
          <cell r="AD94">
            <v>20.91</v>
          </cell>
          <cell r="AE94">
            <v>24.68</v>
          </cell>
          <cell r="AF94">
            <v>24.77</v>
          </cell>
          <cell r="AG94">
            <v>26.45</v>
          </cell>
          <cell r="AH94">
            <v>26.69</v>
          </cell>
          <cell r="AI94">
            <v>25.01</v>
          </cell>
          <cell r="AJ94">
            <v>24.51</v>
          </cell>
          <cell r="AK94">
            <v>20.6</v>
          </cell>
          <cell r="AL94">
            <v>23.2</v>
          </cell>
          <cell r="AM94">
            <v>23.85</v>
          </cell>
          <cell r="AN94">
            <v>23.77</v>
          </cell>
          <cell r="AO94">
            <v>23.73</v>
          </cell>
          <cell r="AP94">
            <v>21.86</v>
          </cell>
          <cell r="AQ94">
            <v>21.48</v>
          </cell>
          <cell r="AR94">
            <v>20.04</v>
          </cell>
          <cell r="AS94">
            <v>18.91</v>
          </cell>
          <cell r="AT94">
            <v>18.23</v>
          </cell>
          <cell r="AU94">
            <v>17.2</v>
          </cell>
          <cell r="AV94">
            <v>16.29</v>
          </cell>
          <cell r="AW94">
            <v>17.02</v>
          </cell>
          <cell r="AX94">
            <v>18.350000000000001</v>
          </cell>
          <cell r="AY94">
            <v>19.260000000000002</v>
          </cell>
          <cell r="AZ94">
            <v>18.61</v>
          </cell>
          <cell r="BA94">
            <v>18.079999999999998</v>
          </cell>
          <cell r="BB94">
            <v>19.59</v>
          </cell>
          <cell r="BC94">
            <v>18.73</v>
          </cell>
          <cell r="BD94">
            <v>18.21</v>
          </cell>
          <cell r="BE94">
            <v>18.52</v>
          </cell>
          <cell r="BF94">
            <v>18.36</v>
          </cell>
          <cell r="BG94">
            <v>19.760000000000002</v>
          </cell>
          <cell r="BH94">
            <v>19.84</v>
          </cell>
          <cell r="BI94">
            <v>17.52</v>
          </cell>
          <cell r="BJ94">
            <v>16.16</v>
          </cell>
          <cell r="BK94">
            <v>13.9</v>
          </cell>
          <cell r="BL94">
            <v>14.11</v>
          </cell>
          <cell r="BM94">
            <v>14.57</v>
          </cell>
          <cell r="BN94">
            <v>14.89</v>
          </cell>
          <cell r="BO94">
            <v>13.73</v>
          </cell>
          <cell r="BP94">
            <v>12.51</v>
          </cell>
          <cell r="BQ94">
            <v>12.15</v>
          </cell>
          <cell r="BR94">
            <v>12.96</v>
          </cell>
          <cell r="BS94">
            <v>14.71</v>
          </cell>
          <cell r="BT94">
            <v>14.73</v>
          </cell>
          <cell r="BU94">
            <v>16.71</v>
          </cell>
          <cell r="BV94">
            <v>16.739999999999998</v>
          </cell>
          <cell r="BW94">
            <v>19.48</v>
          </cell>
          <cell r="BX94">
            <v>23.1</v>
          </cell>
          <cell r="BY94">
            <v>23.39</v>
          </cell>
          <cell r="BZ94">
            <v>20.85</v>
          </cell>
          <cell r="CA94">
            <v>20.309999999999999</v>
          </cell>
          <cell r="CB94">
            <v>22.96</v>
          </cell>
          <cell r="CC94">
            <v>24.58</v>
          </cell>
          <cell r="CD94">
            <v>28.08</v>
          </cell>
          <cell r="CE94">
            <v>30.29</v>
          </cell>
          <cell r="CF94">
            <v>32.67</v>
          </cell>
          <cell r="CG94">
            <v>33.299999999999997</v>
          </cell>
          <cell r="CH94">
            <v>32.46</v>
          </cell>
          <cell r="CI94">
            <v>21.21</v>
          </cell>
          <cell r="CJ94">
            <v>19.96</v>
          </cell>
          <cell r="CK94">
            <v>17.64</v>
          </cell>
          <cell r="CL94">
            <v>19.43</v>
          </cell>
          <cell r="CM94">
            <v>18.62</v>
          </cell>
          <cell r="CN94">
            <v>18.690000000000001</v>
          </cell>
          <cell r="CO94">
            <v>21.1</v>
          </cell>
          <cell r="CP94">
            <v>23.12</v>
          </cell>
          <cell r="CQ94">
            <v>23.61</v>
          </cell>
          <cell r="CR94">
            <v>22</v>
          </cell>
          <cell r="CS94">
            <v>19.89</v>
          </cell>
          <cell r="CT94">
            <v>20.49</v>
          </cell>
          <cell r="CU94">
            <v>20.68</v>
          </cell>
          <cell r="CV94">
            <v>21.03</v>
          </cell>
          <cell r="CW94">
            <v>19.38</v>
          </cell>
          <cell r="CX94">
            <v>17.62</v>
          </cell>
          <cell r="CY94">
            <v>15.93</v>
          </cell>
          <cell r="CZ94">
            <v>16.63</v>
          </cell>
          <cell r="DA94">
            <v>17.61</v>
          </cell>
          <cell r="DB94">
            <v>15.59</v>
          </cell>
          <cell r="DC94">
            <v>16.63</v>
          </cell>
          <cell r="DD94">
            <v>17.61</v>
          </cell>
          <cell r="DE94">
            <v>15.59</v>
          </cell>
          <cell r="DF94">
            <v>23.12</v>
          </cell>
          <cell r="DG94">
            <v>23.61</v>
          </cell>
          <cell r="DH94">
            <v>22</v>
          </cell>
          <cell r="DI94">
            <v>19.89</v>
          </cell>
          <cell r="DJ94">
            <v>20.49</v>
          </cell>
          <cell r="DK94">
            <v>20.68</v>
          </cell>
          <cell r="DL94">
            <v>21.03</v>
          </cell>
          <cell r="DM94">
            <v>19.38</v>
          </cell>
          <cell r="DN94">
            <v>17.62</v>
          </cell>
          <cell r="DO94">
            <v>15.93</v>
          </cell>
          <cell r="DP94">
            <v>16.63</v>
          </cell>
          <cell r="DQ94">
            <v>17.61</v>
          </cell>
          <cell r="DR94">
            <v>15.59</v>
          </cell>
          <cell r="DS94">
            <v>16.63</v>
          </cell>
          <cell r="DT94">
            <v>17.61</v>
          </cell>
          <cell r="DU94">
            <v>15.59</v>
          </cell>
        </row>
        <row r="95">
          <cell r="F95" t="str">
            <v>Ethane cost, c/lb</v>
          </cell>
          <cell r="H95">
            <v>6.9261699999999999</v>
          </cell>
          <cell r="I95">
            <v>9.4647600000000001</v>
          </cell>
          <cell r="J95">
            <v>12.623989999999999</v>
          </cell>
          <cell r="K95">
            <v>15.080690000000001</v>
          </cell>
          <cell r="L95">
            <v>15.472899999999999</v>
          </cell>
          <cell r="M95">
            <v>12.46452</v>
          </cell>
          <cell r="N95">
            <v>10.22763</v>
          </cell>
          <cell r="O95">
            <v>6.58568</v>
          </cell>
          <cell r="P95">
            <v>7.5424999999999995</v>
          </cell>
          <cell r="Q95">
            <v>7.9131599999999995</v>
          </cell>
          <cell r="R95">
            <v>8.0166000000000004</v>
          </cell>
          <cell r="S95">
            <v>6.3701799999999995</v>
          </cell>
          <cell r="T95">
            <v>6.8701400000000001</v>
          </cell>
          <cell r="U95">
            <v>8.3872599999999995</v>
          </cell>
          <cell r="V95">
            <v>11.046529999999999</v>
          </cell>
          <cell r="W95">
            <v>13.1455</v>
          </cell>
          <cell r="X95">
            <v>12.494689999999999</v>
          </cell>
          <cell r="Y95">
            <v>9.4001099999999997</v>
          </cell>
          <cell r="Z95">
            <v>7.5338799999999999</v>
          </cell>
          <cell r="AA95">
            <v>8.3010600000000014</v>
          </cell>
          <cell r="AB95">
            <v>8.5682799999999997</v>
          </cell>
          <cell r="AC95">
            <v>8.1372799999999987</v>
          </cell>
          <cell r="AD95">
            <v>9.0122099999999996</v>
          </cell>
          <cell r="AE95">
            <v>10.637079999999999</v>
          </cell>
          <cell r="AF95">
            <v>10.67587</v>
          </cell>
          <cell r="AG95">
            <v>11.399949999999999</v>
          </cell>
          <cell r="AH95">
            <v>11.50339</v>
          </cell>
          <cell r="AI95">
            <v>10.779310000000001</v>
          </cell>
          <cell r="AJ95">
            <v>10.56381</v>
          </cell>
          <cell r="AK95">
            <v>8.8786000000000005</v>
          </cell>
          <cell r="AL95">
            <v>9.9992000000000001</v>
          </cell>
          <cell r="AM95">
            <v>10.279350000000001</v>
          </cell>
          <cell r="AN95">
            <v>10.244869999999999</v>
          </cell>
          <cell r="AO95">
            <v>10.22763</v>
          </cell>
          <cell r="AP95">
            <v>9.4216599999999993</v>
          </cell>
          <cell r="AQ95">
            <v>9.2578800000000001</v>
          </cell>
          <cell r="AR95">
            <v>8.6372400000000003</v>
          </cell>
          <cell r="AS95">
            <v>8.1502099999999995</v>
          </cell>
          <cell r="AT95">
            <v>7.8571299999999997</v>
          </cell>
          <cell r="AU95">
            <v>7.4131999999999998</v>
          </cell>
          <cell r="AV95">
            <v>7.0209899999999994</v>
          </cell>
          <cell r="AW95">
            <v>7.3356199999999996</v>
          </cell>
          <cell r="AX95">
            <v>7.9088500000000002</v>
          </cell>
          <cell r="AY95">
            <v>8.3010600000000014</v>
          </cell>
          <cell r="AZ95">
            <v>8.0209099999999989</v>
          </cell>
          <cell r="BA95">
            <v>7.7924799999999994</v>
          </cell>
          <cell r="BB95">
            <v>8.4432899999999993</v>
          </cell>
          <cell r="BC95">
            <v>8.0726300000000002</v>
          </cell>
          <cell r="BD95">
            <v>7.8485100000000001</v>
          </cell>
          <cell r="BE95">
            <v>7.9821200000000001</v>
          </cell>
          <cell r="BF95">
            <v>7.9131599999999995</v>
          </cell>
          <cell r="BG95">
            <v>8.5165600000000001</v>
          </cell>
          <cell r="BH95">
            <v>8.5510400000000004</v>
          </cell>
          <cell r="BI95">
            <v>7.5511200000000001</v>
          </cell>
          <cell r="BJ95">
            <v>6.9649599999999996</v>
          </cell>
          <cell r="BK95">
            <v>5.9908999999999999</v>
          </cell>
          <cell r="BL95">
            <v>6.08141</v>
          </cell>
          <cell r="BM95">
            <v>6.2796700000000003</v>
          </cell>
          <cell r="BN95">
            <v>6.4175900000000006</v>
          </cell>
          <cell r="BO95">
            <v>5.9176299999999999</v>
          </cell>
          <cell r="BP95">
            <v>5.3918099999999995</v>
          </cell>
          <cell r="BQ95">
            <v>5.23665</v>
          </cell>
          <cell r="BR95">
            <v>5.5857600000000005</v>
          </cell>
          <cell r="BS95">
            <v>6.3400100000000004</v>
          </cell>
          <cell r="BT95">
            <v>6.34863</v>
          </cell>
          <cell r="BU95">
            <v>7.2020100000000005</v>
          </cell>
          <cell r="BV95">
            <v>7.2149399999999995</v>
          </cell>
          <cell r="BW95">
            <v>8.39588</v>
          </cell>
          <cell r="BX95">
            <v>9.9561000000000011</v>
          </cell>
          <cell r="BY95">
            <v>10.08109</v>
          </cell>
          <cell r="BZ95">
            <v>8.9863499999999998</v>
          </cell>
          <cell r="CA95">
            <v>8.7536100000000001</v>
          </cell>
          <cell r="CB95">
            <v>9.895760000000001</v>
          </cell>
          <cell r="CC95">
            <v>10.593979999999998</v>
          </cell>
          <cell r="CD95">
            <v>12.10248</v>
          </cell>
          <cell r="CE95">
            <v>13.05499</v>
          </cell>
          <cell r="CF95">
            <v>14.080770000000001</v>
          </cell>
          <cell r="CG95">
            <v>14.352299999999998</v>
          </cell>
          <cell r="CH95">
            <v>13.990260000000001</v>
          </cell>
          <cell r="CI95">
            <v>9.1415100000000002</v>
          </cell>
          <cell r="CJ95">
            <v>8.60276</v>
          </cell>
          <cell r="CK95">
            <v>7.6028400000000005</v>
          </cell>
          <cell r="CL95">
            <v>8.3743300000000005</v>
          </cell>
          <cell r="CM95">
            <v>8.0252200000000009</v>
          </cell>
          <cell r="CN95">
            <v>8.0553900000000009</v>
          </cell>
          <cell r="CO95">
            <v>9.094100000000001</v>
          </cell>
          <cell r="CP95">
            <v>9.9647199999999998</v>
          </cell>
          <cell r="CQ95">
            <v>10.17591</v>
          </cell>
          <cell r="CR95">
            <v>9.4819999999999993</v>
          </cell>
          <cell r="CS95">
            <v>8.5725899999999999</v>
          </cell>
          <cell r="CT95">
            <v>8.8311899999999994</v>
          </cell>
          <cell r="CU95">
            <v>8.913079999999999</v>
          </cell>
          <cell r="CV95">
            <v>9.0639300000000009</v>
          </cell>
          <cell r="CW95">
            <v>8.3527799999999992</v>
          </cell>
          <cell r="CX95">
            <v>7.59422</v>
          </cell>
          <cell r="CY95">
            <v>6.8658299999999999</v>
          </cell>
          <cell r="CZ95">
            <v>7.1675299999999993</v>
          </cell>
          <cell r="DA95">
            <v>7.5899099999999997</v>
          </cell>
          <cell r="DB95">
            <v>6.71929</v>
          </cell>
          <cell r="DC95">
            <v>7.1675299999999993</v>
          </cell>
          <cell r="DD95">
            <v>7.5899099999999997</v>
          </cell>
          <cell r="DE95">
            <v>6.71929</v>
          </cell>
          <cell r="DF95">
            <v>9.9647199999999998</v>
          </cell>
          <cell r="DG95">
            <v>10.17591</v>
          </cell>
          <cell r="DH95">
            <v>9.4819999999999993</v>
          </cell>
          <cell r="DI95">
            <v>8.5725899999999999</v>
          </cell>
          <cell r="DJ95">
            <v>8.8311899999999994</v>
          </cell>
          <cell r="DK95">
            <v>8.913079999999999</v>
          </cell>
          <cell r="DL95">
            <v>9.0639300000000009</v>
          </cell>
          <cell r="DM95">
            <v>8.3527799999999992</v>
          </cell>
          <cell r="DN95">
            <v>7.59422</v>
          </cell>
          <cell r="DO95">
            <v>6.8658299999999999</v>
          </cell>
          <cell r="DP95">
            <v>7.1675299999999993</v>
          </cell>
          <cell r="DQ95">
            <v>7.5899099999999997</v>
          </cell>
          <cell r="DR95">
            <v>6.71929</v>
          </cell>
          <cell r="DS95">
            <v>7.1675299999999993</v>
          </cell>
          <cell r="DT95">
            <v>7.5899099999999997</v>
          </cell>
          <cell r="DU95">
            <v>6.71929</v>
          </cell>
        </row>
        <row r="97">
          <cell r="F97" t="str">
            <v>Ethylene/Ethane Cost Spread</v>
          </cell>
          <cell r="H97">
            <v>16.073830000000001</v>
          </cell>
          <cell r="I97">
            <v>13.53524</v>
          </cell>
          <cell r="J97">
            <v>13.376010000000001</v>
          </cell>
          <cell r="K97">
            <v>12.919309999999999</v>
          </cell>
          <cell r="L97">
            <v>14.527100000000001</v>
          </cell>
          <cell r="M97">
            <v>17.53548</v>
          </cell>
          <cell r="N97">
            <v>17.772370000000002</v>
          </cell>
          <cell r="O97">
            <v>19.41432</v>
          </cell>
          <cell r="P97">
            <v>16.4575</v>
          </cell>
          <cell r="Q97">
            <v>14.58684</v>
          </cell>
          <cell r="R97">
            <v>13.183399999999999</v>
          </cell>
          <cell r="S97">
            <v>13.62982</v>
          </cell>
          <cell r="T97">
            <v>11.129860000000001</v>
          </cell>
          <cell r="U97">
            <v>9.6127400000000005</v>
          </cell>
          <cell r="V97">
            <v>6.9534700000000011</v>
          </cell>
          <cell r="W97">
            <v>6.8544999999999998</v>
          </cell>
          <cell r="X97">
            <v>8.5053100000000015</v>
          </cell>
          <cell r="Y97">
            <v>11.59989</v>
          </cell>
          <cell r="Z97">
            <v>9.9555172483075012</v>
          </cell>
          <cell r="AA97">
            <v>8.431960310111398</v>
          </cell>
          <cell r="AB97">
            <v>7.6900296746013996</v>
          </cell>
          <cell r="AC97">
            <v>7.9722526490500005</v>
          </cell>
          <cell r="AD97">
            <v>7.0515812207905988</v>
          </cell>
          <cell r="AE97">
            <v>6.4083993623062003</v>
          </cell>
          <cell r="AF97">
            <v>7.2288908648176005</v>
          </cell>
          <cell r="AG97">
            <v>7.0048108648176015</v>
          </cell>
          <cell r="AH97">
            <v>7.6425043000655002</v>
          </cell>
          <cell r="AI97">
            <v>8.8442322581349995</v>
          </cell>
          <cell r="AJ97">
            <v>9.0253470211836984</v>
          </cell>
          <cell r="AK97">
            <v>10.2221097619568</v>
          </cell>
          <cell r="AL97">
            <v>8.5807999999999982</v>
          </cell>
          <cell r="AM97">
            <v>7.9706499999999991</v>
          </cell>
          <cell r="AN97">
            <v>7.7351300000000016</v>
          </cell>
          <cell r="AO97">
            <v>7.7623699999999989</v>
          </cell>
          <cell r="AP97">
            <v>8.5083400000000005</v>
          </cell>
          <cell r="AQ97">
            <v>8.6321200000000005</v>
          </cell>
          <cell r="AR97">
            <v>9.1427600000000009</v>
          </cell>
          <cell r="AS97">
            <v>9.5297900000000002</v>
          </cell>
          <cell r="AT97">
            <v>9.6328699999999987</v>
          </cell>
          <cell r="AU97">
            <v>9.9968000000000004</v>
          </cell>
          <cell r="AV97">
            <v>10.029010000000001</v>
          </cell>
          <cell r="AW97">
            <v>9.464380000000002</v>
          </cell>
          <cell r="AX97">
            <v>8.5211499999999987</v>
          </cell>
          <cell r="AY97">
            <v>7.9089399999999994</v>
          </cell>
          <cell r="AZ97">
            <v>8.5890900000000006</v>
          </cell>
          <cell r="BA97">
            <v>9.3120200000000022</v>
          </cell>
          <cell r="BB97">
            <v>9.6489600000000006</v>
          </cell>
          <cell r="BC97">
            <v>10.984870000000001</v>
          </cell>
          <cell r="BD97">
            <v>12.200489999999999</v>
          </cell>
          <cell r="BE97">
            <v>13.044880000000001</v>
          </cell>
          <cell r="BF97">
            <v>15.02284</v>
          </cell>
          <cell r="BG97">
            <v>16.396940000000001</v>
          </cell>
          <cell r="BH97">
            <v>17.339459999999999</v>
          </cell>
          <cell r="BI97">
            <v>18.90888</v>
          </cell>
          <cell r="BJ97">
            <v>20.40504</v>
          </cell>
          <cell r="BK97">
            <v>22.342099999999999</v>
          </cell>
          <cell r="BL97">
            <v>22.19359</v>
          </cell>
          <cell r="BM97">
            <v>21.966329999999999</v>
          </cell>
          <cell r="BN97">
            <v>21.799409999999998</v>
          </cell>
          <cell r="BO97">
            <v>21.698869999999999</v>
          </cell>
          <cell r="BP97">
            <v>21.228190000000001</v>
          </cell>
          <cell r="BQ97">
            <v>19.814349999999997</v>
          </cell>
          <cell r="BR97">
            <v>17.566739999999999</v>
          </cell>
          <cell r="BS97">
            <v>14.532489999999999</v>
          </cell>
          <cell r="BT97">
            <v>13.147770000000001</v>
          </cell>
          <cell r="BU97">
            <v>11.046989999999997</v>
          </cell>
          <cell r="BV97">
            <v>10.785060000000001</v>
          </cell>
          <cell r="BW97">
            <v>9.60412</v>
          </cell>
          <cell r="BX97">
            <v>9.0174000000000003</v>
          </cell>
          <cell r="BY97">
            <v>10.16891</v>
          </cell>
          <cell r="BZ97">
            <v>12.234150000000001</v>
          </cell>
          <cell r="CA97">
            <v>13.418889999999999</v>
          </cell>
          <cell r="CB97">
            <v>12.70424</v>
          </cell>
          <cell r="CC97">
            <v>12.509020000000003</v>
          </cell>
          <cell r="CD97">
            <v>11.36252</v>
          </cell>
          <cell r="CE97">
            <v>10.651385000000001</v>
          </cell>
          <cell r="CF97">
            <v>9.7427299999999981</v>
          </cell>
          <cell r="CG97">
            <v>10.397700000000002</v>
          </cell>
          <cell r="CH97">
            <v>11.722439999999997</v>
          </cell>
          <cell r="CI97">
            <v>16.571189999999998</v>
          </cell>
          <cell r="CJ97">
            <v>17.109939999999998</v>
          </cell>
          <cell r="CK97">
            <v>18.047159999999998</v>
          </cell>
          <cell r="CL97">
            <v>16.825669999999999</v>
          </cell>
          <cell r="CM97">
            <v>16.628529999999998</v>
          </cell>
          <cell r="CN97">
            <v>16.59836</v>
          </cell>
          <cell r="CO97">
            <v>15.504649999999998</v>
          </cell>
          <cell r="CP97">
            <v>14.482780000000002</v>
          </cell>
          <cell r="CQ97">
            <v>13.773089999999998</v>
          </cell>
          <cell r="CR97">
            <v>13.970500000000001</v>
          </cell>
          <cell r="CS97">
            <v>14.100285000000001</v>
          </cell>
          <cell r="CT97">
            <v>13.068809999999999</v>
          </cell>
          <cell r="CU97">
            <v>11.886920000000002</v>
          </cell>
          <cell r="CV97">
            <v>10.636069999999998</v>
          </cell>
          <cell r="CW97">
            <v>10.34722</v>
          </cell>
          <cell r="CX97">
            <v>10.355779999999999</v>
          </cell>
          <cell r="CY97">
            <v>10.58417</v>
          </cell>
          <cell r="CZ97">
            <v>9.78247</v>
          </cell>
          <cell r="DA97">
            <v>8.8600899999999996</v>
          </cell>
          <cell r="DB97">
            <v>9.2307099999999984</v>
          </cell>
          <cell r="DC97">
            <v>8.78247</v>
          </cell>
          <cell r="DD97">
            <v>8.3600899999999996</v>
          </cell>
          <cell r="DE97">
            <v>9.2307099999999984</v>
          </cell>
          <cell r="DF97">
            <v>14.482780000000002</v>
          </cell>
          <cell r="DG97">
            <v>13.773089999999998</v>
          </cell>
          <cell r="DH97">
            <v>13.970500000000001</v>
          </cell>
          <cell r="DI97">
            <v>14.100285000000001</v>
          </cell>
          <cell r="DJ97">
            <v>13.068809999999999</v>
          </cell>
          <cell r="DK97">
            <v>11.886920000000002</v>
          </cell>
          <cell r="DL97">
            <v>10.636069999999998</v>
          </cell>
          <cell r="DM97">
            <v>10.34722</v>
          </cell>
          <cell r="DN97">
            <v>10.355779999999999</v>
          </cell>
          <cell r="DO97">
            <v>10.58417</v>
          </cell>
          <cell r="DP97">
            <v>9.78247</v>
          </cell>
          <cell r="DQ97">
            <v>8.8600899999999996</v>
          </cell>
          <cell r="DR97">
            <v>9.2307099999999984</v>
          </cell>
          <cell r="DS97">
            <v>8.78247</v>
          </cell>
          <cell r="DT97">
            <v>8.3600899999999996</v>
          </cell>
          <cell r="DU97">
            <v>9.2307099999999984</v>
          </cell>
        </row>
        <row r="99">
          <cell r="F99" t="str">
            <v>(1)  Assuming 2.9 lbs./gal. of ethane and a 1.25 pounds of ethane per pound of ethylene.</v>
          </cell>
        </row>
        <row r="101">
          <cell r="F101" t="str">
            <v>Propylene/Naphtha Cost Spread</v>
          </cell>
          <cell r="I101" t="str">
            <v>To be verified</v>
          </cell>
          <cell r="X101" t="str">
            <v>To be verified</v>
          </cell>
          <cell r="Y101" t="str">
            <v>To be verified</v>
          </cell>
        </row>
        <row r="103">
          <cell r="H103">
            <v>33055</v>
          </cell>
          <cell r="I103">
            <v>33086</v>
          </cell>
          <cell r="J103">
            <v>33117</v>
          </cell>
          <cell r="K103">
            <v>33147</v>
          </cell>
          <cell r="L103">
            <v>33178</v>
          </cell>
          <cell r="M103">
            <v>33208</v>
          </cell>
          <cell r="N103">
            <v>33239</v>
          </cell>
          <cell r="O103">
            <v>33270</v>
          </cell>
          <cell r="P103">
            <v>33298</v>
          </cell>
          <cell r="Q103">
            <v>33329</v>
          </cell>
          <cell r="R103">
            <v>33359</v>
          </cell>
          <cell r="S103">
            <v>33390</v>
          </cell>
          <cell r="T103">
            <v>33420</v>
          </cell>
          <cell r="U103">
            <v>33451</v>
          </cell>
          <cell r="V103">
            <v>33482</v>
          </cell>
          <cell r="W103">
            <v>33512</v>
          </cell>
          <cell r="X103">
            <v>33543</v>
          </cell>
          <cell r="Y103">
            <v>33573</v>
          </cell>
          <cell r="Z103">
            <v>33604</v>
          </cell>
          <cell r="AA103">
            <v>33635</v>
          </cell>
          <cell r="AB103">
            <v>33664</v>
          </cell>
          <cell r="AC103">
            <v>33695</v>
          </cell>
          <cell r="AD103">
            <v>33725</v>
          </cell>
          <cell r="AE103">
            <v>33756</v>
          </cell>
          <cell r="AF103">
            <v>33786</v>
          </cell>
          <cell r="AG103">
            <v>33817</v>
          </cell>
          <cell r="AH103">
            <v>33848</v>
          </cell>
          <cell r="AI103">
            <v>33878</v>
          </cell>
          <cell r="AJ103">
            <v>33909</v>
          </cell>
          <cell r="AK103">
            <v>33939</v>
          </cell>
          <cell r="AL103">
            <v>33970</v>
          </cell>
          <cell r="AM103">
            <v>34001</v>
          </cell>
          <cell r="AN103">
            <v>34029</v>
          </cell>
          <cell r="AO103">
            <v>34060</v>
          </cell>
          <cell r="AP103">
            <v>34090</v>
          </cell>
          <cell r="AQ103">
            <v>34121</v>
          </cell>
          <cell r="AR103">
            <v>34151</v>
          </cell>
          <cell r="AS103">
            <v>34182</v>
          </cell>
          <cell r="AT103">
            <v>34213</v>
          </cell>
          <cell r="AU103">
            <v>34243</v>
          </cell>
          <cell r="AV103">
            <v>34274</v>
          </cell>
          <cell r="AW103">
            <v>34304</v>
          </cell>
          <cell r="AX103">
            <v>34335</v>
          </cell>
          <cell r="AY103">
            <v>34366</v>
          </cell>
          <cell r="AZ103">
            <v>34394</v>
          </cell>
          <cell r="BA103">
            <v>34425</v>
          </cell>
          <cell r="BB103">
            <v>34455</v>
          </cell>
          <cell r="BC103">
            <v>34486</v>
          </cell>
          <cell r="BD103">
            <v>34516</v>
          </cell>
          <cell r="BE103">
            <v>34547</v>
          </cell>
          <cell r="BF103">
            <v>34578</v>
          </cell>
          <cell r="BG103">
            <v>34608</v>
          </cell>
          <cell r="BH103">
            <v>34639</v>
          </cell>
          <cell r="BI103">
            <v>34669</v>
          </cell>
          <cell r="BJ103">
            <v>34700</v>
          </cell>
          <cell r="BK103">
            <v>34731</v>
          </cell>
          <cell r="BL103">
            <v>34759</v>
          </cell>
          <cell r="BM103">
            <v>34790</v>
          </cell>
          <cell r="BN103">
            <v>34820</v>
          </cell>
          <cell r="BO103">
            <v>34851</v>
          </cell>
          <cell r="BP103">
            <v>34881</v>
          </cell>
          <cell r="BQ103">
            <v>34912</v>
          </cell>
          <cell r="BR103">
            <v>34943</v>
          </cell>
          <cell r="BS103">
            <v>34973</v>
          </cell>
          <cell r="BT103">
            <v>35004</v>
          </cell>
          <cell r="BU103">
            <v>35034</v>
          </cell>
          <cell r="BV103">
            <v>35065</v>
          </cell>
          <cell r="BW103">
            <v>35096</v>
          </cell>
          <cell r="BX103">
            <v>35125</v>
          </cell>
          <cell r="BY103">
            <v>35156</v>
          </cell>
          <cell r="BZ103">
            <v>35186</v>
          </cell>
          <cell r="CA103">
            <v>35217</v>
          </cell>
          <cell r="CB103">
            <v>35247</v>
          </cell>
          <cell r="CC103">
            <v>35278</v>
          </cell>
          <cell r="CD103">
            <v>35309</v>
          </cell>
          <cell r="CE103">
            <v>35339</v>
          </cell>
          <cell r="CF103">
            <v>35370</v>
          </cell>
          <cell r="CG103">
            <v>35400</v>
          </cell>
          <cell r="CH103">
            <v>35431</v>
          </cell>
          <cell r="CI103">
            <v>35462</v>
          </cell>
          <cell r="CJ103">
            <v>35490</v>
          </cell>
          <cell r="CK103">
            <v>35521</v>
          </cell>
          <cell r="CL103">
            <v>35551</v>
          </cell>
          <cell r="CM103">
            <v>35582</v>
          </cell>
          <cell r="CN103">
            <v>35612</v>
          </cell>
          <cell r="CO103">
            <v>35643</v>
          </cell>
          <cell r="CP103">
            <v>35674</v>
          </cell>
          <cell r="CQ103">
            <v>35704</v>
          </cell>
          <cell r="CR103">
            <v>35735</v>
          </cell>
          <cell r="CS103">
            <v>35765</v>
          </cell>
          <cell r="CT103">
            <v>35796</v>
          </cell>
          <cell r="CU103">
            <v>35827</v>
          </cell>
          <cell r="CV103">
            <v>35855</v>
          </cell>
          <cell r="CW103">
            <v>35886</v>
          </cell>
          <cell r="CX103">
            <v>35916</v>
          </cell>
          <cell r="CY103">
            <v>35947</v>
          </cell>
          <cell r="CZ103">
            <v>35977</v>
          </cell>
          <cell r="DA103">
            <v>36008</v>
          </cell>
          <cell r="DB103">
            <v>36039</v>
          </cell>
          <cell r="DC103">
            <v>36069</v>
          </cell>
          <cell r="DD103">
            <v>36100</v>
          </cell>
          <cell r="DE103">
            <v>36130</v>
          </cell>
          <cell r="DF103">
            <v>36161</v>
          </cell>
          <cell r="DG103">
            <v>36192</v>
          </cell>
          <cell r="DH103">
            <v>36220</v>
          </cell>
          <cell r="DI103">
            <v>36251</v>
          </cell>
          <cell r="DJ103">
            <v>36281</v>
          </cell>
          <cell r="DK103">
            <v>36312</v>
          </cell>
          <cell r="DL103">
            <v>36342</v>
          </cell>
          <cell r="DM103">
            <v>36373</v>
          </cell>
          <cell r="DN103">
            <v>36404</v>
          </cell>
          <cell r="DO103">
            <v>35947</v>
          </cell>
          <cell r="DP103">
            <v>35977</v>
          </cell>
          <cell r="DQ103">
            <v>36008</v>
          </cell>
          <cell r="DR103">
            <v>36039</v>
          </cell>
          <cell r="DS103">
            <v>36069</v>
          </cell>
          <cell r="DT103">
            <v>36100</v>
          </cell>
          <cell r="DU103">
            <v>36130</v>
          </cell>
          <cell r="DV103">
            <v>36161</v>
          </cell>
          <cell r="DW103">
            <v>36192</v>
          </cell>
          <cell r="DX103">
            <v>36220</v>
          </cell>
          <cell r="DY103">
            <v>36251</v>
          </cell>
          <cell r="DZ103">
            <v>36281</v>
          </cell>
          <cell r="EA103">
            <v>36312</v>
          </cell>
          <cell r="EB103">
            <v>36342</v>
          </cell>
          <cell r="EC103">
            <v>36373</v>
          </cell>
          <cell r="ED103">
            <v>36404</v>
          </cell>
        </row>
        <row r="104">
          <cell r="F104" t="str">
            <v>Propylene, c/lb</v>
          </cell>
          <cell r="H104">
            <v>14</v>
          </cell>
          <cell r="I104">
            <v>14.5</v>
          </cell>
          <cell r="J104">
            <v>16.5</v>
          </cell>
          <cell r="K104">
            <v>19.5</v>
          </cell>
          <cell r="L104">
            <v>22.5</v>
          </cell>
          <cell r="M104">
            <v>22.5</v>
          </cell>
          <cell r="N104">
            <v>21.5</v>
          </cell>
          <cell r="O104">
            <v>20</v>
          </cell>
          <cell r="P104">
            <v>19</v>
          </cell>
          <cell r="Q104">
            <v>18</v>
          </cell>
          <cell r="R104">
            <v>17</v>
          </cell>
          <cell r="S104">
            <v>16</v>
          </cell>
          <cell r="T104">
            <v>14.5</v>
          </cell>
          <cell r="U104">
            <v>14.5</v>
          </cell>
          <cell r="V104">
            <v>14.5</v>
          </cell>
          <cell r="W104">
            <v>14.5</v>
          </cell>
          <cell r="X104">
            <v>14.5</v>
          </cell>
          <cell r="Y104">
            <v>14.5</v>
          </cell>
          <cell r="Z104">
            <v>15.5</v>
          </cell>
          <cell r="AA104">
            <v>14.5</v>
          </cell>
          <cell r="AB104">
            <v>14.5</v>
          </cell>
          <cell r="AC104">
            <v>14.5</v>
          </cell>
          <cell r="AD104">
            <v>15</v>
          </cell>
          <cell r="AE104">
            <v>15.25</v>
          </cell>
          <cell r="AF104">
            <v>15.5</v>
          </cell>
          <cell r="AG104">
            <v>15.25</v>
          </cell>
          <cell r="AH104">
            <v>15</v>
          </cell>
          <cell r="AI104">
            <v>14.5</v>
          </cell>
          <cell r="AJ104">
            <v>14</v>
          </cell>
          <cell r="AK104">
            <v>13.75</v>
          </cell>
          <cell r="AL104">
            <v>13.75</v>
          </cell>
          <cell r="AM104">
            <v>13.75</v>
          </cell>
          <cell r="AN104">
            <v>13.75</v>
          </cell>
          <cell r="AO104">
            <v>14</v>
          </cell>
          <cell r="AP104">
            <v>14.25</v>
          </cell>
          <cell r="AQ104">
            <v>14.25</v>
          </cell>
          <cell r="AR104">
            <v>14.25</v>
          </cell>
          <cell r="AS104">
            <v>13.75</v>
          </cell>
          <cell r="AT104">
            <v>13.5</v>
          </cell>
          <cell r="AU104">
            <v>13.25</v>
          </cell>
          <cell r="AV104">
            <v>13</v>
          </cell>
          <cell r="AW104">
            <v>12.75</v>
          </cell>
          <cell r="AX104">
            <v>12.75</v>
          </cell>
          <cell r="AY104">
            <v>12.75</v>
          </cell>
          <cell r="AZ104">
            <v>13.25</v>
          </cell>
          <cell r="BA104">
            <v>13.75</v>
          </cell>
          <cell r="BB104">
            <v>14.25</v>
          </cell>
          <cell r="BC104">
            <v>15.25</v>
          </cell>
          <cell r="BD104">
            <v>15.75</v>
          </cell>
          <cell r="BE104">
            <v>16.75</v>
          </cell>
          <cell r="BF104">
            <v>17.75</v>
          </cell>
          <cell r="BG104">
            <v>18.75</v>
          </cell>
          <cell r="BH104">
            <v>19.75</v>
          </cell>
          <cell r="BI104">
            <v>20.75</v>
          </cell>
          <cell r="BJ104">
            <v>21.75</v>
          </cell>
          <cell r="BK104">
            <v>22.75</v>
          </cell>
          <cell r="BL104">
            <v>23.75</v>
          </cell>
          <cell r="BM104">
            <v>24.75</v>
          </cell>
          <cell r="BN104">
            <v>24.75</v>
          </cell>
          <cell r="BO104">
            <v>24.75</v>
          </cell>
          <cell r="BP104">
            <v>24.75</v>
          </cell>
          <cell r="BQ104">
            <v>23.75</v>
          </cell>
          <cell r="BR104">
            <v>21.75</v>
          </cell>
          <cell r="BS104">
            <v>20.25</v>
          </cell>
          <cell r="BT104">
            <v>18.75</v>
          </cell>
          <cell r="BU104">
            <v>17.75</v>
          </cell>
          <cell r="BV104">
            <v>16.75</v>
          </cell>
          <cell r="BW104">
            <v>16.75</v>
          </cell>
          <cell r="BX104">
            <v>16.75</v>
          </cell>
          <cell r="BY104">
            <v>17.75</v>
          </cell>
          <cell r="BZ104">
            <v>18.75</v>
          </cell>
          <cell r="CA104">
            <v>19.25</v>
          </cell>
          <cell r="CB104">
            <v>19.25</v>
          </cell>
          <cell r="CC104">
            <v>19.75</v>
          </cell>
          <cell r="CD104">
            <v>19.75</v>
          </cell>
          <cell r="CE104">
            <v>19.75</v>
          </cell>
          <cell r="CF104">
            <v>19.75</v>
          </cell>
          <cell r="CG104">
            <v>20.25</v>
          </cell>
          <cell r="CH104">
            <v>20.75</v>
          </cell>
          <cell r="CI104">
            <v>21.25</v>
          </cell>
          <cell r="CJ104">
            <v>21.25</v>
          </cell>
          <cell r="CK104">
            <v>21.25</v>
          </cell>
          <cell r="CL104">
            <v>21.25</v>
          </cell>
          <cell r="CM104">
            <v>21.25</v>
          </cell>
          <cell r="CN104">
            <v>21.25</v>
          </cell>
          <cell r="CO104">
            <v>21.25</v>
          </cell>
          <cell r="CP104">
            <v>20.5</v>
          </cell>
          <cell r="CQ104">
            <v>19.5</v>
          </cell>
          <cell r="CR104">
            <v>18.75</v>
          </cell>
          <cell r="CS104">
            <v>18</v>
          </cell>
          <cell r="CT104">
            <v>17.25</v>
          </cell>
          <cell r="CU104">
            <v>16.25</v>
          </cell>
          <cell r="CV104">
            <v>15.25</v>
          </cell>
          <cell r="CW104">
            <v>14.75</v>
          </cell>
          <cell r="CX104">
            <v>14.25</v>
          </cell>
          <cell r="CY104">
            <v>14</v>
          </cell>
          <cell r="CZ104">
            <v>14</v>
          </cell>
          <cell r="DA104">
            <v>13.5</v>
          </cell>
          <cell r="DB104">
            <v>13.5</v>
          </cell>
          <cell r="DC104">
            <v>13</v>
          </cell>
          <cell r="DD104">
            <v>12.75</v>
          </cell>
          <cell r="DE104">
            <v>12.5</v>
          </cell>
          <cell r="DF104">
            <v>12.25</v>
          </cell>
          <cell r="DG104">
            <v>12</v>
          </cell>
          <cell r="DH104">
            <v>12</v>
          </cell>
          <cell r="DI104">
            <v>12</v>
          </cell>
          <cell r="DJ104">
            <v>12.5</v>
          </cell>
          <cell r="DK104">
            <v>13.5</v>
          </cell>
          <cell r="DL104">
            <v>14.5</v>
          </cell>
          <cell r="DM104">
            <v>15.5</v>
          </cell>
          <cell r="DN104">
            <v>17</v>
          </cell>
          <cell r="DO104">
            <v>14</v>
          </cell>
          <cell r="DP104">
            <v>14</v>
          </cell>
          <cell r="DQ104">
            <v>13.5</v>
          </cell>
          <cell r="DR104">
            <v>13.5</v>
          </cell>
          <cell r="DS104">
            <v>13</v>
          </cell>
          <cell r="DT104">
            <v>12.75</v>
          </cell>
          <cell r="DU104">
            <v>12.5</v>
          </cell>
          <cell r="DV104">
            <v>12.25</v>
          </cell>
          <cell r="DW104">
            <v>12</v>
          </cell>
          <cell r="DX104">
            <v>12</v>
          </cell>
          <cell r="DY104">
            <v>12</v>
          </cell>
          <cell r="DZ104">
            <v>12.5</v>
          </cell>
          <cell r="EA104">
            <v>13.5</v>
          </cell>
          <cell r="EB104">
            <v>14.5</v>
          </cell>
          <cell r="EC104">
            <v>15.5</v>
          </cell>
          <cell r="ED104">
            <v>17</v>
          </cell>
        </row>
        <row r="106">
          <cell r="F106" t="str">
            <v>Naphtha</v>
          </cell>
          <cell r="H106">
            <v>12.096874999999999</v>
          </cell>
          <cell r="I106">
            <v>18.303124999999998</v>
          </cell>
          <cell r="J106">
            <v>23.668749999999996</v>
          </cell>
          <cell r="K106">
            <v>24.468749999999996</v>
          </cell>
          <cell r="L106">
            <v>23.675000000000001</v>
          </cell>
          <cell r="M106">
            <v>19.503124999999997</v>
          </cell>
          <cell r="N106">
            <v>18.509374999999999</v>
          </cell>
          <cell r="O106">
            <v>15.46875</v>
          </cell>
          <cell r="P106">
            <v>15.746874999999999</v>
          </cell>
          <cell r="Q106">
            <v>15.78125</v>
          </cell>
          <cell r="R106">
            <v>15.390625</v>
          </cell>
          <cell r="S106">
            <v>13.328124999999998</v>
          </cell>
          <cell r="T106">
            <v>13.853124999999999</v>
          </cell>
          <cell r="U106">
            <v>14.990625</v>
          </cell>
          <cell r="V106">
            <v>15.728124999999999</v>
          </cell>
          <cell r="W106">
            <v>16.559374999999999</v>
          </cell>
          <cell r="X106">
            <v>16.231249999999999</v>
          </cell>
          <cell r="Y106">
            <v>13.415624999999999</v>
          </cell>
          <cell r="Z106">
            <v>12.962499999999999</v>
          </cell>
          <cell r="AA106">
            <v>13.474999999999998</v>
          </cell>
          <cell r="AB106">
            <v>13.515625</v>
          </cell>
          <cell r="AC106">
            <v>13.1</v>
          </cell>
          <cell r="AD106">
            <v>13.806249999999999</v>
          </cell>
          <cell r="AE106">
            <v>14.50625</v>
          </cell>
          <cell r="AF106">
            <v>15.275</v>
          </cell>
          <cell r="AG106">
            <v>15.181249999999999</v>
          </cell>
          <cell r="AH106">
            <v>15.165625</v>
          </cell>
          <cell r="AI106">
            <v>15.231249999999999</v>
          </cell>
          <cell r="AJ106">
            <v>14.499999999999998</v>
          </cell>
          <cell r="AK106">
            <v>13.15625</v>
          </cell>
          <cell r="AL106">
            <v>13.565624999999999</v>
          </cell>
          <cell r="AM106">
            <v>14.112499999999999</v>
          </cell>
          <cell r="AN106">
            <v>14.046875</v>
          </cell>
          <cell r="AO106">
            <v>13.987499999999999</v>
          </cell>
          <cell r="AP106">
            <v>13.362499999999999</v>
          </cell>
          <cell r="AQ106">
            <v>13.228124999999999</v>
          </cell>
          <cell r="AR106">
            <v>12.459374999999998</v>
          </cell>
          <cell r="AS106">
            <v>12.368749999999999</v>
          </cell>
          <cell r="AT106">
            <v>11.924999999999999</v>
          </cell>
          <cell r="AU106">
            <v>11.899999999999999</v>
          </cell>
          <cell r="AV106">
            <v>11.118749999999999</v>
          </cell>
          <cell r="AW106">
            <v>9.7999999999999989</v>
          </cell>
          <cell r="AX106">
            <v>10.7</v>
          </cell>
          <cell r="AY106">
            <v>10.762499999999999</v>
          </cell>
          <cell r="AZ106">
            <v>10.725</v>
          </cell>
          <cell r="BA106">
            <v>10.96875</v>
          </cell>
          <cell r="BB106">
            <v>11.362499999999999</v>
          </cell>
          <cell r="BC106">
            <v>11.740625</v>
          </cell>
          <cell r="BD106">
            <v>11.90625</v>
          </cell>
          <cell r="BE106">
            <v>11.978124999999999</v>
          </cell>
          <cell r="BF106">
            <v>11.306249999999999</v>
          </cell>
          <cell r="BG106">
            <v>12.074999999999999</v>
          </cell>
          <cell r="BH106">
            <v>12.409374999999999</v>
          </cell>
          <cell r="BI106">
            <v>12.074999999999999</v>
          </cell>
          <cell r="BJ106">
            <v>12.296875</v>
          </cell>
          <cell r="BK106">
            <v>12.459374999999998</v>
          </cell>
          <cell r="BL106">
            <v>12.781249999999998</v>
          </cell>
          <cell r="BM106">
            <v>13.174999999999999</v>
          </cell>
          <cell r="BN106">
            <v>13.806249999999999</v>
          </cell>
          <cell r="BO106">
            <v>13.228124999999999</v>
          </cell>
          <cell r="BP106">
            <v>11.796875</v>
          </cell>
          <cell r="BQ106">
            <v>11.95</v>
          </cell>
          <cell r="BR106">
            <v>12.8125</v>
          </cell>
          <cell r="BS106">
            <v>12.765625</v>
          </cell>
          <cell r="BT106">
            <v>12.371875000000001</v>
          </cell>
          <cell r="BU106">
            <v>12.603124999999999</v>
          </cell>
          <cell r="BV106">
            <v>13.574999999999999</v>
          </cell>
          <cell r="BW106">
            <v>14.793750000000001</v>
          </cell>
          <cell r="BX106">
            <v>14.321874999999999</v>
          </cell>
          <cell r="BY106">
            <v>15.44375</v>
          </cell>
          <cell r="BZ106">
            <v>14.459375</v>
          </cell>
          <cell r="CA106">
            <v>14.025</v>
          </cell>
          <cell r="CB106">
            <v>14.396875</v>
          </cell>
          <cell r="CC106">
            <v>14.990625</v>
          </cell>
          <cell r="CD106">
            <v>16.637499999999999</v>
          </cell>
          <cell r="CE106">
            <v>17.456249999999997</v>
          </cell>
          <cell r="CF106">
            <v>18.565624999999997</v>
          </cell>
          <cell r="CG106">
            <v>19.024999999999999</v>
          </cell>
          <cell r="CH106">
            <v>19.274999999999999</v>
          </cell>
          <cell r="CI106">
            <v>16.853124999999999</v>
          </cell>
          <cell r="CJ106">
            <v>15.493749999999999</v>
          </cell>
          <cell r="CK106">
            <v>13.69375</v>
          </cell>
          <cell r="CL106">
            <v>14.38125</v>
          </cell>
          <cell r="CM106">
            <v>13.393749999999999</v>
          </cell>
          <cell r="CN106">
            <v>13.415624999999999</v>
          </cell>
          <cell r="CO106">
            <v>14.490624999999998</v>
          </cell>
          <cell r="CP106">
            <v>14.7875</v>
          </cell>
          <cell r="CQ106">
            <v>15.11875</v>
          </cell>
          <cell r="CR106">
            <v>14.556249999999999</v>
          </cell>
          <cell r="CS106">
            <v>13.768750000000001</v>
          </cell>
          <cell r="CT106">
            <v>12.962499999999999</v>
          </cell>
          <cell r="CU106">
            <v>12.13125</v>
          </cell>
          <cell r="CV106">
            <v>10.946875</v>
          </cell>
          <cell r="CW106">
            <v>11.209374999999998</v>
          </cell>
          <cell r="CX106">
            <v>10.931249999999999</v>
          </cell>
          <cell r="CY106">
            <v>10.034374999999999</v>
          </cell>
          <cell r="CZ106">
            <v>10.265625</v>
          </cell>
          <cell r="DA106">
            <v>9.6749999999999989</v>
          </cell>
          <cell r="DB106">
            <v>9.9968749999999993</v>
          </cell>
          <cell r="DC106">
            <v>10.406249999999998</v>
          </cell>
          <cell r="DD106">
            <v>9.9375</v>
          </cell>
          <cell r="DE106">
            <v>8.296875</v>
          </cell>
          <cell r="DF106">
            <v>8.9531249999999982</v>
          </cell>
          <cell r="DG106">
            <v>8.7281249999999986</v>
          </cell>
          <cell r="DH106">
            <v>9.6125000000000007</v>
          </cell>
          <cell r="DI106">
            <v>10.9125</v>
          </cell>
          <cell r="DJ106">
            <v>11.140624999999998</v>
          </cell>
          <cell r="DK106">
            <v>11.88125</v>
          </cell>
          <cell r="DL106">
            <v>14.0625</v>
          </cell>
          <cell r="DM106">
            <v>15.678125</v>
          </cell>
          <cell r="DN106">
            <v>16.625</v>
          </cell>
          <cell r="DO106">
            <v>10.034374999999999</v>
          </cell>
          <cell r="DP106">
            <v>10.265625</v>
          </cell>
          <cell r="DQ106">
            <v>9.6749999999999989</v>
          </cell>
          <cell r="DR106">
            <v>9.9968749999999993</v>
          </cell>
          <cell r="DS106">
            <v>10.406249999999998</v>
          </cell>
          <cell r="DT106">
            <v>9.9375</v>
          </cell>
          <cell r="DU106">
            <v>8.296875</v>
          </cell>
          <cell r="DV106">
            <v>8.9531249999999982</v>
          </cell>
          <cell r="DW106">
            <v>8.7281249999999986</v>
          </cell>
          <cell r="DX106">
            <v>9.6125000000000007</v>
          </cell>
          <cell r="DY106">
            <v>10.9125</v>
          </cell>
          <cell r="DZ106">
            <v>11.140624999999998</v>
          </cell>
          <cell r="EA106">
            <v>11.88125</v>
          </cell>
          <cell r="EB106">
            <v>14.0625</v>
          </cell>
          <cell r="EC106">
            <v>15.678125</v>
          </cell>
          <cell r="ED106">
            <v>16.625</v>
          </cell>
        </row>
        <row r="107">
          <cell r="F107" t="str">
            <v>Naphtha cost, c/lb</v>
          </cell>
          <cell r="H107">
            <v>3.5564812499999996</v>
          </cell>
          <cell r="I107">
            <v>7.8886468749999992</v>
          </cell>
          <cell r="J107">
            <v>10.201231249999998</v>
          </cell>
          <cell r="K107">
            <v>10.546031249999999</v>
          </cell>
          <cell r="L107">
            <v>10.203925</v>
          </cell>
          <cell r="M107">
            <v>8.4058468749999982</v>
          </cell>
          <cell r="N107">
            <v>7.9775406249999996</v>
          </cell>
          <cell r="O107">
            <v>6.66703125</v>
          </cell>
          <cell r="P107">
            <v>6.7869031249999994</v>
          </cell>
          <cell r="Q107">
            <v>6.80171875</v>
          </cell>
          <cell r="R107">
            <v>6.6333593749999995</v>
          </cell>
          <cell r="S107">
            <v>5.7444218749999996</v>
          </cell>
          <cell r="T107">
            <v>5.9706968749999989</v>
          </cell>
          <cell r="U107">
            <v>6.4609593749999998</v>
          </cell>
          <cell r="V107">
            <v>6.7788218749999993</v>
          </cell>
          <cell r="W107">
            <v>7.1370906249999999</v>
          </cell>
          <cell r="X107">
            <v>6.9956687499999992</v>
          </cell>
          <cell r="Y107">
            <v>5.7821343749999992</v>
          </cell>
          <cell r="Z107">
            <v>5.5868374999999997</v>
          </cell>
          <cell r="AA107">
            <v>5.8077249999999987</v>
          </cell>
          <cell r="AB107">
            <v>5.825234375</v>
          </cell>
          <cell r="AC107">
            <v>5.6460999999999997</v>
          </cell>
          <cell r="AD107">
            <v>5.9504937499999997</v>
          </cell>
          <cell r="AE107">
            <v>6.25219375</v>
          </cell>
          <cell r="AF107">
            <v>6.5835249999999998</v>
          </cell>
          <cell r="AG107">
            <v>6.5431187499999997</v>
          </cell>
          <cell r="AH107">
            <v>6.5363843749999999</v>
          </cell>
          <cell r="AI107">
            <v>6.5646687499999992</v>
          </cell>
          <cell r="AJ107">
            <v>6.2494999999999994</v>
          </cell>
          <cell r="AK107">
            <v>5.6703437499999998</v>
          </cell>
          <cell r="AL107">
            <v>5.8467843749999995</v>
          </cell>
          <cell r="AM107">
            <v>6.0824874999999992</v>
          </cell>
          <cell r="AN107">
            <v>6.0542031249999999</v>
          </cell>
          <cell r="AO107">
            <v>6.0286124999999995</v>
          </cell>
          <cell r="AP107">
            <v>5.7592374999999993</v>
          </cell>
          <cell r="AQ107">
            <v>5.7013218749999997</v>
          </cell>
          <cell r="AR107">
            <v>5.3699906249999989</v>
          </cell>
          <cell r="AS107">
            <v>5.330931249999999</v>
          </cell>
          <cell r="AT107">
            <v>5.1396749999999995</v>
          </cell>
          <cell r="AU107">
            <v>5.1288999999999989</v>
          </cell>
          <cell r="AV107">
            <v>4.7921812499999996</v>
          </cell>
          <cell r="AW107">
            <v>4.2237999999999998</v>
          </cell>
          <cell r="AX107">
            <v>4.6116999999999999</v>
          </cell>
          <cell r="AY107">
            <v>4.6386374999999997</v>
          </cell>
          <cell r="AZ107">
            <v>4.6224749999999997</v>
          </cell>
          <cell r="BA107">
            <v>4.7275312500000002</v>
          </cell>
          <cell r="BB107">
            <v>4.8972374999999992</v>
          </cell>
          <cell r="BC107">
            <v>5.0602093749999995</v>
          </cell>
          <cell r="BD107">
            <v>5.1315937499999995</v>
          </cell>
          <cell r="BE107">
            <v>5.1625718749999994</v>
          </cell>
          <cell r="BF107">
            <v>4.8729937499999991</v>
          </cell>
          <cell r="BG107">
            <v>5.2043249999999999</v>
          </cell>
          <cell r="BH107">
            <v>5.3484406249999994</v>
          </cell>
          <cell r="BI107">
            <v>5.2043249999999999</v>
          </cell>
          <cell r="BJ107">
            <v>5.299953125</v>
          </cell>
          <cell r="BK107">
            <v>5.3699906249999989</v>
          </cell>
          <cell r="BL107">
            <v>5.508718749999999</v>
          </cell>
          <cell r="BM107">
            <v>5.6784249999999998</v>
          </cell>
          <cell r="BN107">
            <v>5.9504937499999997</v>
          </cell>
          <cell r="BO107">
            <v>5.7013218749999997</v>
          </cell>
          <cell r="BP107">
            <v>5.0844531249999996</v>
          </cell>
          <cell r="BQ107">
            <v>5.1504499999999993</v>
          </cell>
          <cell r="BR107">
            <v>5.5221875000000002</v>
          </cell>
          <cell r="BS107">
            <v>5.5019843750000001</v>
          </cell>
          <cell r="BT107">
            <v>5.3322781250000002</v>
          </cell>
          <cell r="BU107">
            <v>5.4319468749999995</v>
          </cell>
          <cell r="BV107">
            <v>5.8508249999999995</v>
          </cell>
          <cell r="BW107">
            <v>6.3761062500000003</v>
          </cell>
          <cell r="BX107">
            <v>6.172728124999999</v>
          </cell>
          <cell r="BY107">
            <v>6.6562562499999993</v>
          </cell>
          <cell r="BZ107">
            <v>6.2319906249999999</v>
          </cell>
          <cell r="CA107">
            <v>6.0447750000000005</v>
          </cell>
          <cell r="CB107">
            <v>6.2050531250000001</v>
          </cell>
          <cell r="CC107">
            <v>6.4609593749999998</v>
          </cell>
          <cell r="CD107">
            <v>7.1707624999999995</v>
          </cell>
          <cell r="CE107">
            <v>7.5236437499999989</v>
          </cell>
          <cell r="CF107">
            <v>8.001784374999998</v>
          </cell>
          <cell r="CG107">
            <v>8.1997749999999989</v>
          </cell>
          <cell r="CH107">
            <v>8.307525</v>
          </cell>
          <cell r="CI107">
            <v>7.2636968749999991</v>
          </cell>
          <cell r="CJ107">
            <v>6.6778062499999997</v>
          </cell>
          <cell r="CK107">
            <v>5.9020062499999995</v>
          </cell>
          <cell r="CL107">
            <v>6.1983187499999994</v>
          </cell>
          <cell r="CM107">
            <v>5.7727062499999997</v>
          </cell>
          <cell r="CN107">
            <v>5.7821343749999992</v>
          </cell>
          <cell r="CO107">
            <v>6.2454593749999994</v>
          </cell>
          <cell r="CP107">
            <v>6.3734124999999997</v>
          </cell>
          <cell r="CQ107">
            <v>6.5161812499999998</v>
          </cell>
          <cell r="CR107">
            <v>6.2737437499999995</v>
          </cell>
          <cell r="CS107">
            <v>5.9343312500000005</v>
          </cell>
          <cell r="CT107">
            <v>5.5868374999999997</v>
          </cell>
          <cell r="CU107">
            <v>5.22856875</v>
          </cell>
          <cell r="CV107">
            <v>4.7181031249999998</v>
          </cell>
          <cell r="CW107">
            <v>4.8312406249999986</v>
          </cell>
          <cell r="CX107">
            <v>4.7113687499999992</v>
          </cell>
          <cell r="CY107">
            <v>4.3248156249999994</v>
          </cell>
          <cell r="CZ107">
            <v>4.4244843749999996</v>
          </cell>
          <cell r="DA107">
            <v>4.1699249999999992</v>
          </cell>
          <cell r="DB107">
            <v>4.3086531249999993</v>
          </cell>
          <cell r="DC107">
            <v>4.485093749999999</v>
          </cell>
          <cell r="DD107">
            <v>4.2830624999999998</v>
          </cell>
          <cell r="DE107">
            <v>3.5759531249999998</v>
          </cell>
          <cell r="DF107">
            <v>3.858796874999999</v>
          </cell>
          <cell r="DG107">
            <v>3.7618218749999994</v>
          </cell>
          <cell r="DH107">
            <v>4.1429875000000003</v>
          </cell>
          <cell r="DI107">
            <v>4.7032875000000001</v>
          </cell>
          <cell r="DJ107">
            <v>4.8016093749999991</v>
          </cell>
          <cell r="DK107">
            <v>5.1208187499999998</v>
          </cell>
          <cell r="DL107">
            <v>6.0609374999999996</v>
          </cell>
          <cell r="DM107">
            <v>6.7572718749999998</v>
          </cell>
          <cell r="DN107">
            <v>7.165375</v>
          </cell>
          <cell r="DO107">
            <v>4.3248156249999994</v>
          </cell>
          <cell r="DP107">
            <v>4.4244843749999996</v>
          </cell>
          <cell r="DQ107">
            <v>4.1699249999999992</v>
          </cell>
          <cell r="DR107">
            <v>4.3086531249999993</v>
          </cell>
          <cell r="DS107">
            <v>4.485093749999999</v>
          </cell>
          <cell r="DT107">
            <v>4.2830624999999998</v>
          </cell>
          <cell r="DU107">
            <v>3.5759531249999998</v>
          </cell>
          <cell r="DV107">
            <v>3.858796874999999</v>
          </cell>
          <cell r="DW107">
            <v>3.7618218749999994</v>
          </cell>
          <cell r="DX107">
            <v>4.1429875000000003</v>
          </cell>
          <cell r="DY107">
            <v>4.7032875000000001</v>
          </cell>
          <cell r="DZ107">
            <v>4.8016093749999991</v>
          </cell>
          <cell r="EA107">
            <v>5.1208187499999998</v>
          </cell>
          <cell r="EB107">
            <v>6.0609374999999996</v>
          </cell>
          <cell r="EC107">
            <v>6.7572718749999998</v>
          </cell>
          <cell r="ED107">
            <v>7.165375</v>
          </cell>
        </row>
        <row r="109">
          <cell r="F109" t="str">
            <v xml:space="preserve"> Propylene/Naphtha Spread</v>
          </cell>
          <cell r="H109">
            <v>10.443518750000001</v>
          </cell>
          <cell r="I109">
            <v>6.6113531250000008</v>
          </cell>
          <cell r="J109">
            <v>6.2987687500000025</v>
          </cell>
          <cell r="K109">
            <v>8.9539687500000014</v>
          </cell>
          <cell r="L109">
            <v>12.296075</v>
          </cell>
          <cell r="M109">
            <v>14.094153125000002</v>
          </cell>
          <cell r="N109">
            <v>13.522459375</v>
          </cell>
          <cell r="O109">
            <v>13.332968749999999</v>
          </cell>
          <cell r="P109">
            <v>12.213096875000002</v>
          </cell>
          <cell r="Q109">
            <v>11.198281250000001</v>
          </cell>
          <cell r="R109">
            <v>10.366640625</v>
          </cell>
          <cell r="S109">
            <v>10.255578125</v>
          </cell>
          <cell r="T109">
            <v>8.529303125000002</v>
          </cell>
          <cell r="U109">
            <v>8.0390406250000002</v>
          </cell>
          <cell r="V109">
            <v>7.7211781250000007</v>
          </cell>
          <cell r="W109">
            <v>7.3629093750000001</v>
          </cell>
          <cell r="X109">
            <v>7.5043312500000008</v>
          </cell>
          <cell r="Y109">
            <v>8.7178656250000017</v>
          </cell>
          <cell r="Z109">
            <v>9.9131625000000003</v>
          </cell>
          <cell r="AA109">
            <v>8.6922750000000022</v>
          </cell>
          <cell r="AB109">
            <v>8.6747656249999991</v>
          </cell>
          <cell r="AC109">
            <v>8.8538999999999994</v>
          </cell>
          <cell r="AD109">
            <v>9.0495062500000003</v>
          </cell>
          <cell r="AE109">
            <v>8.99780625</v>
          </cell>
          <cell r="AF109">
            <v>8.9164750000000002</v>
          </cell>
          <cell r="AG109">
            <v>8.7068812500000003</v>
          </cell>
          <cell r="AH109">
            <v>8.4636156249999992</v>
          </cell>
          <cell r="AI109">
            <v>7.9353312500000008</v>
          </cell>
          <cell r="AJ109">
            <v>7.7505000000000006</v>
          </cell>
          <cell r="AK109">
            <v>8.0796562499999993</v>
          </cell>
          <cell r="AL109">
            <v>7.9032156250000005</v>
          </cell>
          <cell r="AM109">
            <v>7.6675125000000008</v>
          </cell>
          <cell r="AN109">
            <v>7.6957968750000001</v>
          </cell>
          <cell r="AO109">
            <v>7.9713875000000005</v>
          </cell>
          <cell r="AP109">
            <v>8.4907625000000007</v>
          </cell>
          <cell r="AQ109">
            <v>8.5486781250000003</v>
          </cell>
          <cell r="AR109">
            <v>8.8800093750000002</v>
          </cell>
          <cell r="AS109">
            <v>8.419068750000001</v>
          </cell>
          <cell r="AT109">
            <v>8.3603249999999996</v>
          </cell>
          <cell r="AU109">
            <v>8.121100000000002</v>
          </cell>
          <cell r="AV109">
            <v>8.2078187500000013</v>
          </cell>
          <cell r="AW109">
            <v>8.5261999999999993</v>
          </cell>
          <cell r="AX109">
            <v>8.138300000000001</v>
          </cell>
          <cell r="AY109">
            <v>8.1113625000000003</v>
          </cell>
          <cell r="AZ109">
            <v>8.6275250000000003</v>
          </cell>
          <cell r="BA109">
            <v>9.0224687499999998</v>
          </cell>
          <cell r="BB109">
            <v>9.3527625000000008</v>
          </cell>
          <cell r="BC109">
            <v>10.189790625000001</v>
          </cell>
          <cell r="BD109">
            <v>10.61840625</v>
          </cell>
          <cell r="BE109">
            <v>11.587428125000001</v>
          </cell>
          <cell r="BF109">
            <v>12.877006250000001</v>
          </cell>
          <cell r="BG109">
            <v>13.545674999999999</v>
          </cell>
          <cell r="BH109">
            <v>14.401559375000001</v>
          </cell>
          <cell r="BI109">
            <v>15.545674999999999</v>
          </cell>
          <cell r="BJ109">
            <v>16.450046874999998</v>
          </cell>
          <cell r="BK109">
            <v>17.380009375</v>
          </cell>
          <cell r="BL109">
            <v>18.24128125</v>
          </cell>
          <cell r="BM109">
            <v>19.071574999999999</v>
          </cell>
          <cell r="BN109">
            <v>18.79950625</v>
          </cell>
          <cell r="BO109">
            <v>19.048678125000002</v>
          </cell>
          <cell r="BP109">
            <v>19.665546875</v>
          </cell>
          <cell r="BQ109">
            <v>18.599550000000001</v>
          </cell>
          <cell r="BR109">
            <v>16.227812499999999</v>
          </cell>
          <cell r="BS109">
            <v>14.748015625000001</v>
          </cell>
          <cell r="BT109">
            <v>13.417721875</v>
          </cell>
          <cell r="BU109">
            <v>12.318053125</v>
          </cell>
          <cell r="BV109">
            <v>10.899175</v>
          </cell>
          <cell r="BW109">
            <v>10.373893750000001</v>
          </cell>
          <cell r="BX109">
            <v>10.577271875000001</v>
          </cell>
          <cell r="BY109">
            <v>11.093743750000002</v>
          </cell>
          <cell r="BZ109">
            <v>12.518009375</v>
          </cell>
          <cell r="CA109">
            <v>13.205224999999999</v>
          </cell>
          <cell r="CB109">
            <v>13.044946875000001</v>
          </cell>
          <cell r="CC109">
            <v>13.289040625</v>
          </cell>
          <cell r="CD109">
            <v>12.579237500000001</v>
          </cell>
          <cell r="CE109">
            <v>12.226356250000002</v>
          </cell>
          <cell r="CF109">
            <v>11.748215625000002</v>
          </cell>
          <cell r="CG109">
            <v>12.050225000000001</v>
          </cell>
          <cell r="CH109">
            <v>12.442475</v>
          </cell>
          <cell r="CI109">
            <v>13.986303125000001</v>
          </cell>
          <cell r="CJ109">
            <v>14.57219375</v>
          </cell>
          <cell r="CK109">
            <v>15.347993750000001</v>
          </cell>
          <cell r="CL109">
            <v>15.051681250000001</v>
          </cell>
          <cell r="CM109">
            <v>15.477293750000001</v>
          </cell>
          <cell r="CN109">
            <v>15.467865625000002</v>
          </cell>
          <cell r="CO109">
            <v>15.004540625000001</v>
          </cell>
          <cell r="CP109">
            <v>14.126587499999999</v>
          </cell>
          <cell r="CQ109">
            <v>12.983818750000001</v>
          </cell>
          <cell r="CR109">
            <v>12.47625625</v>
          </cell>
          <cell r="CS109">
            <v>12.06566875</v>
          </cell>
          <cell r="CT109">
            <v>11.6631625</v>
          </cell>
          <cell r="CU109">
            <v>11.021431249999999</v>
          </cell>
          <cell r="CV109">
            <v>10.531896875000001</v>
          </cell>
          <cell r="CW109">
            <v>9.9187593750000005</v>
          </cell>
          <cell r="CX109">
            <v>9.5386312500000017</v>
          </cell>
          <cell r="CY109">
            <v>9.6751843750000006</v>
          </cell>
          <cell r="CZ109">
            <v>9.5755156250000013</v>
          </cell>
          <cell r="DA109">
            <v>9.3300750000000008</v>
          </cell>
          <cell r="DB109">
            <v>9.1913468750000007</v>
          </cell>
          <cell r="DC109">
            <v>8.514906250000001</v>
          </cell>
          <cell r="DD109">
            <v>8.4669375000000002</v>
          </cell>
          <cell r="DE109">
            <v>8.9240468750000002</v>
          </cell>
          <cell r="DF109">
            <v>8.3912031250000005</v>
          </cell>
          <cell r="DG109">
            <v>8.238178125000001</v>
          </cell>
          <cell r="DH109">
            <v>7.8570124999999997</v>
          </cell>
          <cell r="DI109">
            <v>7.2967124999999999</v>
          </cell>
          <cell r="DJ109">
            <v>7.6983906250000009</v>
          </cell>
          <cell r="DK109">
            <v>8.3791812500000002</v>
          </cell>
          <cell r="DL109">
            <v>8.4390625000000004</v>
          </cell>
          <cell r="DM109">
            <v>8.7427281249999993</v>
          </cell>
          <cell r="DN109">
            <v>9.8346249999999991</v>
          </cell>
          <cell r="DO109">
            <v>9.6751843750000006</v>
          </cell>
          <cell r="DP109">
            <v>9.5755156250000013</v>
          </cell>
          <cell r="DQ109">
            <v>9.3300750000000008</v>
          </cell>
          <cell r="DR109">
            <v>9.1913468750000007</v>
          </cell>
          <cell r="DS109">
            <v>8.514906250000001</v>
          </cell>
          <cell r="DT109">
            <v>8.4669375000000002</v>
          </cell>
          <cell r="DU109">
            <v>8.9240468750000002</v>
          </cell>
          <cell r="DV109">
            <v>8.3912031250000005</v>
          </cell>
          <cell r="DW109">
            <v>8.238178125000001</v>
          </cell>
          <cell r="DX109">
            <v>7.8570124999999997</v>
          </cell>
          <cell r="DY109">
            <v>7.2967124999999999</v>
          </cell>
          <cell r="DZ109">
            <v>7.6983906250000009</v>
          </cell>
          <cell r="EA109">
            <v>8.3791812500000002</v>
          </cell>
          <cell r="EB109">
            <v>8.4390625000000004</v>
          </cell>
          <cell r="EC109">
            <v>8.7427281249999993</v>
          </cell>
          <cell r="ED109">
            <v>9.8346249999999991</v>
          </cell>
        </row>
        <row r="111">
          <cell r="F111" t="str">
            <v>(1)  Assuming 3.2 lbs of naphtha per gallon, 0.85 density, and 15.7% C3 yield on light naphtha.</v>
          </cell>
        </row>
        <row r="113">
          <cell r="F113" t="str">
            <v>Ethylene Glycol/Ethane Cost Spread</v>
          </cell>
        </row>
        <row r="115">
          <cell r="H115">
            <v>33055</v>
          </cell>
          <cell r="I115">
            <v>33086</v>
          </cell>
          <cell r="J115">
            <v>33117</v>
          </cell>
          <cell r="K115">
            <v>33147</v>
          </cell>
          <cell r="L115">
            <v>33178</v>
          </cell>
          <cell r="M115">
            <v>33208</v>
          </cell>
          <cell r="N115">
            <v>33239</v>
          </cell>
          <cell r="O115">
            <v>33270</v>
          </cell>
          <cell r="P115">
            <v>33298</v>
          </cell>
          <cell r="Q115">
            <v>33329</v>
          </cell>
          <cell r="R115">
            <v>33359</v>
          </cell>
          <cell r="S115">
            <v>33390</v>
          </cell>
          <cell r="T115">
            <v>33420</v>
          </cell>
          <cell r="U115">
            <v>33451</v>
          </cell>
          <cell r="V115">
            <v>33482</v>
          </cell>
          <cell r="W115">
            <v>33512</v>
          </cell>
          <cell r="X115">
            <v>33543</v>
          </cell>
          <cell r="Y115">
            <v>33573</v>
          </cell>
          <cell r="Z115">
            <v>33604</v>
          </cell>
          <cell r="AA115">
            <v>33635</v>
          </cell>
          <cell r="AB115">
            <v>33664</v>
          </cell>
          <cell r="AC115">
            <v>33695</v>
          </cell>
          <cell r="AD115">
            <v>33725</v>
          </cell>
          <cell r="AE115">
            <v>33756</v>
          </cell>
          <cell r="AF115">
            <v>33786</v>
          </cell>
          <cell r="AG115">
            <v>33817</v>
          </cell>
          <cell r="AH115">
            <v>33848</v>
          </cell>
          <cell r="AI115">
            <v>33878</v>
          </cell>
          <cell r="AJ115">
            <v>33909</v>
          </cell>
          <cell r="AK115">
            <v>33939</v>
          </cell>
          <cell r="AL115">
            <v>33970</v>
          </cell>
          <cell r="AM115">
            <v>34001</v>
          </cell>
          <cell r="AN115">
            <v>34029</v>
          </cell>
          <cell r="AO115">
            <v>34060</v>
          </cell>
          <cell r="AP115">
            <v>34090</v>
          </cell>
          <cell r="AQ115">
            <v>34121</v>
          </cell>
          <cell r="AR115">
            <v>34151</v>
          </cell>
          <cell r="AS115">
            <v>34182</v>
          </cell>
          <cell r="AT115">
            <v>34213</v>
          </cell>
          <cell r="AU115">
            <v>34243</v>
          </cell>
          <cell r="AV115">
            <v>34274</v>
          </cell>
          <cell r="AW115">
            <v>34304</v>
          </cell>
          <cell r="AX115">
            <v>34335</v>
          </cell>
          <cell r="AY115">
            <v>34366</v>
          </cell>
          <cell r="AZ115">
            <v>34394</v>
          </cell>
          <cell r="BA115">
            <v>34425</v>
          </cell>
          <cell r="BB115">
            <v>34455</v>
          </cell>
          <cell r="BC115">
            <v>34486</v>
          </cell>
          <cell r="BD115">
            <v>34516</v>
          </cell>
          <cell r="BE115">
            <v>34547</v>
          </cell>
          <cell r="BF115">
            <v>34578</v>
          </cell>
          <cell r="BG115">
            <v>34608</v>
          </cell>
          <cell r="BH115">
            <v>34639</v>
          </cell>
          <cell r="BI115">
            <v>34669</v>
          </cell>
          <cell r="BJ115">
            <v>34700</v>
          </cell>
          <cell r="BK115">
            <v>34731</v>
          </cell>
          <cell r="BL115">
            <v>34759</v>
          </cell>
          <cell r="BM115">
            <v>34790</v>
          </cell>
          <cell r="BN115">
            <v>34820</v>
          </cell>
          <cell r="BO115">
            <v>34851</v>
          </cell>
          <cell r="BP115">
            <v>34881</v>
          </cell>
          <cell r="BQ115">
            <v>34912</v>
          </cell>
          <cell r="BR115">
            <v>34943</v>
          </cell>
          <cell r="BS115">
            <v>34973</v>
          </cell>
          <cell r="BT115">
            <v>35004</v>
          </cell>
          <cell r="BU115">
            <v>35034</v>
          </cell>
          <cell r="BV115">
            <v>35065</v>
          </cell>
          <cell r="BW115">
            <v>35096</v>
          </cell>
          <cell r="BX115">
            <v>35125</v>
          </cell>
          <cell r="BY115">
            <v>35156</v>
          </cell>
          <cell r="BZ115">
            <v>35186</v>
          </cell>
          <cell r="CA115">
            <v>35217</v>
          </cell>
          <cell r="CB115">
            <v>35247</v>
          </cell>
          <cell r="CC115">
            <v>35278</v>
          </cell>
          <cell r="CD115">
            <v>35309</v>
          </cell>
          <cell r="CE115">
            <v>35339</v>
          </cell>
          <cell r="CF115">
            <v>35370</v>
          </cell>
          <cell r="CG115">
            <v>35400</v>
          </cell>
          <cell r="CH115">
            <v>35431</v>
          </cell>
          <cell r="CI115">
            <v>35462</v>
          </cell>
          <cell r="CJ115">
            <v>35490</v>
          </cell>
          <cell r="CK115">
            <v>35521</v>
          </cell>
          <cell r="CL115">
            <v>35551</v>
          </cell>
          <cell r="CM115">
            <v>35582</v>
          </cell>
          <cell r="CN115">
            <v>35612</v>
          </cell>
          <cell r="CO115">
            <v>35643</v>
          </cell>
          <cell r="CP115">
            <v>35674</v>
          </cell>
          <cell r="CQ115">
            <v>35704</v>
          </cell>
          <cell r="CR115">
            <v>35735</v>
          </cell>
          <cell r="CS115">
            <v>35765</v>
          </cell>
          <cell r="CT115">
            <v>35796</v>
          </cell>
          <cell r="CU115">
            <v>35827</v>
          </cell>
          <cell r="CV115">
            <v>35855</v>
          </cell>
          <cell r="CW115">
            <v>35886</v>
          </cell>
          <cell r="CX115">
            <v>35916</v>
          </cell>
          <cell r="CY115">
            <v>35947</v>
          </cell>
          <cell r="CZ115">
            <v>35977</v>
          </cell>
          <cell r="DA115">
            <v>36008</v>
          </cell>
          <cell r="DB115">
            <v>36039</v>
          </cell>
          <cell r="DC115">
            <v>36069</v>
          </cell>
          <cell r="DD115">
            <v>36100</v>
          </cell>
          <cell r="DE115">
            <v>36130</v>
          </cell>
          <cell r="DF115">
            <v>35674</v>
          </cell>
          <cell r="DG115">
            <v>35704</v>
          </cell>
          <cell r="DH115">
            <v>35735</v>
          </cell>
          <cell r="DI115">
            <v>35765</v>
          </cell>
          <cell r="DJ115">
            <v>35796</v>
          </cell>
          <cell r="DK115">
            <v>35827</v>
          </cell>
          <cell r="DL115">
            <v>35855</v>
          </cell>
          <cell r="DM115">
            <v>35886</v>
          </cell>
          <cell r="DN115">
            <v>35916</v>
          </cell>
          <cell r="DO115">
            <v>35947</v>
          </cell>
          <cell r="DP115">
            <v>35977</v>
          </cell>
          <cell r="DQ115">
            <v>36008</v>
          </cell>
          <cell r="DR115">
            <v>36039</v>
          </cell>
          <cell r="DS115">
            <v>36069</v>
          </cell>
          <cell r="DT115">
            <v>36100</v>
          </cell>
          <cell r="DU115">
            <v>36130</v>
          </cell>
        </row>
        <row r="116">
          <cell r="F116" t="str">
            <v>EG price</v>
          </cell>
          <cell r="H116">
            <v>20</v>
          </cell>
          <cell r="I116">
            <v>22</v>
          </cell>
          <cell r="J116">
            <v>25</v>
          </cell>
          <cell r="K116">
            <v>29</v>
          </cell>
          <cell r="L116">
            <v>30</v>
          </cell>
          <cell r="M116">
            <v>30</v>
          </cell>
          <cell r="N116">
            <v>27</v>
          </cell>
          <cell r="O116">
            <v>26</v>
          </cell>
          <cell r="P116">
            <v>26</v>
          </cell>
          <cell r="Q116">
            <v>25</v>
          </cell>
          <cell r="R116">
            <v>23</v>
          </cell>
          <cell r="S116">
            <v>22</v>
          </cell>
          <cell r="T116">
            <v>22.5</v>
          </cell>
          <cell r="U116">
            <v>22.25</v>
          </cell>
          <cell r="V116">
            <v>21.5</v>
          </cell>
          <cell r="W116">
            <v>21.5</v>
          </cell>
          <cell r="X116">
            <v>21.5</v>
          </cell>
          <cell r="Y116">
            <v>21.5</v>
          </cell>
          <cell r="Z116">
            <v>21</v>
          </cell>
          <cell r="AA116">
            <v>21</v>
          </cell>
          <cell r="AB116">
            <v>21</v>
          </cell>
          <cell r="AC116">
            <v>19.75</v>
          </cell>
          <cell r="AD116">
            <v>19.75</v>
          </cell>
          <cell r="AE116">
            <v>19.75</v>
          </cell>
          <cell r="AF116">
            <v>19.75</v>
          </cell>
          <cell r="AG116">
            <v>19.75</v>
          </cell>
          <cell r="AH116">
            <v>19.75</v>
          </cell>
          <cell r="AI116">
            <v>21.5</v>
          </cell>
          <cell r="AJ116">
            <v>21.5</v>
          </cell>
          <cell r="AK116">
            <v>21.5</v>
          </cell>
          <cell r="AL116">
            <v>20</v>
          </cell>
          <cell r="AM116">
            <v>20</v>
          </cell>
          <cell r="AN116">
            <v>20</v>
          </cell>
          <cell r="AO116">
            <v>18</v>
          </cell>
          <cell r="AP116">
            <v>18</v>
          </cell>
          <cell r="AQ116">
            <v>18</v>
          </cell>
          <cell r="AR116">
            <v>16</v>
          </cell>
          <cell r="AS116">
            <v>16</v>
          </cell>
          <cell r="AT116">
            <v>16</v>
          </cell>
          <cell r="AU116">
            <v>16</v>
          </cell>
          <cell r="AV116">
            <v>16</v>
          </cell>
          <cell r="AW116">
            <v>16</v>
          </cell>
          <cell r="AX116">
            <v>14</v>
          </cell>
          <cell r="AY116">
            <v>14</v>
          </cell>
          <cell r="AZ116">
            <v>14</v>
          </cell>
          <cell r="BA116">
            <v>14</v>
          </cell>
          <cell r="BB116">
            <v>14</v>
          </cell>
          <cell r="BC116">
            <v>14</v>
          </cell>
          <cell r="BD116">
            <v>16</v>
          </cell>
          <cell r="BE116">
            <v>16</v>
          </cell>
          <cell r="BF116">
            <v>16</v>
          </cell>
          <cell r="BG116">
            <v>21</v>
          </cell>
          <cell r="BH116">
            <v>21</v>
          </cell>
          <cell r="BI116">
            <v>21</v>
          </cell>
          <cell r="BJ116">
            <v>24.5</v>
          </cell>
          <cell r="BK116">
            <v>24.5</v>
          </cell>
          <cell r="BL116">
            <v>24.5</v>
          </cell>
          <cell r="BM116">
            <v>26.5</v>
          </cell>
          <cell r="BN116">
            <v>26.5</v>
          </cell>
          <cell r="BO116">
            <v>26.5</v>
          </cell>
          <cell r="BP116">
            <v>29.5</v>
          </cell>
          <cell r="BQ116">
            <v>29.5</v>
          </cell>
          <cell r="BR116">
            <v>29.5</v>
          </cell>
          <cell r="BS116">
            <v>29.5</v>
          </cell>
          <cell r="BT116">
            <v>29.5</v>
          </cell>
          <cell r="BU116">
            <v>29.5</v>
          </cell>
          <cell r="BV116">
            <v>27.5</v>
          </cell>
          <cell r="BW116">
            <v>27.5</v>
          </cell>
          <cell r="BX116">
            <v>27.5</v>
          </cell>
          <cell r="BY116">
            <v>27</v>
          </cell>
          <cell r="BZ116">
            <v>27</v>
          </cell>
          <cell r="CA116">
            <v>27</v>
          </cell>
          <cell r="CB116">
            <v>23.5</v>
          </cell>
          <cell r="CC116">
            <v>23.5</v>
          </cell>
          <cell r="CD116">
            <v>23.5</v>
          </cell>
          <cell r="CE116">
            <v>24.75</v>
          </cell>
          <cell r="CF116">
            <v>24.75</v>
          </cell>
          <cell r="CG116">
            <v>24.75</v>
          </cell>
          <cell r="CH116">
            <v>26.5</v>
          </cell>
          <cell r="CI116">
            <v>26.5</v>
          </cell>
          <cell r="CJ116">
            <v>26.5</v>
          </cell>
          <cell r="CK116">
            <v>28</v>
          </cell>
          <cell r="CL116">
            <v>28</v>
          </cell>
          <cell r="CM116">
            <v>28</v>
          </cell>
          <cell r="CN116">
            <v>29</v>
          </cell>
          <cell r="CO116">
            <v>29</v>
          </cell>
          <cell r="CP116">
            <v>29</v>
          </cell>
          <cell r="CQ116">
            <v>29</v>
          </cell>
          <cell r="CR116">
            <v>29</v>
          </cell>
          <cell r="CS116">
            <v>29</v>
          </cell>
          <cell r="CT116">
            <v>24</v>
          </cell>
          <cell r="CU116">
            <v>24</v>
          </cell>
          <cell r="CV116">
            <v>24</v>
          </cell>
          <cell r="CW116">
            <v>21</v>
          </cell>
          <cell r="CX116">
            <v>21</v>
          </cell>
          <cell r="CY116">
            <v>21</v>
          </cell>
          <cell r="CZ116">
            <v>19</v>
          </cell>
          <cell r="DA116">
            <v>19</v>
          </cell>
          <cell r="DB116">
            <v>19</v>
          </cell>
          <cell r="DC116">
            <v>18</v>
          </cell>
          <cell r="DD116">
            <v>18</v>
          </cell>
          <cell r="DE116">
            <v>18</v>
          </cell>
          <cell r="DF116">
            <v>29</v>
          </cell>
          <cell r="DG116">
            <v>29</v>
          </cell>
          <cell r="DH116">
            <v>29</v>
          </cell>
          <cell r="DI116">
            <v>29</v>
          </cell>
          <cell r="DJ116">
            <v>24</v>
          </cell>
          <cell r="DK116">
            <v>24</v>
          </cell>
          <cell r="DL116">
            <v>24</v>
          </cell>
          <cell r="DM116">
            <v>21</v>
          </cell>
          <cell r="DN116">
            <v>21</v>
          </cell>
          <cell r="DO116">
            <v>21</v>
          </cell>
          <cell r="DP116">
            <v>19</v>
          </cell>
          <cell r="DQ116">
            <v>19</v>
          </cell>
          <cell r="DR116">
            <v>19</v>
          </cell>
          <cell r="DS116">
            <v>18</v>
          </cell>
          <cell r="DT116">
            <v>18</v>
          </cell>
          <cell r="DU116">
            <v>18</v>
          </cell>
        </row>
        <row r="118">
          <cell r="F118" t="str">
            <v>Ethane</v>
          </cell>
          <cell r="H118">
            <v>16.07</v>
          </cell>
          <cell r="I118">
            <v>21.96</v>
          </cell>
          <cell r="J118">
            <v>29.29</v>
          </cell>
          <cell r="K118">
            <v>34.99</v>
          </cell>
          <cell r="L118">
            <v>35.9</v>
          </cell>
          <cell r="M118">
            <v>28.92</v>
          </cell>
          <cell r="N118">
            <v>23.73</v>
          </cell>
          <cell r="O118">
            <v>15.28</v>
          </cell>
          <cell r="P118">
            <v>17.5</v>
          </cell>
          <cell r="Q118">
            <v>18.36</v>
          </cell>
          <cell r="R118">
            <v>18.600000000000001</v>
          </cell>
          <cell r="S118">
            <v>14.78</v>
          </cell>
          <cell r="T118">
            <v>15.94</v>
          </cell>
          <cell r="U118">
            <v>19.46</v>
          </cell>
          <cell r="V118">
            <v>25.63</v>
          </cell>
          <cell r="W118">
            <v>30.5</v>
          </cell>
          <cell r="X118">
            <v>28.99</v>
          </cell>
          <cell r="Y118">
            <v>21.81</v>
          </cell>
          <cell r="Z118">
            <v>17.48</v>
          </cell>
          <cell r="AA118">
            <v>19.260000000000002</v>
          </cell>
          <cell r="AB118">
            <v>19.88</v>
          </cell>
          <cell r="AC118">
            <v>18.88</v>
          </cell>
          <cell r="AD118">
            <v>20.91</v>
          </cell>
          <cell r="AE118">
            <v>24.68</v>
          </cell>
          <cell r="AF118">
            <v>24.77</v>
          </cell>
          <cell r="AG118">
            <v>26.45</v>
          </cell>
          <cell r="AH118">
            <v>26.69</v>
          </cell>
          <cell r="AI118">
            <v>25.01</v>
          </cell>
          <cell r="AJ118">
            <v>24.51</v>
          </cell>
          <cell r="AK118">
            <v>20.6</v>
          </cell>
          <cell r="AL118">
            <v>23.2</v>
          </cell>
          <cell r="AM118">
            <v>23.85</v>
          </cell>
          <cell r="AN118">
            <v>23.77</v>
          </cell>
          <cell r="AO118">
            <v>23.73</v>
          </cell>
          <cell r="AP118">
            <v>21.86</v>
          </cell>
          <cell r="AQ118">
            <v>21.48</v>
          </cell>
          <cell r="AR118">
            <v>20.04</v>
          </cell>
          <cell r="AS118">
            <v>18.91</v>
          </cell>
          <cell r="AT118">
            <v>18.23</v>
          </cell>
          <cell r="AU118">
            <v>17.2</v>
          </cell>
          <cell r="AV118">
            <v>16.29</v>
          </cell>
          <cell r="AW118">
            <v>17.02</v>
          </cell>
          <cell r="AX118">
            <v>18.350000000000001</v>
          </cell>
          <cell r="AY118">
            <v>19.260000000000002</v>
          </cell>
          <cell r="AZ118">
            <v>18.61</v>
          </cell>
          <cell r="BA118">
            <v>18.079999999999998</v>
          </cell>
          <cell r="BB118">
            <v>19.59</v>
          </cell>
          <cell r="BC118">
            <v>18.73</v>
          </cell>
          <cell r="BD118">
            <v>18.21</v>
          </cell>
          <cell r="BE118">
            <v>18.52</v>
          </cell>
          <cell r="BF118">
            <v>18.36</v>
          </cell>
          <cell r="BG118">
            <v>19.760000000000002</v>
          </cell>
          <cell r="BH118">
            <v>19.84</v>
          </cell>
          <cell r="BI118">
            <v>17.52</v>
          </cell>
          <cell r="BJ118">
            <v>16.16</v>
          </cell>
          <cell r="BK118">
            <v>13.9</v>
          </cell>
          <cell r="BL118">
            <v>14.11</v>
          </cell>
          <cell r="BM118">
            <v>14.57</v>
          </cell>
          <cell r="BN118">
            <v>14.89</v>
          </cell>
          <cell r="BO118">
            <v>13.73</v>
          </cell>
          <cell r="BP118">
            <v>12.51</v>
          </cell>
          <cell r="BQ118">
            <v>12.15</v>
          </cell>
          <cell r="BR118">
            <v>12.96</v>
          </cell>
          <cell r="BS118">
            <v>14.71</v>
          </cell>
          <cell r="BT118">
            <v>14.73</v>
          </cell>
          <cell r="BU118">
            <v>16.71</v>
          </cell>
          <cell r="BV118">
            <v>16.739999999999998</v>
          </cell>
          <cell r="BW118">
            <v>19.48</v>
          </cell>
          <cell r="BX118">
            <v>23.1</v>
          </cell>
          <cell r="BY118">
            <v>23.39</v>
          </cell>
          <cell r="BZ118">
            <v>20.85</v>
          </cell>
          <cell r="CA118">
            <v>20.309999999999999</v>
          </cell>
          <cell r="CB118">
            <v>22.96</v>
          </cell>
          <cell r="CC118">
            <v>24.58</v>
          </cell>
          <cell r="CD118">
            <v>28.08</v>
          </cell>
          <cell r="CE118">
            <v>30.29</v>
          </cell>
          <cell r="CF118">
            <v>32.67</v>
          </cell>
          <cell r="CG118">
            <v>33.299999999999997</v>
          </cell>
          <cell r="CH118">
            <v>32.46</v>
          </cell>
          <cell r="CI118">
            <v>21.21</v>
          </cell>
          <cell r="CJ118">
            <v>19.96</v>
          </cell>
          <cell r="CK118">
            <v>17.64</v>
          </cell>
          <cell r="CL118">
            <v>19.43</v>
          </cell>
          <cell r="CM118">
            <v>18.62</v>
          </cell>
          <cell r="CN118">
            <v>18.690000000000001</v>
          </cell>
          <cell r="CO118">
            <v>21.1</v>
          </cell>
          <cell r="CP118">
            <v>23.12</v>
          </cell>
          <cell r="CQ118">
            <v>23.61</v>
          </cell>
          <cell r="CR118">
            <v>22</v>
          </cell>
          <cell r="CS118">
            <v>19.89</v>
          </cell>
          <cell r="CT118">
            <v>20.49</v>
          </cell>
          <cell r="CU118">
            <v>20.68</v>
          </cell>
          <cell r="CV118">
            <v>21.03</v>
          </cell>
          <cell r="CW118">
            <v>19.38</v>
          </cell>
          <cell r="CX118">
            <v>17.62</v>
          </cell>
          <cell r="CY118">
            <v>15.93</v>
          </cell>
          <cell r="CZ118">
            <v>19.38</v>
          </cell>
          <cell r="DA118">
            <v>17.62</v>
          </cell>
          <cell r="DB118">
            <v>15.93</v>
          </cell>
          <cell r="DC118">
            <v>16.63</v>
          </cell>
          <cell r="DD118">
            <v>17.61</v>
          </cell>
          <cell r="DE118">
            <v>15.59</v>
          </cell>
          <cell r="DF118">
            <v>23.12</v>
          </cell>
          <cell r="DG118">
            <v>23.61</v>
          </cell>
          <cell r="DH118">
            <v>22</v>
          </cell>
          <cell r="DI118">
            <v>19.89</v>
          </cell>
          <cell r="DJ118">
            <v>20.49</v>
          </cell>
          <cell r="DK118">
            <v>20.68</v>
          </cell>
          <cell r="DL118">
            <v>21.03</v>
          </cell>
          <cell r="DM118">
            <v>19.38</v>
          </cell>
          <cell r="DN118">
            <v>17.62</v>
          </cell>
          <cell r="DO118">
            <v>15.93</v>
          </cell>
          <cell r="DP118">
            <v>19.38</v>
          </cell>
          <cell r="DQ118">
            <v>17.62</v>
          </cell>
          <cell r="DR118">
            <v>15.93</v>
          </cell>
          <cell r="DS118">
            <v>16.63</v>
          </cell>
          <cell r="DT118">
            <v>17.61</v>
          </cell>
          <cell r="DU118">
            <v>15.59</v>
          </cell>
        </row>
        <row r="119">
          <cell r="F119" t="str">
            <v>Ethane cost</v>
          </cell>
          <cell r="H119">
            <v>4.4353199999999999</v>
          </cell>
          <cell r="I119">
            <v>6.0609600000000006</v>
          </cell>
          <cell r="J119">
            <v>8.0840399999999999</v>
          </cell>
          <cell r="K119">
            <v>9.6572400000000016</v>
          </cell>
          <cell r="L119">
            <v>9.9084000000000003</v>
          </cell>
          <cell r="M119">
            <v>7.9819199999999997</v>
          </cell>
          <cell r="N119">
            <v>6.54948</v>
          </cell>
          <cell r="O119">
            <v>4.2172799999999997</v>
          </cell>
          <cell r="P119">
            <v>4.83</v>
          </cell>
          <cell r="Q119">
            <v>5.0673599999999999</v>
          </cell>
          <cell r="R119">
            <v>5.1336000000000004</v>
          </cell>
          <cell r="S119">
            <v>4.0792799999999998</v>
          </cell>
          <cell r="T119">
            <v>4.3994399999999994</v>
          </cell>
          <cell r="U119">
            <v>5.3709600000000002</v>
          </cell>
          <cell r="V119">
            <v>7.0738799999999999</v>
          </cell>
          <cell r="W119">
            <v>8.4179999999999993</v>
          </cell>
          <cell r="X119">
            <v>8.0012399999999992</v>
          </cell>
          <cell r="Y119">
            <v>6.0195599999999994</v>
          </cell>
          <cell r="Z119">
            <v>4.8244800000000003</v>
          </cell>
          <cell r="AA119">
            <v>5.3157600000000009</v>
          </cell>
          <cell r="AB119">
            <v>5.4868799999999993</v>
          </cell>
          <cell r="AC119">
            <v>5.2108799999999995</v>
          </cell>
          <cell r="AD119">
            <v>5.7711600000000001</v>
          </cell>
          <cell r="AE119">
            <v>6.81168</v>
          </cell>
          <cell r="AF119">
            <v>6.8365199999999993</v>
          </cell>
          <cell r="AG119">
            <v>7.3002000000000002</v>
          </cell>
          <cell r="AH119">
            <v>7.3664400000000008</v>
          </cell>
          <cell r="AI119">
            <v>6.9027599999999998</v>
          </cell>
          <cell r="AJ119">
            <v>6.7647599999999999</v>
          </cell>
          <cell r="AK119">
            <v>5.6856000000000009</v>
          </cell>
          <cell r="AL119">
            <v>6.4032</v>
          </cell>
          <cell r="AM119">
            <v>6.5825999999999993</v>
          </cell>
          <cell r="AN119">
            <v>6.5605200000000004</v>
          </cell>
          <cell r="AO119">
            <v>6.54948</v>
          </cell>
          <cell r="AP119">
            <v>6.0333600000000001</v>
          </cell>
          <cell r="AQ119">
            <v>5.9284800000000004</v>
          </cell>
          <cell r="AR119">
            <v>5.53104</v>
          </cell>
          <cell r="AS119">
            <v>5.2191599999999996</v>
          </cell>
          <cell r="AT119">
            <v>5.0314800000000002</v>
          </cell>
          <cell r="AU119">
            <v>4.7471999999999994</v>
          </cell>
          <cell r="AV119">
            <v>4.4960399999999998</v>
          </cell>
          <cell r="AW119">
            <v>4.6975199999999999</v>
          </cell>
          <cell r="AX119">
            <v>5.0646000000000004</v>
          </cell>
          <cell r="AY119">
            <v>5.3157600000000009</v>
          </cell>
          <cell r="AZ119">
            <v>5.1363599999999998</v>
          </cell>
          <cell r="BA119">
            <v>4.990079999999999</v>
          </cell>
          <cell r="BB119">
            <v>5.4068399999999999</v>
          </cell>
          <cell r="BC119">
            <v>5.1694800000000001</v>
          </cell>
          <cell r="BD119">
            <v>5.0259600000000004</v>
          </cell>
          <cell r="BE119">
            <v>5.1115199999999996</v>
          </cell>
          <cell r="BF119">
            <v>5.0673599999999999</v>
          </cell>
          <cell r="BG119">
            <v>5.4537599999999999</v>
          </cell>
          <cell r="BH119">
            <v>5.4758399999999998</v>
          </cell>
          <cell r="BI119">
            <v>4.8355199999999998</v>
          </cell>
          <cell r="BJ119">
            <v>4.4601600000000001</v>
          </cell>
          <cell r="BK119">
            <v>3.8363999999999998</v>
          </cell>
          <cell r="BL119">
            <v>3.8943599999999998</v>
          </cell>
          <cell r="BM119">
            <v>4.0213200000000002</v>
          </cell>
          <cell r="BN119">
            <v>4.1096399999999997</v>
          </cell>
          <cell r="BO119">
            <v>3.7894799999999997</v>
          </cell>
          <cell r="BP119">
            <v>3.4527600000000001</v>
          </cell>
          <cell r="BQ119">
            <v>3.3534000000000002</v>
          </cell>
          <cell r="BR119">
            <v>3.5769599999999997</v>
          </cell>
          <cell r="BS119">
            <v>4.0599600000000002</v>
          </cell>
          <cell r="BT119">
            <v>4.06548</v>
          </cell>
          <cell r="BU119">
            <v>4.6119599999999998</v>
          </cell>
          <cell r="BV119">
            <v>4.620239999999999</v>
          </cell>
          <cell r="BW119">
            <v>5.3764799999999999</v>
          </cell>
          <cell r="BX119">
            <v>6.3756000000000004</v>
          </cell>
          <cell r="BY119">
            <v>6.4556399999999998</v>
          </cell>
          <cell r="BZ119">
            <v>5.7545999999999999</v>
          </cell>
          <cell r="CA119">
            <v>5.6055599999999997</v>
          </cell>
          <cell r="CB119">
            <v>6.3369600000000004</v>
          </cell>
          <cell r="CC119">
            <v>6.7840799999999994</v>
          </cell>
          <cell r="CD119">
            <v>7.7500799999999987</v>
          </cell>
          <cell r="CE119">
            <v>8.3600399999999997</v>
          </cell>
          <cell r="CF119">
            <v>9.0169200000000007</v>
          </cell>
          <cell r="CG119">
            <v>9.1907999999999994</v>
          </cell>
          <cell r="CH119">
            <v>8.9589599999999994</v>
          </cell>
          <cell r="CI119">
            <v>5.8539600000000007</v>
          </cell>
          <cell r="CJ119">
            <v>5.5089600000000001</v>
          </cell>
          <cell r="CK119">
            <v>4.8686400000000001</v>
          </cell>
          <cell r="CL119">
            <v>5.3626800000000001</v>
          </cell>
          <cell r="CM119">
            <v>5.1391200000000001</v>
          </cell>
          <cell r="CN119">
            <v>5.1584400000000006</v>
          </cell>
          <cell r="CO119">
            <v>5.8235999999999999</v>
          </cell>
          <cell r="CP119">
            <v>6.3811200000000001</v>
          </cell>
          <cell r="CQ119">
            <v>6.5163599999999988</v>
          </cell>
          <cell r="CR119">
            <v>6.0720000000000001</v>
          </cell>
          <cell r="CS119">
            <v>5.4896400000000005</v>
          </cell>
          <cell r="CT119">
            <v>5.6552399999999992</v>
          </cell>
          <cell r="CU119">
            <v>5.7076799999999999</v>
          </cell>
          <cell r="CV119">
            <v>5.8042800000000003</v>
          </cell>
          <cell r="CW119">
            <v>5.3488799999999994</v>
          </cell>
          <cell r="CX119">
            <v>4.8631200000000003</v>
          </cell>
          <cell r="CY119">
            <v>4.3966799999999999</v>
          </cell>
          <cell r="CZ119">
            <v>5.3488799999999994</v>
          </cell>
          <cell r="DA119">
            <v>4.8631200000000003</v>
          </cell>
          <cell r="DB119">
            <v>4.3966799999999999</v>
          </cell>
          <cell r="DC119">
            <v>4.58988</v>
          </cell>
          <cell r="DD119">
            <v>4.86036</v>
          </cell>
          <cell r="DE119">
            <v>4.3028399999999998</v>
          </cell>
          <cell r="DF119">
            <v>6.3811200000000001</v>
          </cell>
          <cell r="DG119">
            <v>6.5163599999999988</v>
          </cell>
          <cell r="DH119">
            <v>6.0720000000000001</v>
          </cell>
          <cell r="DI119">
            <v>5.4896400000000005</v>
          </cell>
          <cell r="DJ119">
            <v>5.6552399999999992</v>
          </cell>
          <cell r="DK119">
            <v>5.7076799999999999</v>
          </cell>
          <cell r="DL119">
            <v>5.8042800000000003</v>
          </cell>
          <cell r="DM119">
            <v>5.3488799999999994</v>
          </cell>
          <cell r="DN119">
            <v>4.8631200000000003</v>
          </cell>
          <cell r="DO119">
            <v>4.3966799999999999</v>
          </cell>
          <cell r="DP119">
            <v>5.3488799999999994</v>
          </cell>
          <cell r="DQ119">
            <v>4.8631200000000003</v>
          </cell>
          <cell r="DR119">
            <v>4.3966799999999999</v>
          </cell>
          <cell r="DS119">
            <v>4.58988</v>
          </cell>
          <cell r="DT119">
            <v>4.86036</v>
          </cell>
          <cell r="DU119">
            <v>4.3028399999999998</v>
          </cell>
        </row>
        <row r="120">
          <cell r="H120">
            <v>16.533854107526885</v>
          </cell>
          <cell r="I120">
            <v>16.533854107526885</v>
          </cell>
          <cell r="J120">
            <v>16.533854107526885</v>
          </cell>
          <cell r="K120">
            <v>16.533854107526885</v>
          </cell>
          <cell r="L120">
            <v>16.533854107526885</v>
          </cell>
          <cell r="M120">
            <v>16.533854107526885</v>
          </cell>
          <cell r="N120">
            <v>16.533854107526885</v>
          </cell>
          <cell r="O120">
            <v>16.533854107526885</v>
          </cell>
          <cell r="P120">
            <v>16.533854107526885</v>
          </cell>
          <cell r="Q120">
            <v>16.533854107526885</v>
          </cell>
          <cell r="R120">
            <v>16.533854107526885</v>
          </cell>
          <cell r="S120">
            <v>16.533854107526885</v>
          </cell>
          <cell r="T120">
            <v>16.533854107526885</v>
          </cell>
          <cell r="U120">
            <v>16.533854107526885</v>
          </cell>
          <cell r="V120">
            <v>16.533854107526885</v>
          </cell>
          <cell r="W120">
            <v>16.533854107526885</v>
          </cell>
          <cell r="X120">
            <v>16.533854107526885</v>
          </cell>
          <cell r="Y120">
            <v>16.533854107526885</v>
          </cell>
          <cell r="Z120">
            <v>16.533854107526885</v>
          </cell>
          <cell r="AA120">
            <v>16.533854107526885</v>
          </cell>
          <cell r="AB120">
            <v>16.533854107526885</v>
          </cell>
          <cell r="AC120">
            <v>16.533854107526885</v>
          </cell>
          <cell r="AD120">
            <v>16.533854107526885</v>
          </cell>
          <cell r="AE120">
            <v>16.533854107526885</v>
          </cell>
          <cell r="AF120">
            <v>16.533854107526885</v>
          </cell>
          <cell r="AG120">
            <v>16.533854107526885</v>
          </cell>
          <cell r="AH120">
            <v>16.533854107526885</v>
          </cell>
          <cell r="AI120">
            <v>16.533854107526885</v>
          </cell>
          <cell r="AJ120">
            <v>16.533854107526885</v>
          </cell>
          <cell r="AK120">
            <v>16.533854107526885</v>
          </cell>
          <cell r="AL120">
            <v>16.533854107526885</v>
          </cell>
          <cell r="AM120">
            <v>16.533854107526885</v>
          </cell>
          <cell r="AN120">
            <v>16.533854107526885</v>
          </cell>
          <cell r="AO120">
            <v>16.533854107526885</v>
          </cell>
          <cell r="AP120">
            <v>16.533854107526885</v>
          </cell>
          <cell r="AQ120">
            <v>16.533854107526885</v>
          </cell>
          <cell r="AR120">
            <v>16.533854107526885</v>
          </cell>
          <cell r="AS120">
            <v>16.533854107526885</v>
          </cell>
          <cell r="AT120">
            <v>16.533854107526885</v>
          </cell>
          <cell r="AU120">
            <v>16.533854107526885</v>
          </cell>
          <cell r="AV120">
            <v>16.533854107526885</v>
          </cell>
          <cell r="AW120">
            <v>16.533854107526885</v>
          </cell>
          <cell r="AX120">
            <v>16.533854107526885</v>
          </cell>
          <cell r="AY120">
            <v>16.533854107526885</v>
          </cell>
          <cell r="AZ120">
            <v>16.533854107526885</v>
          </cell>
          <cell r="BA120">
            <v>16.533854107526885</v>
          </cell>
          <cell r="BB120">
            <v>16.533854107526885</v>
          </cell>
          <cell r="BC120">
            <v>16.533854107526885</v>
          </cell>
          <cell r="BD120">
            <v>16.533854107526885</v>
          </cell>
          <cell r="BE120">
            <v>16.533854107526885</v>
          </cell>
          <cell r="BF120">
            <v>16.533854107526885</v>
          </cell>
          <cell r="BG120">
            <v>16.533854107526885</v>
          </cell>
          <cell r="BH120">
            <v>16.533854107526885</v>
          </cell>
          <cell r="BI120">
            <v>16.533854107526885</v>
          </cell>
          <cell r="BJ120">
            <v>16.533854107526885</v>
          </cell>
          <cell r="BK120">
            <v>16.533854107526885</v>
          </cell>
          <cell r="BL120">
            <v>16.533854107526885</v>
          </cell>
          <cell r="BM120">
            <v>16.533854107526885</v>
          </cell>
          <cell r="BN120">
            <v>16.533854107526885</v>
          </cell>
          <cell r="BO120">
            <v>16.533854107526885</v>
          </cell>
          <cell r="BP120">
            <v>16.533854107526885</v>
          </cell>
          <cell r="BQ120">
            <v>16.533854107526885</v>
          </cell>
          <cell r="BR120">
            <v>16.533854107526885</v>
          </cell>
          <cell r="BS120">
            <v>16.533854107526885</v>
          </cell>
          <cell r="BT120">
            <v>16.533854107526885</v>
          </cell>
          <cell r="BU120">
            <v>16.533854107526885</v>
          </cell>
          <cell r="BV120">
            <v>16.533854107526885</v>
          </cell>
          <cell r="BW120">
            <v>16.533854107526885</v>
          </cell>
          <cell r="BX120">
            <v>16.533854107526885</v>
          </cell>
          <cell r="BY120">
            <v>16.533854107526885</v>
          </cell>
          <cell r="BZ120">
            <v>16.533854107526885</v>
          </cell>
          <cell r="CA120">
            <v>16.533854107526885</v>
          </cell>
          <cell r="CB120">
            <v>16.533854107526885</v>
          </cell>
          <cell r="CC120">
            <v>16.533854107526885</v>
          </cell>
          <cell r="CD120">
            <v>16.533854107526885</v>
          </cell>
          <cell r="CE120">
            <v>16.533854107526885</v>
          </cell>
          <cell r="CF120">
            <v>16.533854107526885</v>
          </cell>
          <cell r="CG120">
            <v>16.533854107526885</v>
          </cell>
          <cell r="CH120">
            <v>16.533854107526885</v>
          </cell>
          <cell r="CI120">
            <v>16.533854107526885</v>
          </cell>
          <cell r="CJ120">
            <v>16.533854107526885</v>
          </cell>
          <cell r="CK120">
            <v>16.533854107526885</v>
          </cell>
          <cell r="CL120">
            <v>16.533854107526885</v>
          </cell>
          <cell r="CM120">
            <v>16.533854107526885</v>
          </cell>
          <cell r="CN120">
            <v>16.533854107526885</v>
          </cell>
          <cell r="CO120">
            <v>16.533854107526885</v>
          </cell>
          <cell r="CP120">
            <v>16.533854107526885</v>
          </cell>
          <cell r="CQ120">
            <v>16.533854107526885</v>
          </cell>
          <cell r="CR120">
            <v>16.533854107526885</v>
          </cell>
          <cell r="CS120">
            <v>16.533854107526885</v>
          </cell>
          <cell r="CT120">
            <v>16.533854107526885</v>
          </cell>
          <cell r="CU120">
            <v>16.533854107526885</v>
          </cell>
          <cell r="CV120">
            <v>16.533854107526885</v>
          </cell>
          <cell r="CW120">
            <v>16.533854107526885</v>
          </cell>
          <cell r="CX120">
            <v>16.533854107526885</v>
          </cell>
          <cell r="CY120">
            <v>16.533854107526885</v>
          </cell>
          <cell r="CZ120">
            <v>16.533854107526885</v>
          </cell>
          <cell r="DA120">
            <v>16.533854107526885</v>
          </cell>
          <cell r="DB120">
            <v>16.533854107526885</v>
          </cell>
          <cell r="DC120">
            <v>16.533854107526885</v>
          </cell>
          <cell r="DD120">
            <v>16.533854107526885</v>
          </cell>
          <cell r="DE120">
            <v>16.533854107526885</v>
          </cell>
          <cell r="DF120">
            <v>16.533854107526885</v>
          </cell>
          <cell r="DG120">
            <v>16.533854107526885</v>
          </cell>
          <cell r="DH120">
            <v>16.533854107526885</v>
          </cell>
          <cell r="DI120">
            <v>16.533854107526885</v>
          </cell>
          <cell r="DJ120">
            <v>16.533854107526885</v>
          </cell>
          <cell r="DK120">
            <v>16.533854107526885</v>
          </cell>
          <cell r="DL120">
            <v>16.533854107526885</v>
          </cell>
        </row>
        <row r="121">
          <cell r="F121" t="str">
            <v>Spread</v>
          </cell>
          <cell r="H121">
            <v>15.564679999999999</v>
          </cell>
          <cell r="I121">
            <v>15.939039999999999</v>
          </cell>
          <cell r="J121">
            <v>16.915959999999998</v>
          </cell>
          <cell r="K121">
            <v>19.342759999999998</v>
          </cell>
          <cell r="L121">
            <v>20.0916</v>
          </cell>
          <cell r="M121">
            <v>22.018080000000001</v>
          </cell>
          <cell r="N121">
            <v>20.450520000000001</v>
          </cell>
          <cell r="O121">
            <v>21.782720000000001</v>
          </cell>
          <cell r="P121">
            <v>21.17</v>
          </cell>
          <cell r="Q121">
            <v>19.932639999999999</v>
          </cell>
          <cell r="R121">
            <v>17.866399999999999</v>
          </cell>
          <cell r="S121">
            <v>17.920719999999999</v>
          </cell>
          <cell r="T121">
            <v>18.100560000000002</v>
          </cell>
          <cell r="U121">
            <v>16.87904</v>
          </cell>
          <cell r="V121">
            <v>14.426120000000001</v>
          </cell>
          <cell r="W121">
            <v>13.082000000000001</v>
          </cell>
          <cell r="X121">
            <v>13.498760000000001</v>
          </cell>
          <cell r="Y121">
            <v>15.480440000000002</v>
          </cell>
          <cell r="Z121">
            <v>16.175519999999999</v>
          </cell>
          <cell r="AA121">
            <v>15.684239999999999</v>
          </cell>
          <cell r="AB121">
            <v>15.513120000000001</v>
          </cell>
          <cell r="AC121">
            <v>14.53912</v>
          </cell>
          <cell r="AD121">
            <v>13.97884</v>
          </cell>
          <cell r="AE121">
            <v>12.938320000000001</v>
          </cell>
          <cell r="AF121">
            <v>12.91348</v>
          </cell>
          <cell r="AG121">
            <v>12.4498</v>
          </cell>
          <cell r="AH121">
            <v>12.383559999999999</v>
          </cell>
          <cell r="AI121">
            <v>14.597239999999999</v>
          </cell>
          <cell r="AJ121">
            <v>14.735240000000001</v>
          </cell>
          <cell r="AK121">
            <v>15.814399999999999</v>
          </cell>
          <cell r="AL121">
            <v>13.5968</v>
          </cell>
          <cell r="AM121">
            <v>13.417400000000001</v>
          </cell>
          <cell r="AN121">
            <v>13.43948</v>
          </cell>
          <cell r="AO121">
            <v>11.450520000000001</v>
          </cell>
          <cell r="AP121">
            <v>11.96664</v>
          </cell>
          <cell r="AQ121">
            <v>12.07152</v>
          </cell>
          <cell r="AR121">
            <v>10.468959999999999</v>
          </cell>
          <cell r="AS121">
            <v>10.780840000000001</v>
          </cell>
          <cell r="AT121">
            <v>10.96852</v>
          </cell>
          <cell r="AU121">
            <v>11.252800000000001</v>
          </cell>
          <cell r="AV121">
            <v>11.503959999999999</v>
          </cell>
          <cell r="AW121">
            <v>11.302479999999999</v>
          </cell>
          <cell r="AX121">
            <v>8.9353999999999996</v>
          </cell>
          <cell r="AY121">
            <v>8.6842399999999991</v>
          </cell>
          <cell r="AZ121">
            <v>8.8636400000000002</v>
          </cell>
          <cell r="BA121">
            <v>9.009920000000001</v>
          </cell>
          <cell r="BB121">
            <v>8.593160000000001</v>
          </cell>
          <cell r="BC121">
            <v>8.8305199999999999</v>
          </cell>
          <cell r="BD121">
            <v>10.974039999999999</v>
          </cell>
          <cell r="BE121">
            <v>10.888480000000001</v>
          </cell>
          <cell r="BF121">
            <v>10.932639999999999</v>
          </cell>
          <cell r="BG121">
            <v>15.546240000000001</v>
          </cell>
          <cell r="BH121">
            <v>15.52416</v>
          </cell>
          <cell r="BI121">
            <v>16.164480000000001</v>
          </cell>
          <cell r="BJ121">
            <v>20.039839999999998</v>
          </cell>
          <cell r="BK121">
            <v>20.663599999999999</v>
          </cell>
          <cell r="BL121">
            <v>20.605640000000001</v>
          </cell>
          <cell r="BM121">
            <v>22.478680000000001</v>
          </cell>
          <cell r="BN121">
            <v>22.390360000000001</v>
          </cell>
          <cell r="BO121">
            <v>22.710519999999999</v>
          </cell>
          <cell r="BP121">
            <v>26.047239999999999</v>
          </cell>
          <cell r="BQ121">
            <v>26.146599999999999</v>
          </cell>
          <cell r="BR121">
            <v>25.92304</v>
          </cell>
          <cell r="BS121">
            <v>25.44004</v>
          </cell>
          <cell r="BT121">
            <v>25.434519999999999</v>
          </cell>
          <cell r="BU121">
            <v>24.88804</v>
          </cell>
          <cell r="BV121">
            <v>22.879760000000001</v>
          </cell>
          <cell r="BW121">
            <v>22.123519999999999</v>
          </cell>
          <cell r="BX121">
            <v>21.124400000000001</v>
          </cell>
          <cell r="BY121">
            <v>20.544360000000001</v>
          </cell>
          <cell r="BZ121">
            <v>21.2454</v>
          </cell>
          <cell r="CA121">
            <v>21.394439999999999</v>
          </cell>
          <cell r="CB121">
            <v>17.163039999999999</v>
          </cell>
          <cell r="CC121">
            <v>16.715920000000001</v>
          </cell>
          <cell r="CD121">
            <v>15.749920000000001</v>
          </cell>
          <cell r="CE121">
            <v>16.389960000000002</v>
          </cell>
          <cell r="CF121">
            <v>15.733079999999999</v>
          </cell>
          <cell r="CG121">
            <v>15.559200000000001</v>
          </cell>
          <cell r="CH121">
            <v>17.541040000000002</v>
          </cell>
          <cell r="CI121">
            <v>20.646039999999999</v>
          </cell>
          <cell r="CJ121">
            <v>20.991039999999998</v>
          </cell>
          <cell r="CK121">
            <v>23.131360000000001</v>
          </cell>
          <cell r="CL121">
            <v>22.637319999999999</v>
          </cell>
          <cell r="CM121">
            <v>22.860880000000002</v>
          </cell>
          <cell r="CN121">
            <v>23.841560000000001</v>
          </cell>
          <cell r="CO121">
            <v>23.176400000000001</v>
          </cell>
          <cell r="CP121">
            <v>22.618880000000001</v>
          </cell>
          <cell r="CQ121">
            <v>22.483640000000001</v>
          </cell>
          <cell r="CR121">
            <v>22.928000000000001</v>
          </cell>
          <cell r="CS121">
            <v>23.510359999999999</v>
          </cell>
          <cell r="CT121">
            <v>18.344760000000001</v>
          </cell>
          <cell r="CU121">
            <v>18.29232</v>
          </cell>
          <cell r="CV121">
            <v>18.195720000000001</v>
          </cell>
          <cell r="CW121">
            <v>15.651120000000001</v>
          </cell>
          <cell r="CX121">
            <v>16.136879999999998</v>
          </cell>
          <cell r="CY121">
            <v>16.60332</v>
          </cell>
          <cell r="CZ121">
            <v>13.651120000000001</v>
          </cell>
          <cell r="DA121">
            <v>14.13688</v>
          </cell>
          <cell r="DB121">
            <v>14.60332</v>
          </cell>
          <cell r="DC121">
            <v>13.410119999999999</v>
          </cell>
          <cell r="DD121">
            <v>13.13964</v>
          </cell>
          <cell r="DE121">
            <v>13.69716</v>
          </cell>
          <cell r="DF121">
            <v>22.618880000000001</v>
          </cell>
          <cell r="DG121">
            <v>22.483640000000001</v>
          </cell>
          <cell r="DH121">
            <v>22.928000000000001</v>
          </cell>
          <cell r="DI121">
            <v>23.510359999999999</v>
          </cell>
          <cell r="DJ121">
            <v>18.344760000000001</v>
          </cell>
          <cell r="DK121">
            <v>18.29232</v>
          </cell>
          <cell r="DL121">
            <v>18.195720000000001</v>
          </cell>
          <cell r="DM121">
            <v>15.651120000000001</v>
          </cell>
          <cell r="DN121">
            <v>16.136879999999998</v>
          </cell>
          <cell r="DO121">
            <v>16.60332</v>
          </cell>
          <cell r="DP121">
            <v>13.651120000000001</v>
          </cell>
          <cell r="DQ121">
            <v>14.13688</v>
          </cell>
          <cell r="DR121">
            <v>14.60332</v>
          </cell>
          <cell r="DS121">
            <v>13.410119999999999</v>
          </cell>
          <cell r="DT121">
            <v>13.13964</v>
          </cell>
          <cell r="DU121">
            <v>13.69716</v>
          </cell>
        </row>
        <row r="123">
          <cell r="F123" t="str">
            <v>(1)  Assuming a conversion factor of 2.9 lbs./gal. of ethane and 0.8 lb. ethane per lb. of ethylene glycol.</v>
          </cell>
        </row>
        <row r="125">
          <cell r="F125" t="str">
            <v>Ethylene Glycol/Ethylene Cost Spread</v>
          </cell>
        </row>
        <row r="127">
          <cell r="H127">
            <v>33055</v>
          </cell>
          <cell r="I127">
            <v>33086</v>
          </cell>
          <cell r="J127">
            <v>33117</v>
          </cell>
          <cell r="K127">
            <v>33147</v>
          </cell>
          <cell r="L127">
            <v>33178</v>
          </cell>
          <cell r="M127">
            <v>33208</v>
          </cell>
          <cell r="N127">
            <v>33239</v>
          </cell>
          <cell r="O127">
            <v>33270</v>
          </cell>
          <cell r="P127">
            <v>33298</v>
          </cell>
          <cell r="Q127">
            <v>33329</v>
          </cell>
          <cell r="R127">
            <v>33359</v>
          </cell>
          <cell r="S127">
            <v>33390</v>
          </cell>
          <cell r="T127">
            <v>33420</v>
          </cell>
          <cell r="U127">
            <v>33451</v>
          </cell>
          <cell r="V127">
            <v>33482</v>
          </cell>
          <cell r="W127">
            <v>33512</v>
          </cell>
          <cell r="X127">
            <v>33543</v>
          </cell>
          <cell r="Y127">
            <v>33573</v>
          </cell>
          <cell r="Z127">
            <v>33604</v>
          </cell>
          <cell r="AA127">
            <v>33635</v>
          </cell>
          <cell r="AB127">
            <v>33664</v>
          </cell>
          <cell r="AC127">
            <v>33695</v>
          </cell>
          <cell r="AD127">
            <v>33725</v>
          </cell>
          <cell r="AE127">
            <v>33756</v>
          </cell>
          <cell r="AF127">
            <v>33786</v>
          </cell>
          <cell r="AG127">
            <v>33817</v>
          </cell>
          <cell r="AH127">
            <v>33848</v>
          </cell>
          <cell r="AI127">
            <v>33878</v>
          </cell>
          <cell r="AJ127">
            <v>33909</v>
          </cell>
          <cell r="AK127">
            <v>33939</v>
          </cell>
          <cell r="AL127">
            <v>33970</v>
          </cell>
          <cell r="AM127">
            <v>34001</v>
          </cell>
          <cell r="AN127">
            <v>34029</v>
          </cell>
          <cell r="AO127">
            <v>34060</v>
          </cell>
          <cell r="AP127">
            <v>34090</v>
          </cell>
          <cell r="AQ127">
            <v>34121</v>
          </cell>
          <cell r="AR127">
            <v>34151</v>
          </cell>
          <cell r="AS127">
            <v>34182</v>
          </cell>
          <cell r="AT127">
            <v>34213</v>
          </cell>
          <cell r="AU127">
            <v>34243</v>
          </cell>
          <cell r="AV127">
            <v>34274</v>
          </cell>
          <cell r="AW127">
            <v>34304</v>
          </cell>
          <cell r="AX127">
            <v>34335</v>
          </cell>
          <cell r="AY127">
            <v>34366</v>
          </cell>
          <cell r="AZ127">
            <v>34394</v>
          </cell>
          <cell r="BA127">
            <v>34425</v>
          </cell>
          <cell r="BB127">
            <v>34455</v>
          </cell>
          <cell r="BC127">
            <v>34486</v>
          </cell>
          <cell r="BD127">
            <v>34516</v>
          </cell>
          <cell r="BE127">
            <v>34547</v>
          </cell>
          <cell r="BF127">
            <v>34578</v>
          </cell>
          <cell r="BG127">
            <v>34608</v>
          </cell>
          <cell r="BH127">
            <v>34639</v>
          </cell>
          <cell r="BI127">
            <v>34669</v>
          </cell>
          <cell r="BJ127">
            <v>34700</v>
          </cell>
          <cell r="BK127">
            <v>34731</v>
          </cell>
          <cell r="BL127">
            <v>34759</v>
          </cell>
          <cell r="BM127">
            <v>34790</v>
          </cell>
          <cell r="BN127">
            <v>34820</v>
          </cell>
          <cell r="BO127">
            <v>34851</v>
          </cell>
          <cell r="BP127">
            <v>34881</v>
          </cell>
          <cell r="BQ127">
            <v>34912</v>
          </cell>
          <cell r="BR127">
            <v>34943</v>
          </cell>
          <cell r="BS127">
            <v>34973</v>
          </cell>
          <cell r="BT127">
            <v>35004</v>
          </cell>
          <cell r="BU127">
            <v>35034</v>
          </cell>
          <cell r="BV127">
            <v>35065</v>
          </cell>
          <cell r="BW127">
            <v>35096</v>
          </cell>
          <cell r="BX127">
            <v>35125</v>
          </cell>
          <cell r="BY127">
            <v>35156</v>
          </cell>
          <cell r="BZ127">
            <v>35186</v>
          </cell>
          <cell r="CA127">
            <v>35217</v>
          </cell>
          <cell r="CB127">
            <v>35247</v>
          </cell>
          <cell r="CC127">
            <v>35278</v>
          </cell>
          <cell r="CD127">
            <v>35309</v>
          </cell>
          <cell r="CE127">
            <v>35339</v>
          </cell>
          <cell r="CF127">
            <v>35370</v>
          </cell>
          <cell r="CG127">
            <v>35400</v>
          </cell>
          <cell r="CH127">
            <v>35431</v>
          </cell>
          <cell r="CI127">
            <v>35462</v>
          </cell>
          <cell r="CJ127">
            <v>35490</v>
          </cell>
          <cell r="CK127">
            <v>35521</v>
          </cell>
          <cell r="CL127">
            <v>35551</v>
          </cell>
          <cell r="CM127">
            <v>35582</v>
          </cell>
          <cell r="CN127">
            <v>35612</v>
          </cell>
          <cell r="CO127">
            <v>35643</v>
          </cell>
          <cell r="CP127">
            <v>35674</v>
          </cell>
          <cell r="CQ127">
            <v>35704</v>
          </cell>
          <cell r="CR127">
            <v>35735</v>
          </cell>
          <cell r="CS127">
            <v>35765</v>
          </cell>
          <cell r="CT127">
            <v>35796</v>
          </cell>
          <cell r="CU127">
            <v>35827</v>
          </cell>
          <cell r="CV127">
            <v>35855</v>
          </cell>
          <cell r="CW127">
            <v>35886</v>
          </cell>
          <cell r="CX127">
            <v>35916</v>
          </cell>
          <cell r="CY127">
            <v>35947</v>
          </cell>
          <cell r="CZ127">
            <v>35977</v>
          </cell>
          <cell r="DA127">
            <v>36008</v>
          </cell>
          <cell r="DB127">
            <v>36039</v>
          </cell>
          <cell r="DC127">
            <v>36069</v>
          </cell>
          <cell r="DD127">
            <v>36100</v>
          </cell>
          <cell r="DE127">
            <v>36130</v>
          </cell>
          <cell r="DF127">
            <v>36161</v>
          </cell>
          <cell r="DG127">
            <v>36192</v>
          </cell>
          <cell r="DH127">
            <v>36220</v>
          </cell>
          <cell r="DI127">
            <v>36251</v>
          </cell>
          <cell r="DJ127">
            <v>36281</v>
          </cell>
          <cell r="DK127">
            <v>36312</v>
          </cell>
          <cell r="DL127">
            <v>36342</v>
          </cell>
          <cell r="DM127">
            <v>36373</v>
          </cell>
          <cell r="DN127">
            <v>36404</v>
          </cell>
          <cell r="DO127">
            <v>36434</v>
          </cell>
          <cell r="DP127">
            <v>36465</v>
          </cell>
          <cell r="DQ127">
            <v>36495</v>
          </cell>
          <cell r="DR127">
            <v>36526</v>
          </cell>
          <cell r="DS127">
            <v>36557</v>
          </cell>
          <cell r="DT127">
            <v>36586</v>
          </cell>
          <cell r="DU127">
            <v>36617</v>
          </cell>
          <cell r="DV127">
            <v>36647</v>
          </cell>
          <cell r="DW127">
            <v>36678</v>
          </cell>
          <cell r="DX127">
            <v>36708</v>
          </cell>
          <cell r="DY127">
            <v>36739</v>
          </cell>
          <cell r="DZ127">
            <v>36770</v>
          </cell>
          <cell r="EA127">
            <v>36800</v>
          </cell>
          <cell r="EB127">
            <v>36831</v>
          </cell>
          <cell r="EC127">
            <v>36861</v>
          </cell>
          <cell r="ED127">
            <v>36892</v>
          </cell>
          <cell r="EE127">
            <v>36923</v>
          </cell>
          <cell r="EF127">
            <v>36951</v>
          </cell>
          <cell r="EG127">
            <v>36982</v>
          </cell>
          <cell r="EH127">
            <v>37012</v>
          </cell>
          <cell r="EI127">
            <v>37043</v>
          </cell>
          <cell r="EJ127">
            <v>37073</v>
          </cell>
          <cell r="EK127">
            <v>37104</v>
          </cell>
          <cell r="EL127">
            <v>37135</v>
          </cell>
          <cell r="EM127">
            <v>37165</v>
          </cell>
          <cell r="EN127">
            <v>37196</v>
          </cell>
          <cell r="EO127">
            <v>37226</v>
          </cell>
          <cell r="EP127">
            <v>36770</v>
          </cell>
          <cell r="EQ127">
            <v>36800</v>
          </cell>
          <cell r="ER127">
            <v>36831</v>
          </cell>
          <cell r="ES127">
            <v>36861</v>
          </cell>
          <cell r="ET127">
            <v>36892</v>
          </cell>
          <cell r="EU127">
            <v>36923</v>
          </cell>
          <cell r="EV127">
            <v>36951</v>
          </cell>
          <cell r="EW127">
            <v>36982</v>
          </cell>
          <cell r="EX127">
            <v>37012</v>
          </cell>
          <cell r="EY127">
            <v>37043</v>
          </cell>
          <cell r="EZ127">
            <v>37073</v>
          </cell>
          <cell r="FA127">
            <v>37104</v>
          </cell>
          <cell r="FB127">
            <v>37135</v>
          </cell>
          <cell r="FC127">
            <v>37165</v>
          </cell>
          <cell r="FD127">
            <v>37196</v>
          </cell>
          <cell r="FE127">
            <v>37226</v>
          </cell>
        </row>
        <row r="128">
          <cell r="F128" t="str">
            <v>EG price</v>
          </cell>
          <cell r="H128">
            <v>23</v>
          </cell>
          <cell r="I128">
            <v>23</v>
          </cell>
          <cell r="J128">
            <v>23</v>
          </cell>
          <cell r="K128">
            <v>23.5</v>
          </cell>
          <cell r="L128">
            <v>23.5</v>
          </cell>
          <cell r="M128">
            <v>23.5</v>
          </cell>
          <cell r="N128">
            <v>24</v>
          </cell>
          <cell r="O128">
            <v>24</v>
          </cell>
          <cell r="P128">
            <v>22</v>
          </cell>
          <cell r="Q128">
            <v>22</v>
          </cell>
          <cell r="R128">
            <v>22</v>
          </cell>
          <cell r="S128">
            <v>21</v>
          </cell>
          <cell r="T128">
            <v>21</v>
          </cell>
          <cell r="U128">
            <v>21</v>
          </cell>
          <cell r="V128">
            <v>20</v>
          </cell>
          <cell r="W128">
            <v>20</v>
          </cell>
          <cell r="X128">
            <v>20</v>
          </cell>
          <cell r="Y128">
            <v>20</v>
          </cell>
          <cell r="Z128">
            <v>20</v>
          </cell>
          <cell r="AA128">
            <v>20</v>
          </cell>
          <cell r="AB128">
            <v>20</v>
          </cell>
          <cell r="AC128">
            <v>18</v>
          </cell>
          <cell r="AD128">
            <v>18</v>
          </cell>
          <cell r="AE128">
            <v>18</v>
          </cell>
          <cell r="AF128">
            <v>18</v>
          </cell>
          <cell r="AG128">
            <v>18</v>
          </cell>
          <cell r="AH128">
            <v>18</v>
          </cell>
          <cell r="AI128">
            <v>19</v>
          </cell>
          <cell r="AJ128">
            <v>19</v>
          </cell>
          <cell r="AK128">
            <v>19</v>
          </cell>
          <cell r="AL128">
            <v>19</v>
          </cell>
          <cell r="AM128">
            <v>19</v>
          </cell>
          <cell r="AN128">
            <v>19</v>
          </cell>
          <cell r="AO128">
            <v>18</v>
          </cell>
          <cell r="AP128">
            <v>18</v>
          </cell>
          <cell r="AQ128">
            <v>18</v>
          </cell>
          <cell r="AR128">
            <v>17</v>
          </cell>
          <cell r="AS128">
            <v>17</v>
          </cell>
          <cell r="AT128">
            <v>17</v>
          </cell>
          <cell r="AU128">
            <v>16</v>
          </cell>
          <cell r="AV128">
            <v>16</v>
          </cell>
          <cell r="AW128">
            <v>16</v>
          </cell>
          <cell r="AX128">
            <v>15.5</v>
          </cell>
          <cell r="AY128">
            <v>15.5</v>
          </cell>
          <cell r="AZ128">
            <v>15.5</v>
          </cell>
          <cell r="BA128">
            <v>14</v>
          </cell>
          <cell r="BB128">
            <v>14</v>
          </cell>
          <cell r="BC128">
            <v>14</v>
          </cell>
          <cell r="BD128">
            <v>16</v>
          </cell>
          <cell r="BE128">
            <v>16</v>
          </cell>
          <cell r="BF128">
            <v>16</v>
          </cell>
          <cell r="BG128">
            <v>21</v>
          </cell>
          <cell r="BH128">
            <v>21</v>
          </cell>
          <cell r="BI128">
            <v>21</v>
          </cell>
          <cell r="BJ128">
            <v>24.5</v>
          </cell>
          <cell r="BK128">
            <v>24.5</v>
          </cell>
          <cell r="BL128">
            <v>24.5</v>
          </cell>
          <cell r="BM128">
            <v>26.5</v>
          </cell>
          <cell r="BN128">
            <v>26.5</v>
          </cell>
          <cell r="BO128">
            <v>26.5</v>
          </cell>
          <cell r="BP128">
            <v>29.5</v>
          </cell>
          <cell r="BQ128">
            <v>29.5</v>
          </cell>
          <cell r="BR128">
            <v>29.5</v>
          </cell>
          <cell r="BS128">
            <v>29.5</v>
          </cell>
          <cell r="BT128">
            <v>29.5</v>
          </cell>
          <cell r="BU128">
            <v>29.5</v>
          </cell>
          <cell r="BV128">
            <v>29.5</v>
          </cell>
          <cell r="BW128">
            <v>29.5</v>
          </cell>
          <cell r="BX128">
            <v>29.5</v>
          </cell>
          <cell r="BY128">
            <v>27.5</v>
          </cell>
          <cell r="BZ128">
            <v>27.5</v>
          </cell>
          <cell r="CA128">
            <v>27.5</v>
          </cell>
          <cell r="CB128">
            <v>25</v>
          </cell>
          <cell r="CC128">
            <v>25</v>
          </cell>
          <cell r="CD128">
            <v>25</v>
          </cell>
          <cell r="CE128">
            <v>27</v>
          </cell>
          <cell r="CF128">
            <v>27</v>
          </cell>
          <cell r="CG128">
            <v>27</v>
          </cell>
          <cell r="CH128">
            <v>28.5</v>
          </cell>
          <cell r="CI128">
            <v>28.5</v>
          </cell>
          <cell r="CJ128">
            <v>28.5</v>
          </cell>
          <cell r="CK128">
            <v>30</v>
          </cell>
          <cell r="CL128">
            <v>30</v>
          </cell>
          <cell r="CM128">
            <v>30</v>
          </cell>
          <cell r="CN128">
            <v>34</v>
          </cell>
          <cell r="CO128">
            <v>34</v>
          </cell>
          <cell r="CP128">
            <v>34</v>
          </cell>
          <cell r="CQ128">
            <v>34</v>
          </cell>
          <cell r="CR128">
            <v>34</v>
          </cell>
          <cell r="CS128">
            <v>34</v>
          </cell>
          <cell r="CT128">
            <v>29</v>
          </cell>
          <cell r="CU128">
            <v>29</v>
          </cell>
          <cell r="CV128">
            <v>29</v>
          </cell>
          <cell r="CW128">
            <v>25</v>
          </cell>
          <cell r="CX128">
            <v>25</v>
          </cell>
          <cell r="CY128">
            <v>25</v>
          </cell>
          <cell r="CZ128">
            <v>22</v>
          </cell>
          <cell r="DA128">
            <v>22</v>
          </cell>
          <cell r="DB128">
            <v>22</v>
          </cell>
          <cell r="DC128">
            <v>19.5</v>
          </cell>
          <cell r="DD128">
            <v>19.5</v>
          </cell>
          <cell r="DE128">
            <v>19.5</v>
          </cell>
          <cell r="DF128">
            <v>18</v>
          </cell>
          <cell r="DG128">
            <v>18</v>
          </cell>
          <cell r="DH128">
            <v>18</v>
          </cell>
          <cell r="DI128">
            <v>18</v>
          </cell>
          <cell r="DJ128">
            <v>18</v>
          </cell>
          <cell r="DK128">
            <v>18</v>
          </cell>
          <cell r="DL128">
            <v>23</v>
          </cell>
          <cell r="DM128">
            <v>23</v>
          </cell>
          <cell r="DN128">
            <v>23</v>
          </cell>
          <cell r="DO128">
            <v>28</v>
          </cell>
          <cell r="DP128">
            <v>28</v>
          </cell>
          <cell r="DQ128">
            <v>28</v>
          </cell>
          <cell r="DR128">
            <v>27.3</v>
          </cell>
          <cell r="DS128">
            <v>27.3</v>
          </cell>
          <cell r="DT128">
            <v>27.3</v>
          </cell>
          <cell r="DU128">
            <v>29.8</v>
          </cell>
          <cell r="DV128">
            <v>29.8</v>
          </cell>
          <cell r="DW128">
            <v>29.8</v>
          </cell>
          <cell r="DX128">
            <v>25.8</v>
          </cell>
          <cell r="DY128">
            <v>25.8</v>
          </cell>
          <cell r="DZ128">
            <v>25.8</v>
          </cell>
          <cell r="EA128">
            <v>23.6</v>
          </cell>
          <cell r="EB128">
            <v>23.6</v>
          </cell>
          <cell r="EC128">
            <v>23.6</v>
          </cell>
          <cell r="ED128">
            <v>24.7</v>
          </cell>
          <cell r="EE128">
            <v>24.7</v>
          </cell>
          <cell r="EF128">
            <v>24.7</v>
          </cell>
          <cell r="EG128">
            <v>23.6</v>
          </cell>
          <cell r="EH128">
            <v>23.6</v>
          </cell>
          <cell r="EI128">
            <v>23.6</v>
          </cell>
          <cell r="EJ128">
            <v>23.2</v>
          </cell>
          <cell r="EK128">
            <v>23.2</v>
          </cell>
          <cell r="EL128">
            <v>23.2</v>
          </cell>
          <cell r="EM128">
            <v>19</v>
          </cell>
          <cell r="EN128">
            <v>19</v>
          </cell>
          <cell r="EO128">
            <v>19</v>
          </cell>
          <cell r="EP128">
            <v>25.8</v>
          </cell>
          <cell r="EQ128">
            <v>23.6</v>
          </cell>
          <cell r="ER128">
            <v>23.6</v>
          </cell>
          <cell r="ES128">
            <v>23.6</v>
          </cell>
          <cell r="ET128">
            <v>24.7</v>
          </cell>
          <cell r="EU128">
            <v>24.7</v>
          </cell>
          <cell r="EV128">
            <v>24.7</v>
          </cell>
          <cell r="EW128">
            <v>23.6</v>
          </cell>
          <cell r="EX128">
            <v>23.6</v>
          </cell>
          <cell r="EY128">
            <v>23.6</v>
          </cell>
          <cell r="EZ128">
            <v>23.2</v>
          </cell>
          <cell r="FA128">
            <v>23.2</v>
          </cell>
          <cell r="FB128">
            <v>23.2</v>
          </cell>
          <cell r="FC128">
            <v>19</v>
          </cell>
          <cell r="FD128">
            <v>19</v>
          </cell>
          <cell r="FE128">
            <v>19</v>
          </cell>
        </row>
        <row r="130">
          <cell r="F130" t="str">
            <v>Ethylene</v>
          </cell>
          <cell r="H130">
            <v>23</v>
          </cell>
          <cell r="I130">
            <v>23</v>
          </cell>
          <cell r="J130">
            <v>26</v>
          </cell>
          <cell r="K130">
            <v>28</v>
          </cell>
          <cell r="L130">
            <v>30</v>
          </cell>
          <cell r="M130">
            <v>30</v>
          </cell>
          <cell r="N130">
            <v>28</v>
          </cell>
          <cell r="O130">
            <v>26</v>
          </cell>
          <cell r="P130">
            <v>24</v>
          </cell>
          <cell r="Q130">
            <v>22.5</v>
          </cell>
          <cell r="R130">
            <v>21.2</v>
          </cell>
          <cell r="S130">
            <v>20</v>
          </cell>
          <cell r="T130">
            <v>18</v>
          </cell>
          <cell r="U130">
            <v>18</v>
          </cell>
          <cell r="V130">
            <v>18</v>
          </cell>
          <cell r="W130">
            <v>20</v>
          </cell>
          <cell r="X130">
            <v>21</v>
          </cell>
          <cell r="Y130">
            <v>21</v>
          </cell>
          <cell r="Z130">
            <v>17.489397248307501</v>
          </cell>
          <cell r="AA130">
            <v>16.733020310111399</v>
          </cell>
          <cell r="AB130">
            <v>16.258309674601399</v>
          </cell>
          <cell r="AC130">
            <v>16.109532649049999</v>
          </cell>
          <cell r="AD130">
            <v>16.063791220790598</v>
          </cell>
          <cell r="AE130">
            <v>17.0454793623062</v>
          </cell>
          <cell r="AF130">
            <v>17.9047608648176</v>
          </cell>
          <cell r="AG130">
            <v>18.4047608648176</v>
          </cell>
          <cell r="AH130">
            <v>19.1458943000655</v>
          </cell>
          <cell r="AI130">
            <v>19.623542258135</v>
          </cell>
          <cell r="AJ130">
            <v>19.589157021183699</v>
          </cell>
          <cell r="AK130">
            <v>19.1007097619568</v>
          </cell>
          <cell r="AL130">
            <v>18.579999999999998</v>
          </cell>
          <cell r="AM130">
            <v>18.25</v>
          </cell>
          <cell r="AN130">
            <v>17.98</v>
          </cell>
          <cell r="AO130">
            <v>17.989999999999998</v>
          </cell>
          <cell r="AP130">
            <v>17.93</v>
          </cell>
          <cell r="AQ130">
            <v>17.89</v>
          </cell>
          <cell r="AR130">
            <v>17.78</v>
          </cell>
          <cell r="AS130">
            <v>17.68</v>
          </cell>
          <cell r="AT130">
            <v>17.489999999999998</v>
          </cell>
          <cell r="AU130">
            <v>17.41</v>
          </cell>
          <cell r="AV130">
            <v>17.05</v>
          </cell>
          <cell r="AW130">
            <v>16.8</v>
          </cell>
          <cell r="AX130">
            <v>16.43</v>
          </cell>
          <cell r="AY130">
            <v>16.21</v>
          </cell>
          <cell r="AZ130">
            <v>16.61</v>
          </cell>
          <cell r="BA130">
            <v>17.104500000000002</v>
          </cell>
          <cell r="BB130">
            <v>18.09225</v>
          </cell>
          <cell r="BC130">
            <v>19.057500000000001</v>
          </cell>
          <cell r="BD130">
            <v>20.048999999999999</v>
          </cell>
          <cell r="BE130">
            <v>21.027000000000001</v>
          </cell>
          <cell r="BF130">
            <v>22.936</v>
          </cell>
          <cell r="BG130">
            <v>24.913499999999999</v>
          </cell>
          <cell r="BH130">
            <v>25.890499999999999</v>
          </cell>
          <cell r="BI130">
            <v>26.46</v>
          </cell>
          <cell r="BJ130">
            <v>27.37</v>
          </cell>
          <cell r="BK130">
            <v>28.332999999999998</v>
          </cell>
          <cell r="BL130">
            <v>28.274999999999999</v>
          </cell>
          <cell r="BM130">
            <v>28.245999999999999</v>
          </cell>
          <cell r="BN130">
            <v>28.216999999999999</v>
          </cell>
          <cell r="BO130">
            <v>27.616499999999998</v>
          </cell>
          <cell r="BP130">
            <v>26.62</v>
          </cell>
          <cell r="BQ130">
            <v>25.050999999999998</v>
          </cell>
          <cell r="BR130">
            <v>23.1525</v>
          </cell>
          <cell r="BS130">
            <v>20.872499999999999</v>
          </cell>
          <cell r="BT130">
            <v>19.496400000000001</v>
          </cell>
          <cell r="BU130">
            <v>18.248999999999999</v>
          </cell>
          <cell r="BV130">
            <v>18</v>
          </cell>
          <cell r="BW130">
            <v>18</v>
          </cell>
          <cell r="BX130">
            <v>18.973500000000001</v>
          </cell>
          <cell r="BY130">
            <v>20.25</v>
          </cell>
          <cell r="BZ130">
            <v>21.220500000000001</v>
          </cell>
          <cell r="CA130">
            <v>22.172499999999999</v>
          </cell>
          <cell r="CB130">
            <v>22.6</v>
          </cell>
          <cell r="CC130">
            <v>23.103000000000002</v>
          </cell>
          <cell r="CD130">
            <v>23.465</v>
          </cell>
          <cell r="CE130">
            <v>23.706375000000001</v>
          </cell>
          <cell r="CF130">
            <v>23.823499999999999</v>
          </cell>
          <cell r="CG130">
            <v>24.75</v>
          </cell>
          <cell r="CH130">
            <v>25.712699999999998</v>
          </cell>
          <cell r="CI130">
            <v>25.712699999999998</v>
          </cell>
          <cell r="CJ130">
            <v>25.712699999999998</v>
          </cell>
          <cell r="CK130">
            <v>25.65</v>
          </cell>
          <cell r="CL130">
            <v>25.2</v>
          </cell>
          <cell r="CM130">
            <v>24.653749999999999</v>
          </cell>
          <cell r="CN130">
            <v>24.653749999999999</v>
          </cell>
          <cell r="CO130">
            <v>24.598749999999999</v>
          </cell>
          <cell r="CP130">
            <v>24.447500000000002</v>
          </cell>
          <cell r="CQ130">
            <v>23.948999999999998</v>
          </cell>
          <cell r="CR130">
            <v>23.452500000000001</v>
          </cell>
          <cell r="CS130">
            <v>22.672875000000001</v>
          </cell>
          <cell r="CT130">
            <v>21.9</v>
          </cell>
          <cell r="CU130">
            <v>20.8</v>
          </cell>
          <cell r="CV130">
            <v>19.7</v>
          </cell>
          <cell r="CW130">
            <v>18.7</v>
          </cell>
          <cell r="CX130">
            <v>17.95</v>
          </cell>
          <cell r="CY130">
            <v>17.45</v>
          </cell>
          <cell r="CZ130">
            <v>16.95</v>
          </cell>
          <cell r="DA130">
            <v>16.45</v>
          </cell>
          <cell r="DB130">
            <v>15.95</v>
          </cell>
          <cell r="DC130">
            <v>15.95</v>
          </cell>
          <cell r="DD130">
            <v>15.95</v>
          </cell>
          <cell r="DE130">
            <v>15.95</v>
          </cell>
          <cell r="DF130">
            <v>16.45</v>
          </cell>
          <cell r="DG130">
            <v>16.95</v>
          </cell>
          <cell r="DH130">
            <v>17.45</v>
          </cell>
          <cell r="DI130">
            <v>18.5</v>
          </cell>
          <cell r="DJ130">
            <v>20.5</v>
          </cell>
          <cell r="DK130">
            <v>22</v>
          </cell>
          <cell r="DL130">
            <v>23</v>
          </cell>
          <cell r="DM130">
            <v>24</v>
          </cell>
          <cell r="DN130">
            <v>25.5</v>
          </cell>
          <cell r="DO130">
            <v>26.5</v>
          </cell>
          <cell r="DP130">
            <v>27</v>
          </cell>
          <cell r="DQ130">
            <v>27</v>
          </cell>
          <cell r="DR130">
            <v>27</v>
          </cell>
          <cell r="DS130">
            <v>29</v>
          </cell>
          <cell r="DT130">
            <v>30.5</v>
          </cell>
          <cell r="DU130">
            <v>31.5</v>
          </cell>
          <cell r="DV130">
            <v>31.5</v>
          </cell>
          <cell r="DW130">
            <v>32</v>
          </cell>
          <cell r="DX130">
            <v>32</v>
          </cell>
          <cell r="DY130">
            <v>30.5</v>
          </cell>
          <cell r="DZ130">
            <v>29.75</v>
          </cell>
          <cell r="EA130">
            <v>29.5</v>
          </cell>
          <cell r="EB130">
            <v>29.25</v>
          </cell>
          <cell r="EC130">
            <v>29.75</v>
          </cell>
          <cell r="ED130">
            <v>31.75</v>
          </cell>
          <cell r="EE130">
            <v>32.75</v>
          </cell>
          <cell r="EF130">
            <v>31.75</v>
          </cell>
          <cell r="EG130">
            <v>29.75</v>
          </cell>
          <cell r="EH130">
            <v>28.25</v>
          </cell>
          <cell r="EI130">
            <v>27.25</v>
          </cell>
          <cell r="EJ130">
            <v>24.75</v>
          </cell>
          <cell r="EK130">
            <v>23.75</v>
          </cell>
          <cell r="EL130">
            <v>23.25</v>
          </cell>
          <cell r="EM130">
            <v>22.25</v>
          </cell>
          <cell r="EN130">
            <v>20.25</v>
          </cell>
          <cell r="EO130">
            <v>20.25</v>
          </cell>
          <cell r="EP130">
            <v>29.75</v>
          </cell>
          <cell r="EQ130">
            <v>29.5</v>
          </cell>
          <cell r="ER130">
            <v>29.25</v>
          </cell>
          <cell r="ES130">
            <v>29.75</v>
          </cell>
          <cell r="ET130">
            <v>31.75</v>
          </cell>
          <cell r="EU130">
            <v>32.75</v>
          </cell>
          <cell r="EV130">
            <v>31.75</v>
          </cell>
          <cell r="EW130">
            <v>29.75</v>
          </cell>
          <cell r="EX130">
            <v>28.25</v>
          </cell>
          <cell r="EY130">
            <v>27.25</v>
          </cell>
          <cell r="EZ130">
            <v>24.75</v>
          </cell>
          <cell r="FA130">
            <v>23.75</v>
          </cell>
          <cell r="FB130">
            <v>23.25</v>
          </cell>
          <cell r="FC130">
            <v>22.25</v>
          </cell>
          <cell r="FD130">
            <v>20.25</v>
          </cell>
          <cell r="FE130">
            <v>20.25</v>
          </cell>
        </row>
        <row r="131">
          <cell r="F131" t="str">
            <v>Ethylene cost</v>
          </cell>
          <cell r="H131">
            <v>10.35</v>
          </cell>
          <cell r="I131">
            <v>10.35</v>
          </cell>
          <cell r="J131">
            <v>11.700000000000001</v>
          </cell>
          <cell r="K131">
            <v>12.6</v>
          </cell>
          <cell r="L131">
            <v>13.5</v>
          </cell>
          <cell r="M131">
            <v>13.5</v>
          </cell>
          <cell r="N131">
            <v>12.6</v>
          </cell>
          <cell r="O131">
            <v>11.700000000000001</v>
          </cell>
          <cell r="P131">
            <v>10.8</v>
          </cell>
          <cell r="Q131">
            <v>10.125</v>
          </cell>
          <cell r="R131">
            <v>9.5399999999999991</v>
          </cell>
          <cell r="S131">
            <v>9</v>
          </cell>
          <cell r="T131">
            <v>8.1</v>
          </cell>
          <cell r="U131">
            <v>8.1</v>
          </cell>
          <cell r="V131">
            <v>8.1</v>
          </cell>
          <cell r="W131">
            <v>9</v>
          </cell>
          <cell r="X131">
            <v>9.4500000000000011</v>
          </cell>
          <cell r="Y131">
            <v>9.4500000000000011</v>
          </cell>
          <cell r="Z131">
            <v>7.8702287617383755</v>
          </cell>
          <cell r="AA131">
            <v>7.5298591395501298</v>
          </cell>
          <cell r="AB131">
            <v>7.31623935357063</v>
          </cell>
          <cell r="AC131">
            <v>7.2492896920724998</v>
          </cell>
          <cell r="AD131">
            <v>7.2287060493557691</v>
          </cell>
          <cell r="AE131">
            <v>7.6704657130377898</v>
          </cell>
          <cell r="AF131">
            <v>8.0571423891679199</v>
          </cell>
          <cell r="AG131">
            <v>8.2821423891679196</v>
          </cell>
          <cell r="AH131">
            <v>8.6156524350294745</v>
          </cell>
          <cell r="AI131">
            <v>8.8305940161607506</v>
          </cell>
          <cell r="AJ131">
            <v>8.8151206595326652</v>
          </cell>
          <cell r="AK131">
            <v>8.59531939288056</v>
          </cell>
          <cell r="AL131">
            <v>8.3609999999999989</v>
          </cell>
          <cell r="AM131">
            <v>8.2125000000000004</v>
          </cell>
          <cell r="AN131">
            <v>8.0910000000000011</v>
          </cell>
          <cell r="AO131">
            <v>8.0954999999999995</v>
          </cell>
          <cell r="AP131">
            <v>8.0685000000000002</v>
          </cell>
          <cell r="AQ131">
            <v>8.0505000000000013</v>
          </cell>
          <cell r="AR131">
            <v>8.0010000000000012</v>
          </cell>
          <cell r="AS131">
            <v>7.9560000000000004</v>
          </cell>
          <cell r="AT131">
            <v>7.8704999999999998</v>
          </cell>
          <cell r="AU131">
            <v>7.8345000000000002</v>
          </cell>
          <cell r="AV131">
            <v>7.6725000000000003</v>
          </cell>
          <cell r="AW131">
            <v>7.5600000000000005</v>
          </cell>
          <cell r="AX131">
            <v>7.3935000000000004</v>
          </cell>
          <cell r="AY131">
            <v>7.2945000000000002</v>
          </cell>
          <cell r="AZ131">
            <v>7.4744999999999999</v>
          </cell>
          <cell r="BA131">
            <v>7.6970250000000009</v>
          </cell>
          <cell r="BB131">
            <v>8.141512500000001</v>
          </cell>
          <cell r="BC131">
            <v>8.5758749999999999</v>
          </cell>
          <cell r="BD131">
            <v>9.0220500000000001</v>
          </cell>
          <cell r="BE131">
            <v>9.4621500000000012</v>
          </cell>
          <cell r="BF131">
            <v>10.321200000000001</v>
          </cell>
          <cell r="BG131">
            <v>11.211074999999999</v>
          </cell>
          <cell r="BH131">
            <v>11.650725</v>
          </cell>
          <cell r="BI131">
            <v>11.907</v>
          </cell>
          <cell r="BJ131">
            <v>12.316500000000001</v>
          </cell>
          <cell r="BK131">
            <v>12.74985</v>
          </cell>
          <cell r="BL131">
            <v>12.723749999999999</v>
          </cell>
          <cell r="BM131">
            <v>12.710699999999999</v>
          </cell>
          <cell r="BN131">
            <v>12.697649999999999</v>
          </cell>
          <cell r="BO131">
            <v>12.427424999999999</v>
          </cell>
          <cell r="BP131">
            <v>11.979000000000001</v>
          </cell>
          <cell r="BQ131">
            <v>11.27295</v>
          </cell>
          <cell r="BR131">
            <v>10.418625</v>
          </cell>
          <cell r="BS131">
            <v>9.3926249999999989</v>
          </cell>
          <cell r="BT131">
            <v>8.7733800000000013</v>
          </cell>
          <cell r="BU131">
            <v>8.2120499999999996</v>
          </cell>
          <cell r="BV131">
            <v>8.1</v>
          </cell>
          <cell r="BW131">
            <v>8.1</v>
          </cell>
          <cell r="BX131">
            <v>8.538075000000001</v>
          </cell>
          <cell r="BY131">
            <v>9.1125000000000007</v>
          </cell>
          <cell r="BZ131">
            <v>9.5492250000000016</v>
          </cell>
          <cell r="CA131">
            <v>9.9776249999999997</v>
          </cell>
          <cell r="CB131">
            <v>10.170000000000002</v>
          </cell>
          <cell r="CC131">
            <v>10.396350000000002</v>
          </cell>
          <cell r="CD131">
            <v>10.55925</v>
          </cell>
          <cell r="CE131">
            <v>10.66786875</v>
          </cell>
          <cell r="CF131">
            <v>10.720575</v>
          </cell>
          <cell r="CG131">
            <v>11.137500000000001</v>
          </cell>
          <cell r="CH131">
            <v>11.570715</v>
          </cell>
          <cell r="CI131">
            <v>11.570715</v>
          </cell>
          <cell r="CJ131">
            <v>11.570715</v>
          </cell>
          <cell r="CK131">
            <v>11.5425</v>
          </cell>
          <cell r="CL131">
            <v>11.34</v>
          </cell>
          <cell r="CM131">
            <v>11.0941875</v>
          </cell>
          <cell r="CN131">
            <v>11.0941875</v>
          </cell>
          <cell r="CO131">
            <v>11.069437499999999</v>
          </cell>
          <cell r="CP131">
            <v>11.001375000000001</v>
          </cell>
          <cell r="CQ131">
            <v>10.777049999999999</v>
          </cell>
          <cell r="CR131">
            <v>10.553625</v>
          </cell>
          <cell r="CS131">
            <v>10.202793750000001</v>
          </cell>
          <cell r="CT131">
            <v>9.8550000000000004</v>
          </cell>
          <cell r="CU131">
            <v>9.3600000000000012</v>
          </cell>
          <cell r="CV131">
            <v>8.8650000000000002</v>
          </cell>
          <cell r="CW131">
            <v>8.4149999999999991</v>
          </cell>
          <cell r="CX131">
            <v>8.0775000000000006</v>
          </cell>
          <cell r="CY131">
            <v>7.8525</v>
          </cell>
          <cell r="CZ131">
            <v>7.6274999999999995</v>
          </cell>
          <cell r="DA131">
            <v>7.4024999999999999</v>
          </cell>
          <cell r="DB131">
            <v>7.1775000000000002</v>
          </cell>
          <cell r="DC131">
            <v>7.1775000000000002</v>
          </cell>
          <cell r="DD131">
            <v>7.1775000000000002</v>
          </cell>
          <cell r="DE131">
            <v>7.1775000000000002</v>
          </cell>
          <cell r="DF131">
            <v>7.4024999999999999</v>
          </cell>
          <cell r="DG131">
            <v>7.6274999999999995</v>
          </cell>
          <cell r="DH131">
            <v>7.8525</v>
          </cell>
          <cell r="DI131">
            <v>8.3250000000000011</v>
          </cell>
          <cell r="DJ131">
            <v>9.2249999999999996</v>
          </cell>
          <cell r="DK131">
            <v>9.9</v>
          </cell>
          <cell r="DL131">
            <v>10.35</v>
          </cell>
          <cell r="DM131">
            <v>10.8</v>
          </cell>
          <cell r="DN131">
            <v>11.475</v>
          </cell>
          <cell r="DO131">
            <v>11.925000000000001</v>
          </cell>
          <cell r="DP131">
            <v>12.15</v>
          </cell>
          <cell r="DQ131">
            <v>12.15</v>
          </cell>
          <cell r="DR131">
            <v>12.15</v>
          </cell>
          <cell r="DS131">
            <v>13.05</v>
          </cell>
          <cell r="DT131">
            <v>13.725</v>
          </cell>
          <cell r="DU131">
            <v>14.175000000000001</v>
          </cell>
          <cell r="DV131">
            <v>14.175000000000001</v>
          </cell>
          <cell r="DW131">
            <v>14.4</v>
          </cell>
          <cell r="DX131">
            <v>14.4</v>
          </cell>
          <cell r="DY131">
            <v>13.725</v>
          </cell>
          <cell r="DZ131">
            <v>13.387500000000001</v>
          </cell>
          <cell r="EA131">
            <v>13.275</v>
          </cell>
          <cell r="EB131">
            <v>13.1625</v>
          </cell>
          <cell r="EC131">
            <v>13.387500000000001</v>
          </cell>
          <cell r="ED131">
            <v>14.2875</v>
          </cell>
          <cell r="EE131">
            <v>14.737500000000001</v>
          </cell>
          <cell r="EF131">
            <v>14.2875</v>
          </cell>
          <cell r="EG131">
            <v>13.387500000000001</v>
          </cell>
          <cell r="EH131">
            <v>12.7125</v>
          </cell>
          <cell r="EI131">
            <v>12.262500000000001</v>
          </cell>
          <cell r="EJ131">
            <v>11.137500000000001</v>
          </cell>
          <cell r="EK131">
            <v>10.6875</v>
          </cell>
          <cell r="EL131">
            <v>10.4625</v>
          </cell>
          <cell r="EM131">
            <v>10.012500000000001</v>
          </cell>
          <cell r="EN131">
            <v>9.1125000000000007</v>
          </cell>
          <cell r="EO131">
            <v>9.1125000000000007</v>
          </cell>
          <cell r="EP131">
            <v>13.387500000000001</v>
          </cell>
          <cell r="EQ131">
            <v>13.275</v>
          </cell>
          <cell r="ER131">
            <v>13.1625</v>
          </cell>
          <cell r="ES131">
            <v>13.387500000000001</v>
          </cell>
          <cell r="ET131">
            <v>14.2875</v>
          </cell>
          <cell r="EU131">
            <v>14.737500000000001</v>
          </cell>
          <cell r="EV131">
            <v>14.2875</v>
          </cell>
          <cell r="EW131">
            <v>13.387500000000001</v>
          </cell>
          <cell r="EX131">
            <v>12.7125</v>
          </cell>
          <cell r="EY131">
            <v>12.262500000000001</v>
          </cell>
          <cell r="EZ131">
            <v>11.137500000000001</v>
          </cell>
          <cell r="FA131">
            <v>10.6875</v>
          </cell>
          <cell r="FB131">
            <v>10.4625</v>
          </cell>
          <cell r="FC131">
            <v>10.012500000000001</v>
          </cell>
          <cell r="FD131">
            <v>9.1125000000000007</v>
          </cell>
          <cell r="FE131">
            <v>9.1125000000000007</v>
          </cell>
        </row>
        <row r="133">
          <cell r="F133" t="str">
            <v>Spread</v>
          </cell>
          <cell r="H133">
            <v>12.65</v>
          </cell>
          <cell r="I133">
            <v>12.65</v>
          </cell>
          <cell r="J133">
            <v>11.299999999999999</v>
          </cell>
          <cell r="K133">
            <v>10.9</v>
          </cell>
          <cell r="L133">
            <v>10</v>
          </cell>
          <cell r="M133">
            <v>10</v>
          </cell>
          <cell r="N133">
            <v>11.4</v>
          </cell>
          <cell r="O133">
            <v>12.299999999999999</v>
          </cell>
          <cell r="P133">
            <v>11.2</v>
          </cell>
          <cell r="Q133">
            <v>11.875</v>
          </cell>
          <cell r="R133">
            <v>12.46</v>
          </cell>
          <cell r="S133">
            <v>12</v>
          </cell>
          <cell r="T133">
            <v>12.9</v>
          </cell>
          <cell r="U133">
            <v>12.9</v>
          </cell>
          <cell r="V133">
            <v>11.9</v>
          </cell>
          <cell r="W133">
            <v>11</v>
          </cell>
          <cell r="X133">
            <v>10.549999999999999</v>
          </cell>
          <cell r="Y133">
            <v>10.549999999999999</v>
          </cell>
          <cell r="Z133">
            <v>12.129771238261625</v>
          </cell>
          <cell r="AA133">
            <v>12.47014086044987</v>
          </cell>
          <cell r="AB133">
            <v>12.68376064642937</v>
          </cell>
          <cell r="AC133">
            <v>10.7507103079275</v>
          </cell>
          <cell r="AD133">
            <v>10.771293950644232</v>
          </cell>
          <cell r="AE133">
            <v>10.329534286962211</v>
          </cell>
          <cell r="AF133">
            <v>9.9428576108320801</v>
          </cell>
          <cell r="AG133">
            <v>9.7178576108320804</v>
          </cell>
          <cell r="AH133">
            <v>9.3843475649705255</v>
          </cell>
          <cell r="AI133">
            <v>10.169405983839249</v>
          </cell>
          <cell r="AJ133">
            <v>10.184879340467335</v>
          </cell>
          <cell r="AK133">
            <v>10.40468060711944</v>
          </cell>
          <cell r="AL133">
            <v>10.639000000000001</v>
          </cell>
          <cell r="AM133">
            <v>10.7875</v>
          </cell>
          <cell r="AN133">
            <v>10.908999999999999</v>
          </cell>
          <cell r="AO133">
            <v>9.9045000000000005</v>
          </cell>
          <cell r="AP133">
            <v>9.9314999999999998</v>
          </cell>
          <cell r="AQ133">
            <v>9.9494999999999987</v>
          </cell>
          <cell r="AR133">
            <v>8.9989999999999988</v>
          </cell>
          <cell r="AS133">
            <v>9.0440000000000005</v>
          </cell>
          <cell r="AT133">
            <v>9.1295000000000002</v>
          </cell>
          <cell r="AU133">
            <v>8.1654999999999998</v>
          </cell>
          <cell r="AV133">
            <v>8.3275000000000006</v>
          </cell>
          <cell r="AW133">
            <v>8.44</v>
          </cell>
          <cell r="AX133">
            <v>8.1065000000000005</v>
          </cell>
          <cell r="AY133">
            <v>8.2055000000000007</v>
          </cell>
          <cell r="AZ133">
            <v>8.025500000000001</v>
          </cell>
          <cell r="BA133">
            <v>6.3029749999999991</v>
          </cell>
          <cell r="BB133">
            <v>5.858487499999999</v>
          </cell>
          <cell r="BC133">
            <v>5.4241250000000001</v>
          </cell>
          <cell r="BD133">
            <v>6.9779499999999999</v>
          </cell>
          <cell r="BE133">
            <v>6.5378499999999988</v>
          </cell>
          <cell r="BF133">
            <v>5.678799999999999</v>
          </cell>
          <cell r="BG133">
            <v>9.7889250000000008</v>
          </cell>
          <cell r="BH133">
            <v>9.3492750000000004</v>
          </cell>
          <cell r="BI133">
            <v>9.093</v>
          </cell>
          <cell r="BJ133">
            <v>12.183499999999999</v>
          </cell>
          <cell r="BK133">
            <v>11.75015</v>
          </cell>
          <cell r="BL133">
            <v>11.776250000000001</v>
          </cell>
          <cell r="BM133">
            <v>13.789300000000001</v>
          </cell>
          <cell r="BN133">
            <v>13.802350000000001</v>
          </cell>
          <cell r="BO133">
            <v>14.072575000000001</v>
          </cell>
          <cell r="BP133">
            <v>17.521000000000001</v>
          </cell>
          <cell r="BQ133">
            <v>18.227049999999998</v>
          </cell>
          <cell r="BR133">
            <v>19.081375000000001</v>
          </cell>
          <cell r="BS133">
            <v>20.107375000000001</v>
          </cell>
          <cell r="BT133">
            <v>20.726619999999997</v>
          </cell>
          <cell r="BU133">
            <v>21.287950000000002</v>
          </cell>
          <cell r="BV133">
            <v>21.4</v>
          </cell>
          <cell r="BW133">
            <v>21.4</v>
          </cell>
          <cell r="BX133">
            <v>20.961925000000001</v>
          </cell>
          <cell r="BY133">
            <v>18.387499999999999</v>
          </cell>
          <cell r="BZ133">
            <v>17.950775</v>
          </cell>
          <cell r="CA133">
            <v>17.522375</v>
          </cell>
          <cell r="CB133">
            <v>14.829999999999998</v>
          </cell>
          <cell r="CC133">
            <v>14.603649999999998</v>
          </cell>
          <cell r="CD133">
            <v>14.44075</v>
          </cell>
          <cell r="CE133">
            <v>16.33213125</v>
          </cell>
          <cell r="CF133">
            <v>16.279425</v>
          </cell>
          <cell r="CG133">
            <v>15.862499999999999</v>
          </cell>
          <cell r="CH133">
            <v>16.929285</v>
          </cell>
          <cell r="CI133">
            <v>16.929285</v>
          </cell>
          <cell r="CJ133">
            <v>16.929285</v>
          </cell>
          <cell r="CK133">
            <v>18.4575</v>
          </cell>
          <cell r="CL133">
            <v>18.66</v>
          </cell>
          <cell r="CM133">
            <v>18.9058125</v>
          </cell>
          <cell r="CN133">
            <v>22.9058125</v>
          </cell>
          <cell r="CO133">
            <v>22.930562500000001</v>
          </cell>
          <cell r="CP133">
            <v>22.998624999999997</v>
          </cell>
          <cell r="CQ133">
            <v>23.222950000000001</v>
          </cell>
          <cell r="CR133">
            <v>23.446375</v>
          </cell>
          <cell r="CS133">
            <v>23.797206249999999</v>
          </cell>
          <cell r="CT133">
            <v>19.145</v>
          </cell>
          <cell r="CU133">
            <v>19.64</v>
          </cell>
          <cell r="CV133">
            <v>20.134999999999998</v>
          </cell>
          <cell r="CW133">
            <v>16.585000000000001</v>
          </cell>
          <cell r="CX133">
            <v>16.922499999999999</v>
          </cell>
          <cell r="CY133">
            <v>17.147500000000001</v>
          </cell>
          <cell r="CZ133">
            <v>14.3725</v>
          </cell>
          <cell r="DA133">
            <v>14.5975</v>
          </cell>
          <cell r="DB133">
            <v>14.8225</v>
          </cell>
          <cell r="DC133">
            <v>12.3225</v>
          </cell>
          <cell r="DD133">
            <v>12.3225</v>
          </cell>
          <cell r="DE133">
            <v>12.3225</v>
          </cell>
          <cell r="DF133">
            <v>10.5975</v>
          </cell>
          <cell r="DG133">
            <v>10.3725</v>
          </cell>
          <cell r="DH133">
            <v>10.147500000000001</v>
          </cell>
          <cell r="DI133">
            <v>9.6749999999999989</v>
          </cell>
          <cell r="DJ133">
            <v>8.7750000000000004</v>
          </cell>
          <cell r="DK133">
            <v>8.1</v>
          </cell>
          <cell r="DL133">
            <v>12.65</v>
          </cell>
          <cell r="DM133">
            <v>12.2</v>
          </cell>
          <cell r="DN133">
            <v>11.525</v>
          </cell>
          <cell r="DO133">
            <v>16.074999999999999</v>
          </cell>
          <cell r="DP133">
            <v>15.85</v>
          </cell>
          <cell r="DQ133">
            <v>15.85</v>
          </cell>
          <cell r="DR133">
            <v>15.15</v>
          </cell>
          <cell r="DS133">
            <v>14.25</v>
          </cell>
          <cell r="DT133">
            <v>13.575000000000001</v>
          </cell>
          <cell r="DU133">
            <v>15.625</v>
          </cell>
          <cell r="DV133">
            <v>15.625</v>
          </cell>
          <cell r="DW133">
            <v>15.4</v>
          </cell>
          <cell r="DX133">
            <v>11.4</v>
          </cell>
          <cell r="DY133">
            <v>12.075000000000001</v>
          </cell>
          <cell r="DZ133">
            <v>12.4125</v>
          </cell>
          <cell r="EA133">
            <v>10.325000000000001</v>
          </cell>
          <cell r="EB133">
            <v>10.437500000000002</v>
          </cell>
          <cell r="EC133">
            <v>10.2125</v>
          </cell>
          <cell r="ED133">
            <v>10.4125</v>
          </cell>
          <cell r="EE133">
            <v>9.9624999999999986</v>
          </cell>
          <cell r="EF133">
            <v>10.4125</v>
          </cell>
          <cell r="EG133">
            <v>10.2125</v>
          </cell>
          <cell r="EH133">
            <v>10.887500000000001</v>
          </cell>
          <cell r="EI133">
            <v>11.3375</v>
          </cell>
          <cell r="EJ133">
            <v>12.062499999999998</v>
          </cell>
          <cell r="EK133">
            <v>12.512499999999999</v>
          </cell>
          <cell r="EL133">
            <v>12.737499999999999</v>
          </cell>
          <cell r="EM133">
            <v>8.9874999999999989</v>
          </cell>
          <cell r="EN133">
            <v>9.8874999999999993</v>
          </cell>
          <cell r="EO133">
            <v>9.8874999999999993</v>
          </cell>
          <cell r="EP133">
            <v>12.4125</v>
          </cell>
          <cell r="EQ133">
            <v>10.325000000000001</v>
          </cell>
          <cell r="ER133">
            <v>10.437500000000002</v>
          </cell>
          <cell r="ES133">
            <v>10.2125</v>
          </cell>
          <cell r="ET133">
            <v>10.4125</v>
          </cell>
          <cell r="EU133">
            <v>9.9624999999999986</v>
          </cell>
          <cell r="EV133">
            <v>10.4125</v>
          </cell>
          <cell r="EW133">
            <v>10.2125</v>
          </cell>
          <cell r="EX133">
            <v>10.887500000000001</v>
          </cell>
          <cell r="EY133">
            <v>11.3375</v>
          </cell>
          <cell r="EZ133">
            <v>12.062499999999998</v>
          </cell>
          <cell r="FA133">
            <v>12.512499999999999</v>
          </cell>
          <cell r="FB133">
            <v>12.737499999999999</v>
          </cell>
          <cell r="FC133">
            <v>8.9874999999999989</v>
          </cell>
          <cell r="FD133">
            <v>9.8874999999999993</v>
          </cell>
          <cell r="FE133">
            <v>9.8874999999999993</v>
          </cell>
        </row>
        <row r="135">
          <cell r="F135" t="str">
            <v>(1)  Assuming a conversion factor of 2.9 lbs./gal. of ethane and 0.8 lb. ethane per lb. of ethylene glycol.</v>
          </cell>
        </row>
        <row r="137">
          <cell r="F137" t="str">
            <v>Styrene/Benzene+Ethylene Cost Spread</v>
          </cell>
        </row>
        <row r="139">
          <cell r="H139">
            <v>33055</v>
          </cell>
          <cell r="I139">
            <v>33086</v>
          </cell>
          <cell r="J139">
            <v>33117</v>
          </cell>
          <cell r="K139">
            <v>33147</v>
          </cell>
          <cell r="L139">
            <v>33178</v>
          </cell>
          <cell r="M139">
            <v>33208</v>
          </cell>
          <cell r="N139">
            <v>33239</v>
          </cell>
          <cell r="O139">
            <v>33270</v>
          </cell>
          <cell r="P139">
            <v>33298</v>
          </cell>
          <cell r="Q139">
            <v>33329</v>
          </cell>
          <cell r="R139">
            <v>33359</v>
          </cell>
          <cell r="S139">
            <v>33390</v>
          </cell>
          <cell r="T139">
            <v>33420</v>
          </cell>
          <cell r="U139">
            <v>33451</v>
          </cell>
          <cell r="V139">
            <v>33482</v>
          </cell>
          <cell r="W139">
            <v>33512</v>
          </cell>
          <cell r="X139">
            <v>33543</v>
          </cell>
          <cell r="Y139">
            <v>33573</v>
          </cell>
          <cell r="Z139">
            <v>33604</v>
          </cell>
          <cell r="AA139">
            <v>33635</v>
          </cell>
          <cell r="AB139">
            <v>33664</v>
          </cell>
          <cell r="AC139">
            <v>33695</v>
          </cell>
          <cell r="AD139">
            <v>33725</v>
          </cell>
          <cell r="AE139">
            <v>33756</v>
          </cell>
          <cell r="AF139">
            <v>33786</v>
          </cell>
          <cell r="AG139">
            <v>33817</v>
          </cell>
          <cell r="AH139">
            <v>33848</v>
          </cell>
          <cell r="AI139">
            <v>33878</v>
          </cell>
          <cell r="AJ139">
            <v>33909</v>
          </cell>
          <cell r="AK139">
            <v>33939</v>
          </cell>
          <cell r="AL139">
            <v>33970</v>
          </cell>
          <cell r="AM139">
            <v>34001</v>
          </cell>
          <cell r="AN139">
            <v>34029</v>
          </cell>
          <cell r="AO139">
            <v>34060</v>
          </cell>
          <cell r="AP139">
            <v>34090</v>
          </cell>
          <cell r="AQ139">
            <v>34121</v>
          </cell>
          <cell r="AR139">
            <v>34151</v>
          </cell>
          <cell r="AS139">
            <v>34182</v>
          </cell>
          <cell r="AT139">
            <v>34213</v>
          </cell>
          <cell r="AU139">
            <v>34243</v>
          </cell>
          <cell r="AV139">
            <v>34274</v>
          </cell>
          <cell r="AW139">
            <v>34304</v>
          </cell>
          <cell r="AX139">
            <v>34335</v>
          </cell>
          <cell r="AY139">
            <v>34366</v>
          </cell>
          <cell r="AZ139">
            <v>34394</v>
          </cell>
          <cell r="BA139">
            <v>34425</v>
          </cell>
          <cell r="BB139">
            <v>34455</v>
          </cell>
          <cell r="BC139">
            <v>34486</v>
          </cell>
          <cell r="BD139">
            <v>34516</v>
          </cell>
          <cell r="BE139">
            <v>34547</v>
          </cell>
          <cell r="BF139">
            <v>34578</v>
          </cell>
          <cell r="BG139">
            <v>34608</v>
          </cell>
          <cell r="BH139">
            <v>34639</v>
          </cell>
          <cell r="BI139">
            <v>34669</v>
          </cell>
          <cell r="BJ139">
            <v>34700</v>
          </cell>
          <cell r="BK139">
            <v>34731</v>
          </cell>
          <cell r="BL139">
            <v>34759</v>
          </cell>
          <cell r="BM139">
            <v>34790</v>
          </cell>
          <cell r="BN139">
            <v>34820</v>
          </cell>
          <cell r="BO139">
            <v>34851</v>
          </cell>
          <cell r="BP139">
            <v>34881</v>
          </cell>
          <cell r="BQ139">
            <v>34912</v>
          </cell>
          <cell r="BR139">
            <v>34943</v>
          </cell>
          <cell r="BS139">
            <v>34973</v>
          </cell>
          <cell r="BT139">
            <v>35004</v>
          </cell>
          <cell r="BU139">
            <v>35034</v>
          </cell>
          <cell r="BV139">
            <v>35065</v>
          </cell>
          <cell r="BW139">
            <v>35096</v>
          </cell>
          <cell r="BX139">
            <v>35125</v>
          </cell>
          <cell r="BY139">
            <v>35156</v>
          </cell>
          <cell r="BZ139">
            <v>35186</v>
          </cell>
          <cell r="CA139">
            <v>35217</v>
          </cell>
          <cell r="CB139">
            <v>35247</v>
          </cell>
          <cell r="CC139">
            <v>35278</v>
          </cell>
          <cell r="CD139">
            <v>35309</v>
          </cell>
          <cell r="CE139">
            <v>35339</v>
          </cell>
          <cell r="CF139">
            <v>35370</v>
          </cell>
          <cell r="CG139">
            <v>35400</v>
          </cell>
          <cell r="CH139">
            <v>35431</v>
          </cell>
          <cell r="CI139">
            <v>35462</v>
          </cell>
          <cell r="CJ139">
            <v>35490</v>
          </cell>
          <cell r="CK139">
            <v>35521</v>
          </cell>
          <cell r="CL139">
            <v>35551</v>
          </cell>
          <cell r="CM139">
            <v>35582</v>
          </cell>
          <cell r="CN139">
            <v>35612</v>
          </cell>
          <cell r="CO139">
            <v>35643</v>
          </cell>
          <cell r="CP139">
            <v>35674</v>
          </cell>
          <cell r="CQ139">
            <v>35704</v>
          </cell>
          <cell r="CR139">
            <v>35735</v>
          </cell>
          <cell r="CS139">
            <v>35765</v>
          </cell>
          <cell r="CT139">
            <v>35796</v>
          </cell>
          <cell r="CU139">
            <v>35827</v>
          </cell>
          <cell r="CV139">
            <v>35855</v>
          </cell>
          <cell r="CW139">
            <v>35886</v>
          </cell>
          <cell r="CX139">
            <v>35916</v>
          </cell>
          <cell r="CY139">
            <v>35947</v>
          </cell>
          <cell r="CZ139">
            <v>35977</v>
          </cell>
          <cell r="DA139">
            <v>36008</v>
          </cell>
          <cell r="DB139">
            <v>36039</v>
          </cell>
          <cell r="DC139">
            <v>36069</v>
          </cell>
          <cell r="DD139">
            <v>36100</v>
          </cell>
          <cell r="DE139">
            <v>36130</v>
          </cell>
          <cell r="DF139">
            <v>35674</v>
          </cell>
          <cell r="DG139">
            <v>35704</v>
          </cell>
          <cell r="DH139">
            <v>35735</v>
          </cell>
          <cell r="DI139">
            <v>35765</v>
          </cell>
          <cell r="DJ139">
            <v>35796</v>
          </cell>
          <cell r="DK139">
            <v>35827</v>
          </cell>
          <cell r="DL139">
            <v>35855</v>
          </cell>
          <cell r="DM139">
            <v>35886</v>
          </cell>
          <cell r="DN139">
            <v>35916</v>
          </cell>
          <cell r="DO139">
            <v>35947</v>
          </cell>
          <cell r="DP139">
            <v>35977</v>
          </cell>
          <cell r="DQ139">
            <v>36008</v>
          </cell>
          <cell r="DR139">
            <v>36039</v>
          </cell>
          <cell r="DS139">
            <v>36069</v>
          </cell>
          <cell r="DT139">
            <v>36100</v>
          </cell>
          <cell r="DU139">
            <v>36130</v>
          </cell>
        </row>
        <row r="140">
          <cell r="F140" t="str">
            <v>Styrene price</v>
          </cell>
          <cell r="H140">
            <v>34.18</v>
          </cell>
          <cell r="I140">
            <v>34.85</v>
          </cell>
          <cell r="J140">
            <v>37.96</v>
          </cell>
          <cell r="K140">
            <v>40.99</v>
          </cell>
          <cell r="L140">
            <v>41.78</v>
          </cell>
          <cell r="M140">
            <v>36.72</v>
          </cell>
          <cell r="N140">
            <v>34.11</v>
          </cell>
          <cell r="O140">
            <v>32.21</v>
          </cell>
          <cell r="P140">
            <v>27.45</v>
          </cell>
          <cell r="Q140">
            <v>26.46</v>
          </cell>
          <cell r="R140">
            <v>25.47</v>
          </cell>
          <cell r="S140">
            <v>24.72</v>
          </cell>
          <cell r="T140">
            <v>23.29</v>
          </cell>
          <cell r="U140">
            <v>23.88</v>
          </cell>
          <cell r="V140">
            <v>24.63</v>
          </cell>
          <cell r="W140">
            <v>25.48</v>
          </cell>
          <cell r="X140">
            <v>25.76</v>
          </cell>
          <cell r="Y140">
            <v>25.67</v>
          </cell>
          <cell r="Z140">
            <v>23.7</v>
          </cell>
          <cell r="AA140">
            <v>22.71</v>
          </cell>
          <cell r="AB140">
            <v>22.72</v>
          </cell>
          <cell r="AC140">
            <v>23.27</v>
          </cell>
          <cell r="AD140">
            <v>23.98</v>
          </cell>
          <cell r="AE140">
            <v>25.01</v>
          </cell>
          <cell r="AF140">
            <v>26.27</v>
          </cell>
          <cell r="AG140">
            <v>25.74</v>
          </cell>
          <cell r="AH140">
            <v>24.59</v>
          </cell>
          <cell r="AI140">
            <v>22.47</v>
          </cell>
          <cell r="AJ140">
            <v>22.92</v>
          </cell>
          <cell r="AK140">
            <v>22.39</v>
          </cell>
          <cell r="AL140">
            <v>22.27</v>
          </cell>
          <cell r="AM140">
            <v>22.55</v>
          </cell>
          <cell r="AN140">
            <v>22.8</v>
          </cell>
          <cell r="AO140">
            <v>23.21</v>
          </cell>
          <cell r="AP140">
            <v>23.69</v>
          </cell>
          <cell r="AQ140">
            <v>23.67</v>
          </cell>
          <cell r="AR140">
            <v>23.15</v>
          </cell>
          <cell r="AS140">
            <v>23.07</v>
          </cell>
          <cell r="AT140">
            <v>22.98</v>
          </cell>
          <cell r="AU140">
            <v>22.25</v>
          </cell>
          <cell r="AV140">
            <v>22.1</v>
          </cell>
          <cell r="AW140">
            <v>20.97</v>
          </cell>
          <cell r="AX140">
            <v>20.68</v>
          </cell>
          <cell r="AY140">
            <v>20.79</v>
          </cell>
          <cell r="AZ140">
            <v>22.46</v>
          </cell>
          <cell r="BA140">
            <v>23.78</v>
          </cell>
          <cell r="BB140">
            <v>25.11</v>
          </cell>
          <cell r="BC140">
            <v>24.76</v>
          </cell>
          <cell r="BD140">
            <v>25.79</v>
          </cell>
          <cell r="BE140">
            <v>28.28</v>
          </cell>
          <cell r="BF140">
            <v>32.590000000000003</v>
          </cell>
          <cell r="BG140">
            <v>32.14</v>
          </cell>
          <cell r="BH140">
            <v>30.94</v>
          </cell>
          <cell r="BI140">
            <v>31.1</v>
          </cell>
          <cell r="BJ140">
            <v>32.69</v>
          </cell>
          <cell r="BK140">
            <v>34.630000000000003</v>
          </cell>
          <cell r="BL140">
            <v>35.36</v>
          </cell>
          <cell r="BM140">
            <v>36.42</v>
          </cell>
          <cell r="BN140">
            <v>37.06</v>
          </cell>
          <cell r="BO140">
            <v>36.11</v>
          </cell>
          <cell r="BP140">
            <v>33.840000000000003</v>
          </cell>
          <cell r="BQ140">
            <v>30.05</v>
          </cell>
          <cell r="BR140">
            <v>26.47</v>
          </cell>
          <cell r="BS140">
            <v>23.78</v>
          </cell>
          <cell r="BT140">
            <v>23</v>
          </cell>
          <cell r="BU140">
            <v>22.91</v>
          </cell>
          <cell r="BV140">
            <v>22.97</v>
          </cell>
          <cell r="BW140">
            <v>23.49</v>
          </cell>
          <cell r="BX140">
            <v>23.63</v>
          </cell>
          <cell r="BY140">
            <v>25.35</v>
          </cell>
          <cell r="BZ140">
            <v>25.71</v>
          </cell>
          <cell r="CA140">
            <v>25.56</v>
          </cell>
          <cell r="CB140">
            <v>25.66</v>
          </cell>
          <cell r="CC140">
            <v>25.19</v>
          </cell>
          <cell r="CD140">
            <v>26.25</v>
          </cell>
          <cell r="CE140">
            <v>24.55</v>
          </cell>
          <cell r="CF140">
            <v>24.08</v>
          </cell>
          <cell r="CG140">
            <v>24</v>
          </cell>
          <cell r="CH140">
            <v>25.44</v>
          </cell>
          <cell r="CI140">
            <v>25.96</v>
          </cell>
          <cell r="CJ140">
            <v>25.2</v>
          </cell>
          <cell r="CK140">
            <v>24.44</v>
          </cell>
          <cell r="CL140">
            <v>24.12</v>
          </cell>
          <cell r="CM140">
            <v>23.02</v>
          </cell>
          <cell r="CN140">
            <v>23.17</v>
          </cell>
          <cell r="CO140">
            <v>23.76</v>
          </cell>
          <cell r="CP140">
            <v>24.18</v>
          </cell>
          <cell r="CQ140">
            <v>23.62</v>
          </cell>
          <cell r="CR140">
            <v>23.8</v>
          </cell>
          <cell r="CS140">
            <v>24.08</v>
          </cell>
          <cell r="CT140">
            <v>24.46</v>
          </cell>
          <cell r="CU140">
            <v>21.62</v>
          </cell>
          <cell r="CV140">
            <v>20.6</v>
          </cell>
          <cell r="CW140">
            <v>20.51</v>
          </cell>
          <cell r="CX140">
            <v>20.399999999999999</v>
          </cell>
          <cell r="CY140">
            <v>20.25</v>
          </cell>
          <cell r="CZ140">
            <v>20.13</v>
          </cell>
          <cell r="DA140">
            <v>19.54</v>
          </cell>
          <cell r="DB140">
            <v>19.18</v>
          </cell>
          <cell r="DC140">
            <v>19.16</v>
          </cell>
          <cell r="DD140">
            <v>20.100000000000001</v>
          </cell>
          <cell r="DE140">
            <v>20.399999999999999</v>
          </cell>
          <cell r="DF140">
            <v>24.18</v>
          </cell>
          <cell r="DG140">
            <v>23.62</v>
          </cell>
          <cell r="DH140">
            <v>23.8</v>
          </cell>
          <cell r="DI140">
            <v>24.08</v>
          </cell>
          <cell r="DJ140">
            <v>24.46</v>
          </cell>
          <cell r="DK140">
            <v>21.62</v>
          </cell>
          <cell r="DL140">
            <v>20.6</v>
          </cell>
          <cell r="DM140">
            <v>20.51</v>
          </cell>
          <cell r="DN140">
            <v>20.399999999999999</v>
          </cell>
          <cell r="DO140">
            <v>20.25</v>
          </cell>
          <cell r="DP140">
            <v>20.13</v>
          </cell>
          <cell r="DQ140">
            <v>19.54</v>
          </cell>
          <cell r="DR140">
            <v>19.18</v>
          </cell>
          <cell r="DS140">
            <v>19.16</v>
          </cell>
          <cell r="DT140">
            <v>20.100000000000001</v>
          </cell>
          <cell r="DU140">
            <v>20.399999999999999</v>
          </cell>
        </row>
        <row r="142">
          <cell r="F142" t="str">
            <v>Ethane</v>
          </cell>
          <cell r="H142">
            <v>16.07</v>
          </cell>
          <cell r="I142">
            <v>21.96</v>
          </cell>
          <cell r="J142">
            <v>29.29</v>
          </cell>
          <cell r="K142">
            <v>34.99</v>
          </cell>
          <cell r="L142">
            <v>35.9</v>
          </cell>
          <cell r="M142">
            <v>28.92</v>
          </cell>
          <cell r="N142">
            <v>23.73</v>
          </cell>
          <cell r="O142">
            <v>15.28</v>
          </cell>
          <cell r="P142">
            <v>17.5</v>
          </cell>
          <cell r="Q142">
            <v>18.36</v>
          </cell>
          <cell r="R142">
            <v>18.600000000000001</v>
          </cell>
          <cell r="S142">
            <v>14.78</v>
          </cell>
          <cell r="T142">
            <v>15.94</v>
          </cell>
          <cell r="U142">
            <v>19.46</v>
          </cell>
          <cell r="V142">
            <v>25.63</v>
          </cell>
          <cell r="W142">
            <v>30.5</v>
          </cell>
          <cell r="X142">
            <v>28.99</v>
          </cell>
          <cell r="Y142">
            <v>21.81</v>
          </cell>
          <cell r="Z142">
            <v>17.48</v>
          </cell>
          <cell r="AA142">
            <v>19.260000000000002</v>
          </cell>
          <cell r="AB142">
            <v>19.88</v>
          </cell>
          <cell r="AC142">
            <v>18.88</v>
          </cell>
          <cell r="AD142">
            <v>20.91</v>
          </cell>
          <cell r="AE142">
            <v>24.68</v>
          </cell>
          <cell r="AF142">
            <v>24.77</v>
          </cell>
          <cell r="AG142">
            <v>26.45</v>
          </cell>
          <cell r="AH142">
            <v>26.69</v>
          </cell>
          <cell r="AI142">
            <v>25.01</v>
          </cell>
          <cell r="AJ142">
            <v>24.51</v>
          </cell>
          <cell r="AK142">
            <v>20.6</v>
          </cell>
          <cell r="AL142">
            <v>23.2</v>
          </cell>
          <cell r="AM142">
            <v>23.85</v>
          </cell>
          <cell r="AN142">
            <v>23.77</v>
          </cell>
          <cell r="AO142">
            <v>23.73</v>
          </cell>
          <cell r="AP142">
            <v>21.86</v>
          </cell>
          <cell r="AQ142">
            <v>21.48</v>
          </cell>
          <cell r="AR142">
            <v>20.04</v>
          </cell>
          <cell r="AS142">
            <v>18.91</v>
          </cell>
          <cell r="AT142">
            <v>18.23</v>
          </cell>
          <cell r="AU142">
            <v>17.2</v>
          </cell>
          <cell r="AV142">
            <v>16.29</v>
          </cell>
          <cell r="AW142">
            <v>17.02</v>
          </cell>
          <cell r="AX142">
            <v>18.350000000000001</v>
          </cell>
          <cell r="AY142">
            <v>19.260000000000002</v>
          </cell>
          <cell r="AZ142">
            <v>18.61</v>
          </cell>
          <cell r="BA142">
            <v>18.079999999999998</v>
          </cell>
          <cell r="BB142">
            <v>19.59</v>
          </cell>
          <cell r="BC142">
            <v>18.73</v>
          </cell>
          <cell r="BD142">
            <v>18.21</v>
          </cell>
          <cell r="BE142">
            <v>18.52</v>
          </cell>
          <cell r="BF142">
            <v>18.36</v>
          </cell>
          <cell r="BG142">
            <v>19.760000000000002</v>
          </cell>
          <cell r="BH142">
            <v>19.84</v>
          </cell>
          <cell r="BI142">
            <v>17.52</v>
          </cell>
          <cell r="BJ142">
            <v>16.16</v>
          </cell>
          <cell r="BK142">
            <v>13.9</v>
          </cell>
          <cell r="BL142">
            <v>14.11</v>
          </cell>
          <cell r="BM142">
            <v>14.57</v>
          </cell>
          <cell r="BN142">
            <v>14.89</v>
          </cell>
          <cell r="BO142">
            <v>13.73</v>
          </cell>
          <cell r="BP142">
            <v>12.51</v>
          </cell>
          <cell r="BQ142">
            <v>12.15</v>
          </cell>
          <cell r="BR142">
            <v>12.96</v>
          </cell>
          <cell r="BS142">
            <v>14.71</v>
          </cell>
          <cell r="BT142">
            <v>14.73</v>
          </cell>
          <cell r="BU142">
            <v>16.71</v>
          </cell>
          <cell r="BV142">
            <v>16.739999999999998</v>
          </cell>
          <cell r="BW142">
            <v>19.48</v>
          </cell>
          <cell r="BX142">
            <v>23.1</v>
          </cell>
          <cell r="BY142">
            <v>23.39</v>
          </cell>
          <cell r="BZ142">
            <v>20.85</v>
          </cell>
          <cell r="CA142">
            <v>20.309999999999999</v>
          </cell>
          <cell r="CB142">
            <v>22.96</v>
          </cell>
          <cell r="CC142">
            <v>24.58</v>
          </cell>
          <cell r="CD142">
            <v>28.08</v>
          </cell>
          <cell r="CE142">
            <v>30.29</v>
          </cell>
          <cell r="CF142">
            <v>32.67</v>
          </cell>
          <cell r="CG142">
            <v>33.299999999999997</v>
          </cell>
          <cell r="CH142">
            <v>32.46</v>
          </cell>
          <cell r="CI142">
            <v>21.21</v>
          </cell>
          <cell r="CJ142">
            <v>19.96</v>
          </cell>
          <cell r="CK142">
            <v>17.64</v>
          </cell>
          <cell r="CL142">
            <v>19.43</v>
          </cell>
          <cell r="CM142">
            <v>18.62</v>
          </cell>
          <cell r="CN142">
            <v>18.690000000000001</v>
          </cell>
          <cell r="CO142">
            <v>21.1</v>
          </cell>
          <cell r="CP142">
            <v>23.12</v>
          </cell>
          <cell r="CQ142">
            <v>23.61</v>
          </cell>
          <cell r="CR142">
            <v>22</v>
          </cell>
          <cell r="CS142">
            <v>19.89</v>
          </cell>
          <cell r="CT142">
            <v>20.49</v>
          </cell>
          <cell r="CU142">
            <v>20.68</v>
          </cell>
          <cell r="CV142">
            <v>21.03</v>
          </cell>
          <cell r="CW142">
            <v>19.38</v>
          </cell>
          <cell r="CX142">
            <v>17.62</v>
          </cell>
          <cell r="CY142">
            <v>15.93</v>
          </cell>
          <cell r="CZ142">
            <v>16.63</v>
          </cell>
          <cell r="DA142">
            <v>17.61</v>
          </cell>
          <cell r="DB142">
            <v>15.59</v>
          </cell>
          <cell r="DC142">
            <v>16.63</v>
          </cell>
          <cell r="DD142">
            <v>17.61</v>
          </cell>
          <cell r="DE142">
            <v>15.59</v>
          </cell>
          <cell r="DF142">
            <v>23.12</v>
          </cell>
          <cell r="DG142">
            <v>23.61</v>
          </cell>
          <cell r="DH142">
            <v>22</v>
          </cell>
          <cell r="DI142">
            <v>19.89</v>
          </cell>
          <cell r="DJ142">
            <v>20.49</v>
          </cell>
          <cell r="DK142">
            <v>20.68</v>
          </cell>
          <cell r="DL142">
            <v>21.03</v>
          </cell>
          <cell r="DM142">
            <v>19.38</v>
          </cell>
          <cell r="DN142">
            <v>17.62</v>
          </cell>
          <cell r="DO142">
            <v>15.93</v>
          </cell>
          <cell r="DP142">
            <v>16.63</v>
          </cell>
          <cell r="DQ142">
            <v>17.61</v>
          </cell>
          <cell r="DR142">
            <v>15.59</v>
          </cell>
          <cell r="DS142">
            <v>16.63</v>
          </cell>
          <cell r="DT142">
            <v>17.61</v>
          </cell>
          <cell r="DU142">
            <v>15.59</v>
          </cell>
        </row>
        <row r="143">
          <cell r="F143" t="str">
            <v>Benzene</v>
          </cell>
          <cell r="H143">
            <v>130</v>
          </cell>
          <cell r="I143">
            <v>130</v>
          </cell>
          <cell r="J143">
            <v>170</v>
          </cell>
          <cell r="K143">
            <v>200</v>
          </cell>
          <cell r="L143">
            <v>200</v>
          </cell>
          <cell r="M143">
            <v>150</v>
          </cell>
          <cell r="N143">
            <v>150</v>
          </cell>
          <cell r="O143">
            <v>145</v>
          </cell>
          <cell r="P143">
            <v>110</v>
          </cell>
          <cell r="Q143">
            <v>110</v>
          </cell>
          <cell r="R143">
            <v>110.5</v>
          </cell>
          <cell r="S143">
            <v>110</v>
          </cell>
          <cell r="T143">
            <v>105</v>
          </cell>
          <cell r="U143">
            <v>110</v>
          </cell>
          <cell r="V143">
            <v>125</v>
          </cell>
          <cell r="W143">
            <v>130</v>
          </cell>
          <cell r="X143">
            <v>130</v>
          </cell>
          <cell r="Y143">
            <v>130</v>
          </cell>
          <cell r="Z143">
            <v>110</v>
          </cell>
          <cell r="AA143">
            <v>105</v>
          </cell>
          <cell r="AB143">
            <v>110</v>
          </cell>
          <cell r="AC143">
            <v>115</v>
          </cell>
          <cell r="AD143">
            <v>120</v>
          </cell>
          <cell r="AE143">
            <v>120</v>
          </cell>
          <cell r="AF143">
            <v>130</v>
          </cell>
          <cell r="AG143">
            <v>120</v>
          </cell>
          <cell r="AH143">
            <v>110</v>
          </cell>
          <cell r="AI143">
            <v>90</v>
          </cell>
          <cell r="AJ143">
            <v>100</v>
          </cell>
          <cell r="AK143">
            <v>100</v>
          </cell>
          <cell r="AL143">
            <v>100</v>
          </cell>
          <cell r="AM143">
            <v>105</v>
          </cell>
          <cell r="AN143">
            <v>110</v>
          </cell>
          <cell r="AO143">
            <v>105</v>
          </cell>
          <cell r="AP143">
            <v>100</v>
          </cell>
          <cell r="AQ143">
            <v>100</v>
          </cell>
          <cell r="AR143">
            <v>95</v>
          </cell>
          <cell r="AS143">
            <v>95</v>
          </cell>
          <cell r="AT143">
            <v>95</v>
          </cell>
          <cell r="AU143">
            <v>90</v>
          </cell>
          <cell r="AV143">
            <v>90</v>
          </cell>
          <cell r="AW143">
            <v>85</v>
          </cell>
          <cell r="AX143">
            <v>85</v>
          </cell>
          <cell r="AY143">
            <v>85</v>
          </cell>
          <cell r="AZ143">
            <v>95</v>
          </cell>
          <cell r="BA143">
            <v>105</v>
          </cell>
          <cell r="BB143">
            <v>110</v>
          </cell>
          <cell r="BC143">
            <v>100</v>
          </cell>
          <cell r="BD143">
            <v>100</v>
          </cell>
          <cell r="BE143">
            <v>115</v>
          </cell>
          <cell r="BF143">
            <v>150</v>
          </cell>
          <cell r="BG143">
            <v>130</v>
          </cell>
          <cell r="BH143">
            <v>100</v>
          </cell>
          <cell r="BI143">
            <v>100</v>
          </cell>
          <cell r="BJ143">
            <v>110</v>
          </cell>
          <cell r="BK143">
            <v>120</v>
          </cell>
          <cell r="BL143">
            <v>100</v>
          </cell>
          <cell r="BM143">
            <v>105</v>
          </cell>
          <cell r="BN143">
            <v>115</v>
          </cell>
          <cell r="BO143">
            <v>105</v>
          </cell>
          <cell r="BP143">
            <v>90</v>
          </cell>
          <cell r="BQ143">
            <v>90</v>
          </cell>
          <cell r="BR143">
            <v>85</v>
          </cell>
          <cell r="BS143">
            <v>75</v>
          </cell>
          <cell r="BT143">
            <v>70</v>
          </cell>
          <cell r="BU143">
            <v>80</v>
          </cell>
          <cell r="BV143">
            <v>90</v>
          </cell>
          <cell r="BW143">
            <v>95</v>
          </cell>
          <cell r="BX143">
            <v>90</v>
          </cell>
          <cell r="BY143">
            <v>118</v>
          </cell>
          <cell r="BZ143">
            <v>123</v>
          </cell>
          <cell r="CA143">
            <v>123</v>
          </cell>
          <cell r="CB143">
            <v>95</v>
          </cell>
          <cell r="CC143">
            <v>95</v>
          </cell>
          <cell r="CD143">
            <v>115</v>
          </cell>
          <cell r="CE143">
            <v>100</v>
          </cell>
          <cell r="CF143">
            <v>100</v>
          </cell>
          <cell r="CG143">
            <v>105</v>
          </cell>
          <cell r="CH143">
            <v>110</v>
          </cell>
          <cell r="CI143">
            <v>120</v>
          </cell>
          <cell r="CJ143">
            <v>105</v>
          </cell>
          <cell r="CK143">
            <v>105</v>
          </cell>
          <cell r="CL143">
            <v>105</v>
          </cell>
          <cell r="CM143">
            <v>85</v>
          </cell>
          <cell r="CN143">
            <v>80</v>
          </cell>
          <cell r="CO143">
            <v>90</v>
          </cell>
          <cell r="CP143">
            <v>100</v>
          </cell>
          <cell r="CQ143">
            <v>95</v>
          </cell>
          <cell r="CR143">
            <v>100</v>
          </cell>
          <cell r="CS143">
            <v>105</v>
          </cell>
          <cell r="CT143">
            <v>115</v>
          </cell>
          <cell r="CU143">
            <v>85</v>
          </cell>
          <cell r="CV143">
            <v>77</v>
          </cell>
          <cell r="CW143">
            <v>77</v>
          </cell>
          <cell r="CX143">
            <v>77</v>
          </cell>
          <cell r="CY143">
            <v>75</v>
          </cell>
          <cell r="CZ143">
            <v>75</v>
          </cell>
          <cell r="DA143">
            <v>75</v>
          </cell>
          <cell r="DB143">
            <v>72</v>
          </cell>
          <cell r="DC143">
            <v>72</v>
          </cell>
          <cell r="DD143">
            <v>80</v>
          </cell>
          <cell r="DE143">
            <v>85</v>
          </cell>
          <cell r="DF143">
            <v>100</v>
          </cell>
          <cell r="DG143">
            <v>95</v>
          </cell>
          <cell r="DH143">
            <v>100</v>
          </cell>
          <cell r="DI143">
            <v>105</v>
          </cell>
          <cell r="DJ143">
            <v>115</v>
          </cell>
          <cell r="DK143">
            <v>85</v>
          </cell>
          <cell r="DL143">
            <v>77</v>
          </cell>
          <cell r="DM143">
            <v>77</v>
          </cell>
          <cell r="DN143">
            <v>77</v>
          </cell>
          <cell r="DO143">
            <v>75</v>
          </cell>
          <cell r="DP143">
            <v>75</v>
          </cell>
          <cell r="DQ143">
            <v>75</v>
          </cell>
          <cell r="DR143">
            <v>72</v>
          </cell>
          <cell r="DS143">
            <v>72</v>
          </cell>
          <cell r="DT143">
            <v>80</v>
          </cell>
          <cell r="DU143">
            <v>85</v>
          </cell>
        </row>
        <row r="145">
          <cell r="F145" t="str">
            <v>Ethane cost</v>
          </cell>
          <cell r="H145">
            <v>1.8295694999999998</v>
          </cell>
          <cell r="I145">
            <v>2.500146</v>
          </cell>
          <cell r="J145">
            <v>3.3346664999999995</v>
          </cell>
          <cell r="K145">
            <v>3.9836115000000003</v>
          </cell>
          <cell r="L145">
            <v>4.0872149999999996</v>
          </cell>
          <cell r="M145">
            <v>3.2925420000000001</v>
          </cell>
          <cell r="N145">
            <v>2.7016605</v>
          </cell>
          <cell r="O145">
            <v>1.739628</v>
          </cell>
          <cell r="P145">
            <v>1.992375</v>
          </cell>
          <cell r="Q145">
            <v>2.0902859999999999</v>
          </cell>
          <cell r="R145">
            <v>2.11761</v>
          </cell>
          <cell r="S145">
            <v>1.6827029999999998</v>
          </cell>
          <cell r="T145">
            <v>1.8147689999999999</v>
          </cell>
          <cell r="U145">
            <v>2.2155209999999999</v>
          </cell>
          <cell r="V145">
            <v>2.9179754999999998</v>
          </cell>
          <cell r="W145">
            <v>3.4724249999999999</v>
          </cell>
          <cell r="X145">
            <v>3.3005114999999994</v>
          </cell>
          <cell r="Y145">
            <v>2.4830684999999999</v>
          </cell>
          <cell r="Z145">
            <v>1.9900979999999999</v>
          </cell>
          <cell r="AA145">
            <v>2.1927510000000003</v>
          </cell>
          <cell r="AB145">
            <v>2.2633379999999996</v>
          </cell>
          <cell r="AC145">
            <v>2.1494879999999998</v>
          </cell>
          <cell r="AD145">
            <v>2.3806034999999999</v>
          </cell>
          <cell r="AE145">
            <v>2.8098179999999999</v>
          </cell>
          <cell r="AF145">
            <v>2.8200644999999995</v>
          </cell>
          <cell r="AG145">
            <v>3.0113325</v>
          </cell>
          <cell r="AH145">
            <v>3.0386565000000001</v>
          </cell>
          <cell r="AI145">
            <v>2.8473884999999997</v>
          </cell>
          <cell r="AJ145">
            <v>2.7904635</v>
          </cell>
          <cell r="AK145">
            <v>2.34531</v>
          </cell>
          <cell r="AL145">
            <v>2.6413199999999999</v>
          </cell>
          <cell r="AM145">
            <v>2.7153224999999996</v>
          </cell>
          <cell r="AN145">
            <v>2.7062145000000002</v>
          </cell>
          <cell r="AO145">
            <v>2.7016605</v>
          </cell>
          <cell r="AP145">
            <v>2.4887609999999998</v>
          </cell>
          <cell r="AQ145">
            <v>2.4454980000000002</v>
          </cell>
          <cell r="AR145">
            <v>2.2815539999999999</v>
          </cell>
          <cell r="AS145">
            <v>2.1529034999999999</v>
          </cell>
          <cell r="AT145">
            <v>2.0754855000000001</v>
          </cell>
          <cell r="AU145">
            <v>1.9582199999999998</v>
          </cell>
          <cell r="AV145">
            <v>1.8546164999999999</v>
          </cell>
          <cell r="AW145">
            <v>1.9377269999999998</v>
          </cell>
          <cell r="AX145">
            <v>2.0891475000000002</v>
          </cell>
          <cell r="AY145">
            <v>2.1927510000000003</v>
          </cell>
          <cell r="AZ145">
            <v>2.1187484999999997</v>
          </cell>
          <cell r="BA145">
            <v>2.0584079999999996</v>
          </cell>
          <cell r="BB145">
            <v>2.2303215000000001</v>
          </cell>
          <cell r="BC145">
            <v>2.1324104999999998</v>
          </cell>
          <cell r="BD145">
            <v>2.0732085000000002</v>
          </cell>
          <cell r="BE145">
            <v>2.1085019999999997</v>
          </cell>
          <cell r="BF145">
            <v>2.0902859999999999</v>
          </cell>
          <cell r="BG145">
            <v>2.249676</v>
          </cell>
          <cell r="BH145">
            <v>2.2587839999999999</v>
          </cell>
          <cell r="BI145">
            <v>1.9946519999999999</v>
          </cell>
          <cell r="BJ145">
            <v>1.8398159999999999</v>
          </cell>
          <cell r="BK145">
            <v>1.5825149999999999</v>
          </cell>
          <cell r="BL145">
            <v>1.6064235</v>
          </cell>
          <cell r="BM145">
            <v>1.6587945000000002</v>
          </cell>
          <cell r="BN145">
            <v>1.6952265</v>
          </cell>
          <cell r="BO145">
            <v>1.5631605</v>
          </cell>
          <cell r="BP145">
            <v>1.4242635000000001</v>
          </cell>
          <cell r="BQ145">
            <v>1.3832774999999999</v>
          </cell>
          <cell r="BR145">
            <v>1.4754959999999999</v>
          </cell>
          <cell r="BS145">
            <v>1.6747335000000001</v>
          </cell>
          <cell r="BT145">
            <v>1.6770105</v>
          </cell>
          <cell r="BU145">
            <v>1.9024335000000001</v>
          </cell>
          <cell r="BV145">
            <v>1.9058489999999997</v>
          </cell>
          <cell r="BW145">
            <v>2.2177979999999997</v>
          </cell>
          <cell r="BX145">
            <v>2.6299350000000001</v>
          </cell>
          <cell r="BY145">
            <v>2.6629515000000001</v>
          </cell>
          <cell r="BZ145">
            <v>2.3737725000000003</v>
          </cell>
          <cell r="CA145">
            <v>2.3122934999999996</v>
          </cell>
          <cell r="CB145">
            <v>2.6139960000000002</v>
          </cell>
          <cell r="CC145">
            <v>2.7984329999999997</v>
          </cell>
          <cell r="CD145">
            <v>3.1969079999999996</v>
          </cell>
          <cell r="CE145">
            <v>3.4485164999999998</v>
          </cell>
          <cell r="CF145">
            <v>3.7194795000000003</v>
          </cell>
          <cell r="CG145">
            <v>3.7912049999999997</v>
          </cell>
          <cell r="CH145">
            <v>3.6955709999999997</v>
          </cell>
          <cell r="CI145">
            <v>2.4147585</v>
          </cell>
          <cell r="CJ145">
            <v>2.272446</v>
          </cell>
          <cell r="CK145">
            <v>2.0083139999999999</v>
          </cell>
          <cell r="CL145">
            <v>2.2121054999999998</v>
          </cell>
          <cell r="CM145">
            <v>2.1198869999999999</v>
          </cell>
          <cell r="CN145">
            <v>2.1278565</v>
          </cell>
          <cell r="CO145">
            <v>2.4022350000000001</v>
          </cell>
          <cell r="CP145">
            <v>2.632212</v>
          </cell>
          <cell r="CQ145">
            <v>2.6879984999999995</v>
          </cell>
          <cell r="CR145">
            <v>2.5047000000000001</v>
          </cell>
          <cell r="CS145">
            <v>2.2644765000000002</v>
          </cell>
          <cell r="CT145">
            <v>2.3327864999999997</v>
          </cell>
          <cell r="CU145">
            <v>2.3544179999999999</v>
          </cell>
          <cell r="CV145">
            <v>2.3942654999999999</v>
          </cell>
          <cell r="CW145">
            <v>2.2064129999999995</v>
          </cell>
          <cell r="CX145">
            <v>2.0060370000000001</v>
          </cell>
          <cell r="CY145">
            <v>1.8136305000000001</v>
          </cell>
          <cell r="CZ145">
            <v>1.8933254999999998</v>
          </cell>
          <cell r="DA145">
            <v>2.0048984999999999</v>
          </cell>
          <cell r="DB145">
            <v>1.7749215</v>
          </cell>
          <cell r="DC145">
            <v>1.8933254999999998</v>
          </cell>
          <cell r="DD145">
            <v>2.0048984999999999</v>
          </cell>
          <cell r="DE145">
            <v>1.7749215</v>
          </cell>
          <cell r="DF145">
            <v>2.632212</v>
          </cell>
          <cell r="DG145">
            <v>2.6879984999999995</v>
          </cell>
          <cell r="DH145">
            <v>2.5047000000000001</v>
          </cell>
          <cell r="DI145">
            <v>2.2644765000000002</v>
          </cell>
          <cell r="DJ145">
            <v>2.3327864999999997</v>
          </cell>
          <cell r="DK145">
            <v>2.3544179999999999</v>
          </cell>
          <cell r="DL145">
            <v>2.3942654999999999</v>
          </cell>
          <cell r="DM145">
            <v>2.2064129999999995</v>
          </cell>
          <cell r="DN145">
            <v>2.0060370000000001</v>
          </cell>
          <cell r="DO145">
            <v>1.8136305000000001</v>
          </cell>
          <cell r="DP145">
            <v>1.8933254999999998</v>
          </cell>
          <cell r="DQ145">
            <v>2.0048984999999999</v>
          </cell>
          <cell r="DR145">
            <v>1.7749215</v>
          </cell>
          <cell r="DS145">
            <v>1.8933254999999998</v>
          </cell>
          <cell r="DT145">
            <v>2.0048984999999999</v>
          </cell>
          <cell r="DU145">
            <v>1.7749215</v>
          </cell>
        </row>
        <row r="146">
          <cell r="F146" t="str">
            <v>Benzene cost</v>
          </cell>
          <cell r="H146">
            <v>14.56</v>
          </cell>
          <cell r="I146">
            <v>14.56</v>
          </cell>
          <cell r="J146">
            <v>19.04</v>
          </cell>
          <cell r="K146">
            <v>22.400000000000002</v>
          </cell>
          <cell r="L146">
            <v>22.400000000000002</v>
          </cell>
          <cell r="M146">
            <v>16.8</v>
          </cell>
          <cell r="N146">
            <v>16.8</v>
          </cell>
          <cell r="O146">
            <v>16.240000000000002</v>
          </cell>
          <cell r="P146">
            <v>12.32</v>
          </cell>
          <cell r="Q146">
            <v>12.32</v>
          </cell>
          <cell r="R146">
            <v>12.375999999999999</v>
          </cell>
          <cell r="S146">
            <v>12.32</v>
          </cell>
          <cell r="T146">
            <v>12.496580027359782</v>
          </cell>
          <cell r="U146">
            <v>13.091655266757867</v>
          </cell>
          <cell r="V146">
            <v>14.876880984952122</v>
          </cell>
          <cell r="W146">
            <v>15.471956224350205</v>
          </cell>
          <cell r="X146">
            <v>15.471956224350205</v>
          </cell>
          <cell r="Y146">
            <v>15.471956224350205</v>
          </cell>
          <cell r="Z146">
            <v>13.091655266757867</v>
          </cell>
          <cell r="AA146">
            <v>12.496580027359782</v>
          </cell>
          <cell r="AB146">
            <v>13.091655266757867</v>
          </cell>
          <cell r="AC146">
            <v>13.686730506155952</v>
          </cell>
          <cell r="AD146">
            <v>14.281805745554037</v>
          </cell>
          <cell r="AE146">
            <v>14.281805745554037</v>
          </cell>
          <cell r="AF146">
            <v>15.471956224350205</v>
          </cell>
          <cell r="AG146">
            <v>14.281805745554037</v>
          </cell>
          <cell r="AH146">
            <v>13.091655266757867</v>
          </cell>
          <cell r="AI146">
            <v>10.711354309165527</v>
          </cell>
          <cell r="AJ146">
            <v>11.901504787961697</v>
          </cell>
          <cell r="AK146">
            <v>11.901504787961697</v>
          </cell>
          <cell r="AL146">
            <v>11.901504787961697</v>
          </cell>
          <cell r="AM146">
            <v>12.496580027359782</v>
          </cell>
          <cell r="AN146">
            <v>13.091655266757867</v>
          </cell>
          <cell r="AO146">
            <v>12.496580027359782</v>
          </cell>
          <cell r="AP146">
            <v>11.901504787961697</v>
          </cell>
          <cell r="AQ146">
            <v>11.901504787961697</v>
          </cell>
          <cell r="AR146">
            <v>11.306429548563614</v>
          </cell>
          <cell r="AS146">
            <v>11.306429548563614</v>
          </cell>
          <cell r="AT146">
            <v>11.306429548563614</v>
          </cell>
          <cell r="AU146">
            <v>10.711354309165527</v>
          </cell>
          <cell r="AV146">
            <v>10.711354309165527</v>
          </cell>
          <cell r="AW146">
            <v>10.116279069767442</v>
          </cell>
          <cell r="AX146">
            <v>10.116279069767442</v>
          </cell>
          <cell r="AY146">
            <v>10.116279069767442</v>
          </cell>
          <cell r="AZ146">
            <v>11.306429548563614</v>
          </cell>
          <cell r="BA146">
            <v>12.496580027359782</v>
          </cell>
          <cell r="BB146">
            <v>13.091655266757867</v>
          </cell>
          <cell r="BC146">
            <v>11.901504787961697</v>
          </cell>
          <cell r="BD146">
            <v>11.901504787961697</v>
          </cell>
          <cell r="BE146">
            <v>13.686730506155952</v>
          </cell>
          <cell r="BF146">
            <v>17.852257181942544</v>
          </cell>
          <cell r="BG146">
            <v>15.471956224350205</v>
          </cell>
          <cell r="BH146">
            <v>11.901504787961697</v>
          </cell>
          <cell r="BI146">
            <v>11.901504787961697</v>
          </cell>
          <cell r="BJ146">
            <v>13.091655266757867</v>
          </cell>
          <cell r="BK146">
            <v>14.281805745554037</v>
          </cell>
          <cell r="BL146">
            <v>11.901504787961697</v>
          </cell>
          <cell r="BM146">
            <v>12.496580027359782</v>
          </cell>
          <cell r="BN146">
            <v>13.686730506155952</v>
          </cell>
          <cell r="BO146">
            <v>12.496580027359782</v>
          </cell>
          <cell r="BP146">
            <v>10.711354309165527</v>
          </cell>
          <cell r="BQ146">
            <v>10.711354309165527</v>
          </cell>
          <cell r="BR146">
            <v>10.116279069767442</v>
          </cell>
          <cell r="BS146">
            <v>8.9261285909712722</v>
          </cell>
          <cell r="BT146">
            <v>8.3310533515731873</v>
          </cell>
          <cell r="BU146">
            <v>9.5212038303693571</v>
          </cell>
          <cell r="BV146">
            <v>10.711354309165527</v>
          </cell>
          <cell r="BW146">
            <v>11.306429548563614</v>
          </cell>
          <cell r="BX146">
            <v>10.711354309165527</v>
          </cell>
          <cell r="BY146">
            <v>14.043775649794801</v>
          </cell>
          <cell r="BZ146">
            <v>14.638850889192888</v>
          </cell>
          <cell r="CA146">
            <v>14.638850889192888</v>
          </cell>
          <cell r="CB146">
            <v>11.306429548563614</v>
          </cell>
          <cell r="CC146">
            <v>11.306429548563614</v>
          </cell>
          <cell r="CD146">
            <v>13.686730506155952</v>
          </cell>
          <cell r="CE146">
            <v>11.901504787961697</v>
          </cell>
          <cell r="CF146">
            <v>11.901504787961697</v>
          </cell>
          <cell r="CG146">
            <v>12.496580027359782</v>
          </cell>
          <cell r="CH146">
            <v>13.091655266757867</v>
          </cell>
          <cell r="CI146">
            <v>14.281805745554037</v>
          </cell>
          <cell r="CJ146">
            <v>12.496580027359782</v>
          </cell>
          <cell r="CK146">
            <v>12.496580027359782</v>
          </cell>
          <cell r="CL146">
            <v>12.496580027359782</v>
          </cell>
          <cell r="CM146">
            <v>10.116279069767442</v>
          </cell>
          <cell r="CN146">
            <v>9.5212038303693571</v>
          </cell>
          <cell r="CO146">
            <v>10.711354309165527</v>
          </cell>
          <cell r="CP146">
            <v>11.901504787961697</v>
          </cell>
          <cell r="CQ146">
            <v>11.306429548563614</v>
          </cell>
          <cell r="CR146">
            <v>11.901504787961697</v>
          </cell>
          <cell r="CS146">
            <v>12.496580027359782</v>
          </cell>
          <cell r="CT146">
            <v>13.686730506155952</v>
          </cell>
          <cell r="CU146">
            <v>10.116279069767442</v>
          </cell>
          <cell r="CV146">
            <v>9.1641586867305058</v>
          </cell>
          <cell r="CW146">
            <v>9.1641586867305058</v>
          </cell>
          <cell r="CX146">
            <v>9.1641586867305058</v>
          </cell>
          <cell r="CY146">
            <v>8.9261285909712722</v>
          </cell>
          <cell r="CZ146">
            <v>8.9261285909712722</v>
          </cell>
          <cell r="DA146">
            <v>8.9261285909712722</v>
          </cell>
          <cell r="DB146">
            <v>8.5690834473324227</v>
          </cell>
          <cell r="DC146">
            <v>8.5690834473324227</v>
          </cell>
          <cell r="DD146">
            <v>9.5212038303693571</v>
          </cell>
          <cell r="DE146">
            <v>10.116279069767442</v>
          </cell>
          <cell r="DF146">
            <v>11.901504787961697</v>
          </cell>
          <cell r="DG146">
            <v>11.306429548563614</v>
          </cell>
          <cell r="DH146">
            <v>11.901504787961697</v>
          </cell>
          <cell r="DI146">
            <v>12.496580027359782</v>
          </cell>
          <cell r="DJ146">
            <v>13.686730506155952</v>
          </cell>
          <cell r="DK146">
            <v>10.116279069767442</v>
          </cell>
          <cell r="DL146">
            <v>9.1641586867305058</v>
          </cell>
          <cell r="DM146">
            <v>9.1641586867305058</v>
          </cell>
          <cell r="DN146">
            <v>9.1641586867305058</v>
          </cell>
          <cell r="DO146">
            <v>8.9261285909712722</v>
          </cell>
          <cell r="DP146">
            <v>8.9261285909712722</v>
          </cell>
          <cell r="DQ146">
            <v>8.9261285909712722</v>
          </cell>
          <cell r="DR146">
            <v>8.5690834473324227</v>
          </cell>
          <cell r="DS146">
            <v>8.5690834473324227</v>
          </cell>
          <cell r="DT146">
            <v>9.5212038303693571</v>
          </cell>
          <cell r="DU146">
            <v>10.116279069767442</v>
          </cell>
        </row>
        <row r="148">
          <cell r="F148" t="str">
            <v>Spread</v>
          </cell>
          <cell r="H148">
            <v>17.790430499999999</v>
          </cell>
          <cell r="I148">
            <v>17.789853999999998</v>
          </cell>
          <cell r="J148">
            <v>15.585333500000004</v>
          </cell>
          <cell r="K148">
            <v>14.606388499999998</v>
          </cell>
          <cell r="L148">
            <v>15.292784999999999</v>
          </cell>
          <cell r="M148">
            <v>16.627458000000001</v>
          </cell>
          <cell r="N148">
            <v>14.6083395</v>
          </cell>
          <cell r="O148">
            <v>14.230371999999999</v>
          </cell>
          <cell r="P148">
            <v>13.137625</v>
          </cell>
          <cell r="Q148">
            <v>12.049714000000002</v>
          </cell>
          <cell r="R148">
            <v>10.97639</v>
          </cell>
          <cell r="S148">
            <v>10.717296999999999</v>
          </cell>
          <cell r="T148">
            <v>8.9786509726402191</v>
          </cell>
          <cell r="U148">
            <v>8.5728237332421333</v>
          </cell>
          <cell r="V148">
            <v>6.8351435150478768</v>
          </cell>
          <cell r="W148">
            <v>6.5356187756497945</v>
          </cell>
          <cell r="X148">
            <v>6.987532275649798</v>
          </cell>
          <cell r="Y148">
            <v>7.7149752756497953</v>
          </cell>
          <cell r="Z148">
            <v>8.6182467332421329</v>
          </cell>
          <cell r="AA148">
            <v>8.0206689726402178</v>
          </cell>
          <cell r="AB148">
            <v>7.3650067332421312</v>
          </cell>
          <cell r="AC148">
            <v>7.4337814938440463</v>
          </cell>
          <cell r="AD148">
            <v>7.3175907544459644</v>
          </cell>
          <cell r="AE148">
            <v>7.918376254445965</v>
          </cell>
          <cell r="AF148">
            <v>7.977979275649794</v>
          </cell>
          <cell r="AG148">
            <v>8.4468617544459637</v>
          </cell>
          <cell r="AH148">
            <v>8.4596882332421348</v>
          </cell>
          <cell r="AI148">
            <v>8.9112571908344709</v>
          </cell>
          <cell r="AJ148">
            <v>8.2280317120383035</v>
          </cell>
          <cell r="AK148">
            <v>8.1431852120383024</v>
          </cell>
          <cell r="AL148">
            <v>7.7271752120383024</v>
          </cell>
          <cell r="AM148">
            <v>7.3380974726402197</v>
          </cell>
          <cell r="AN148">
            <v>7.0021302332421325</v>
          </cell>
          <cell r="AO148">
            <v>8.0117594726402199</v>
          </cell>
          <cell r="AP148">
            <v>9.2997342120383042</v>
          </cell>
          <cell r="AQ148">
            <v>9.3229972120383042</v>
          </cell>
          <cell r="AR148">
            <v>9.562016451436385</v>
          </cell>
          <cell r="AS148">
            <v>9.6106669514363858</v>
          </cell>
          <cell r="AT148">
            <v>9.5980849514363875</v>
          </cell>
          <cell r="AU148">
            <v>9.5804256908344723</v>
          </cell>
          <cell r="AV148">
            <v>9.5340291908344756</v>
          </cell>
          <cell r="AW148">
            <v>8.9159939302325579</v>
          </cell>
          <cell r="AX148">
            <v>8.4745734302325584</v>
          </cell>
          <cell r="AY148">
            <v>8.4809699302325559</v>
          </cell>
          <cell r="AZ148">
            <v>9.0348219514363883</v>
          </cell>
          <cell r="BA148">
            <v>9.2250119726402193</v>
          </cell>
          <cell r="BB148">
            <v>9.788023233242134</v>
          </cell>
          <cell r="BC148">
            <v>10.726084712038306</v>
          </cell>
          <cell r="BD148">
            <v>11.815286712038302</v>
          </cell>
          <cell r="BE148">
            <v>12.484767493844048</v>
          </cell>
          <cell r="BF148">
            <v>12.64745681805746</v>
          </cell>
          <cell r="BG148">
            <v>14.418367775649795</v>
          </cell>
          <cell r="BH148">
            <v>16.779711212038308</v>
          </cell>
          <cell r="BI148">
            <v>17.203843212038308</v>
          </cell>
          <cell r="BJ148">
            <v>17.75852873324213</v>
          </cell>
          <cell r="BK148">
            <v>18.765679254445963</v>
          </cell>
          <cell r="BL148">
            <v>21.852071712038303</v>
          </cell>
          <cell r="BM148">
            <v>22.264625472640219</v>
          </cell>
          <cell r="BN148">
            <v>21.678042993844052</v>
          </cell>
          <cell r="BO148">
            <v>22.050259472640214</v>
          </cell>
          <cell r="BP148">
            <v>21.704382190834473</v>
          </cell>
          <cell r="BQ148">
            <v>17.955368190834477</v>
          </cell>
          <cell r="BR148">
            <v>14.878224930232557</v>
          </cell>
          <cell r="BS148">
            <v>13.17913790902873</v>
          </cell>
          <cell r="BT148">
            <v>12.991936148426811</v>
          </cell>
          <cell r="BU148">
            <v>11.486362669630642</v>
          </cell>
          <cell r="BV148">
            <v>10.352796690834472</v>
          </cell>
          <cell r="BW148">
            <v>9.9657724514363863</v>
          </cell>
          <cell r="BX148">
            <v>10.288710690834472</v>
          </cell>
          <cell r="BY148">
            <v>11.643272850205202</v>
          </cell>
          <cell r="BZ148">
            <v>13.697376610807112</v>
          </cell>
          <cell r="CA148">
            <v>15.608855610807112</v>
          </cell>
          <cell r="CB148">
            <v>11.739574451436386</v>
          </cell>
          <cell r="CC148">
            <v>11.085137451436388</v>
          </cell>
          <cell r="CD148">
            <v>9.3663614938440478</v>
          </cell>
          <cell r="CE148">
            <v>9.1999787120383036</v>
          </cell>
          <cell r="CF148">
            <v>8.4590157120383029</v>
          </cell>
          <cell r="CG148">
            <v>7.7122149726402203</v>
          </cell>
          <cell r="CH148">
            <v>8.6527737332421335</v>
          </cell>
          <cell r="CI148">
            <v>9.2634357544459629</v>
          </cell>
          <cell r="CJ148">
            <v>10.430973972640219</v>
          </cell>
          <cell r="CK148">
            <v>9.9351059726402209</v>
          </cell>
          <cell r="CL148">
            <v>9.4113144726402194</v>
          </cell>
          <cell r="CM148">
            <v>10.783833930232559</v>
          </cell>
          <cell r="CN148">
            <v>11.520939669630645</v>
          </cell>
          <cell r="CO148">
            <v>10.646410690834474</v>
          </cell>
          <cell r="CP148">
            <v>9.6462832120383037</v>
          </cell>
          <cell r="CQ148">
            <v>9.6255719514363882</v>
          </cell>
          <cell r="CR148">
            <v>9.3937952120383041</v>
          </cell>
          <cell r="CS148">
            <v>9.3189434726402158</v>
          </cell>
          <cell r="CT148">
            <v>8.4404829938440482</v>
          </cell>
          <cell r="CU148">
            <v>9.1493029302325599</v>
          </cell>
          <cell r="CV148">
            <v>9.0415758132694961</v>
          </cell>
          <cell r="CW148">
            <v>9.1394283132694945</v>
          </cell>
          <cell r="CX148">
            <v>9.2298043132694936</v>
          </cell>
          <cell r="CY148">
            <v>9.5102409090287292</v>
          </cell>
          <cell r="CZ148">
            <v>9.3105459090287273</v>
          </cell>
          <cell r="DA148">
            <v>8.6089729090287275</v>
          </cell>
          <cell r="DB148">
            <v>8.8359950526675757</v>
          </cell>
          <cell r="DC148">
            <v>8.6975910526675779</v>
          </cell>
          <cell r="DD148">
            <v>8.5738976696306448</v>
          </cell>
          <cell r="DE148">
            <v>8.5087994302325551</v>
          </cell>
          <cell r="DF148">
            <v>9.6462832120383037</v>
          </cell>
          <cell r="DG148">
            <v>9.6255719514363882</v>
          </cell>
          <cell r="DH148">
            <v>9.3937952120383041</v>
          </cell>
          <cell r="DI148">
            <v>9.3189434726402158</v>
          </cell>
          <cell r="DJ148">
            <v>8.4404829938440482</v>
          </cell>
          <cell r="DK148">
            <v>9.1493029302325599</v>
          </cell>
          <cell r="DL148">
            <v>9.0415758132694961</v>
          </cell>
          <cell r="DM148">
            <v>9.1394283132694945</v>
          </cell>
          <cell r="DN148">
            <v>9.2298043132694936</v>
          </cell>
          <cell r="DO148">
            <v>9.5102409090287292</v>
          </cell>
          <cell r="DP148">
            <v>9.3105459090287273</v>
          </cell>
          <cell r="DQ148">
            <v>8.6089729090287275</v>
          </cell>
          <cell r="DR148">
            <v>8.8359950526675757</v>
          </cell>
          <cell r="DS148">
            <v>8.6975910526675779</v>
          </cell>
          <cell r="DT148">
            <v>8.5738976696306448</v>
          </cell>
          <cell r="DU148">
            <v>8.5087994302325551</v>
          </cell>
        </row>
        <row r="150">
          <cell r="F150" t="str">
            <v>(1)  Assuming a conversion factor of 2.9 lbs./gal of ethane and .33 lbs. ethane to produce 1.0 lbs. styrene.</v>
          </cell>
        </row>
        <row r="151">
          <cell r="F151" t="str">
            <v>(2)  Assuming 7.31 lbs. per gallon of benzene and .87 lbs. of benzene to produce 1.0 lbs. of styrene.</v>
          </cell>
        </row>
        <row r="154">
          <cell r="F154" t="str">
            <v>Methanol/Natural Gas  Cost Spread</v>
          </cell>
        </row>
        <row r="156">
          <cell r="H156">
            <v>33055</v>
          </cell>
          <cell r="I156">
            <v>33086</v>
          </cell>
          <cell r="J156">
            <v>33117</v>
          </cell>
          <cell r="K156">
            <v>33147</v>
          </cell>
          <cell r="L156">
            <v>33178</v>
          </cell>
          <cell r="M156">
            <v>33208</v>
          </cell>
          <cell r="N156">
            <v>33239</v>
          </cell>
          <cell r="O156">
            <v>33270</v>
          </cell>
          <cell r="P156">
            <v>33298</v>
          </cell>
          <cell r="Q156">
            <v>33329</v>
          </cell>
          <cell r="R156">
            <v>33359</v>
          </cell>
          <cell r="S156">
            <v>33390</v>
          </cell>
          <cell r="T156">
            <v>33420</v>
          </cell>
          <cell r="U156">
            <v>33451</v>
          </cell>
          <cell r="V156">
            <v>33482</v>
          </cell>
          <cell r="W156">
            <v>33512</v>
          </cell>
          <cell r="X156">
            <v>33543</v>
          </cell>
          <cell r="Y156">
            <v>33573</v>
          </cell>
          <cell r="Z156">
            <v>33604</v>
          </cell>
          <cell r="AA156">
            <v>33635</v>
          </cell>
          <cell r="AB156">
            <v>33664</v>
          </cell>
          <cell r="AC156">
            <v>33695</v>
          </cell>
          <cell r="AD156">
            <v>33725</v>
          </cell>
          <cell r="AE156">
            <v>33756</v>
          </cell>
          <cell r="AF156">
            <v>33786</v>
          </cell>
          <cell r="AG156">
            <v>33817</v>
          </cell>
          <cell r="AH156">
            <v>33848</v>
          </cell>
          <cell r="AI156">
            <v>33878</v>
          </cell>
          <cell r="AJ156">
            <v>33909</v>
          </cell>
          <cell r="AK156">
            <v>33939</v>
          </cell>
          <cell r="AL156">
            <v>33970</v>
          </cell>
          <cell r="AM156">
            <v>34001</v>
          </cell>
          <cell r="AN156">
            <v>34029</v>
          </cell>
          <cell r="AO156">
            <v>34060</v>
          </cell>
          <cell r="AP156">
            <v>34090</v>
          </cell>
          <cell r="AQ156">
            <v>34121</v>
          </cell>
          <cell r="AR156">
            <v>34151</v>
          </cell>
          <cell r="AS156">
            <v>34182</v>
          </cell>
          <cell r="AT156">
            <v>34213</v>
          </cell>
          <cell r="AU156">
            <v>34243</v>
          </cell>
          <cell r="AV156">
            <v>34274</v>
          </cell>
          <cell r="AW156">
            <v>34304</v>
          </cell>
          <cell r="AX156">
            <v>34335</v>
          </cell>
          <cell r="AY156">
            <v>34366</v>
          </cell>
          <cell r="AZ156">
            <v>34394</v>
          </cell>
          <cell r="BA156">
            <v>34425</v>
          </cell>
          <cell r="BB156">
            <v>34455</v>
          </cell>
          <cell r="BC156">
            <v>34486</v>
          </cell>
          <cell r="BD156">
            <v>34516</v>
          </cell>
          <cell r="BE156">
            <v>34547</v>
          </cell>
          <cell r="BF156">
            <v>34578</v>
          </cell>
          <cell r="BG156">
            <v>34608</v>
          </cell>
          <cell r="BH156">
            <v>34639</v>
          </cell>
          <cell r="BI156">
            <v>34669</v>
          </cell>
          <cell r="BJ156">
            <v>34700</v>
          </cell>
          <cell r="BK156">
            <v>34731</v>
          </cell>
          <cell r="BL156">
            <v>34759</v>
          </cell>
          <cell r="BM156">
            <v>34790</v>
          </cell>
          <cell r="BN156">
            <v>34820</v>
          </cell>
          <cell r="BO156">
            <v>34851</v>
          </cell>
          <cell r="BP156">
            <v>34881</v>
          </cell>
          <cell r="BQ156">
            <v>34912</v>
          </cell>
          <cell r="BR156">
            <v>34943</v>
          </cell>
          <cell r="BS156">
            <v>34973</v>
          </cell>
          <cell r="BT156">
            <v>35004</v>
          </cell>
          <cell r="BU156">
            <v>35034</v>
          </cell>
          <cell r="BV156">
            <v>35065</v>
          </cell>
          <cell r="BW156">
            <v>35096</v>
          </cell>
          <cell r="BX156">
            <v>35125</v>
          </cell>
          <cell r="BY156">
            <v>35156</v>
          </cell>
          <cell r="BZ156">
            <v>35186</v>
          </cell>
          <cell r="CA156">
            <v>35217</v>
          </cell>
          <cell r="CB156">
            <v>35247</v>
          </cell>
          <cell r="CC156">
            <v>35278</v>
          </cell>
          <cell r="CD156">
            <v>35309</v>
          </cell>
          <cell r="CE156">
            <v>35339</v>
          </cell>
          <cell r="CF156">
            <v>35370</v>
          </cell>
          <cell r="CG156">
            <v>35400</v>
          </cell>
          <cell r="CH156">
            <v>35431</v>
          </cell>
          <cell r="CI156">
            <v>35462</v>
          </cell>
          <cell r="CJ156">
            <v>35490</v>
          </cell>
          <cell r="CK156">
            <v>35521</v>
          </cell>
          <cell r="CL156">
            <v>35551</v>
          </cell>
          <cell r="CM156">
            <v>35582</v>
          </cell>
          <cell r="CN156">
            <v>35612</v>
          </cell>
          <cell r="CO156">
            <v>35643</v>
          </cell>
          <cell r="CP156">
            <v>35674</v>
          </cell>
          <cell r="CQ156">
            <v>35704</v>
          </cell>
          <cell r="CR156">
            <v>35735</v>
          </cell>
          <cell r="CS156">
            <v>35765</v>
          </cell>
          <cell r="CT156">
            <v>35796</v>
          </cell>
          <cell r="CU156">
            <v>35827</v>
          </cell>
          <cell r="CV156">
            <v>35855</v>
          </cell>
          <cell r="CW156">
            <v>35886</v>
          </cell>
          <cell r="CX156">
            <v>35916</v>
          </cell>
          <cell r="CY156">
            <v>35947</v>
          </cell>
          <cell r="CZ156">
            <v>35977</v>
          </cell>
          <cell r="DA156">
            <v>36008</v>
          </cell>
          <cell r="DB156">
            <v>36039</v>
          </cell>
          <cell r="DC156">
            <v>36069</v>
          </cell>
          <cell r="DD156">
            <v>36100</v>
          </cell>
          <cell r="DE156">
            <v>36130</v>
          </cell>
          <cell r="DF156">
            <v>35674</v>
          </cell>
          <cell r="DG156">
            <v>35704</v>
          </cell>
          <cell r="DH156">
            <v>35735</v>
          </cell>
          <cell r="DI156">
            <v>35765</v>
          </cell>
          <cell r="DJ156">
            <v>35796</v>
          </cell>
          <cell r="DK156">
            <v>35827</v>
          </cell>
          <cell r="DL156">
            <v>35855</v>
          </cell>
          <cell r="DM156">
            <v>35886</v>
          </cell>
          <cell r="DN156">
            <v>35916</v>
          </cell>
          <cell r="DO156">
            <v>35947</v>
          </cell>
          <cell r="DP156">
            <v>35977</v>
          </cell>
          <cell r="DQ156">
            <v>36008</v>
          </cell>
          <cell r="DR156">
            <v>36039</v>
          </cell>
          <cell r="DS156">
            <v>36069</v>
          </cell>
          <cell r="DT156">
            <v>36100</v>
          </cell>
          <cell r="DU156">
            <v>36130</v>
          </cell>
        </row>
        <row r="157">
          <cell r="F157" t="str">
            <v>Methanol</v>
          </cell>
          <cell r="H157">
            <v>34</v>
          </cell>
          <cell r="I157">
            <v>32</v>
          </cell>
          <cell r="J157">
            <v>33</v>
          </cell>
          <cell r="K157">
            <v>38</v>
          </cell>
          <cell r="L157">
            <v>48</v>
          </cell>
          <cell r="M157">
            <v>55</v>
          </cell>
          <cell r="N157">
            <v>58</v>
          </cell>
          <cell r="O157">
            <v>58</v>
          </cell>
          <cell r="P157">
            <v>61</v>
          </cell>
          <cell r="Q157">
            <v>59</v>
          </cell>
          <cell r="R157">
            <v>54</v>
          </cell>
          <cell r="S157">
            <v>48</v>
          </cell>
          <cell r="T157">
            <v>47</v>
          </cell>
          <cell r="U157">
            <v>42</v>
          </cell>
          <cell r="V157">
            <v>42</v>
          </cell>
          <cell r="W157">
            <v>43.5</v>
          </cell>
          <cell r="X157">
            <v>45</v>
          </cell>
          <cell r="Y157">
            <v>46.5</v>
          </cell>
          <cell r="Z157">
            <v>45.5</v>
          </cell>
          <cell r="AA157">
            <v>43.5</v>
          </cell>
          <cell r="AB157">
            <v>43.5</v>
          </cell>
          <cell r="AC157">
            <v>43.5</v>
          </cell>
          <cell r="AD157">
            <v>43</v>
          </cell>
          <cell r="AE157">
            <v>41</v>
          </cell>
          <cell r="AF157">
            <v>39</v>
          </cell>
          <cell r="AG157">
            <v>37</v>
          </cell>
          <cell r="AH157">
            <v>40.5</v>
          </cell>
          <cell r="AI157">
            <v>44</v>
          </cell>
          <cell r="AJ157">
            <v>45</v>
          </cell>
          <cell r="AK157">
            <v>45</v>
          </cell>
          <cell r="AL157">
            <v>45</v>
          </cell>
          <cell r="AM157">
            <v>44</v>
          </cell>
          <cell r="AN157">
            <v>43</v>
          </cell>
          <cell r="AO157">
            <v>43</v>
          </cell>
          <cell r="AP157">
            <v>45</v>
          </cell>
          <cell r="AQ157">
            <v>47</v>
          </cell>
          <cell r="AR157">
            <v>47</v>
          </cell>
          <cell r="AS157">
            <v>48</v>
          </cell>
          <cell r="AT157">
            <v>48</v>
          </cell>
          <cell r="AU157">
            <v>48</v>
          </cell>
          <cell r="AV157">
            <v>51</v>
          </cell>
          <cell r="AW157">
            <v>53</v>
          </cell>
          <cell r="AX157">
            <v>53</v>
          </cell>
          <cell r="AY157">
            <v>55</v>
          </cell>
          <cell r="AZ157">
            <v>58</v>
          </cell>
          <cell r="BA157">
            <v>62</v>
          </cell>
          <cell r="BB157">
            <v>66</v>
          </cell>
          <cell r="BC157">
            <v>72</v>
          </cell>
          <cell r="BD157">
            <v>82</v>
          </cell>
          <cell r="BE157">
            <v>102</v>
          </cell>
          <cell r="BF157">
            <v>120</v>
          </cell>
          <cell r="BG157">
            <v>130</v>
          </cell>
          <cell r="BH157">
            <v>150</v>
          </cell>
          <cell r="BI157">
            <v>155</v>
          </cell>
          <cell r="BJ157">
            <v>155</v>
          </cell>
          <cell r="BK157">
            <v>155</v>
          </cell>
          <cell r="BL157">
            <v>90</v>
          </cell>
          <cell r="BM157">
            <v>55</v>
          </cell>
          <cell r="BN157">
            <v>50</v>
          </cell>
          <cell r="BO157">
            <v>45</v>
          </cell>
          <cell r="BP157">
            <v>45</v>
          </cell>
          <cell r="BQ157">
            <v>43</v>
          </cell>
          <cell r="BR157">
            <v>42</v>
          </cell>
          <cell r="BS157">
            <v>42</v>
          </cell>
          <cell r="BT157">
            <v>42</v>
          </cell>
          <cell r="BU157">
            <v>42</v>
          </cell>
          <cell r="BV157">
            <v>39.6875</v>
          </cell>
          <cell r="BW157">
            <v>41.875</v>
          </cell>
          <cell r="BX157">
            <v>37.96875</v>
          </cell>
          <cell r="BY157">
            <v>38.4375</v>
          </cell>
          <cell r="BZ157">
            <v>40</v>
          </cell>
          <cell r="CA157">
            <v>41.875</v>
          </cell>
          <cell r="CB157">
            <v>46.25</v>
          </cell>
          <cell r="CC157">
            <v>47.96875</v>
          </cell>
          <cell r="CD157">
            <v>47.5</v>
          </cell>
          <cell r="CE157">
            <v>47.65625</v>
          </cell>
          <cell r="CF157">
            <v>48.125</v>
          </cell>
          <cell r="CG157">
            <v>50</v>
          </cell>
          <cell r="CH157">
            <v>54.375</v>
          </cell>
          <cell r="CI157">
            <v>58.4375</v>
          </cell>
          <cell r="CJ157">
            <v>59.21875</v>
          </cell>
          <cell r="CK157">
            <v>59.21875</v>
          </cell>
          <cell r="CL157">
            <v>58.90625</v>
          </cell>
          <cell r="CM157">
            <v>58.90625</v>
          </cell>
          <cell r="CN157">
            <v>58.90625</v>
          </cell>
          <cell r="CO157">
            <v>59.0625</v>
          </cell>
          <cell r="CP157">
            <v>58.90625</v>
          </cell>
          <cell r="CQ157">
            <v>58.59375</v>
          </cell>
          <cell r="CR157">
            <v>58.4375</v>
          </cell>
          <cell r="CS157">
            <v>58.125</v>
          </cell>
          <cell r="CT157">
            <v>56.5625</v>
          </cell>
          <cell r="CU157">
            <v>45.625</v>
          </cell>
          <cell r="CV157">
            <v>54</v>
          </cell>
          <cell r="CW157">
            <v>47</v>
          </cell>
          <cell r="CX157">
            <v>47</v>
          </cell>
          <cell r="CY157">
            <v>47</v>
          </cell>
          <cell r="CZ157">
            <v>43</v>
          </cell>
          <cell r="DA157">
            <v>43</v>
          </cell>
          <cell r="DB157">
            <v>43</v>
          </cell>
          <cell r="DC157">
            <v>33</v>
          </cell>
          <cell r="DD157">
            <v>33</v>
          </cell>
          <cell r="DE157">
            <v>33</v>
          </cell>
          <cell r="DF157">
            <v>58.90625</v>
          </cell>
          <cell r="DG157">
            <v>58.59375</v>
          </cell>
          <cell r="DH157">
            <v>58.4375</v>
          </cell>
          <cell r="DI157">
            <v>58.125</v>
          </cell>
          <cell r="DJ157">
            <v>56.5625</v>
          </cell>
          <cell r="DK157">
            <v>45.625</v>
          </cell>
          <cell r="DL157">
            <v>54</v>
          </cell>
          <cell r="DM157">
            <v>47</v>
          </cell>
          <cell r="DN157">
            <v>47</v>
          </cell>
          <cell r="DO157">
            <v>47</v>
          </cell>
          <cell r="DP157">
            <v>43</v>
          </cell>
          <cell r="DQ157">
            <v>43</v>
          </cell>
          <cell r="DR157">
            <v>43</v>
          </cell>
          <cell r="DS157">
            <v>33</v>
          </cell>
          <cell r="DT157">
            <v>33</v>
          </cell>
          <cell r="DU157">
            <v>33</v>
          </cell>
        </row>
        <row r="159">
          <cell r="F159" t="str">
            <v>Natural Gas</v>
          </cell>
          <cell r="H159">
            <v>1.65</v>
          </cell>
          <cell r="I159">
            <v>1.66</v>
          </cell>
          <cell r="J159">
            <v>1.72</v>
          </cell>
          <cell r="K159">
            <v>1.94</v>
          </cell>
          <cell r="L159">
            <v>2.14</v>
          </cell>
          <cell r="M159">
            <v>2.2200000000000002</v>
          </cell>
          <cell r="N159">
            <v>2.1</v>
          </cell>
          <cell r="O159">
            <v>1.72</v>
          </cell>
          <cell r="P159">
            <v>1.61</v>
          </cell>
          <cell r="Q159">
            <v>1.38</v>
          </cell>
          <cell r="R159">
            <v>1.35</v>
          </cell>
          <cell r="S159">
            <v>1.26</v>
          </cell>
          <cell r="T159">
            <v>1.22</v>
          </cell>
          <cell r="U159">
            <v>1.34</v>
          </cell>
          <cell r="V159">
            <v>1.55</v>
          </cell>
          <cell r="W159">
            <v>1.75</v>
          </cell>
          <cell r="X159">
            <v>1.85</v>
          </cell>
          <cell r="Y159">
            <v>1.9</v>
          </cell>
          <cell r="Z159">
            <v>1.44</v>
          </cell>
          <cell r="AA159">
            <v>1.22</v>
          </cell>
          <cell r="AB159">
            <v>1.28</v>
          </cell>
          <cell r="AC159">
            <v>1.46</v>
          </cell>
          <cell r="AD159">
            <v>1.59</v>
          </cell>
          <cell r="AE159">
            <v>1.65</v>
          </cell>
          <cell r="AF159">
            <v>1.68</v>
          </cell>
          <cell r="AG159">
            <v>1.93</v>
          </cell>
          <cell r="AH159">
            <v>2.17</v>
          </cell>
          <cell r="AI159">
            <v>2.38</v>
          </cell>
          <cell r="AJ159">
            <v>2.4300000000000002</v>
          </cell>
          <cell r="AK159">
            <v>2.36</v>
          </cell>
          <cell r="AL159">
            <v>2.09</v>
          </cell>
          <cell r="AM159">
            <v>1.75</v>
          </cell>
          <cell r="AN159">
            <v>2.11</v>
          </cell>
          <cell r="AO159">
            <v>2.34</v>
          </cell>
          <cell r="AP159">
            <v>2.84</v>
          </cell>
          <cell r="AQ159">
            <v>2.27</v>
          </cell>
          <cell r="AR159">
            <v>2.08</v>
          </cell>
          <cell r="AS159">
            <v>2.23</v>
          </cell>
          <cell r="AT159">
            <v>2.4700000000000002</v>
          </cell>
          <cell r="AU159">
            <v>2.19</v>
          </cell>
          <cell r="AV159">
            <v>2.21</v>
          </cell>
          <cell r="AW159">
            <v>2.52</v>
          </cell>
          <cell r="AX159">
            <v>2.15</v>
          </cell>
          <cell r="AY159">
            <v>2.38</v>
          </cell>
          <cell r="AZ159">
            <v>2.4</v>
          </cell>
          <cell r="BA159">
            <v>2.06</v>
          </cell>
          <cell r="BB159">
            <v>2.15</v>
          </cell>
          <cell r="BC159">
            <v>1.85</v>
          </cell>
          <cell r="BD159">
            <v>2.04</v>
          </cell>
          <cell r="BE159">
            <v>1.88</v>
          </cell>
          <cell r="BF159">
            <v>1.6</v>
          </cell>
          <cell r="BG159">
            <v>1.48</v>
          </cell>
          <cell r="BH159">
            <v>1.78</v>
          </cell>
          <cell r="BI159">
            <v>1.78</v>
          </cell>
          <cell r="BJ159">
            <v>1.69</v>
          </cell>
          <cell r="BK159">
            <v>1.49</v>
          </cell>
          <cell r="BL159">
            <v>1.51</v>
          </cell>
          <cell r="BM159">
            <v>1.62</v>
          </cell>
          <cell r="BN159">
            <v>1.73</v>
          </cell>
          <cell r="BO159">
            <v>1.79</v>
          </cell>
          <cell r="BP159">
            <v>1.57</v>
          </cell>
          <cell r="BQ159">
            <v>1.46</v>
          </cell>
          <cell r="BR159">
            <v>1.67</v>
          </cell>
          <cell r="BS159">
            <v>1.71</v>
          </cell>
          <cell r="BT159">
            <v>1.85</v>
          </cell>
          <cell r="BU159">
            <v>2.23</v>
          </cell>
          <cell r="BV159">
            <v>2.2799999999999998</v>
          </cell>
          <cell r="BW159">
            <v>2</v>
          </cell>
          <cell r="BX159">
            <v>2.13</v>
          </cell>
          <cell r="BY159">
            <v>2.38</v>
          </cell>
          <cell r="BZ159">
            <v>2.2799999999999998</v>
          </cell>
          <cell r="CA159">
            <v>2.42</v>
          </cell>
          <cell r="CB159">
            <v>2.68</v>
          </cell>
          <cell r="CC159">
            <v>2.34</v>
          </cell>
          <cell r="CD159">
            <v>1.86</v>
          </cell>
          <cell r="CE159">
            <v>1.9</v>
          </cell>
          <cell r="CF159">
            <v>2.71</v>
          </cell>
          <cell r="CG159">
            <v>3.79</v>
          </cell>
          <cell r="CH159">
            <v>3.85</v>
          </cell>
          <cell r="CI159">
            <v>2.91</v>
          </cell>
          <cell r="CJ159">
            <v>1.81</v>
          </cell>
          <cell r="CK159">
            <v>1.89</v>
          </cell>
          <cell r="CL159">
            <v>2.19</v>
          </cell>
          <cell r="CM159">
            <v>2.39</v>
          </cell>
          <cell r="CN159">
            <v>2.2400000000000002</v>
          </cell>
          <cell r="CO159">
            <v>2.27</v>
          </cell>
          <cell r="CP159">
            <v>2.64</v>
          </cell>
          <cell r="CQ159">
            <v>3.2</v>
          </cell>
          <cell r="CR159">
            <v>3.35</v>
          </cell>
          <cell r="CS159">
            <v>2.56</v>
          </cell>
          <cell r="CT159">
            <v>2.3199999999999998</v>
          </cell>
          <cell r="CU159">
            <v>2.39</v>
          </cell>
          <cell r="CV159">
            <v>2.37</v>
          </cell>
          <cell r="CW159">
            <v>2.15</v>
          </cell>
          <cell r="CX159">
            <v>2.4700000000000002</v>
          </cell>
          <cell r="CY159">
            <v>2.0499999999999998</v>
          </cell>
          <cell r="CZ159">
            <v>2.4700000000000002</v>
          </cell>
          <cell r="DA159">
            <v>2.0499999999999998</v>
          </cell>
          <cell r="DB159">
            <v>1.65</v>
          </cell>
          <cell r="DC159">
            <v>2.13</v>
          </cell>
          <cell r="DD159">
            <v>2.13</v>
          </cell>
          <cell r="DE159">
            <v>2.2000000000000002</v>
          </cell>
          <cell r="DF159">
            <v>2.64</v>
          </cell>
          <cell r="DG159">
            <v>3.2</v>
          </cell>
          <cell r="DH159">
            <v>3.35</v>
          </cell>
          <cell r="DI159">
            <v>2.56</v>
          </cell>
          <cell r="DJ159">
            <v>2.3199999999999998</v>
          </cell>
          <cell r="DK159">
            <v>2.39</v>
          </cell>
          <cell r="DL159">
            <v>2.37</v>
          </cell>
          <cell r="DM159">
            <v>2.15</v>
          </cell>
          <cell r="DN159">
            <v>2.4700000000000002</v>
          </cell>
          <cell r="DO159">
            <v>2.0499999999999998</v>
          </cell>
          <cell r="DP159">
            <v>2.4700000000000002</v>
          </cell>
          <cell r="DQ159">
            <v>2.0499999999999998</v>
          </cell>
          <cell r="DR159">
            <v>1.65</v>
          </cell>
          <cell r="DS159">
            <v>2.13</v>
          </cell>
          <cell r="DT159">
            <v>2.13</v>
          </cell>
          <cell r="DU159">
            <v>2.2000000000000002</v>
          </cell>
        </row>
        <row r="161">
          <cell r="F161" t="str">
            <v>Natural Gas Cost</v>
          </cell>
          <cell r="H161">
            <v>16.5</v>
          </cell>
          <cell r="I161">
            <v>16.600000000000001</v>
          </cell>
          <cell r="J161">
            <v>17.2</v>
          </cell>
          <cell r="K161">
            <v>19.399999999999999</v>
          </cell>
          <cell r="L161">
            <v>21.4</v>
          </cell>
          <cell r="M161">
            <v>22.200000000000003</v>
          </cell>
          <cell r="N161">
            <v>21</v>
          </cell>
          <cell r="O161">
            <v>17.2</v>
          </cell>
          <cell r="P161">
            <v>16.100000000000001</v>
          </cell>
          <cell r="Q161">
            <v>13.8</v>
          </cell>
          <cell r="R161">
            <v>13.5</v>
          </cell>
          <cell r="S161">
            <v>12.6</v>
          </cell>
          <cell r="T161">
            <v>12.2</v>
          </cell>
          <cell r="U161">
            <v>13.4</v>
          </cell>
          <cell r="V161">
            <v>15.5</v>
          </cell>
          <cell r="W161">
            <v>17.5</v>
          </cell>
          <cell r="X161">
            <v>18.5</v>
          </cell>
          <cell r="Y161">
            <v>19</v>
          </cell>
          <cell r="Z161">
            <v>14.4</v>
          </cell>
          <cell r="AA161">
            <v>12.2</v>
          </cell>
          <cell r="AB161">
            <v>12.8</v>
          </cell>
          <cell r="AC161">
            <v>14.6</v>
          </cell>
          <cell r="AD161">
            <v>15.9</v>
          </cell>
          <cell r="AE161">
            <v>16.5</v>
          </cell>
          <cell r="AF161">
            <v>16.8</v>
          </cell>
          <cell r="AG161">
            <v>19.3</v>
          </cell>
          <cell r="AH161">
            <v>21.7</v>
          </cell>
          <cell r="AI161">
            <v>23.8</v>
          </cell>
          <cell r="AJ161">
            <v>24.300000000000004</v>
          </cell>
          <cell r="AK161">
            <v>23.6</v>
          </cell>
          <cell r="AL161">
            <v>20.9</v>
          </cell>
          <cell r="AM161">
            <v>17.5</v>
          </cell>
          <cell r="AN161">
            <v>21.1</v>
          </cell>
          <cell r="AO161">
            <v>23.4</v>
          </cell>
          <cell r="AP161">
            <v>28.4</v>
          </cell>
          <cell r="AQ161">
            <v>22.7</v>
          </cell>
          <cell r="AR161">
            <v>20.8</v>
          </cell>
          <cell r="AS161">
            <v>22.3</v>
          </cell>
          <cell r="AT161">
            <v>24.700000000000003</v>
          </cell>
          <cell r="AU161">
            <v>21.9</v>
          </cell>
          <cell r="AV161">
            <v>22.1</v>
          </cell>
          <cell r="AW161">
            <v>25.2</v>
          </cell>
          <cell r="AX161">
            <v>21.5</v>
          </cell>
          <cell r="AY161">
            <v>23.8</v>
          </cell>
          <cell r="AZ161">
            <v>24</v>
          </cell>
          <cell r="BA161">
            <v>20.6</v>
          </cell>
          <cell r="BB161">
            <v>21.5</v>
          </cell>
          <cell r="BC161">
            <v>18.5</v>
          </cell>
          <cell r="BD161">
            <v>20.399999999999999</v>
          </cell>
          <cell r="BE161">
            <v>18.8</v>
          </cell>
          <cell r="BF161">
            <v>16</v>
          </cell>
          <cell r="BG161">
            <v>14.8</v>
          </cell>
          <cell r="BH161">
            <v>17.8</v>
          </cell>
          <cell r="BI161">
            <v>17.8</v>
          </cell>
          <cell r="BJ161">
            <v>16.899999999999999</v>
          </cell>
          <cell r="BK161">
            <v>14.9</v>
          </cell>
          <cell r="BL161">
            <v>15.1</v>
          </cell>
          <cell r="BM161">
            <v>16.2</v>
          </cell>
          <cell r="BN161">
            <v>17.3</v>
          </cell>
          <cell r="BO161">
            <v>17.899999999999999</v>
          </cell>
          <cell r="BP161">
            <v>15.7</v>
          </cell>
          <cell r="BQ161">
            <v>14.6</v>
          </cell>
          <cell r="BR161">
            <v>16.7</v>
          </cell>
          <cell r="BS161">
            <v>17.100000000000001</v>
          </cell>
          <cell r="BT161">
            <v>18.5</v>
          </cell>
          <cell r="BU161">
            <v>22.3</v>
          </cell>
          <cell r="BV161">
            <v>22.799999999999997</v>
          </cell>
          <cell r="BW161">
            <v>20</v>
          </cell>
          <cell r="BX161">
            <v>21.3</v>
          </cell>
          <cell r="BY161">
            <v>23.8</v>
          </cell>
          <cell r="BZ161">
            <v>22.799999999999997</v>
          </cell>
          <cell r="CA161">
            <v>24.2</v>
          </cell>
          <cell r="CB161">
            <v>26.8</v>
          </cell>
          <cell r="CC161">
            <v>23.4</v>
          </cell>
          <cell r="CD161">
            <v>18.600000000000001</v>
          </cell>
          <cell r="CE161">
            <v>19</v>
          </cell>
          <cell r="CF161">
            <v>27.1</v>
          </cell>
          <cell r="CG161">
            <v>37.9</v>
          </cell>
          <cell r="CH161">
            <v>38.5</v>
          </cell>
          <cell r="CI161">
            <v>29.1</v>
          </cell>
          <cell r="CJ161">
            <v>18.100000000000001</v>
          </cell>
          <cell r="CK161">
            <v>18.899999999999999</v>
          </cell>
          <cell r="CL161">
            <v>21.9</v>
          </cell>
          <cell r="CM161">
            <v>23.9</v>
          </cell>
          <cell r="CN161">
            <v>22.400000000000002</v>
          </cell>
          <cell r="CO161">
            <v>22.7</v>
          </cell>
          <cell r="CP161">
            <v>26.4</v>
          </cell>
          <cell r="CQ161">
            <v>32</v>
          </cell>
          <cell r="CR161">
            <v>33.5</v>
          </cell>
          <cell r="CS161">
            <v>25.6</v>
          </cell>
          <cell r="CT161">
            <v>23.199999999999996</v>
          </cell>
          <cell r="CU161">
            <v>23.9</v>
          </cell>
          <cell r="CV161">
            <v>23.7</v>
          </cell>
          <cell r="CW161">
            <v>21.5</v>
          </cell>
          <cell r="CX161">
            <v>24.700000000000003</v>
          </cell>
          <cell r="CY161">
            <v>20.499999999999996</v>
          </cell>
          <cell r="CZ161">
            <v>24.700000000000003</v>
          </cell>
          <cell r="DA161">
            <v>20.499999999999996</v>
          </cell>
          <cell r="DB161">
            <v>16.5</v>
          </cell>
          <cell r="DC161">
            <v>21.3</v>
          </cell>
          <cell r="DD161">
            <v>21.3</v>
          </cell>
          <cell r="DE161">
            <v>22.000000000000004</v>
          </cell>
          <cell r="DF161">
            <v>26.4</v>
          </cell>
          <cell r="DG161">
            <v>32</v>
          </cell>
          <cell r="DH161">
            <v>33.5</v>
          </cell>
          <cell r="DI161">
            <v>25.6</v>
          </cell>
          <cell r="DJ161">
            <v>23.199999999999996</v>
          </cell>
          <cell r="DK161">
            <v>23.9</v>
          </cell>
          <cell r="DL161">
            <v>23.7</v>
          </cell>
          <cell r="DM161">
            <v>21.5</v>
          </cell>
          <cell r="DN161">
            <v>24.700000000000003</v>
          </cell>
          <cell r="DO161">
            <v>20.499999999999996</v>
          </cell>
          <cell r="DP161">
            <v>24.700000000000003</v>
          </cell>
          <cell r="DQ161">
            <v>20.499999999999996</v>
          </cell>
          <cell r="DR161">
            <v>16.5</v>
          </cell>
          <cell r="DS161">
            <v>21.3</v>
          </cell>
          <cell r="DT161">
            <v>21.3</v>
          </cell>
          <cell r="DU161">
            <v>22.000000000000004</v>
          </cell>
        </row>
        <row r="163">
          <cell r="F163" t="str">
            <v>Spread</v>
          </cell>
          <cell r="H163">
            <v>17.5</v>
          </cell>
          <cell r="I163">
            <v>15.399999999999999</v>
          </cell>
          <cell r="J163">
            <v>15.8</v>
          </cell>
          <cell r="K163">
            <v>18.600000000000001</v>
          </cell>
          <cell r="L163">
            <v>26.6</v>
          </cell>
          <cell r="M163">
            <v>32.799999999999997</v>
          </cell>
          <cell r="N163">
            <v>37</v>
          </cell>
          <cell r="O163">
            <v>40.799999999999997</v>
          </cell>
          <cell r="P163">
            <v>44.9</v>
          </cell>
          <cell r="Q163">
            <v>45.2</v>
          </cell>
          <cell r="R163">
            <v>40.5</v>
          </cell>
          <cell r="S163">
            <v>35.4</v>
          </cell>
          <cell r="T163">
            <v>34.799999999999997</v>
          </cell>
          <cell r="U163">
            <v>28.6</v>
          </cell>
          <cell r="V163">
            <v>26.5</v>
          </cell>
          <cell r="W163">
            <v>26</v>
          </cell>
          <cell r="X163">
            <v>26.5</v>
          </cell>
          <cell r="Y163">
            <v>27.5</v>
          </cell>
          <cell r="Z163">
            <v>31.1</v>
          </cell>
          <cell r="AA163">
            <v>31.3</v>
          </cell>
          <cell r="AB163">
            <v>30.7</v>
          </cell>
          <cell r="AC163">
            <v>28.9</v>
          </cell>
          <cell r="AD163">
            <v>27.1</v>
          </cell>
          <cell r="AE163">
            <v>24.5</v>
          </cell>
          <cell r="AF163">
            <v>22.2</v>
          </cell>
          <cell r="AG163">
            <v>17.7</v>
          </cell>
          <cell r="AH163">
            <v>18.8</v>
          </cell>
          <cell r="AI163">
            <v>20.2</v>
          </cell>
          <cell r="AJ163">
            <v>20.699999999999996</v>
          </cell>
          <cell r="AK163">
            <v>21.4</v>
          </cell>
          <cell r="AL163">
            <v>24.1</v>
          </cell>
          <cell r="AM163">
            <v>26.5</v>
          </cell>
          <cell r="AN163">
            <v>21.9</v>
          </cell>
          <cell r="AO163">
            <v>19.600000000000001</v>
          </cell>
          <cell r="AP163">
            <v>16.600000000000001</v>
          </cell>
          <cell r="AQ163">
            <v>24.3</v>
          </cell>
          <cell r="AR163">
            <v>26.2</v>
          </cell>
          <cell r="AS163">
            <v>25.7</v>
          </cell>
          <cell r="AT163">
            <v>23.299999999999997</v>
          </cell>
          <cell r="AU163">
            <v>26.1</v>
          </cell>
          <cell r="AV163">
            <v>28.9</v>
          </cell>
          <cell r="AW163">
            <v>27.8</v>
          </cell>
          <cell r="AX163">
            <v>31.5</v>
          </cell>
          <cell r="AY163">
            <v>31.2</v>
          </cell>
          <cell r="AZ163">
            <v>34</v>
          </cell>
          <cell r="BA163">
            <v>41.4</v>
          </cell>
          <cell r="BB163">
            <v>44.5</v>
          </cell>
          <cell r="BC163">
            <v>53.5</v>
          </cell>
          <cell r="BD163">
            <v>61.6</v>
          </cell>
          <cell r="BE163">
            <v>83.2</v>
          </cell>
          <cell r="BF163">
            <v>104</v>
          </cell>
          <cell r="BG163">
            <v>115.2</v>
          </cell>
          <cell r="BH163">
            <v>132.19999999999999</v>
          </cell>
          <cell r="BI163">
            <v>137.19999999999999</v>
          </cell>
          <cell r="BJ163">
            <v>138.1</v>
          </cell>
          <cell r="BK163">
            <v>140.1</v>
          </cell>
          <cell r="BL163">
            <v>74.900000000000006</v>
          </cell>
          <cell r="BM163">
            <v>38.799999999999997</v>
          </cell>
          <cell r="BN163">
            <v>32.700000000000003</v>
          </cell>
          <cell r="BO163">
            <v>27.1</v>
          </cell>
          <cell r="BP163">
            <v>29.3</v>
          </cell>
          <cell r="BQ163">
            <v>28.4</v>
          </cell>
          <cell r="BR163">
            <v>25.3</v>
          </cell>
          <cell r="BS163">
            <v>24.9</v>
          </cell>
          <cell r="BT163">
            <v>23.5</v>
          </cell>
          <cell r="BU163">
            <v>19.7</v>
          </cell>
          <cell r="BV163">
            <v>16.887500000000003</v>
          </cell>
          <cell r="BW163">
            <v>21.875</v>
          </cell>
          <cell r="BX163">
            <v>16.668749999999999</v>
          </cell>
          <cell r="BY163">
            <v>14.637499999999999</v>
          </cell>
          <cell r="BZ163">
            <v>17.200000000000003</v>
          </cell>
          <cell r="CA163">
            <v>17.675000000000001</v>
          </cell>
          <cell r="CB163">
            <v>19.45</v>
          </cell>
          <cell r="CC163">
            <v>24.568750000000001</v>
          </cell>
          <cell r="CD163">
            <v>28.9</v>
          </cell>
          <cell r="CE163">
            <v>28.65625</v>
          </cell>
          <cell r="CF163">
            <v>21.024999999999999</v>
          </cell>
          <cell r="CG163">
            <v>12.100000000000001</v>
          </cell>
          <cell r="CH163">
            <v>15.875</v>
          </cell>
          <cell r="CI163">
            <v>29.337499999999999</v>
          </cell>
          <cell r="CJ163">
            <v>41.118749999999999</v>
          </cell>
          <cell r="CK163">
            <v>40.318750000000001</v>
          </cell>
          <cell r="CL163">
            <v>37.006250000000001</v>
          </cell>
          <cell r="CM163">
            <v>35.006250000000001</v>
          </cell>
          <cell r="CN163">
            <v>36.506249999999994</v>
          </cell>
          <cell r="CO163">
            <v>36.362499999999997</v>
          </cell>
          <cell r="CP163">
            <v>32.506250000000001</v>
          </cell>
          <cell r="CQ163">
            <v>26.59375</v>
          </cell>
          <cell r="CR163">
            <v>24.9375</v>
          </cell>
          <cell r="CS163">
            <v>32.524999999999999</v>
          </cell>
          <cell r="CT163">
            <v>33.362500000000004</v>
          </cell>
          <cell r="CU163">
            <v>21.725000000000001</v>
          </cell>
          <cell r="CV163">
            <v>30.3</v>
          </cell>
          <cell r="CW163">
            <v>25.5</v>
          </cell>
          <cell r="CX163">
            <v>22.299999999999997</v>
          </cell>
          <cell r="CY163">
            <v>26.500000000000004</v>
          </cell>
          <cell r="CZ163">
            <v>18.299999999999997</v>
          </cell>
          <cell r="DA163">
            <v>22.500000000000004</v>
          </cell>
          <cell r="DB163">
            <v>26.5</v>
          </cell>
          <cell r="DC163">
            <v>11.7</v>
          </cell>
          <cell r="DD163">
            <v>11.7</v>
          </cell>
          <cell r="DE163">
            <v>10.999999999999996</v>
          </cell>
          <cell r="DF163">
            <v>32.506250000000001</v>
          </cell>
          <cell r="DG163">
            <v>26.59375</v>
          </cell>
          <cell r="DH163">
            <v>24.9375</v>
          </cell>
          <cell r="DI163">
            <v>32.524999999999999</v>
          </cell>
          <cell r="DJ163">
            <v>33.362500000000004</v>
          </cell>
          <cell r="DK163">
            <v>21.725000000000001</v>
          </cell>
          <cell r="DL163">
            <v>30.3</v>
          </cell>
          <cell r="DM163">
            <v>25.5</v>
          </cell>
          <cell r="DN163">
            <v>22.299999999999997</v>
          </cell>
          <cell r="DO163">
            <v>26.500000000000004</v>
          </cell>
          <cell r="DP163">
            <v>18.299999999999997</v>
          </cell>
          <cell r="DQ163">
            <v>22.500000000000004</v>
          </cell>
          <cell r="DR163">
            <v>26.5</v>
          </cell>
          <cell r="DS163">
            <v>11.7</v>
          </cell>
          <cell r="DT163">
            <v>11.7</v>
          </cell>
          <cell r="DU163">
            <v>10.999999999999996</v>
          </cell>
        </row>
        <row r="165">
          <cell r="F165" t="str">
            <v>One tenth of the cost of a MCF of natural gas is the raw material needed to produce a gallon of methanol.</v>
          </cell>
        </row>
        <row r="167">
          <cell r="F167" t="str">
            <v>HDPE/Ethane Cost Spread</v>
          </cell>
        </row>
        <row r="169">
          <cell r="H169">
            <v>33055</v>
          </cell>
          <cell r="I169">
            <v>33086</v>
          </cell>
          <cell r="J169">
            <v>33117</v>
          </cell>
          <cell r="K169">
            <v>33147</v>
          </cell>
          <cell r="L169">
            <v>33178</v>
          </cell>
          <cell r="M169">
            <v>33208</v>
          </cell>
          <cell r="N169">
            <v>33239</v>
          </cell>
          <cell r="O169">
            <v>33270</v>
          </cell>
          <cell r="P169">
            <v>33298</v>
          </cell>
          <cell r="Q169">
            <v>33329</v>
          </cell>
          <cell r="R169">
            <v>33359</v>
          </cell>
          <cell r="S169">
            <v>33390</v>
          </cell>
          <cell r="T169">
            <v>33420</v>
          </cell>
          <cell r="U169">
            <v>33451</v>
          </cell>
          <cell r="V169">
            <v>33482</v>
          </cell>
          <cell r="W169">
            <v>33512</v>
          </cell>
          <cell r="X169">
            <v>33543</v>
          </cell>
          <cell r="Y169">
            <v>33573</v>
          </cell>
          <cell r="Z169">
            <v>33604</v>
          </cell>
          <cell r="AA169">
            <v>33635</v>
          </cell>
          <cell r="AB169">
            <v>33664</v>
          </cell>
          <cell r="AC169">
            <v>33695</v>
          </cell>
          <cell r="AD169">
            <v>33725</v>
          </cell>
          <cell r="AE169">
            <v>33756</v>
          </cell>
          <cell r="AF169">
            <v>33786</v>
          </cell>
          <cell r="AG169">
            <v>33817</v>
          </cell>
          <cell r="AH169">
            <v>33848</v>
          </cell>
          <cell r="AI169">
            <v>33878</v>
          </cell>
          <cell r="AJ169">
            <v>33909</v>
          </cell>
          <cell r="AK169">
            <v>33939</v>
          </cell>
          <cell r="AL169">
            <v>33970</v>
          </cell>
          <cell r="AM169">
            <v>34001</v>
          </cell>
          <cell r="AN169">
            <v>34029</v>
          </cell>
          <cell r="AO169">
            <v>34060</v>
          </cell>
          <cell r="AP169">
            <v>34090</v>
          </cell>
          <cell r="AQ169">
            <v>34121</v>
          </cell>
          <cell r="AR169">
            <v>34151</v>
          </cell>
          <cell r="AS169">
            <v>34182</v>
          </cell>
          <cell r="AT169">
            <v>34213</v>
          </cell>
          <cell r="AU169">
            <v>34243</v>
          </cell>
          <cell r="AV169">
            <v>34274</v>
          </cell>
          <cell r="AW169">
            <v>34304</v>
          </cell>
          <cell r="AX169">
            <v>34335</v>
          </cell>
          <cell r="AY169">
            <v>34366</v>
          </cell>
          <cell r="AZ169">
            <v>34394</v>
          </cell>
          <cell r="BA169">
            <v>34425</v>
          </cell>
          <cell r="BB169">
            <v>34455</v>
          </cell>
          <cell r="BC169">
            <v>34486</v>
          </cell>
          <cell r="BD169">
            <v>34516</v>
          </cell>
          <cell r="BE169">
            <v>34547</v>
          </cell>
          <cell r="BF169">
            <v>34578</v>
          </cell>
          <cell r="BG169">
            <v>34608</v>
          </cell>
          <cell r="BH169">
            <v>34639</v>
          </cell>
          <cell r="BI169">
            <v>34669</v>
          </cell>
          <cell r="BJ169">
            <v>34700</v>
          </cell>
          <cell r="BK169">
            <v>34731</v>
          </cell>
          <cell r="BL169">
            <v>34759</v>
          </cell>
          <cell r="BM169">
            <v>34790</v>
          </cell>
          <cell r="BN169">
            <v>34820</v>
          </cell>
          <cell r="BO169">
            <v>34851</v>
          </cell>
          <cell r="BP169">
            <v>34881</v>
          </cell>
          <cell r="BQ169">
            <v>34912</v>
          </cell>
          <cell r="BR169">
            <v>34943</v>
          </cell>
          <cell r="BS169">
            <v>34973</v>
          </cell>
          <cell r="BT169">
            <v>35004</v>
          </cell>
          <cell r="BU169">
            <v>35034</v>
          </cell>
          <cell r="BV169">
            <v>35065</v>
          </cell>
          <cell r="BW169">
            <v>35096</v>
          </cell>
          <cell r="BX169">
            <v>35125</v>
          </cell>
          <cell r="BY169">
            <v>35156</v>
          </cell>
          <cell r="BZ169">
            <v>35186</v>
          </cell>
          <cell r="CA169">
            <v>35217</v>
          </cell>
          <cell r="CB169">
            <v>35247</v>
          </cell>
          <cell r="CC169">
            <v>35278</v>
          </cell>
          <cell r="CD169">
            <v>35309</v>
          </cell>
          <cell r="CE169">
            <v>35339</v>
          </cell>
          <cell r="CF169">
            <v>35370</v>
          </cell>
          <cell r="CG169">
            <v>35400</v>
          </cell>
          <cell r="CH169">
            <v>35431</v>
          </cell>
          <cell r="CI169">
            <v>35462</v>
          </cell>
          <cell r="CJ169">
            <v>35490</v>
          </cell>
          <cell r="CK169">
            <v>35521</v>
          </cell>
          <cell r="CL169">
            <v>35551</v>
          </cell>
          <cell r="CM169">
            <v>35582</v>
          </cell>
          <cell r="CN169">
            <v>35612</v>
          </cell>
          <cell r="CO169">
            <v>35643</v>
          </cell>
          <cell r="CP169">
            <v>35674</v>
          </cell>
          <cell r="CQ169">
            <v>35704</v>
          </cell>
          <cell r="CR169">
            <v>35735</v>
          </cell>
          <cell r="CS169">
            <v>35765</v>
          </cell>
          <cell r="CT169">
            <v>35796</v>
          </cell>
          <cell r="CU169">
            <v>35827</v>
          </cell>
          <cell r="CV169">
            <v>35855</v>
          </cell>
          <cell r="CW169">
            <v>35886</v>
          </cell>
          <cell r="CX169">
            <v>35916</v>
          </cell>
          <cell r="CY169">
            <v>35947</v>
          </cell>
          <cell r="CZ169">
            <v>35977</v>
          </cell>
          <cell r="DA169">
            <v>36008</v>
          </cell>
          <cell r="DB169">
            <v>36039</v>
          </cell>
          <cell r="DC169">
            <v>36069</v>
          </cell>
          <cell r="DD169">
            <v>36100</v>
          </cell>
          <cell r="DE169">
            <v>36130</v>
          </cell>
          <cell r="DF169">
            <v>35674</v>
          </cell>
          <cell r="DG169">
            <v>35704</v>
          </cell>
          <cell r="DH169">
            <v>35735</v>
          </cell>
          <cell r="DI169">
            <v>35765</v>
          </cell>
          <cell r="DJ169">
            <v>35796</v>
          </cell>
          <cell r="DK169">
            <v>35827</v>
          </cell>
          <cell r="DL169">
            <v>35855</v>
          </cell>
          <cell r="DM169">
            <v>35886</v>
          </cell>
          <cell r="DN169">
            <v>35916</v>
          </cell>
          <cell r="DO169">
            <v>35947</v>
          </cell>
          <cell r="DP169">
            <v>35977</v>
          </cell>
          <cell r="DQ169">
            <v>36008</v>
          </cell>
          <cell r="DR169">
            <v>36039</v>
          </cell>
          <cell r="DS169">
            <v>36069</v>
          </cell>
          <cell r="DT169">
            <v>36100</v>
          </cell>
          <cell r="DU169">
            <v>36130</v>
          </cell>
        </row>
        <row r="170">
          <cell r="F170" t="str">
            <v>HDPE price</v>
          </cell>
          <cell r="H170">
            <v>40</v>
          </cell>
          <cell r="I170">
            <v>40</v>
          </cell>
          <cell r="J170">
            <v>41</v>
          </cell>
          <cell r="K170">
            <v>45</v>
          </cell>
          <cell r="L170">
            <v>47</v>
          </cell>
          <cell r="M170">
            <v>50</v>
          </cell>
          <cell r="N170">
            <v>49</v>
          </cell>
          <cell r="O170">
            <v>48</v>
          </cell>
          <cell r="P170">
            <v>45</v>
          </cell>
          <cell r="Q170">
            <v>41</v>
          </cell>
          <cell r="R170">
            <v>39</v>
          </cell>
          <cell r="S170">
            <v>35</v>
          </cell>
          <cell r="T170">
            <v>33</v>
          </cell>
          <cell r="U170">
            <v>32</v>
          </cell>
          <cell r="V170">
            <v>31.5</v>
          </cell>
          <cell r="W170">
            <v>31</v>
          </cell>
          <cell r="X170">
            <v>31</v>
          </cell>
          <cell r="Y170">
            <v>31</v>
          </cell>
          <cell r="Z170">
            <v>31</v>
          </cell>
          <cell r="AA170">
            <v>30</v>
          </cell>
          <cell r="AB170">
            <v>29</v>
          </cell>
          <cell r="AC170">
            <v>29</v>
          </cell>
          <cell r="AD170">
            <v>29</v>
          </cell>
          <cell r="AE170">
            <v>29.25</v>
          </cell>
          <cell r="AF170">
            <v>29.75</v>
          </cell>
          <cell r="AG170">
            <v>30</v>
          </cell>
          <cell r="AH170">
            <v>30</v>
          </cell>
          <cell r="AI170">
            <v>30</v>
          </cell>
          <cell r="AJ170">
            <v>30</v>
          </cell>
          <cell r="AK170">
            <v>30</v>
          </cell>
          <cell r="AL170">
            <v>30</v>
          </cell>
          <cell r="AM170">
            <v>29</v>
          </cell>
          <cell r="AN170">
            <v>28</v>
          </cell>
          <cell r="AO170">
            <v>27</v>
          </cell>
          <cell r="AP170">
            <v>27</v>
          </cell>
          <cell r="AQ170">
            <v>28.5</v>
          </cell>
          <cell r="AR170">
            <v>30</v>
          </cell>
          <cell r="AS170">
            <v>30</v>
          </cell>
          <cell r="AT170">
            <v>30</v>
          </cell>
          <cell r="AU170">
            <v>29.5</v>
          </cell>
          <cell r="AV170">
            <v>29</v>
          </cell>
          <cell r="AW170">
            <v>28</v>
          </cell>
          <cell r="AX170">
            <v>28</v>
          </cell>
          <cell r="AY170">
            <v>28</v>
          </cell>
          <cell r="AZ170">
            <v>28</v>
          </cell>
          <cell r="BA170">
            <v>30</v>
          </cell>
          <cell r="BB170">
            <v>31</v>
          </cell>
          <cell r="BC170">
            <v>31</v>
          </cell>
          <cell r="BD170">
            <v>32</v>
          </cell>
          <cell r="BE170">
            <v>34</v>
          </cell>
          <cell r="BF170">
            <v>35</v>
          </cell>
          <cell r="BG170">
            <v>38</v>
          </cell>
          <cell r="BH170">
            <v>41</v>
          </cell>
          <cell r="BI170">
            <v>42</v>
          </cell>
          <cell r="BJ170">
            <v>46</v>
          </cell>
          <cell r="BK170">
            <v>48</v>
          </cell>
          <cell r="BL170">
            <v>48</v>
          </cell>
          <cell r="BM170">
            <v>48</v>
          </cell>
          <cell r="BN170">
            <v>48</v>
          </cell>
          <cell r="BO170">
            <v>47</v>
          </cell>
          <cell r="BP170">
            <v>44</v>
          </cell>
          <cell r="BQ170">
            <v>42</v>
          </cell>
          <cell r="BR170">
            <v>40</v>
          </cell>
          <cell r="BS170">
            <v>38</v>
          </cell>
          <cell r="BT170">
            <v>35</v>
          </cell>
          <cell r="BU170">
            <v>33</v>
          </cell>
          <cell r="BV170">
            <v>33</v>
          </cell>
          <cell r="BW170">
            <v>32</v>
          </cell>
          <cell r="BX170">
            <v>32</v>
          </cell>
          <cell r="BY170">
            <v>35</v>
          </cell>
          <cell r="BZ170">
            <v>35</v>
          </cell>
          <cell r="CA170">
            <v>38</v>
          </cell>
          <cell r="CB170">
            <v>41</v>
          </cell>
          <cell r="CC170">
            <v>43</v>
          </cell>
          <cell r="CD170">
            <v>45</v>
          </cell>
          <cell r="CE170">
            <v>45</v>
          </cell>
          <cell r="CF170">
            <v>43</v>
          </cell>
          <cell r="CG170">
            <v>42</v>
          </cell>
          <cell r="CH170">
            <v>42</v>
          </cell>
          <cell r="CI170">
            <v>42</v>
          </cell>
          <cell r="CJ170">
            <v>42</v>
          </cell>
          <cell r="CK170">
            <v>45</v>
          </cell>
          <cell r="CL170">
            <v>45</v>
          </cell>
          <cell r="CM170">
            <v>45</v>
          </cell>
          <cell r="CN170">
            <v>45</v>
          </cell>
          <cell r="CO170">
            <v>44</v>
          </cell>
          <cell r="CP170">
            <v>42</v>
          </cell>
          <cell r="CQ170">
            <v>41</v>
          </cell>
          <cell r="CR170">
            <v>40</v>
          </cell>
          <cell r="CS170">
            <v>40</v>
          </cell>
          <cell r="CT170">
            <v>39</v>
          </cell>
          <cell r="CU170">
            <v>38</v>
          </cell>
          <cell r="CV170">
            <v>38</v>
          </cell>
          <cell r="CW170">
            <v>37</v>
          </cell>
          <cell r="CX170">
            <v>36</v>
          </cell>
          <cell r="CY170">
            <v>35</v>
          </cell>
          <cell r="CZ170">
            <v>33.5</v>
          </cell>
          <cell r="DA170">
            <v>32</v>
          </cell>
          <cell r="DB170">
            <v>31</v>
          </cell>
          <cell r="DC170">
            <v>31</v>
          </cell>
          <cell r="DD170">
            <v>29</v>
          </cell>
          <cell r="DE170">
            <v>28</v>
          </cell>
          <cell r="DF170">
            <v>42</v>
          </cell>
          <cell r="DG170">
            <v>41</v>
          </cell>
          <cell r="DH170">
            <v>40</v>
          </cell>
          <cell r="DI170">
            <v>40</v>
          </cell>
          <cell r="DJ170">
            <v>39</v>
          </cell>
          <cell r="DK170">
            <v>38</v>
          </cell>
          <cell r="DL170">
            <v>38</v>
          </cell>
          <cell r="DM170">
            <v>37</v>
          </cell>
          <cell r="DN170">
            <v>36</v>
          </cell>
          <cell r="DO170">
            <v>35</v>
          </cell>
          <cell r="DP170">
            <v>33.5</v>
          </cell>
          <cell r="DQ170">
            <v>32</v>
          </cell>
          <cell r="DR170">
            <v>31</v>
          </cell>
          <cell r="DS170">
            <v>31</v>
          </cell>
          <cell r="DT170">
            <v>29</v>
          </cell>
          <cell r="DU170">
            <v>28</v>
          </cell>
        </row>
        <row r="172">
          <cell r="F172" t="str">
            <v>Ethane</v>
          </cell>
          <cell r="H172">
            <v>16.07</v>
          </cell>
          <cell r="I172">
            <v>21.96</v>
          </cell>
          <cell r="J172">
            <v>29.29</v>
          </cell>
          <cell r="K172">
            <v>34.99</v>
          </cell>
          <cell r="L172">
            <v>35.9</v>
          </cell>
          <cell r="M172">
            <v>28.92</v>
          </cell>
          <cell r="N172">
            <v>23.73</v>
          </cell>
          <cell r="O172">
            <v>15.28</v>
          </cell>
          <cell r="P172">
            <v>17.5</v>
          </cell>
          <cell r="Q172">
            <v>18.36</v>
          </cell>
          <cell r="R172">
            <v>18.600000000000001</v>
          </cell>
          <cell r="S172">
            <v>14.78</v>
          </cell>
          <cell r="T172">
            <v>15.94</v>
          </cell>
          <cell r="U172">
            <v>19.46</v>
          </cell>
          <cell r="V172">
            <v>25.63</v>
          </cell>
          <cell r="W172">
            <v>30.5</v>
          </cell>
          <cell r="X172">
            <v>28.99</v>
          </cell>
          <cell r="Y172">
            <v>21.81</v>
          </cell>
          <cell r="Z172">
            <v>17.48</v>
          </cell>
          <cell r="AA172">
            <v>19.260000000000002</v>
          </cell>
          <cell r="AB172">
            <v>19.88</v>
          </cell>
          <cell r="AC172">
            <v>18.88</v>
          </cell>
          <cell r="AD172">
            <v>20.91</v>
          </cell>
          <cell r="AE172">
            <v>24.68</v>
          </cell>
          <cell r="AF172">
            <v>24.77</v>
          </cell>
          <cell r="AG172">
            <v>26.45</v>
          </cell>
          <cell r="AH172">
            <v>26.69</v>
          </cell>
          <cell r="AI172">
            <v>25.01</v>
          </cell>
          <cell r="AJ172">
            <v>24.51</v>
          </cell>
          <cell r="AK172">
            <v>20.6</v>
          </cell>
          <cell r="AL172">
            <v>23.2</v>
          </cell>
          <cell r="AM172">
            <v>23.85</v>
          </cell>
          <cell r="AN172">
            <v>23.77</v>
          </cell>
          <cell r="AO172">
            <v>23.73</v>
          </cell>
          <cell r="AP172">
            <v>21.86</v>
          </cell>
          <cell r="AQ172">
            <v>21.48</v>
          </cell>
          <cell r="AR172">
            <v>20.04</v>
          </cell>
          <cell r="AS172">
            <v>18.91</v>
          </cell>
          <cell r="AT172">
            <v>18.23</v>
          </cell>
          <cell r="AU172">
            <v>17.2</v>
          </cell>
          <cell r="AV172">
            <v>16.29</v>
          </cell>
          <cell r="AW172">
            <v>17.02</v>
          </cell>
          <cell r="AX172">
            <v>18.350000000000001</v>
          </cell>
          <cell r="AY172">
            <v>19.260000000000002</v>
          </cell>
          <cell r="AZ172">
            <v>18.61</v>
          </cell>
          <cell r="BA172">
            <v>18.079999999999998</v>
          </cell>
          <cell r="BB172">
            <v>19.59</v>
          </cell>
          <cell r="BC172">
            <v>18.73</v>
          </cell>
          <cell r="BD172">
            <v>18.21</v>
          </cell>
          <cell r="BE172">
            <v>18.52</v>
          </cell>
          <cell r="BF172">
            <v>18.36</v>
          </cell>
          <cell r="BG172">
            <v>19.760000000000002</v>
          </cell>
          <cell r="BH172">
            <v>19.84</v>
          </cell>
          <cell r="BI172">
            <v>17.52</v>
          </cell>
          <cell r="BJ172">
            <v>16.16</v>
          </cell>
          <cell r="BK172">
            <v>13.9</v>
          </cell>
          <cell r="BL172">
            <v>14.11</v>
          </cell>
          <cell r="BM172">
            <v>14.57</v>
          </cell>
          <cell r="BN172">
            <v>14.89</v>
          </cell>
          <cell r="BO172">
            <v>13.73</v>
          </cell>
          <cell r="BP172">
            <v>12.51</v>
          </cell>
          <cell r="BQ172">
            <v>12.15</v>
          </cell>
          <cell r="BR172">
            <v>12.96</v>
          </cell>
          <cell r="BS172">
            <v>14.71</v>
          </cell>
          <cell r="BT172">
            <v>14.73</v>
          </cell>
          <cell r="BU172">
            <v>16.71</v>
          </cell>
          <cell r="BV172">
            <v>16.739999999999998</v>
          </cell>
          <cell r="BW172">
            <v>19.48</v>
          </cell>
          <cell r="BX172">
            <v>23.1</v>
          </cell>
          <cell r="BY172">
            <v>23.39</v>
          </cell>
          <cell r="BZ172">
            <v>20.85</v>
          </cell>
          <cell r="CA172">
            <v>20.309999999999999</v>
          </cell>
          <cell r="CB172">
            <v>22.96</v>
          </cell>
          <cell r="CC172">
            <v>24.58</v>
          </cell>
          <cell r="CD172">
            <v>28.08</v>
          </cell>
          <cell r="CE172">
            <v>30.29</v>
          </cell>
          <cell r="CF172">
            <v>32.67</v>
          </cell>
          <cell r="CG172">
            <v>33.299999999999997</v>
          </cell>
          <cell r="CH172">
            <v>32.46</v>
          </cell>
          <cell r="CI172">
            <v>21.21</v>
          </cell>
          <cell r="CJ172">
            <v>19.96</v>
          </cell>
          <cell r="CK172">
            <v>17.64</v>
          </cell>
          <cell r="CL172">
            <v>19.43</v>
          </cell>
          <cell r="CM172">
            <v>18.62</v>
          </cell>
          <cell r="CN172">
            <v>18.690000000000001</v>
          </cell>
          <cell r="CO172">
            <v>21.1</v>
          </cell>
          <cell r="CP172">
            <v>23.12</v>
          </cell>
          <cell r="CQ172">
            <v>23.61</v>
          </cell>
          <cell r="CR172">
            <v>22</v>
          </cell>
          <cell r="CS172">
            <v>19.89</v>
          </cell>
          <cell r="CT172">
            <v>20.49</v>
          </cell>
          <cell r="CU172">
            <v>20.68</v>
          </cell>
          <cell r="CV172">
            <v>21.03</v>
          </cell>
          <cell r="CW172">
            <v>19.38</v>
          </cell>
          <cell r="CX172">
            <v>17.62</v>
          </cell>
          <cell r="CY172">
            <v>15.93</v>
          </cell>
          <cell r="CZ172">
            <v>16.63</v>
          </cell>
          <cell r="DA172">
            <v>17.61</v>
          </cell>
          <cell r="DB172">
            <v>15.59</v>
          </cell>
          <cell r="DC172">
            <v>16.63</v>
          </cell>
          <cell r="DD172">
            <v>17.61</v>
          </cell>
          <cell r="DE172">
            <v>15.59</v>
          </cell>
          <cell r="DF172">
            <v>23.12</v>
          </cell>
          <cell r="DG172">
            <v>23.61</v>
          </cell>
          <cell r="DH172">
            <v>22</v>
          </cell>
          <cell r="DI172">
            <v>19.89</v>
          </cell>
          <cell r="DJ172">
            <v>20.49</v>
          </cell>
          <cell r="DK172">
            <v>20.68</v>
          </cell>
          <cell r="DL172">
            <v>21.03</v>
          </cell>
          <cell r="DM172">
            <v>19.38</v>
          </cell>
          <cell r="DN172">
            <v>17.62</v>
          </cell>
          <cell r="DO172">
            <v>15.93</v>
          </cell>
          <cell r="DP172">
            <v>16.63</v>
          </cell>
          <cell r="DQ172">
            <v>17.61</v>
          </cell>
          <cell r="DR172">
            <v>15.59</v>
          </cell>
          <cell r="DS172">
            <v>16.63</v>
          </cell>
          <cell r="DT172">
            <v>17.61</v>
          </cell>
          <cell r="DU172">
            <v>15.59</v>
          </cell>
        </row>
        <row r="173">
          <cell r="F173" t="str">
            <v>Ethane cost</v>
          </cell>
          <cell r="H173">
            <v>7.2724785000000001</v>
          </cell>
          <cell r="I173">
            <v>9.9379980000000003</v>
          </cell>
          <cell r="J173">
            <v>13.2551895</v>
          </cell>
          <cell r="K173">
            <v>15.834724500000002</v>
          </cell>
          <cell r="L173">
            <v>16.246545000000001</v>
          </cell>
          <cell r="M173">
            <v>13.087746000000001</v>
          </cell>
          <cell r="N173">
            <v>10.7390115</v>
          </cell>
          <cell r="O173">
            <v>6.9149640000000003</v>
          </cell>
          <cell r="P173">
            <v>7.9196249999999999</v>
          </cell>
          <cell r="Q173">
            <v>8.3088180000000005</v>
          </cell>
          <cell r="R173">
            <v>8.4174300000000013</v>
          </cell>
          <cell r="S173">
            <v>6.6886890000000001</v>
          </cell>
          <cell r="T173">
            <v>7.2136470000000008</v>
          </cell>
          <cell r="U173">
            <v>8.8066230000000001</v>
          </cell>
          <cell r="V173">
            <v>11.5988565</v>
          </cell>
          <cell r="W173">
            <v>13.802775</v>
          </cell>
          <cell r="X173">
            <v>13.119424499999999</v>
          </cell>
          <cell r="Y173">
            <v>9.8701155000000007</v>
          </cell>
          <cell r="Z173">
            <v>7.9105740000000004</v>
          </cell>
          <cell r="AA173">
            <v>8.7161130000000018</v>
          </cell>
          <cell r="AB173">
            <v>8.9966939999999997</v>
          </cell>
          <cell r="AC173">
            <v>8.5441439999999993</v>
          </cell>
          <cell r="AD173">
            <v>9.4628204999999994</v>
          </cell>
          <cell r="AE173">
            <v>11.168934</v>
          </cell>
          <cell r="AF173">
            <v>11.2096635</v>
          </cell>
          <cell r="AG173">
            <v>11.9699475</v>
          </cell>
          <cell r="AH173">
            <v>12.078559500000001</v>
          </cell>
          <cell r="AI173">
            <v>11.3182755</v>
          </cell>
          <cell r="AJ173">
            <v>11.092000500000001</v>
          </cell>
          <cell r="AK173">
            <v>9.3225300000000004</v>
          </cell>
          <cell r="AL173">
            <v>10.49916</v>
          </cell>
          <cell r="AM173">
            <v>10.793317500000001</v>
          </cell>
          <cell r="AN173">
            <v>10.757113499999999</v>
          </cell>
          <cell r="AO173">
            <v>10.7390115</v>
          </cell>
          <cell r="AP173">
            <v>9.8927429999999994</v>
          </cell>
          <cell r="AQ173">
            <v>9.7207740000000005</v>
          </cell>
          <cell r="AR173">
            <v>9.0691020000000009</v>
          </cell>
          <cell r="AS173">
            <v>8.5577205000000003</v>
          </cell>
          <cell r="AT173">
            <v>8.2499865000000003</v>
          </cell>
          <cell r="AU173">
            <v>7.7838599999999998</v>
          </cell>
          <cell r="AV173">
            <v>7.3720394999999996</v>
          </cell>
          <cell r="AW173">
            <v>7.7024010000000001</v>
          </cell>
          <cell r="AX173">
            <v>8.3042925000000007</v>
          </cell>
          <cell r="AY173">
            <v>8.7161130000000018</v>
          </cell>
          <cell r="AZ173">
            <v>8.4219554999999993</v>
          </cell>
          <cell r="BA173">
            <v>8.1821039999999989</v>
          </cell>
          <cell r="BB173">
            <v>8.8654545000000002</v>
          </cell>
          <cell r="BC173">
            <v>8.4762615000000014</v>
          </cell>
          <cell r="BD173">
            <v>8.2409355000000009</v>
          </cell>
          <cell r="BE173">
            <v>8.3812259999999998</v>
          </cell>
          <cell r="BF173">
            <v>8.3088180000000005</v>
          </cell>
          <cell r="BG173">
            <v>8.9423880000000011</v>
          </cell>
          <cell r="BH173">
            <v>8.9785920000000008</v>
          </cell>
          <cell r="BI173">
            <v>7.9286760000000003</v>
          </cell>
          <cell r="BJ173">
            <v>7.3132079999999995</v>
          </cell>
          <cell r="BK173">
            <v>6.2904450000000001</v>
          </cell>
          <cell r="BL173">
            <v>6.3854804999999999</v>
          </cell>
          <cell r="BM173">
            <v>6.5936535000000003</v>
          </cell>
          <cell r="BN173">
            <v>6.7384695000000008</v>
          </cell>
          <cell r="BO173">
            <v>6.2135115000000001</v>
          </cell>
          <cell r="BP173">
            <v>5.6614005000000001</v>
          </cell>
          <cell r="BQ173">
            <v>5.4984825000000006</v>
          </cell>
          <cell r="BR173">
            <v>5.8650480000000007</v>
          </cell>
          <cell r="BS173">
            <v>6.6570105000000011</v>
          </cell>
          <cell r="BT173">
            <v>6.6660615000000005</v>
          </cell>
          <cell r="BU173">
            <v>7.5621105000000011</v>
          </cell>
          <cell r="BV173">
            <v>7.5756869999999994</v>
          </cell>
          <cell r="BW173">
            <v>8.8156739999999996</v>
          </cell>
          <cell r="BX173">
            <v>10.453905000000001</v>
          </cell>
          <cell r="BY173">
            <v>10.5851445</v>
          </cell>
          <cell r="BZ173">
            <v>9.435667500000001</v>
          </cell>
          <cell r="CA173">
            <v>9.1912905000000009</v>
          </cell>
          <cell r="CB173">
            <v>10.390548000000001</v>
          </cell>
          <cell r="CC173">
            <v>11.123678999999999</v>
          </cell>
          <cell r="CD173">
            <v>12.707604</v>
          </cell>
          <cell r="CE173">
            <v>13.707739500000001</v>
          </cell>
          <cell r="CF173">
            <v>14.784808500000002</v>
          </cell>
          <cell r="CG173">
            <v>15.069914999999998</v>
          </cell>
          <cell r="CH173">
            <v>14.689773000000002</v>
          </cell>
          <cell r="CI173">
            <v>9.5985855000000004</v>
          </cell>
          <cell r="CJ173">
            <v>9.0328980000000012</v>
          </cell>
          <cell r="CK173">
            <v>7.9829820000000007</v>
          </cell>
          <cell r="CL173">
            <v>8.7930465000000009</v>
          </cell>
          <cell r="CM173">
            <v>8.4264810000000008</v>
          </cell>
          <cell r="CN173">
            <v>8.4581595000000007</v>
          </cell>
          <cell r="CO173">
            <v>9.5488050000000015</v>
          </cell>
          <cell r="CP173">
            <v>10.462956</v>
          </cell>
          <cell r="CQ173">
            <v>10.6847055</v>
          </cell>
          <cell r="CR173">
            <v>9.9560999999999993</v>
          </cell>
          <cell r="CS173">
            <v>9.0012194999999995</v>
          </cell>
          <cell r="CT173">
            <v>9.2727494999999998</v>
          </cell>
          <cell r="CU173">
            <v>9.3587340000000001</v>
          </cell>
          <cell r="CV173">
            <v>9.5171265000000016</v>
          </cell>
          <cell r="CW173">
            <v>8.7704190000000004</v>
          </cell>
          <cell r="CX173">
            <v>7.9739310000000003</v>
          </cell>
          <cell r="CY173">
            <v>7.2091215000000002</v>
          </cell>
          <cell r="CZ173">
            <v>7.5259064999999996</v>
          </cell>
          <cell r="DA173">
            <v>7.9694054999999997</v>
          </cell>
          <cell r="DB173">
            <v>7.0552545000000002</v>
          </cell>
          <cell r="DC173">
            <v>7.5259064999999996</v>
          </cell>
          <cell r="DD173">
            <v>7.9694054999999997</v>
          </cell>
          <cell r="DE173">
            <v>7.0552545000000002</v>
          </cell>
          <cell r="DF173">
            <v>10.462956</v>
          </cell>
          <cell r="DG173">
            <v>10.6847055</v>
          </cell>
          <cell r="DH173">
            <v>9.9560999999999993</v>
          </cell>
          <cell r="DI173">
            <v>9.0012194999999995</v>
          </cell>
          <cell r="DJ173">
            <v>9.2727494999999998</v>
          </cell>
          <cell r="DK173">
            <v>9.3587340000000001</v>
          </cell>
          <cell r="DL173">
            <v>9.5171265000000016</v>
          </cell>
          <cell r="DM173">
            <v>8.7704190000000004</v>
          </cell>
          <cell r="DN173">
            <v>7.9739310000000003</v>
          </cell>
          <cell r="DO173">
            <v>7.2091215000000002</v>
          </cell>
          <cell r="DP173">
            <v>7.5259064999999996</v>
          </cell>
          <cell r="DQ173">
            <v>7.9694054999999997</v>
          </cell>
          <cell r="DR173">
            <v>7.0552545000000002</v>
          </cell>
          <cell r="DS173">
            <v>7.5259064999999996</v>
          </cell>
          <cell r="DT173">
            <v>7.9694054999999997</v>
          </cell>
          <cell r="DU173">
            <v>7.0552545000000002</v>
          </cell>
        </row>
        <row r="175">
          <cell r="F175" t="str">
            <v>Spread</v>
          </cell>
          <cell r="H175">
            <v>32.727521500000002</v>
          </cell>
          <cell r="I175">
            <v>30.062002</v>
          </cell>
          <cell r="J175">
            <v>27.7448105</v>
          </cell>
          <cell r="K175">
            <v>29.1652755</v>
          </cell>
          <cell r="L175">
            <v>30.753454999999999</v>
          </cell>
          <cell r="M175">
            <v>36.912253999999997</v>
          </cell>
          <cell r="N175">
            <v>38.260988499999996</v>
          </cell>
          <cell r="O175">
            <v>41.085036000000002</v>
          </cell>
          <cell r="P175">
            <v>37.080375000000004</v>
          </cell>
          <cell r="Q175">
            <v>32.691181999999998</v>
          </cell>
          <cell r="R175">
            <v>30.582569999999997</v>
          </cell>
          <cell r="S175">
            <v>28.311311</v>
          </cell>
          <cell r="T175">
            <v>25.786352999999998</v>
          </cell>
          <cell r="U175">
            <v>23.193376999999998</v>
          </cell>
          <cell r="V175">
            <v>19.9011435</v>
          </cell>
          <cell r="W175">
            <v>17.197225</v>
          </cell>
          <cell r="X175">
            <v>17.880575499999999</v>
          </cell>
          <cell r="Y175">
            <v>21.129884499999999</v>
          </cell>
          <cell r="Z175">
            <v>23.089426</v>
          </cell>
          <cell r="AA175">
            <v>21.283887</v>
          </cell>
          <cell r="AB175">
            <v>20.003306000000002</v>
          </cell>
          <cell r="AC175">
            <v>20.455856000000001</v>
          </cell>
          <cell r="AD175">
            <v>19.537179500000001</v>
          </cell>
          <cell r="AE175">
            <v>18.081066</v>
          </cell>
          <cell r="AF175">
            <v>18.540336500000002</v>
          </cell>
          <cell r="AG175">
            <v>18.0300525</v>
          </cell>
          <cell r="AH175">
            <v>17.921440499999999</v>
          </cell>
          <cell r="AI175">
            <v>18.681724500000001</v>
          </cell>
          <cell r="AJ175">
            <v>18.907999499999999</v>
          </cell>
          <cell r="AK175">
            <v>20.67747</v>
          </cell>
          <cell r="AL175">
            <v>19.50084</v>
          </cell>
          <cell r="AM175">
            <v>18.206682499999999</v>
          </cell>
          <cell r="AN175">
            <v>17.242886500000001</v>
          </cell>
          <cell r="AO175">
            <v>16.2609885</v>
          </cell>
          <cell r="AP175">
            <v>17.107257000000001</v>
          </cell>
          <cell r="AQ175">
            <v>18.779226000000001</v>
          </cell>
          <cell r="AR175">
            <v>20.930897999999999</v>
          </cell>
          <cell r="AS175">
            <v>21.442279499999998</v>
          </cell>
          <cell r="AT175">
            <v>21.750013500000001</v>
          </cell>
          <cell r="AU175">
            <v>21.716139999999999</v>
          </cell>
          <cell r="AV175">
            <v>21.6279605</v>
          </cell>
          <cell r="AW175">
            <v>20.297598999999998</v>
          </cell>
          <cell r="AX175">
            <v>19.695707499999997</v>
          </cell>
          <cell r="AY175">
            <v>19.283887</v>
          </cell>
          <cell r="AZ175">
            <v>19.578044500000001</v>
          </cell>
          <cell r="BA175">
            <v>21.817896000000001</v>
          </cell>
          <cell r="BB175">
            <v>22.134545500000002</v>
          </cell>
          <cell r="BC175">
            <v>22.5237385</v>
          </cell>
          <cell r="BD175">
            <v>23.759064500000001</v>
          </cell>
          <cell r="BE175">
            <v>25.618774000000002</v>
          </cell>
          <cell r="BF175">
            <v>26.691181999999998</v>
          </cell>
          <cell r="BG175">
            <v>29.057611999999999</v>
          </cell>
          <cell r="BH175">
            <v>32.021408000000001</v>
          </cell>
          <cell r="BI175">
            <v>34.071323999999997</v>
          </cell>
          <cell r="BJ175">
            <v>38.686791999999997</v>
          </cell>
          <cell r="BK175">
            <v>41.709555000000002</v>
          </cell>
          <cell r="BL175">
            <v>41.6145195</v>
          </cell>
          <cell r="BM175">
            <v>41.406346499999998</v>
          </cell>
          <cell r="BN175">
            <v>41.261530499999999</v>
          </cell>
          <cell r="BO175">
            <v>40.786488499999997</v>
          </cell>
          <cell r="BP175">
            <v>38.338599500000001</v>
          </cell>
          <cell r="BQ175">
            <v>36.501517499999999</v>
          </cell>
          <cell r="BR175">
            <v>34.134951999999998</v>
          </cell>
          <cell r="BS175">
            <v>31.342989499999998</v>
          </cell>
          <cell r="BT175">
            <v>28.333938499999999</v>
          </cell>
          <cell r="BU175">
            <v>25.437889499999997</v>
          </cell>
          <cell r="BV175">
            <v>25.424313000000001</v>
          </cell>
          <cell r="BW175">
            <v>23.184325999999999</v>
          </cell>
          <cell r="BX175">
            <v>21.546095000000001</v>
          </cell>
          <cell r="BY175">
            <v>24.414855500000002</v>
          </cell>
          <cell r="BZ175">
            <v>25.564332499999999</v>
          </cell>
          <cell r="CA175">
            <v>28.808709499999999</v>
          </cell>
          <cell r="CB175">
            <v>30.609451999999997</v>
          </cell>
          <cell r="CC175">
            <v>31.876321000000001</v>
          </cell>
          <cell r="CD175">
            <v>32.292395999999997</v>
          </cell>
          <cell r="CE175">
            <v>31.292260499999998</v>
          </cell>
          <cell r="CF175">
            <v>28.215191499999996</v>
          </cell>
          <cell r="CG175">
            <v>26.930085000000002</v>
          </cell>
          <cell r="CH175">
            <v>27.310226999999998</v>
          </cell>
          <cell r="CI175">
            <v>32.401414500000001</v>
          </cell>
          <cell r="CJ175">
            <v>32.967101999999997</v>
          </cell>
          <cell r="CK175">
            <v>37.017018</v>
          </cell>
          <cell r="CL175">
            <v>36.206953499999997</v>
          </cell>
          <cell r="CM175">
            <v>36.573518999999997</v>
          </cell>
          <cell r="CN175">
            <v>36.541840499999999</v>
          </cell>
          <cell r="CO175">
            <v>34.451194999999998</v>
          </cell>
          <cell r="CP175">
            <v>31.537044000000002</v>
          </cell>
          <cell r="CQ175">
            <v>30.3152945</v>
          </cell>
          <cell r="CR175">
            <v>30.043900000000001</v>
          </cell>
          <cell r="CS175">
            <v>30.998780500000002</v>
          </cell>
          <cell r="CT175">
            <v>29.7272505</v>
          </cell>
          <cell r="CU175">
            <v>28.641266000000002</v>
          </cell>
          <cell r="CV175">
            <v>28.482873499999997</v>
          </cell>
          <cell r="CW175">
            <v>28.229581</v>
          </cell>
          <cell r="CX175">
            <v>28.026069</v>
          </cell>
          <cell r="CY175">
            <v>27.790878499999998</v>
          </cell>
          <cell r="CZ175">
            <v>25.974093500000002</v>
          </cell>
          <cell r="DA175">
            <v>24.030594499999999</v>
          </cell>
          <cell r="DB175">
            <v>23.9447455</v>
          </cell>
          <cell r="DC175">
            <v>23.474093500000002</v>
          </cell>
          <cell r="DD175">
            <v>21.030594499999999</v>
          </cell>
          <cell r="DE175">
            <v>20.9447455</v>
          </cell>
          <cell r="DF175">
            <v>31.537044000000002</v>
          </cell>
          <cell r="DG175">
            <v>30.3152945</v>
          </cell>
          <cell r="DH175">
            <v>30.043900000000001</v>
          </cell>
          <cell r="DI175">
            <v>30.998780500000002</v>
          </cell>
          <cell r="DJ175">
            <v>29.7272505</v>
          </cell>
          <cell r="DK175">
            <v>28.641266000000002</v>
          </cell>
          <cell r="DL175">
            <v>28.482873499999997</v>
          </cell>
          <cell r="DM175">
            <v>28.229581</v>
          </cell>
          <cell r="DN175">
            <v>28.026069</v>
          </cell>
          <cell r="DO175">
            <v>27.790878499999998</v>
          </cell>
          <cell r="DP175">
            <v>25.974093500000002</v>
          </cell>
          <cell r="DQ175">
            <v>24.030594499999999</v>
          </cell>
          <cell r="DR175">
            <v>23.9447455</v>
          </cell>
          <cell r="DS175">
            <v>23.474093500000002</v>
          </cell>
          <cell r="DT175">
            <v>21.030594499999999</v>
          </cell>
          <cell r="DU175">
            <v>20.9447455</v>
          </cell>
        </row>
        <row r="177">
          <cell r="F177" t="str">
            <v>(1)  Blow molding grade.</v>
          </cell>
        </row>
        <row r="178">
          <cell r="F178" t="str">
            <v>(2)  Assuming a conversion factor of 2.9 lbs./gal of ethane and 1.05 lbs. ethylene, which requires 1.25 pounds of ethane per pound of ethylene, to produce 1.0 lbs. HDPE.</v>
          </cell>
        </row>
        <row r="180">
          <cell r="F180" t="str">
            <v>To estimate variable cash costs: Add $0.03 for ethylene production cost, Add $0.10 for polyethylene conversion cost</v>
          </cell>
          <cell r="BT180" t="str">
            <v>To estimate full cost also:</v>
          </cell>
          <cell r="CI180" t="str">
            <v>To estimate full cost also:</v>
          </cell>
          <cell r="CJ180" t="str">
            <v>To estimate full cost also:</v>
          </cell>
        </row>
        <row r="182">
          <cell r="F182" t="str">
            <v>LDPE/Ethane Cost Spread</v>
          </cell>
        </row>
        <row r="184">
          <cell r="H184">
            <v>33055</v>
          </cell>
          <cell r="I184">
            <v>33086</v>
          </cell>
          <cell r="J184">
            <v>33117</v>
          </cell>
          <cell r="K184">
            <v>33147</v>
          </cell>
          <cell r="L184">
            <v>33178</v>
          </cell>
          <cell r="M184">
            <v>33208</v>
          </cell>
          <cell r="N184">
            <v>33239</v>
          </cell>
          <cell r="O184">
            <v>33270</v>
          </cell>
          <cell r="P184">
            <v>33298</v>
          </cell>
          <cell r="Q184">
            <v>33329</v>
          </cell>
          <cell r="R184">
            <v>33359</v>
          </cell>
          <cell r="S184">
            <v>33390</v>
          </cell>
          <cell r="T184">
            <v>33420</v>
          </cell>
          <cell r="U184">
            <v>33451</v>
          </cell>
          <cell r="V184">
            <v>33482</v>
          </cell>
          <cell r="W184">
            <v>33512</v>
          </cell>
          <cell r="X184">
            <v>33543</v>
          </cell>
          <cell r="Y184">
            <v>33573</v>
          </cell>
          <cell r="Z184">
            <v>33604</v>
          </cell>
          <cell r="AA184">
            <v>33635</v>
          </cell>
          <cell r="AB184">
            <v>33664</v>
          </cell>
          <cell r="AC184">
            <v>33695</v>
          </cell>
          <cell r="AD184">
            <v>33725</v>
          </cell>
          <cell r="AE184">
            <v>33756</v>
          </cell>
          <cell r="AF184">
            <v>33786</v>
          </cell>
          <cell r="AG184">
            <v>33817</v>
          </cell>
          <cell r="AH184">
            <v>33848</v>
          </cell>
          <cell r="AI184">
            <v>33878</v>
          </cell>
          <cell r="AJ184">
            <v>33909</v>
          </cell>
          <cell r="AK184">
            <v>33939</v>
          </cell>
          <cell r="AL184">
            <v>33970</v>
          </cell>
          <cell r="AM184">
            <v>34001</v>
          </cell>
          <cell r="AN184">
            <v>34029</v>
          </cell>
          <cell r="AO184">
            <v>34060</v>
          </cell>
          <cell r="AP184">
            <v>34090</v>
          </cell>
          <cell r="AQ184">
            <v>34121</v>
          </cell>
          <cell r="AR184">
            <v>34151</v>
          </cell>
          <cell r="AS184">
            <v>34182</v>
          </cell>
          <cell r="AT184">
            <v>34213</v>
          </cell>
          <cell r="AU184">
            <v>34243</v>
          </cell>
          <cell r="AV184">
            <v>34274</v>
          </cell>
          <cell r="AW184">
            <v>34304</v>
          </cell>
          <cell r="AX184">
            <v>34335</v>
          </cell>
          <cell r="AY184">
            <v>34366</v>
          </cell>
          <cell r="AZ184">
            <v>34394</v>
          </cell>
          <cell r="BA184">
            <v>34425</v>
          </cell>
          <cell r="BB184">
            <v>34455</v>
          </cell>
          <cell r="BC184">
            <v>34486</v>
          </cell>
          <cell r="BD184">
            <v>34516</v>
          </cell>
          <cell r="BE184">
            <v>34547</v>
          </cell>
          <cell r="BF184">
            <v>34578</v>
          </cell>
          <cell r="BG184">
            <v>34608</v>
          </cell>
          <cell r="BH184">
            <v>34639</v>
          </cell>
          <cell r="BI184">
            <v>34669</v>
          </cell>
          <cell r="BJ184">
            <v>34700</v>
          </cell>
          <cell r="BK184">
            <v>34731</v>
          </cell>
          <cell r="BL184">
            <v>34759</v>
          </cell>
          <cell r="BM184">
            <v>34790</v>
          </cell>
          <cell r="BN184">
            <v>34820</v>
          </cell>
          <cell r="BO184">
            <v>34851</v>
          </cell>
          <cell r="BP184">
            <v>34881</v>
          </cell>
          <cell r="BQ184">
            <v>34912</v>
          </cell>
          <cell r="BR184">
            <v>34943</v>
          </cell>
          <cell r="BS184">
            <v>34973</v>
          </cell>
          <cell r="BT184">
            <v>35004</v>
          </cell>
          <cell r="BU184">
            <v>35034</v>
          </cell>
          <cell r="BV184">
            <v>35065</v>
          </cell>
          <cell r="BW184">
            <v>35096</v>
          </cell>
          <cell r="BX184">
            <v>35125</v>
          </cell>
          <cell r="BY184">
            <v>35156</v>
          </cell>
          <cell r="BZ184">
            <v>35186</v>
          </cell>
          <cell r="CA184">
            <v>35217</v>
          </cell>
          <cell r="CB184">
            <v>35247</v>
          </cell>
          <cell r="CC184">
            <v>35278</v>
          </cell>
          <cell r="CD184">
            <v>35309</v>
          </cell>
          <cell r="CE184">
            <v>35339</v>
          </cell>
          <cell r="CF184">
            <v>35370</v>
          </cell>
          <cell r="CG184">
            <v>35400</v>
          </cell>
          <cell r="CH184">
            <v>35431</v>
          </cell>
          <cell r="CI184">
            <v>35462</v>
          </cell>
          <cell r="CJ184">
            <v>35490</v>
          </cell>
          <cell r="CK184">
            <v>35521</v>
          </cell>
          <cell r="CL184">
            <v>35551</v>
          </cell>
          <cell r="CM184">
            <v>35582</v>
          </cell>
          <cell r="CN184">
            <v>35612</v>
          </cell>
          <cell r="CO184">
            <v>35643</v>
          </cell>
          <cell r="CP184">
            <v>35674</v>
          </cell>
          <cell r="CQ184">
            <v>35704</v>
          </cell>
          <cell r="CR184">
            <v>35735</v>
          </cell>
          <cell r="CS184">
            <v>35765</v>
          </cell>
          <cell r="CT184">
            <v>35796</v>
          </cell>
          <cell r="CU184">
            <v>35827</v>
          </cell>
          <cell r="CV184">
            <v>35855</v>
          </cell>
          <cell r="CW184">
            <v>35886</v>
          </cell>
          <cell r="CX184">
            <v>35916</v>
          </cell>
          <cell r="CY184">
            <v>35947</v>
          </cell>
          <cell r="CZ184">
            <v>35977</v>
          </cell>
          <cell r="DA184">
            <v>36008</v>
          </cell>
          <cell r="DB184">
            <v>36039</v>
          </cell>
          <cell r="DC184">
            <v>36069</v>
          </cell>
          <cell r="DD184">
            <v>36100</v>
          </cell>
          <cell r="DE184">
            <v>36130</v>
          </cell>
          <cell r="DF184">
            <v>35674</v>
          </cell>
          <cell r="DG184">
            <v>35704</v>
          </cell>
          <cell r="DH184">
            <v>35735</v>
          </cell>
          <cell r="DI184">
            <v>35765</v>
          </cell>
          <cell r="DJ184">
            <v>35796</v>
          </cell>
          <cell r="DK184">
            <v>35827</v>
          </cell>
          <cell r="DL184">
            <v>35855</v>
          </cell>
          <cell r="DM184">
            <v>35886</v>
          </cell>
          <cell r="DN184">
            <v>35916</v>
          </cell>
          <cell r="DO184">
            <v>35947</v>
          </cell>
          <cell r="DP184">
            <v>35977</v>
          </cell>
          <cell r="DQ184">
            <v>36008</v>
          </cell>
          <cell r="DR184">
            <v>36039</v>
          </cell>
          <cell r="DS184">
            <v>36069</v>
          </cell>
          <cell r="DT184">
            <v>36100</v>
          </cell>
          <cell r="DU184">
            <v>36130</v>
          </cell>
        </row>
        <row r="185">
          <cell r="F185" t="str">
            <v>LDPE price</v>
          </cell>
          <cell r="H185">
            <v>38</v>
          </cell>
          <cell r="I185">
            <v>39</v>
          </cell>
          <cell r="J185">
            <v>40</v>
          </cell>
          <cell r="K185">
            <v>43</v>
          </cell>
          <cell r="L185">
            <v>44</v>
          </cell>
          <cell r="M185">
            <v>45</v>
          </cell>
          <cell r="N185">
            <v>44</v>
          </cell>
          <cell r="O185">
            <v>41</v>
          </cell>
          <cell r="P185">
            <v>39</v>
          </cell>
          <cell r="Q185">
            <v>37</v>
          </cell>
          <cell r="R185">
            <v>30</v>
          </cell>
          <cell r="S185">
            <v>27</v>
          </cell>
          <cell r="T185">
            <v>28</v>
          </cell>
          <cell r="U185">
            <v>28</v>
          </cell>
          <cell r="V185">
            <v>30</v>
          </cell>
          <cell r="W185">
            <v>32</v>
          </cell>
          <cell r="X185">
            <v>32</v>
          </cell>
          <cell r="Y185">
            <v>32</v>
          </cell>
          <cell r="Z185">
            <v>31</v>
          </cell>
          <cell r="AA185">
            <v>30.5</v>
          </cell>
          <cell r="AB185">
            <v>30</v>
          </cell>
          <cell r="AC185">
            <v>30</v>
          </cell>
          <cell r="AD185">
            <v>30.5</v>
          </cell>
          <cell r="AE185">
            <v>32</v>
          </cell>
          <cell r="AF185">
            <v>33</v>
          </cell>
          <cell r="AG185">
            <v>33</v>
          </cell>
          <cell r="AH185">
            <v>33</v>
          </cell>
          <cell r="AI185">
            <v>34</v>
          </cell>
          <cell r="AJ185">
            <v>34</v>
          </cell>
          <cell r="AK185">
            <v>34</v>
          </cell>
          <cell r="AL185">
            <v>34</v>
          </cell>
          <cell r="AM185">
            <v>33.5</v>
          </cell>
          <cell r="AN185">
            <v>33</v>
          </cell>
          <cell r="AO185">
            <v>32</v>
          </cell>
          <cell r="AP185">
            <v>31</v>
          </cell>
          <cell r="AQ185">
            <v>30</v>
          </cell>
          <cell r="AR185">
            <v>30</v>
          </cell>
          <cell r="AS185">
            <v>30</v>
          </cell>
          <cell r="AT185">
            <v>29.5</v>
          </cell>
          <cell r="AU185">
            <v>29</v>
          </cell>
          <cell r="AV185">
            <v>28</v>
          </cell>
          <cell r="AW185">
            <v>28</v>
          </cell>
          <cell r="AX185">
            <v>28</v>
          </cell>
          <cell r="AY185">
            <v>28</v>
          </cell>
          <cell r="AZ185">
            <v>28</v>
          </cell>
          <cell r="BA185">
            <v>31</v>
          </cell>
          <cell r="BB185">
            <v>33</v>
          </cell>
          <cell r="BC185">
            <v>33</v>
          </cell>
          <cell r="BD185">
            <v>34</v>
          </cell>
          <cell r="BE185">
            <v>35</v>
          </cell>
          <cell r="BF185">
            <v>37</v>
          </cell>
          <cell r="BG185">
            <v>41</v>
          </cell>
          <cell r="BH185">
            <v>43</v>
          </cell>
          <cell r="BI185">
            <v>45</v>
          </cell>
          <cell r="BJ185">
            <v>49</v>
          </cell>
          <cell r="BK185">
            <v>51</v>
          </cell>
          <cell r="BL185">
            <v>51</v>
          </cell>
          <cell r="BM185">
            <v>51</v>
          </cell>
          <cell r="BN185">
            <v>50</v>
          </cell>
          <cell r="BO185">
            <v>49</v>
          </cell>
          <cell r="BP185">
            <v>47</v>
          </cell>
          <cell r="BQ185">
            <v>45</v>
          </cell>
          <cell r="BR185">
            <v>43</v>
          </cell>
          <cell r="BS185">
            <v>41</v>
          </cell>
          <cell r="BT185">
            <v>38</v>
          </cell>
          <cell r="BU185">
            <v>36</v>
          </cell>
          <cell r="BV185">
            <v>35</v>
          </cell>
          <cell r="BW185">
            <v>34</v>
          </cell>
          <cell r="BX185">
            <v>34</v>
          </cell>
          <cell r="BY185">
            <v>38</v>
          </cell>
          <cell r="BZ185">
            <v>39</v>
          </cell>
          <cell r="CA185">
            <v>42</v>
          </cell>
          <cell r="CB185">
            <v>43</v>
          </cell>
          <cell r="CC185">
            <v>45</v>
          </cell>
          <cell r="CD185">
            <v>47</v>
          </cell>
          <cell r="CE185">
            <v>47</v>
          </cell>
          <cell r="CF185">
            <v>45</v>
          </cell>
          <cell r="CG185">
            <v>44</v>
          </cell>
          <cell r="CH185">
            <v>44</v>
          </cell>
          <cell r="CI185">
            <v>44</v>
          </cell>
          <cell r="CJ185">
            <v>46</v>
          </cell>
          <cell r="CK185">
            <v>46</v>
          </cell>
          <cell r="CL185">
            <v>46</v>
          </cell>
          <cell r="CM185">
            <v>46</v>
          </cell>
          <cell r="CN185">
            <v>46</v>
          </cell>
          <cell r="CO185">
            <v>45</v>
          </cell>
          <cell r="CP185">
            <v>43</v>
          </cell>
          <cell r="CQ185">
            <v>42</v>
          </cell>
          <cell r="CR185">
            <v>41</v>
          </cell>
          <cell r="CS185">
            <v>41</v>
          </cell>
          <cell r="CT185">
            <v>41</v>
          </cell>
          <cell r="CU185">
            <v>40</v>
          </cell>
          <cell r="CV185">
            <v>39</v>
          </cell>
          <cell r="CW185">
            <v>38</v>
          </cell>
          <cell r="CX185">
            <v>36</v>
          </cell>
          <cell r="CY185">
            <v>35</v>
          </cell>
          <cell r="CZ185">
            <v>33.5</v>
          </cell>
          <cell r="DA185">
            <v>32.5</v>
          </cell>
          <cell r="DB185">
            <v>32</v>
          </cell>
          <cell r="DC185">
            <v>32</v>
          </cell>
          <cell r="DD185">
            <v>31</v>
          </cell>
          <cell r="DE185">
            <v>30</v>
          </cell>
          <cell r="DF185">
            <v>43</v>
          </cell>
          <cell r="DG185">
            <v>42</v>
          </cell>
          <cell r="DH185">
            <v>41</v>
          </cell>
          <cell r="DI185">
            <v>41</v>
          </cell>
          <cell r="DJ185">
            <v>41</v>
          </cell>
          <cell r="DK185">
            <v>40</v>
          </cell>
          <cell r="DL185">
            <v>39</v>
          </cell>
          <cell r="DM185">
            <v>38</v>
          </cell>
          <cell r="DN185">
            <v>36</v>
          </cell>
          <cell r="DO185">
            <v>35</v>
          </cell>
          <cell r="DP185">
            <v>33.5</v>
          </cell>
          <cell r="DQ185">
            <v>32.5</v>
          </cell>
          <cell r="DR185">
            <v>32</v>
          </cell>
          <cell r="DS185">
            <v>32</v>
          </cell>
          <cell r="DT185">
            <v>31</v>
          </cell>
          <cell r="DU185">
            <v>30</v>
          </cell>
        </row>
        <row r="187">
          <cell r="F187" t="str">
            <v>Ethane</v>
          </cell>
          <cell r="H187">
            <v>16.07</v>
          </cell>
          <cell r="I187">
            <v>21.96</v>
          </cell>
          <cell r="J187">
            <v>29.29</v>
          </cell>
          <cell r="K187">
            <v>34.99</v>
          </cell>
          <cell r="L187">
            <v>35.9</v>
          </cell>
          <cell r="M187">
            <v>28.92</v>
          </cell>
          <cell r="N187">
            <v>23.73</v>
          </cell>
          <cell r="O187">
            <v>15.28</v>
          </cell>
          <cell r="P187">
            <v>17.5</v>
          </cell>
          <cell r="Q187">
            <v>18.36</v>
          </cell>
          <cell r="R187">
            <v>18.600000000000001</v>
          </cell>
          <cell r="S187">
            <v>14.78</v>
          </cell>
          <cell r="T187">
            <v>15.94</v>
          </cell>
          <cell r="U187">
            <v>19.46</v>
          </cell>
          <cell r="V187">
            <v>25.63</v>
          </cell>
          <cell r="W187">
            <v>30.5</v>
          </cell>
          <cell r="X187">
            <v>28.99</v>
          </cell>
          <cell r="Y187">
            <v>21.81</v>
          </cell>
          <cell r="Z187">
            <v>17.48</v>
          </cell>
          <cell r="AA187">
            <v>19.260000000000002</v>
          </cell>
          <cell r="AB187">
            <v>19.88</v>
          </cell>
          <cell r="AC187">
            <v>18.88</v>
          </cell>
          <cell r="AD187">
            <v>20.91</v>
          </cell>
          <cell r="AE187">
            <v>24.68</v>
          </cell>
          <cell r="AF187">
            <v>24.77</v>
          </cell>
          <cell r="AG187">
            <v>26.45</v>
          </cell>
          <cell r="AH187">
            <v>26.69</v>
          </cell>
          <cell r="AI187">
            <v>25.01</v>
          </cell>
          <cell r="AJ187">
            <v>24.51</v>
          </cell>
          <cell r="AK187">
            <v>20.6</v>
          </cell>
          <cell r="AL187">
            <v>23.2</v>
          </cell>
          <cell r="AM187">
            <v>23.85</v>
          </cell>
          <cell r="AN187">
            <v>23.77</v>
          </cell>
          <cell r="AO187">
            <v>23.73</v>
          </cell>
          <cell r="AP187">
            <v>21.86</v>
          </cell>
          <cell r="AQ187">
            <v>21.48</v>
          </cell>
          <cell r="AR187">
            <v>20.04</v>
          </cell>
          <cell r="AS187">
            <v>18.91</v>
          </cell>
          <cell r="AT187">
            <v>18.23</v>
          </cell>
          <cell r="AU187">
            <v>17.2</v>
          </cell>
          <cell r="AV187">
            <v>16.29</v>
          </cell>
          <cell r="AW187">
            <v>17.02</v>
          </cell>
          <cell r="AX187">
            <v>18.350000000000001</v>
          </cell>
          <cell r="AY187">
            <v>19.260000000000002</v>
          </cell>
          <cell r="AZ187">
            <v>18.61</v>
          </cell>
          <cell r="BA187">
            <v>18.079999999999998</v>
          </cell>
          <cell r="BB187">
            <v>19.59</v>
          </cell>
          <cell r="BC187">
            <v>18.73</v>
          </cell>
          <cell r="BD187">
            <v>18.21</v>
          </cell>
          <cell r="BE187">
            <v>18.52</v>
          </cell>
          <cell r="BF187">
            <v>18.36</v>
          </cell>
          <cell r="BG187">
            <v>19.760000000000002</v>
          </cell>
          <cell r="BH187">
            <v>19.84</v>
          </cell>
          <cell r="BI187">
            <v>17.52</v>
          </cell>
          <cell r="BJ187">
            <v>16.16</v>
          </cell>
          <cell r="BK187">
            <v>13.9</v>
          </cell>
          <cell r="BL187">
            <v>14.11</v>
          </cell>
          <cell r="BM187">
            <v>14.57</v>
          </cell>
          <cell r="BN187">
            <v>14.89</v>
          </cell>
          <cell r="BO187">
            <v>13.73</v>
          </cell>
          <cell r="BP187">
            <v>12.51</v>
          </cell>
          <cell r="BQ187">
            <v>12.15</v>
          </cell>
          <cell r="BR187">
            <v>12.96</v>
          </cell>
          <cell r="BS187">
            <v>14.71</v>
          </cell>
          <cell r="BT187">
            <v>14.73</v>
          </cell>
          <cell r="BU187">
            <v>16.71</v>
          </cell>
          <cell r="BV187">
            <v>16.739999999999998</v>
          </cell>
          <cell r="BW187">
            <v>19.48</v>
          </cell>
          <cell r="BX187">
            <v>23.1</v>
          </cell>
          <cell r="BY187">
            <v>23.39</v>
          </cell>
          <cell r="BZ187">
            <v>20.85</v>
          </cell>
          <cell r="CA187">
            <v>20.309999999999999</v>
          </cell>
          <cell r="CB187">
            <v>22.96</v>
          </cell>
          <cell r="CC187">
            <v>24.58</v>
          </cell>
          <cell r="CD187">
            <v>28.08</v>
          </cell>
          <cell r="CE187">
            <v>30.29</v>
          </cell>
          <cell r="CF187">
            <v>32.67</v>
          </cell>
          <cell r="CG187">
            <v>33.299999999999997</v>
          </cell>
          <cell r="CH187">
            <v>32.46</v>
          </cell>
          <cell r="CI187">
            <v>21.21</v>
          </cell>
          <cell r="CJ187">
            <v>19.96</v>
          </cell>
          <cell r="CK187">
            <v>17.64</v>
          </cell>
          <cell r="CL187">
            <v>19.43</v>
          </cell>
          <cell r="CM187">
            <v>18.62</v>
          </cell>
          <cell r="CN187">
            <v>18.690000000000001</v>
          </cell>
          <cell r="CO187">
            <v>21.1</v>
          </cell>
          <cell r="CP187">
            <v>23.12</v>
          </cell>
          <cell r="CQ187">
            <v>23.61</v>
          </cell>
          <cell r="CR187">
            <v>22</v>
          </cell>
          <cell r="CS187">
            <v>19.89</v>
          </cell>
          <cell r="CT187">
            <v>20.49</v>
          </cell>
          <cell r="CU187">
            <v>20.68</v>
          </cell>
          <cell r="CV187">
            <v>21.03</v>
          </cell>
          <cell r="CW187">
            <v>19.38</v>
          </cell>
          <cell r="CX187">
            <v>17.62</v>
          </cell>
          <cell r="CY187">
            <v>13.5</v>
          </cell>
          <cell r="CZ187">
            <v>13</v>
          </cell>
          <cell r="DA187">
            <v>12.75</v>
          </cell>
          <cell r="DB187">
            <v>12.5</v>
          </cell>
          <cell r="DC187">
            <v>16.63</v>
          </cell>
          <cell r="DD187">
            <v>17.61</v>
          </cell>
          <cell r="DE187">
            <v>15.59</v>
          </cell>
          <cell r="DF187">
            <v>23.12</v>
          </cell>
          <cell r="DG187">
            <v>23.61</v>
          </cell>
          <cell r="DH187">
            <v>22</v>
          </cell>
          <cell r="DI187">
            <v>19.89</v>
          </cell>
          <cell r="DJ187">
            <v>20.49</v>
          </cell>
          <cell r="DK187">
            <v>20.68</v>
          </cell>
          <cell r="DL187">
            <v>21.03</v>
          </cell>
          <cell r="DM187">
            <v>19.38</v>
          </cell>
          <cell r="DN187">
            <v>17.62</v>
          </cell>
          <cell r="DO187">
            <v>13.5</v>
          </cell>
          <cell r="DP187">
            <v>13</v>
          </cell>
          <cell r="DQ187">
            <v>12.75</v>
          </cell>
          <cell r="DR187">
            <v>12.5</v>
          </cell>
          <cell r="DS187">
            <v>16.63</v>
          </cell>
          <cell r="DT187">
            <v>17.61</v>
          </cell>
          <cell r="DU187">
            <v>15.59</v>
          </cell>
        </row>
        <row r="188">
          <cell r="F188" t="str">
            <v>Ethane cost</v>
          </cell>
          <cell r="H188">
            <v>9.0510000000000002</v>
          </cell>
          <cell r="I188">
            <v>9.9560999999999993</v>
          </cell>
          <cell r="J188">
            <v>11.313750000000001</v>
          </cell>
          <cell r="K188">
            <v>13.123950000000001</v>
          </cell>
          <cell r="L188">
            <v>13.576500000000001</v>
          </cell>
          <cell r="M188">
            <v>13.576500000000001</v>
          </cell>
          <cell r="N188">
            <v>12.218850000000002</v>
          </cell>
          <cell r="O188">
            <v>11.766299999999999</v>
          </cell>
          <cell r="P188">
            <v>11.766299999999999</v>
          </cell>
          <cell r="Q188">
            <v>11.313750000000001</v>
          </cell>
          <cell r="R188">
            <v>10.408650000000002</v>
          </cell>
          <cell r="S188">
            <v>9.9560999999999993</v>
          </cell>
          <cell r="T188">
            <v>10.182375</v>
          </cell>
          <cell r="U188">
            <v>10.069237500000002</v>
          </cell>
          <cell r="V188">
            <v>9.7298250000000017</v>
          </cell>
          <cell r="W188">
            <v>9.7298250000000017</v>
          </cell>
          <cell r="X188">
            <v>9.7298250000000017</v>
          </cell>
          <cell r="Y188">
            <v>9.7298250000000017</v>
          </cell>
          <cell r="Z188">
            <v>9.5035500000000006</v>
          </cell>
          <cell r="AA188">
            <v>9.5035500000000006</v>
          </cell>
          <cell r="AB188">
            <v>9.5035500000000006</v>
          </cell>
          <cell r="AC188">
            <v>8.9378624999999996</v>
          </cell>
          <cell r="AD188">
            <v>8.9378624999999996</v>
          </cell>
          <cell r="AE188">
            <v>8.9378624999999996</v>
          </cell>
          <cell r="AF188">
            <v>8.9378624999999996</v>
          </cell>
          <cell r="AG188">
            <v>8.9378624999999996</v>
          </cell>
          <cell r="AH188">
            <v>8.9378624999999996</v>
          </cell>
          <cell r="AI188">
            <v>9.7298250000000017</v>
          </cell>
          <cell r="AJ188">
            <v>9.7298250000000017</v>
          </cell>
          <cell r="AK188">
            <v>9.7298250000000017</v>
          </cell>
          <cell r="AL188">
            <v>9.0510000000000002</v>
          </cell>
          <cell r="AM188">
            <v>9.0510000000000002</v>
          </cell>
          <cell r="AN188">
            <v>9.0510000000000002</v>
          </cell>
          <cell r="AO188">
            <v>8.145900000000001</v>
          </cell>
          <cell r="AP188">
            <v>8.145900000000001</v>
          </cell>
          <cell r="AQ188">
            <v>8.145900000000001</v>
          </cell>
          <cell r="AR188">
            <v>7.2408000000000001</v>
          </cell>
          <cell r="AS188">
            <v>7.2408000000000001</v>
          </cell>
          <cell r="AT188">
            <v>7.2408000000000001</v>
          </cell>
          <cell r="AU188">
            <v>7.2408000000000001</v>
          </cell>
          <cell r="AV188">
            <v>7.2408000000000001</v>
          </cell>
          <cell r="AW188">
            <v>7.2408000000000001</v>
          </cell>
          <cell r="AX188">
            <v>8.3042925000000007</v>
          </cell>
          <cell r="AY188">
            <v>8.7161130000000018</v>
          </cell>
          <cell r="AZ188">
            <v>8.4219554999999993</v>
          </cell>
          <cell r="BA188">
            <v>8.1821039999999989</v>
          </cell>
          <cell r="BB188">
            <v>8.8654545000000002</v>
          </cell>
          <cell r="BC188">
            <v>8.4762615000000014</v>
          </cell>
          <cell r="BD188">
            <v>8.2409355000000009</v>
          </cell>
          <cell r="BE188">
            <v>8.3812259999999998</v>
          </cell>
          <cell r="BF188">
            <v>8.3088180000000005</v>
          </cell>
          <cell r="BG188">
            <v>8.9423880000000011</v>
          </cell>
          <cell r="BH188">
            <v>8.9785920000000008</v>
          </cell>
          <cell r="BI188">
            <v>7.9286760000000003</v>
          </cell>
          <cell r="BJ188">
            <v>7.3132079999999995</v>
          </cell>
          <cell r="BK188">
            <v>6.2904450000000001</v>
          </cell>
          <cell r="BL188">
            <v>6.3854804999999999</v>
          </cell>
          <cell r="BM188">
            <v>6.5936535000000003</v>
          </cell>
          <cell r="BN188">
            <v>6.7384695000000008</v>
          </cell>
          <cell r="BO188">
            <v>6.2135115000000001</v>
          </cell>
          <cell r="BP188">
            <v>5.6614005000000001</v>
          </cell>
          <cell r="BQ188">
            <v>5.4984825000000006</v>
          </cell>
          <cell r="BR188">
            <v>5.8650480000000007</v>
          </cell>
          <cell r="BS188">
            <v>6.6570105000000011</v>
          </cell>
          <cell r="BT188">
            <v>6.6660615000000005</v>
          </cell>
          <cell r="BU188">
            <v>7.5621105000000011</v>
          </cell>
          <cell r="BV188">
            <v>7.5756869999999994</v>
          </cell>
          <cell r="BW188">
            <v>8.8156739999999996</v>
          </cell>
          <cell r="BX188">
            <v>10.453905000000001</v>
          </cell>
          <cell r="BY188">
            <v>10.5851445</v>
          </cell>
          <cell r="BZ188">
            <v>9.435667500000001</v>
          </cell>
          <cell r="CA188">
            <v>9.1912905000000009</v>
          </cell>
          <cell r="CB188">
            <v>10.390548000000001</v>
          </cell>
          <cell r="CC188">
            <v>11.123678999999999</v>
          </cell>
          <cell r="CD188">
            <v>12.707604</v>
          </cell>
          <cell r="CE188">
            <v>13.707739500000001</v>
          </cell>
          <cell r="CF188">
            <v>14.784808500000002</v>
          </cell>
          <cell r="CG188">
            <v>15.069914999999998</v>
          </cell>
          <cell r="CH188">
            <v>14.689773000000002</v>
          </cell>
          <cell r="CI188">
            <v>9.5985855000000004</v>
          </cell>
          <cell r="CJ188">
            <v>9.0328980000000012</v>
          </cell>
          <cell r="CK188">
            <v>7.9829820000000007</v>
          </cell>
          <cell r="CL188">
            <v>8.7930465000000009</v>
          </cell>
          <cell r="CM188">
            <v>8.4264810000000008</v>
          </cell>
          <cell r="CN188">
            <v>8.4581595000000007</v>
          </cell>
          <cell r="CO188">
            <v>9.5488050000000015</v>
          </cell>
          <cell r="CP188">
            <v>10.462956</v>
          </cell>
          <cell r="CQ188">
            <v>10.6847055</v>
          </cell>
          <cell r="CR188">
            <v>9.9560999999999993</v>
          </cell>
          <cell r="CS188">
            <v>9.0012194999999995</v>
          </cell>
          <cell r="CT188">
            <v>9.2727494999999998</v>
          </cell>
          <cell r="CU188">
            <v>9.3587340000000001</v>
          </cell>
          <cell r="CV188">
            <v>9.5171265000000016</v>
          </cell>
          <cell r="CW188">
            <v>8.7704190000000004</v>
          </cell>
          <cell r="CX188">
            <v>7.9739310000000003</v>
          </cell>
          <cell r="CY188">
            <v>7.2091215000000002</v>
          </cell>
          <cell r="CZ188">
            <v>7.5259064999999996</v>
          </cell>
          <cell r="DA188">
            <v>7.9694054999999997</v>
          </cell>
          <cell r="DB188">
            <v>7.0552545000000002</v>
          </cell>
          <cell r="DC188">
            <v>7.5259064999999996</v>
          </cell>
          <cell r="DD188">
            <v>7.9694054999999997</v>
          </cell>
          <cell r="DE188">
            <v>7.0552545000000002</v>
          </cell>
          <cell r="DF188">
            <v>10.462956</v>
          </cell>
          <cell r="DG188">
            <v>10.6847055</v>
          </cell>
          <cell r="DH188">
            <v>9.9560999999999993</v>
          </cell>
          <cell r="DI188">
            <v>9.0012194999999995</v>
          </cell>
          <cell r="DJ188">
            <v>9.2727494999999998</v>
          </cell>
          <cell r="DK188">
            <v>9.3587340000000001</v>
          </cell>
          <cell r="DL188">
            <v>9.5171265000000016</v>
          </cell>
          <cell r="DM188">
            <v>8.7704190000000004</v>
          </cell>
          <cell r="DN188">
            <v>7.9739310000000003</v>
          </cell>
          <cell r="DO188">
            <v>7.2091215000000002</v>
          </cell>
          <cell r="DP188">
            <v>7.5259064999999996</v>
          </cell>
          <cell r="DQ188">
            <v>7.9694054999999997</v>
          </cell>
          <cell r="DR188">
            <v>7.0552545000000002</v>
          </cell>
          <cell r="DS188">
            <v>7.5259064999999996</v>
          </cell>
          <cell r="DT188">
            <v>7.9694054999999997</v>
          </cell>
          <cell r="DU188">
            <v>7.0552545000000002</v>
          </cell>
        </row>
        <row r="190">
          <cell r="F190" t="str">
            <v>Spread</v>
          </cell>
          <cell r="H190">
            <v>28.948999999999998</v>
          </cell>
          <cell r="I190">
            <v>29.043900000000001</v>
          </cell>
          <cell r="J190">
            <v>28.686250000000001</v>
          </cell>
          <cell r="K190">
            <v>29.876049999999999</v>
          </cell>
          <cell r="L190">
            <v>30.423499999999997</v>
          </cell>
          <cell r="M190">
            <v>31.423499999999997</v>
          </cell>
          <cell r="N190">
            <v>31.781149999999997</v>
          </cell>
          <cell r="O190">
            <v>29.233699999999999</v>
          </cell>
          <cell r="P190">
            <v>27.233699999999999</v>
          </cell>
          <cell r="Q190">
            <v>25.686250000000001</v>
          </cell>
          <cell r="R190">
            <v>19.591349999999998</v>
          </cell>
          <cell r="S190">
            <v>17.043900000000001</v>
          </cell>
          <cell r="T190">
            <v>17.817625</v>
          </cell>
          <cell r="U190">
            <v>17.9307625</v>
          </cell>
          <cell r="V190">
            <v>20.270174999999998</v>
          </cell>
          <cell r="W190">
            <v>22.270174999999998</v>
          </cell>
          <cell r="X190">
            <v>22.270174999999998</v>
          </cell>
          <cell r="Y190">
            <v>22.270174999999998</v>
          </cell>
          <cell r="Z190">
            <v>21.496449999999999</v>
          </cell>
          <cell r="AA190">
            <v>20.996449999999999</v>
          </cell>
          <cell r="AB190">
            <v>20.496449999999999</v>
          </cell>
          <cell r="AC190">
            <v>21.062137499999999</v>
          </cell>
          <cell r="AD190">
            <v>21.562137499999999</v>
          </cell>
          <cell r="AE190">
            <v>23.062137499999999</v>
          </cell>
          <cell r="AF190">
            <v>24.062137499999999</v>
          </cell>
          <cell r="AG190">
            <v>24.062137499999999</v>
          </cell>
          <cell r="AH190">
            <v>24.062137499999999</v>
          </cell>
          <cell r="AI190">
            <v>24.270174999999998</v>
          </cell>
          <cell r="AJ190">
            <v>24.270174999999998</v>
          </cell>
          <cell r="AK190">
            <v>24.270174999999998</v>
          </cell>
          <cell r="AL190">
            <v>24.948999999999998</v>
          </cell>
          <cell r="AM190">
            <v>24.448999999999998</v>
          </cell>
          <cell r="AN190">
            <v>23.948999999999998</v>
          </cell>
          <cell r="AO190">
            <v>23.854099999999999</v>
          </cell>
          <cell r="AP190">
            <v>22.854099999999999</v>
          </cell>
          <cell r="AQ190">
            <v>21.854099999999999</v>
          </cell>
          <cell r="AR190">
            <v>22.7592</v>
          </cell>
          <cell r="AS190">
            <v>22.7592</v>
          </cell>
          <cell r="AT190">
            <v>22.2592</v>
          </cell>
          <cell r="AU190">
            <v>21.7592</v>
          </cell>
          <cell r="AV190">
            <v>20.7592</v>
          </cell>
          <cell r="AW190">
            <v>20.7592</v>
          </cell>
          <cell r="AX190">
            <v>19.695707499999997</v>
          </cell>
          <cell r="AY190">
            <v>19.283887</v>
          </cell>
          <cell r="AZ190">
            <v>19.578044500000001</v>
          </cell>
          <cell r="BA190">
            <v>22.817896000000001</v>
          </cell>
          <cell r="BB190">
            <v>24.134545500000002</v>
          </cell>
          <cell r="BC190">
            <v>24.5237385</v>
          </cell>
          <cell r="BD190">
            <v>25.759064500000001</v>
          </cell>
          <cell r="BE190">
            <v>26.618774000000002</v>
          </cell>
          <cell r="BF190">
            <v>28.691181999999998</v>
          </cell>
          <cell r="BG190">
            <v>32.057611999999999</v>
          </cell>
          <cell r="BH190">
            <v>34.021408000000001</v>
          </cell>
          <cell r="BI190">
            <v>37.071323999999997</v>
          </cell>
          <cell r="BJ190">
            <v>41.686791999999997</v>
          </cell>
          <cell r="BK190">
            <v>44.709555000000002</v>
          </cell>
          <cell r="BL190">
            <v>44.6145195</v>
          </cell>
          <cell r="BM190">
            <v>44.406346499999998</v>
          </cell>
          <cell r="BN190">
            <v>43.261530499999999</v>
          </cell>
          <cell r="BO190">
            <v>42.786488499999997</v>
          </cell>
          <cell r="BP190">
            <v>41.338599500000001</v>
          </cell>
          <cell r="BQ190">
            <v>39.501517499999999</v>
          </cell>
          <cell r="BR190">
            <v>37.134951999999998</v>
          </cell>
          <cell r="BS190">
            <v>34.342989500000002</v>
          </cell>
          <cell r="BT190">
            <v>31.333938499999999</v>
          </cell>
          <cell r="BU190">
            <v>28.437889499999997</v>
          </cell>
          <cell r="BV190">
            <v>27.424313000000001</v>
          </cell>
          <cell r="BW190">
            <v>25.184325999999999</v>
          </cell>
          <cell r="BX190">
            <v>23.546095000000001</v>
          </cell>
          <cell r="BY190">
            <v>27.414855500000002</v>
          </cell>
          <cell r="BZ190">
            <v>29.564332499999999</v>
          </cell>
          <cell r="CA190">
            <v>32.808709499999999</v>
          </cell>
          <cell r="CB190">
            <v>32.609451999999997</v>
          </cell>
          <cell r="CC190">
            <v>33.876321000000004</v>
          </cell>
          <cell r="CD190">
            <v>34.292395999999997</v>
          </cell>
          <cell r="CE190">
            <v>33.292260499999998</v>
          </cell>
          <cell r="CF190">
            <v>30.215191499999996</v>
          </cell>
          <cell r="CG190">
            <v>28.930085000000002</v>
          </cell>
          <cell r="CH190">
            <v>29.310226999999998</v>
          </cell>
          <cell r="CI190">
            <v>34.401414500000001</v>
          </cell>
          <cell r="CJ190">
            <v>36.967101999999997</v>
          </cell>
          <cell r="CK190">
            <v>38.017018</v>
          </cell>
          <cell r="CL190">
            <v>37.206953499999997</v>
          </cell>
          <cell r="CM190">
            <v>37.573518999999997</v>
          </cell>
          <cell r="CN190">
            <v>37.541840499999999</v>
          </cell>
          <cell r="CO190">
            <v>35.451194999999998</v>
          </cell>
          <cell r="CP190">
            <v>32.537044000000002</v>
          </cell>
          <cell r="CQ190">
            <v>31.3152945</v>
          </cell>
          <cell r="CR190">
            <v>31.043900000000001</v>
          </cell>
          <cell r="CS190">
            <v>31.998780500000002</v>
          </cell>
          <cell r="CT190">
            <v>31.7272505</v>
          </cell>
          <cell r="CU190">
            <v>30.641266000000002</v>
          </cell>
          <cell r="CV190">
            <v>29.482873499999997</v>
          </cell>
          <cell r="CW190">
            <v>29.229581</v>
          </cell>
          <cell r="CX190">
            <v>28.026069</v>
          </cell>
          <cell r="CY190">
            <v>27.790878499999998</v>
          </cell>
          <cell r="CZ190">
            <v>25.974093500000002</v>
          </cell>
          <cell r="DA190">
            <v>24.530594499999999</v>
          </cell>
          <cell r="DB190">
            <v>24.9447455</v>
          </cell>
          <cell r="DC190">
            <v>24.474093500000002</v>
          </cell>
          <cell r="DD190">
            <v>23.030594499999999</v>
          </cell>
          <cell r="DE190">
            <v>22.9447455</v>
          </cell>
          <cell r="DF190">
            <v>32.537044000000002</v>
          </cell>
          <cell r="DG190">
            <v>31.3152945</v>
          </cell>
          <cell r="DH190">
            <v>31.043900000000001</v>
          </cell>
          <cell r="DI190">
            <v>31.998780500000002</v>
          </cell>
          <cell r="DJ190">
            <v>31.7272505</v>
          </cell>
          <cell r="DK190">
            <v>30.641266000000002</v>
          </cell>
          <cell r="DL190">
            <v>29.482873499999997</v>
          </cell>
          <cell r="DM190">
            <v>29.229581</v>
          </cell>
          <cell r="DN190">
            <v>28.026069</v>
          </cell>
          <cell r="DO190">
            <v>27.790878499999998</v>
          </cell>
          <cell r="DP190">
            <v>25.974093500000002</v>
          </cell>
          <cell r="DQ190">
            <v>24.530594499999999</v>
          </cell>
          <cell r="DR190">
            <v>24.9447455</v>
          </cell>
          <cell r="DS190">
            <v>24.474093500000002</v>
          </cell>
          <cell r="DT190">
            <v>23.030594499999999</v>
          </cell>
          <cell r="DU190">
            <v>22.9447455</v>
          </cell>
        </row>
        <row r="192">
          <cell r="F192" t="str">
            <v>(1)  Liner grade.</v>
          </cell>
        </row>
        <row r="193">
          <cell r="F193" t="str">
            <v>(2)  Assuming a conversion factor of 2.9 lbs./gal of ethane and 1.05 lbs. ethylene, which requires 1.25 pounds of ethane per pound of ethylene, to produce 1.0 lbs. LDPE.</v>
          </cell>
        </row>
        <row r="196">
          <cell r="F196" t="str">
            <v>LLDPE/Ethane Cost Spread</v>
          </cell>
        </row>
        <row r="198">
          <cell r="H198">
            <v>33055</v>
          </cell>
          <cell r="I198">
            <v>33086</v>
          </cell>
          <cell r="J198">
            <v>33117</v>
          </cell>
          <cell r="K198">
            <v>33147</v>
          </cell>
          <cell r="L198">
            <v>33178</v>
          </cell>
          <cell r="M198">
            <v>33208</v>
          </cell>
          <cell r="N198">
            <v>33239</v>
          </cell>
          <cell r="O198">
            <v>33270</v>
          </cell>
          <cell r="P198">
            <v>33298</v>
          </cell>
          <cell r="Q198">
            <v>33329</v>
          </cell>
          <cell r="R198">
            <v>33359</v>
          </cell>
          <cell r="S198">
            <v>33390</v>
          </cell>
          <cell r="T198">
            <v>33420</v>
          </cell>
          <cell r="U198">
            <v>33451</v>
          </cell>
          <cell r="V198">
            <v>33482</v>
          </cell>
          <cell r="W198">
            <v>33512</v>
          </cell>
          <cell r="X198">
            <v>33543</v>
          </cell>
          <cell r="Y198">
            <v>33573</v>
          </cell>
          <cell r="Z198">
            <v>33604</v>
          </cell>
          <cell r="AA198">
            <v>33635</v>
          </cell>
          <cell r="AB198">
            <v>33664</v>
          </cell>
          <cell r="AC198">
            <v>33695</v>
          </cell>
          <cell r="AD198">
            <v>33725</v>
          </cell>
          <cell r="AE198">
            <v>33756</v>
          </cell>
          <cell r="AF198">
            <v>33786</v>
          </cell>
          <cell r="AG198">
            <v>33817</v>
          </cell>
          <cell r="AH198">
            <v>33848</v>
          </cell>
          <cell r="AI198">
            <v>33878</v>
          </cell>
          <cell r="AJ198">
            <v>33909</v>
          </cell>
          <cell r="AK198">
            <v>33939</v>
          </cell>
          <cell r="AL198">
            <v>33970</v>
          </cell>
          <cell r="AM198">
            <v>34001</v>
          </cell>
          <cell r="AN198">
            <v>34029</v>
          </cell>
          <cell r="AO198">
            <v>34060</v>
          </cell>
          <cell r="AP198">
            <v>34090</v>
          </cell>
          <cell r="AQ198">
            <v>34121</v>
          </cell>
          <cell r="AR198">
            <v>34151</v>
          </cell>
          <cell r="AS198">
            <v>34182</v>
          </cell>
          <cell r="AT198">
            <v>34213</v>
          </cell>
          <cell r="AU198">
            <v>34243</v>
          </cell>
          <cell r="AV198">
            <v>34274</v>
          </cell>
          <cell r="AW198">
            <v>34304</v>
          </cell>
          <cell r="AX198">
            <v>34335</v>
          </cell>
          <cell r="AY198">
            <v>34366</v>
          </cell>
          <cell r="AZ198">
            <v>34394</v>
          </cell>
          <cell r="BA198">
            <v>34425</v>
          </cell>
          <cell r="BB198">
            <v>34455</v>
          </cell>
          <cell r="BC198">
            <v>34486</v>
          </cell>
          <cell r="BD198">
            <v>34516</v>
          </cell>
          <cell r="BE198">
            <v>34547</v>
          </cell>
          <cell r="BF198">
            <v>34578</v>
          </cell>
          <cell r="BG198">
            <v>34608</v>
          </cell>
          <cell r="BH198">
            <v>34639</v>
          </cell>
          <cell r="BI198">
            <v>34669</v>
          </cell>
          <cell r="BJ198">
            <v>34700</v>
          </cell>
          <cell r="BK198">
            <v>34731</v>
          </cell>
          <cell r="BL198">
            <v>34759</v>
          </cell>
          <cell r="BM198">
            <v>34790</v>
          </cell>
          <cell r="BN198">
            <v>34820</v>
          </cell>
          <cell r="BO198">
            <v>34851</v>
          </cell>
          <cell r="BP198">
            <v>34881</v>
          </cell>
          <cell r="BQ198">
            <v>34912</v>
          </cell>
          <cell r="BR198">
            <v>34943</v>
          </cell>
          <cell r="BS198">
            <v>34973</v>
          </cell>
          <cell r="BT198">
            <v>35004</v>
          </cell>
          <cell r="BU198">
            <v>35034</v>
          </cell>
          <cell r="BV198">
            <v>35065</v>
          </cell>
          <cell r="BW198">
            <v>35096</v>
          </cell>
          <cell r="BX198">
            <v>35125</v>
          </cell>
          <cell r="BY198">
            <v>35156</v>
          </cell>
          <cell r="BZ198">
            <v>35186</v>
          </cell>
          <cell r="CA198">
            <v>35217</v>
          </cell>
          <cell r="CB198">
            <v>35247</v>
          </cell>
          <cell r="CC198">
            <v>35278</v>
          </cell>
          <cell r="CD198">
            <v>35309</v>
          </cell>
          <cell r="CE198">
            <v>35339</v>
          </cell>
          <cell r="CF198">
            <v>35370</v>
          </cell>
          <cell r="CG198">
            <v>35400</v>
          </cell>
          <cell r="CH198">
            <v>35431</v>
          </cell>
          <cell r="CI198">
            <v>35462</v>
          </cell>
          <cell r="CJ198">
            <v>35490</v>
          </cell>
          <cell r="CK198">
            <v>35521</v>
          </cell>
          <cell r="CL198">
            <v>35551</v>
          </cell>
          <cell r="CM198">
            <v>35582</v>
          </cell>
          <cell r="CN198">
            <v>35612</v>
          </cell>
          <cell r="CO198">
            <v>35643</v>
          </cell>
          <cell r="CP198">
            <v>35674</v>
          </cell>
          <cell r="CQ198">
            <v>35704</v>
          </cell>
          <cell r="CR198">
            <v>35735</v>
          </cell>
          <cell r="CS198">
            <v>35765</v>
          </cell>
          <cell r="CT198">
            <v>35796</v>
          </cell>
          <cell r="CU198">
            <v>35827</v>
          </cell>
          <cell r="CV198">
            <v>35855</v>
          </cell>
          <cell r="CW198">
            <v>35886</v>
          </cell>
          <cell r="CX198">
            <v>35916</v>
          </cell>
          <cell r="CY198">
            <v>35947</v>
          </cell>
          <cell r="CZ198">
            <v>35977</v>
          </cell>
          <cell r="DA198">
            <v>36008</v>
          </cell>
          <cell r="DB198">
            <v>36039</v>
          </cell>
          <cell r="DC198">
            <v>36069</v>
          </cell>
          <cell r="DD198">
            <v>36100</v>
          </cell>
          <cell r="DE198">
            <v>36130</v>
          </cell>
          <cell r="DF198">
            <v>36161</v>
          </cell>
          <cell r="DG198">
            <v>36192</v>
          </cell>
          <cell r="DH198">
            <v>36220</v>
          </cell>
          <cell r="DI198">
            <v>36251</v>
          </cell>
          <cell r="DJ198">
            <v>36281</v>
          </cell>
          <cell r="DK198">
            <v>36312</v>
          </cell>
          <cell r="DL198">
            <v>36342</v>
          </cell>
          <cell r="DM198">
            <v>36373</v>
          </cell>
          <cell r="DN198">
            <v>36404</v>
          </cell>
          <cell r="DO198">
            <v>36434</v>
          </cell>
          <cell r="DP198">
            <v>36465</v>
          </cell>
          <cell r="DQ198">
            <v>36495</v>
          </cell>
          <cell r="DR198">
            <v>36526</v>
          </cell>
          <cell r="DS198">
            <v>36557</v>
          </cell>
          <cell r="DT198">
            <v>36586</v>
          </cell>
          <cell r="DU198">
            <v>36617</v>
          </cell>
          <cell r="DV198">
            <v>36647</v>
          </cell>
          <cell r="DW198">
            <v>36678</v>
          </cell>
          <cell r="DX198">
            <v>36708</v>
          </cell>
          <cell r="DY198">
            <v>36739</v>
          </cell>
          <cell r="DZ198">
            <v>36770</v>
          </cell>
          <cell r="EA198">
            <v>36800</v>
          </cell>
          <cell r="EB198">
            <v>36831</v>
          </cell>
          <cell r="EC198">
            <v>36861</v>
          </cell>
          <cell r="ED198">
            <v>36526</v>
          </cell>
          <cell r="EE198">
            <v>36557</v>
          </cell>
          <cell r="EF198">
            <v>36586</v>
          </cell>
          <cell r="EG198">
            <v>36617</v>
          </cell>
          <cell r="EH198">
            <v>36647</v>
          </cell>
          <cell r="EI198">
            <v>36678</v>
          </cell>
          <cell r="EJ198">
            <v>36708</v>
          </cell>
          <cell r="EK198">
            <v>36739</v>
          </cell>
          <cell r="EL198">
            <v>36770</v>
          </cell>
          <cell r="EM198">
            <v>36800</v>
          </cell>
          <cell r="EN198">
            <v>36831</v>
          </cell>
          <cell r="EO198">
            <v>36861</v>
          </cell>
          <cell r="EP198">
            <v>36770</v>
          </cell>
          <cell r="EQ198">
            <v>36800</v>
          </cell>
          <cell r="ER198">
            <v>36831</v>
          </cell>
          <cell r="ES198">
            <v>36861</v>
          </cell>
          <cell r="ET198">
            <v>36526</v>
          </cell>
          <cell r="EU198">
            <v>36557</v>
          </cell>
          <cell r="EV198">
            <v>36586</v>
          </cell>
          <cell r="EW198">
            <v>36617</v>
          </cell>
          <cell r="EX198">
            <v>36647</v>
          </cell>
          <cell r="EY198">
            <v>36678</v>
          </cell>
          <cell r="EZ198">
            <v>36708</v>
          </cell>
          <cell r="FA198">
            <v>36739</v>
          </cell>
          <cell r="FB198">
            <v>36770</v>
          </cell>
          <cell r="FC198">
            <v>36800</v>
          </cell>
          <cell r="FD198">
            <v>36831</v>
          </cell>
          <cell r="FE198">
            <v>36861</v>
          </cell>
        </row>
        <row r="199">
          <cell r="F199" t="str">
            <v>LLDPE price</v>
          </cell>
          <cell r="H199">
            <v>35</v>
          </cell>
          <cell r="I199">
            <v>36</v>
          </cell>
          <cell r="J199">
            <v>37</v>
          </cell>
          <cell r="K199">
            <v>40</v>
          </cell>
          <cell r="L199">
            <v>41</v>
          </cell>
          <cell r="M199">
            <v>42</v>
          </cell>
          <cell r="N199">
            <v>41</v>
          </cell>
          <cell r="O199">
            <v>40</v>
          </cell>
          <cell r="P199">
            <v>36</v>
          </cell>
          <cell r="Q199">
            <v>33</v>
          </cell>
          <cell r="R199">
            <v>29</v>
          </cell>
          <cell r="S199">
            <v>27</v>
          </cell>
          <cell r="T199">
            <v>27</v>
          </cell>
          <cell r="U199">
            <v>27</v>
          </cell>
          <cell r="V199">
            <v>29</v>
          </cell>
          <cell r="W199">
            <v>31</v>
          </cell>
          <cell r="X199">
            <v>31</v>
          </cell>
          <cell r="Y199">
            <v>31</v>
          </cell>
          <cell r="Z199">
            <v>29</v>
          </cell>
          <cell r="AA199">
            <v>28</v>
          </cell>
          <cell r="AB199">
            <v>27.5</v>
          </cell>
          <cell r="AC199">
            <v>27.5</v>
          </cell>
          <cell r="AD199">
            <v>27.5</v>
          </cell>
          <cell r="AE199">
            <v>27.5</v>
          </cell>
          <cell r="AF199">
            <v>27</v>
          </cell>
          <cell r="AG199">
            <v>27</v>
          </cell>
          <cell r="AH199">
            <v>28</v>
          </cell>
          <cell r="AI199">
            <v>28.5</v>
          </cell>
          <cell r="AJ199">
            <v>29</v>
          </cell>
          <cell r="AK199">
            <v>29</v>
          </cell>
          <cell r="AL199">
            <v>28</v>
          </cell>
          <cell r="AM199">
            <v>28</v>
          </cell>
          <cell r="AN199">
            <v>28</v>
          </cell>
          <cell r="AO199">
            <v>28</v>
          </cell>
          <cell r="AP199">
            <v>27.5</v>
          </cell>
          <cell r="AQ199">
            <v>27.5</v>
          </cell>
          <cell r="AR199">
            <v>27</v>
          </cell>
          <cell r="AS199">
            <v>26</v>
          </cell>
          <cell r="AT199">
            <v>25.5</v>
          </cell>
          <cell r="AU199">
            <v>25</v>
          </cell>
          <cell r="AV199">
            <v>25</v>
          </cell>
          <cell r="AW199">
            <v>25</v>
          </cell>
          <cell r="AX199">
            <v>25</v>
          </cell>
          <cell r="AY199">
            <v>25</v>
          </cell>
          <cell r="AZ199">
            <v>25</v>
          </cell>
          <cell r="BA199">
            <v>27</v>
          </cell>
          <cell r="BB199">
            <v>29</v>
          </cell>
          <cell r="BC199">
            <v>30</v>
          </cell>
          <cell r="BD199">
            <v>31</v>
          </cell>
          <cell r="BE199">
            <v>33</v>
          </cell>
          <cell r="BF199">
            <v>35</v>
          </cell>
          <cell r="BG199">
            <v>38</v>
          </cell>
          <cell r="BH199">
            <v>40</v>
          </cell>
          <cell r="BI199">
            <v>41</v>
          </cell>
          <cell r="BJ199">
            <v>45</v>
          </cell>
          <cell r="BK199">
            <v>47</v>
          </cell>
          <cell r="BL199">
            <v>47</v>
          </cell>
          <cell r="BM199">
            <v>47</v>
          </cell>
          <cell r="BN199">
            <v>46</v>
          </cell>
          <cell r="BO199">
            <v>45</v>
          </cell>
          <cell r="BP199">
            <v>43</v>
          </cell>
          <cell r="BQ199">
            <v>41</v>
          </cell>
          <cell r="BR199">
            <v>39</v>
          </cell>
          <cell r="BS199">
            <v>37</v>
          </cell>
          <cell r="BT199">
            <v>34</v>
          </cell>
          <cell r="BU199">
            <v>32</v>
          </cell>
          <cell r="BV199">
            <v>31</v>
          </cell>
          <cell r="BW199">
            <v>30</v>
          </cell>
          <cell r="BX199">
            <v>30</v>
          </cell>
          <cell r="BY199">
            <v>34</v>
          </cell>
          <cell r="BZ199">
            <v>35</v>
          </cell>
          <cell r="CA199">
            <v>38</v>
          </cell>
          <cell r="CB199">
            <v>39</v>
          </cell>
          <cell r="CC199">
            <v>41</v>
          </cell>
          <cell r="CD199">
            <v>43</v>
          </cell>
          <cell r="CE199">
            <v>41</v>
          </cell>
          <cell r="CF199">
            <v>39</v>
          </cell>
          <cell r="CG199">
            <v>38</v>
          </cell>
          <cell r="CH199">
            <v>38</v>
          </cell>
          <cell r="CI199">
            <v>38</v>
          </cell>
          <cell r="CJ199">
            <v>39</v>
          </cell>
          <cell r="CK199">
            <v>41</v>
          </cell>
          <cell r="CL199">
            <v>41</v>
          </cell>
          <cell r="CM199">
            <v>40</v>
          </cell>
          <cell r="CN199">
            <v>40</v>
          </cell>
          <cell r="CO199">
            <v>38</v>
          </cell>
          <cell r="CP199">
            <v>37</v>
          </cell>
          <cell r="CQ199">
            <v>36</v>
          </cell>
          <cell r="CR199">
            <v>35</v>
          </cell>
          <cell r="CS199">
            <v>35</v>
          </cell>
          <cell r="CT199">
            <v>33</v>
          </cell>
          <cell r="CU199">
            <v>31</v>
          </cell>
          <cell r="CV199">
            <v>31</v>
          </cell>
          <cell r="CW199">
            <v>30</v>
          </cell>
          <cell r="CX199">
            <v>29</v>
          </cell>
          <cell r="CY199">
            <v>28</v>
          </cell>
          <cell r="CZ199">
            <v>26.5</v>
          </cell>
          <cell r="DA199">
            <v>26</v>
          </cell>
          <cell r="DB199">
            <v>25</v>
          </cell>
          <cell r="DC199">
            <v>25</v>
          </cell>
          <cell r="DD199">
            <v>24</v>
          </cell>
          <cell r="DE199">
            <v>23</v>
          </cell>
          <cell r="DF199">
            <v>37</v>
          </cell>
          <cell r="DG199">
            <v>36</v>
          </cell>
          <cell r="DH199">
            <v>35</v>
          </cell>
          <cell r="DI199">
            <v>35</v>
          </cell>
          <cell r="DJ199">
            <v>33</v>
          </cell>
          <cell r="DK199">
            <v>31</v>
          </cell>
          <cell r="DL199">
            <v>31</v>
          </cell>
          <cell r="DM199">
            <v>30</v>
          </cell>
          <cell r="DN199">
            <v>29</v>
          </cell>
          <cell r="DO199">
            <v>28</v>
          </cell>
          <cell r="DP199">
            <v>26.5</v>
          </cell>
          <cell r="DQ199">
            <v>26</v>
          </cell>
          <cell r="DR199">
            <v>25</v>
          </cell>
          <cell r="DS199">
            <v>25</v>
          </cell>
          <cell r="DT199">
            <v>24</v>
          </cell>
          <cell r="DU199">
            <v>23</v>
          </cell>
        </row>
        <row r="201">
          <cell r="F201" t="str">
            <v>Ethane</v>
          </cell>
          <cell r="H201">
            <v>16.07</v>
          </cell>
          <cell r="I201">
            <v>21.96</v>
          </cell>
          <cell r="J201">
            <v>29.29</v>
          </cell>
          <cell r="K201">
            <v>34.99</v>
          </cell>
          <cell r="L201">
            <v>35.9</v>
          </cell>
          <cell r="M201">
            <v>28.92</v>
          </cell>
          <cell r="N201">
            <v>23.73</v>
          </cell>
          <cell r="O201">
            <v>15.28</v>
          </cell>
          <cell r="P201">
            <v>17.5</v>
          </cell>
          <cell r="Q201">
            <v>18.36</v>
          </cell>
          <cell r="R201">
            <v>18.600000000000001</v>
          </cell>
          <cell r="S201">
            <v>14.78</v>
          </cell>
          <cell r="T201">
            <v>15.94</v>
          </cell>
          <cell r="U201">
            <v>19.46</v>
          </cell>
          <cell r="V201">
            <v>25.63</v>
          </cell>
          <cell r="W201">
            <v>30.5</v>
          </cell>
          <cell r="X201">
            <v>28.99</v>
          </cell>
          <cell r="Y201">
            <v>21.81</v>
          </cell>
          <cell r="Z201">
            <v>17.48</v>
          </cell>
          <cell r="AA201">
            <v>19.260000000000002</v>
          </cell>
          <cell r="AB201">
            <v>19.88</v>
          </cell>
          <cell r="AC201">
            <v>18.88</v>
          </cell>
          <cell r="AD201">
            <v>20.91</v>
          </cell>
          <cell r="AE201">
            <v>24.68</v>
          </cell>
          <cell r="AF201">
            <v>24.77</v>
          </cell>
          <cell r="AG201">
            <v>26.45</v>
          </cell>
          <cell r="AH201">
            <v>26.69</v>
          </cell>
          <cell r="AI201">
            <v>25.01</v>
          </cell>
          <cell r="AJ201">
            <v>24.51</v>
          </cell>
          <cell r="AK201">
            <v>20.6</v>
          </cell>
          <cell r="AL201">
            <v>23.2</v>
          </cell>
          <cell r="AM201">
            <v>23.85</v>
          </cell>
          <cell r="AN201">
            <v>23.77</v>
          </cell>
          <cell r="AO201">
            <v>23.73</v>
          </cell>
          <cell r="AP201">
            <v>21.86</v>
          </cell>
          <cell r="AQ201">
            <v>21.48</v>
          </cell>
          <cell r="AR201">
            <v>20.04</v>
          </cell>
          <cell r="AS201">
            <v>18.91</v>
          </cell>
          <cell r="AT201">
            <v>18.23</v>
          </cell>
          <cell r="AU201">
            <v>17.2</v>
          </cell>
          <cell r="AV201">
            <v>16.29</v>
          </cell>
          <cell r="AW201">
            <v>17.02</v>
          </cell>
          <cell r="AX201">
            <v>18.350000000000001</v>
          </cell>
          <cell r="AY201">
            <v>19.260000000000002</v>
          </cell>
          <cell r="AZ201">
            <v>18.61</v>
          </cell>
          <cell r="BA201">
            <v>18.079999999999998</v>
          </cell>
          <cell r="BB201">
            <v>19.59</v>
          </cell>
          <cell r="BC201">
            <v>18.73</v>
          </cell>
          <cell r="BD201">
            <v>18.21</v>
          </cell>
          <cell r="BE201">
            <v>18.52</v>
          </cell>
          <cell r="BF201">
            <v>18.36</v>
          </cell>
          <cell r="BG201">
            <v>19.760000000000002</v>
          </cell>
          <cell r="BH201">
            <v>19.84</v>
          </cell>
          <cell r="BI201">
            <v>17.52</v>
          </cell>
          <cell r="BJ201">
            <v>16.16</v>
          </cell>
          <cell r="BK201">
            <v>13.9</v>
          </cell>
          <cell r="BL201">
            <v>14.11</v>
          </cell>
          <cell r="BM201">
            <v>14.57</v>
          </cell>
          <cell r="BN201">
            <v>14.89</v>
          </cell>
          <cell r="BO201">
            <v>13.73</v>
          </cell>
          <cell r="BP201">
            <v>12.51</v>
          </cell>
          <cell r="BQ201">
            <v>12.15</v>
          </cell>
          <cell r="BR201">
            <v>12.96</v>
          </cell>
          <cell r="BS201">
            <v>14.71</v>
          </cell>
          <cell r="BT201">
            <v>14.73</v>
          </cell>
          <cell r="BU201">
            <v>16.71</v>
          </cell>
          <cell r="BV201">
            <v>16.739999999999998</v>
          </cell>
          <cell r="BW201">
            <v>19.48</v>
          </cell>
          <cell r="BX201">
            <v>23.1</v>
          </cell>
          <cell r="BY201">
            <v>23.39</v>
          </cell>
          <cell r="BZ201">
            <v>20.85</v>
          </cell>
          <cell r="CA201">
            <v>20.309999999999999</v>
          </cell>
          <cell r="CB201">
            <v>22.96</v>
          </cell>
          <cell r="CC201">
            <v>24.58</v>
          </cell>
          <cell r="CD201">
            <v>28.08</v>
          </cell>
          <cell r="CE201">
            <v>30.29</v>
          </cell>
          <cell r="CF201">
            <v>32.67</v>
          </cell>
          <cell r="CG201">
            <v>33.299999999999997</v>
          </cell>
          <cell r="CH201">
            <v>32.46</v>
          </cell>
          <cell r="CI201">
            <v>21.21</v>
          </cell>
          <cell r="CJ201">
            <v>19.96</v>
          </cell>
          <cell r="CK201">
            <v>17.64</v>
          </cell>
          <cell r="CL201">
            <v>19.43</v>
          </cell>
          <cell r="CM201">
            <v>18.62</v>
          </cell>
          <cell r="CN201">
            <v>18.690000000000001</v>
          </cell>
          <cell r="CO201">
            <v>21.1</v>
          </cell>
          <cell r="CP201">
            <v>23.12</v>
          </cell>
          <cell r="CQ201">
            <v>23.61</v>
          </cell>
          <cell r="CR201">
            <v>22</v>
          </cell>
          <cell r="CS201">
            <v>19.89</v>
          </cell>
          <cell r="CT201">
            <v>20.49</v>
          </cell>
          <cell r="CU201">
            <v>20.68</v>
          </cell>
          <cell r="CV201">
            <v>21.03</v>
          </cell>
          <cell r="CW201">
            <v>19.38</v>
          </cell>
          <cell r="CX201">
            <v>17.62</v>
          </cell>
          <cell r="CY201">
            <v>15.93</v>
          </cell>
          <cell r="CZ201">
            <v>16.63</v>
          </cell>
          <cell r="DA201">
            <v>17.61</v>
          </cell>
          <cell r="DB201">
            <v>15.59</v>
          </cell>
          <cell r="DC201">
            <v>16.63</v>
          </cell>
          <cell r="DD201">
            <v>17.61</v>
          </cell>
          <cell r="DE201">
            <v>15.59</v>
          </cell>
          <cell r="DF201">
            <v>23.12</v>
          </cell>
          <cell r="DG201">
            <v>23.61</v>
          </cell>
          <cell r="DH201">
            <v>22</v>
          </cell>
          <cell r="DI201">
            <v>19.89</v>
          </cell>
          <cell r="DJ201">
            <v>20.49</v>
          </cell>
          <cell r="DK201">
            <v>20.68</v>
          </cell>
          <cell r="DL201">
            <v>21.03</v>
          </cell>
          <cell r="DM201">
            <v>19.38</v>
          </cell>
          <cell r="DN201">
            <v>17.62</v>
          </cell>
          <cell r="DO201">
            <v>15.93</v>
          </cell>
          <cell r="DP201">
            <v>16.63</v>
          </cell>
          <cell r="DQ201">
            <v>17.61</v>
          </cell>
          <cell r="DR201">
            <v>15.59</v>
          </cell>
          <cell r="DS201">
            <v>16.63</v>
          </cell>
          <cell r="DT201">
            <v>17.61</v>
          </cell>
          <cell r="DU201">
            <v>15.59</v>
          </cell>
        </row>
        <row r="202">
          <cell r="F202" t="str">
            <v>Ethane cost</v>
          </cell>
          <cell r="H202">
            <v>7.2724785000000001</v>
          </cell>
          <cell r="I202">
            <v>9.9379980000000003</v>
          </cell>
          <cell r="J202">
            <v>13.2551895</v>
          </cell>
          <cell r="K202">
            <v>15.834724500000002</v>
          </cell>
          <cell r="L202">
            <v>16.246545000000001</v>
          </cell>
          <cell r="M202">
            <v>13.087746000000001</v>
          </cell>
          <cell r="N202">
            <v>10.7390115</v>
          </cell>
          <cell r="O202">
            <v>6.9149640000000003</v>
          </cell>
          <cell r="P202">
            <v>7.9196249999999999</v>
          </cell>
          <cell r="Q202">
            <v>8.3088180000000005</v>
          </cell>
          <cell r="R202">
            <v>8.4174300000000013</v>
          </cell>
          <cell r="S202">
            <v>6.6886890000000001</v>
          </cell>
          <cell r="T202">
            <v>7.2136470000000008</v>
          </cell>
          <cell r="U202">
            <v>8.8066230000000001</v>
          </cell>
          <cell r="V202">
            <v>11.5988565</v>
          </cell>
          <cell r="W202">
            <v>13.802775</v>
          </cell>
          <cell r="X202">
            <v>13.119424499999999</v>
          </cell>
          <cell r="Y202">
            <v>9.8701155000000007</v>
          </cell>
          <cell r="Z202">
            <v>7.9105740000000004</v>
          </cell>
          <cell r="AA202">
            <v>8.7161130000000018</v>
          </cell>
          <cell r="AB202">
            <v>8.9966939999999997</v>
          </cell>
          <cell r="AC202">
            <v>8.5441439999999993</v>
          </cell>
          <cell r="AD202">
            <v>9.4628204999999994</v>
          </cell>
          <cell r="AE202">
            <v>11.168934</v>
          </cell>
          <cell r="AF202">
            <v>11.2096635</v>
          </cell>
          <cell r="AG202">
            <v>11.9699475</v>
          </cell>
          <cell r="AH202">
            <v>12.078559500000001</v>
          </cell>
          <cell r="AI202">
            <v>11.3182755</v>
          </cell>
          <cell r="AJ202">
            <v>11.092000500000001</v>
          </cell>
          <cell r="AK202">
            <v>9.3225300000000004</v>
          </cell>
          <cell r="AL202">
            <v>10.49916</v>
          </cell>
          <cell r="AM202">
            <v>10.793317500000001</v>
          </cell>
          <cell r="AN202">
            <v>10.757113499999999</v>
          </cell>
          <cell r="AO202">
            <v>10.7390115</v>
          </cell>
          <cell r="AP202">
            <v>9.8927429999999994</v>
          </cell>
          <cell r="AQ202">
            <v>9.7207740000000005</v>
          </cell>
          <cell r="AR202">
            <v>9.0691020000000009</v>
          </cell>
          <cell r="AS202">
            <v>8.5577205000000003</v>
          </cell>
          <cell r="AT202">
            <v>8.2499865000000003</v>
          </cell>
          <cell r="AU202">
            <v>7.7838599999999998</v>
          </cell>
          <cell r="AV202">
            <v>7.3720394999999996</v>
          </cell>
          <cell r="AW202">
            <v>7.7024010000000001</v>
          </cell>
          <cell r="AX202">
            <v>8.3042925000000007</v>
          </cell>
          <cell r="AY202">
            <v>8.7161130000000018</v>
          </cell>
          <cell r="AZ202">
            <v>8.4219554999999993</v>
          </cell>
          <cell r="BA202">
            <v>8.1821039999999989</v>
          </cell>
          <cell r="BB202">
            <v>8.8654545000000002</v>
          </cell>
          <cell r="BC202">
            <v>8.4762615000000014</v>
          </cell>
          <cell r="BD202">
            <v>8.2409355000000009</v>
          </cell>
          <cell r="BE202">
            <v>8.3812259999999998</v>
          </cell>
          <cell r="BF202">
            <v>8.3088180000000005</v>
          </cell>
          <cell r="BG202">
            <v>8.9423880000000011</v>
          </cell>
          <cell r="BH202">
            <v>8.9785920000000008</v>
          </cell>
          <cell r="BI202">
            <v>7.9286760000000003</v>
          </cell>
          <cell r="BJ202">
            <v>7.3132079999999995</v>
          </cell>
          <cell r="BK202">
            <v>6.2904450000000001</v>
          </cell>
          <cell r="BL202">
            <v>6.3854804999999999</v>
          </cell>
          <cell r="BM202">
            <v>6.5936535000000003</v>
          </cell>
          <cell r="BN202">
            <v>6.7384695000000008</v>
          </cell>
          <cell r="BO202">
            <v>6.2135115000000001</v>
          </cell>
          <cell r="BP202">
            <v>5.6614005000000001</v>
          </cell>
          <cell r="BQ202">
            <v>5.4984825000000006</v>
          </cell>
          <cell r="BR202">
            <v>5.8650480000000007</v>
          </cell>
          <cell r="BS202">
            <v>6.6570105000000011</v>
          </cell>
          <cell r="BT202">
            <v>6.6660615000000005</v>
          </cell>
          <cell r="BU202">
            <v>7.5621105000000011</v>
          </cell>
          <cell r="BV202">
            <v>7.5756869999999994</v>
          </cell>
          <cell r="BW202">
            <v>8.8156739999999996</v>
          </cell>
          <cell r="BX202">
            <v>10.453905000000001</v>
          </cell>
          <cell r="BY202">
            <v>10.5851445</v>
          </cell>
          <cell r="BZ202">
            <v>9.435667500000001</v>
          </cell>
          <cell r="CA202">
            <v>9.1912905000000009</v>
          </cell>
          <cell r="CB202">
            <v>10.390548000000001</v>
          </cell>
          <cell r="CC202">
            <v>11.123678999999999</v>
          </cell>
          <cell r="CD202">
            <v>12.707604</v>
          </cell>
          <cell r="CE202">
            <v>13.707739500000001</v>
          </cell>
          <cell r="CF202">
            <v>14.784808500000002</v>
          </cell>
          <cell r="CG202">
            <v>15.069914999999998</v>
          </cell>
          <cell r="CH202">
            <v>14.689773000000002</v>
          </cell>
          <cell r="CI202">
            <v>9.5985855000000004</v>
          </cell>
          <cell r="CJ202">
            <v>9.0328980000000012</v>
          </cell>
          <cell r="CK202">
            <v>7.9829820000000007</v>
          </cell>
          <cell r="CL202">
            <v>8.7930465000000009</v>
          </cell>
          <cell r="CM202">
            <v>8.4264810000000008</v>
          </cell>
          <cell r="CN202">
            <v>8.4581595000000007</v>
          </cell>
          <cell r="CO202">
            <v>9.5488050000000015</v>
          </cell>
          <cell r="CP202">
            <v>10.462956</v>
          </cell>
          <cell r="CQ202">
            <v>10.6847055</v>
          </cell>
          <cell r="CR202">
            <v>9.9560999999999993</v>
          </cell>
          <cell r="CS202">
            <v>9.0012194999999995</v>
          </cell>
          <cell r="CT202">
            <v>9.2727494999999998</v>
          </cell>
          <cell r="CU202">
            <v>9.3587340000000001</v>
          </cell>
          <cell r="CV202">
            <v>9.5171265000000016</v>
          </cell>
          <cell r="CW202">
            <v>8.7704190000000004</v>
          </cell>
          <cell r="CX202">
            <v>7.9739310000000003</v>
          </cell>
          <cell r="CY202">
            <v>7.2091215000000002</v>
          </cell>
          <cell r="CZ202">
            <v>7.5259064999999996</v>
          </cell>
          <cell r="DA202">
            <v>7.9694054999999997</v>
          </cell>
          <cell r="DB202">
            <v>7.0552545000000002</v>
          </cell>
          <cell r="DC202">
            <v>7.5259064999999996</v>
          </cell>
          <cell r="DD202">
            <v>7.9694054999999997</v>
          </cell>
          <cell r="DE202">
            <v>7.0552545000000002</v>
          </cell>
          <cell r="DF202">
            <v>10.462956</v>
          </cell>
          <cell r="DG202">
            <v>10.6847055</v>
          </cell>
          <cell r="DH202">
            <v>9.9560999999999993</v>
          </cell>
          <cell r="DI202">
            <v>9.0012194999999995</v>
          </cell>
          <cell r="DJ202">
            <v>9.2727494999999998</v>
          </cell>
          <cell r="DK202">
            <v>9.3587340000000001</v>
          </cell>
          <cell r="DL202">
            <v>9.5171265000000016</v>
          </cell>
          <cell r="DM202">
            <v>8.7704190000000004</v>
          </cell>
          <cell r="DN202">
            <v>7.9739310000000003</v>
          </cell>
          <cell r="DO202">
            <v>7.2091215000000002</v>
          </cell>
          <cell r="DP202">
            <v>7.5259064999999996</v>
          </cell>
          <cell r="DQ202">
            <v>7.9694054999999997</v>
          </cell>
          <cell r="DR202">
            <v>7.0552545000000002</v>
          </cell>
          <cell r="DS202">
            <v>7.5259064999999996</v>
          </cell>
          <cell r="DT202">
            <v>7.9694054999999997</v>
          </cell>
          <cell r="DU202">
            <v>7.0552545000000002</v>
          </cell>
        </row>
        <row r="204">
          <cell r="F204" t="str">
            <v>Spread</v>
          </cell>
          <cell r="H204">
            <v>27.727521500000002</v>
          </cell>
          <cell r="I204">
            <v>26.062002</v>
          </cell>
          <cell r="J204">
            <v>23.7448105</v>
          </cell>
          <cell r="K204">
            <v>24.1652755</v>
          </cell>
          <cell r="L204">
            <v>24.753454999999999</v>
          </cell>
          <cell r="M204">
            <v>28.912253999999997</v>
          </cell>
          <cell r="N204">
            <v>30.2609885</v>
          </cell>
          <cell r="O204">
            <v>33.085036000000002</v>
          </cell>
          <cell r="P204">
            <v>28.080375</v>
          </cell>
          <cell r="Q204">
            <v>24.691181999999998</v>
          </cell>
          <cell r="R204">
            <v>20.582569999999997</v>
          </cell>
          <cell r="S204">
            <v>20.311311</v>
          </cell>
          <cell r="T204">
            <v>19.786352999999998</v>
          </cell>
          <cell r="U204">
            <v>18.193376999999998</v>
          </cell>
          <cell r="V204">
            <v>17.4011435</v>
          </cell>
          <cell r="W204">
            <v>17.197225</v>
          </cell>
          <cell r="X204">
            <v>17.880575499999999</v>
          </cell>
          <cell r="Y204">
            <v>21.129884499999999</v>
          </cell>
          <cell r="Z204">
            <v>21.089426</v>
          </cell>
          <cell r="AA204">
            <v>19.283887</v>
          </cell>
          <cell r="AB204">
            <v>18.503306000000002</v>
          </cell>
          <cell r="AC204">
            <v>18.955856000000001</v>
          </cell>
          <cell r="AD204">
            <v>18.037179500000001</v>
          </cell>
          <cell r="AE204">
            <v>16.331066</v>
          </cell>
          <cell r="AF204">
            <v>15.7903365</v>
          </cell>
          <cell r="AG204">
            <v>15.0300525</v>
          </cell>
          <cell r="AH204">
            <v>15.921440499999999</v>
          </cell>
          <cell r="AI204">
            <v>17.181724500000001</v>
          </cell>
          <cell r="AJ204">
            <v>17.907999499999999</v>
          </cell>
          <cell r="AK204">
            <v>19.67747</v>
          </cell>
          <cell r="AL204">
            <v>17.50084</v>
          </cell>
          <cell r="AM204">
            <v>17.206682499999999</v>
          </cell>
          <cell r="AN204">
            <v>17.242886500000001</v>
          </cell>
          <cell r="AO204">
            <v>17.2609885</v>
          </cell>
          <cell r="AP204">
            <v>17.607257000000001</v>
          </cell>
          <cell r="AQ204">
            <v>17.779226000000001</v>
          </cell>
          <cell r="AR204">
            <v>17.930897999999999</v>
          </cell>
          <cell r="AS204">
            <v>17.442279499999998</v>
          </cell>
          <cell r="AT204">
            <v>17.250013500000001</v>
          </cell>
          <cell r="AU204">
            <v>17.216139999999999</v>
          </cell>
          <cell r="AV204">
            <v>17.6279605</v>
          </cell>
          <cell r="AW204">
            <v>17.297598999999998</v>
          </cell>
          <cell r="AX204">
            <v>16.695707499999997</v>
          </cell>
          <cell r="AY204">
            <v>16.283887</v>
          </cell>
          <cell r="AZ204">
            <v>16.578044500000001</v>
          </cell>
          <cell r="BA204">
            <v>18.817896000000001</v>
          </cell>
          <cell r="BB204">
            <v>20.134545500000002</v>
          </cell>
          <cell r="BC204">
            <v>21.5237385</v>
          </cell>
          <cell r="BD204">
            <v>22.759064500000001</v>
          </cell>
          <cell r="BE204">
            <v>24.618774000000002</v>
          </cell>
          <cell r="BF204">
            <v>26.691181999999998</v>
          </cell>
          <cell r="BG204">
            <v>29.057611999999999</v>
          </cell>
          <cell r="BH204">
            <v>31.021408000000001</v>
          </cell>
          <cell r="BI204">
            <v>33.071323999999997</v>
          </cell>
          <cell r="BJ204">
            <v>37.686791999999997</v>
          </cell>
          <cell r="BK204">
            <v>40.709555000000002</v>
          </cell>
          <cell r="BL204">
            <v>40.6145195</v>
          </cell>
          <cell r="BM204">
            <v>40.406346499999998</v>
          </cell>
          <cell r="BN204">
            <v>39.261530499999999</v>
          </cell>
          <cell r="BO204">
            <v>38.786488499999997</v>
          </cell>
          <cell r="BP204">
            <v>37.338599500000001</v>
          </cell>
          <cell r="BQ204">
            <v>35.501517499999999</v>
          </cell>
          <cell r="BR204">
            <v>33.134951999999998</v>
          </cell>
          <cell r="BS204">
            <v>30.342989499999998</v>
          </cell>
          <cell r="BT204">
            <v>27.333938499999999</v>
          </cell>
          <cell r="BU204">
            <v>24.437889499999997</v>
          </cell>
          <cell r="BV204">
            <v>23.424313000000001</v>
          </cell>
          <cell r="BW204">
            <v>21.184325999999999</v>
          </cell>
          <cell r="BX204">
            <v>19.546095000000001</v>
          </cell>
          <cell r="BY204">
            <v>23.414855500000002</v>
          </cell>
          <cell r="BZ204">
            <v>25.564332499999999</v>
          </cell>
          <cell r="CA204">
            <v>28.808709499999999</v>
          </cell>
          <cell r="CB204">
            <v>28.609451999999997</v>
          </cell>
          <cell r="CC204">
            <v>29.876321000000001</v>
          </cell>
          <cell r="CD204">
            <v>30.292396</v>
          </cell>
          <cell r="CE204">
            <v>27.292260499999998</v>
          </cell>
          <cell r="CF204">
            <v>24.215191499999996</v>
          </cell>
          <cell r="CG204">
            <v>22.930085000000002</v>
          </cell>
          <cell r="CH204">
            <v>23.310226999999998</v>
          </cell>
          <cell r="CI204">
            <v>28.401414500000001</v>
          </cell>
          <cell r="CJ204">
            <v>29.967101999999997</v>
          </cell>
          <cell r="CK204">
            <v>33.017018</v>
          </cell>
          <cell r="CL204">
            <v>32.206953499999997</v>
          </cell>
          <cell r="CM204">
            <v>31.573518999999997</v>
          </cell>
          <cell r="CN204">
            <v>31.541840499999999</v>
          </cell>
          <cell r="CO204">
            <v>28.451194999999998</v>
          </cell>
          <cell r="CP204">
            <v>26.537044000000002</v>
          </cell>
          <cell r="CQ204">
            <v>25.3152945</v>
          </cell>
          <cell r="CR204">
            <v>25.043900000000001</v>
          </cell>
          <cell r="CS204">
            <v>25.998780500000002</v>
          </cell>
          <cell r="CT204">
            <v>23.7272505</v>
          </cell>
          <cell r="CU204">
            <v>21.641266000000002</v>
          </cell>
          <cell r="CV204">
            <v>21.482873499999997</v>
          </cell>
          <cell r="CW204">
            <v>21.229581</v>
          </cell>
          <cell r="CX204">
            <v>21.026069</v>
          </cell>
          <cell r="CY204">
            <v>20.790878499999998</v>
          </cell>
          <cell r="CZ204">
            <v>18.974093500000002</v>
          </cell>
          <cell r="DA204">
            <v>18.030594499999999</v>
          </cell>
          <cell r="DB204">
            <v>17.9447455</v>
          </cell>
          <cell r="DC204">
            <v>17.474093500000002</v>
          </cell>
          <cell r="DD204">
            <v>16.030594499999999</v>
          </cell>
          <cell r="DE204">
            <v>15.9447455</v>
          </cell>
          <cell r="DF204">
            <v>26.537044000000002</v>
          </cell>
          <cell r="DG204">
            <v>25.3152945</v>
          </cell>
          <cell r="DH204">
            <v>25.043900000000001</v>
          </cell>
          <cell r="DI204">
            <v>25.998780500000002</v>
          </cell>
          <cell r="DJ204">
            <v>23.7272505</v>
          </cell>
          <cell r="DK204">
            <v>21.641266000000002</v>
          </cell>
          <cell r="DL204">
            <v>21.482873499999997</v>
          </cell>
          <cell r="DM204">
            <v>21.229581</v>
          </cell>
          <cell r="DN204">
            <v>21.026069</v>
          </cell>
          <cell r="DO204">
            <v>20.790878499999998</v>
          </cell>
          <cell r="DP204">
            <v>18.974093500000002</v>
          </cell>
          <cell r="DQ204">
            <v>18.030594499999999</v>
          </cell>
          <cell r="DR204">
            <v>17.9447455</v>
          </cell>
          <cell r="DS204">
            <v>17.474093500000002</v>
          </cell>
          <cell r="DT204">
            <v>16.030594499999999</v>
          </cell>
          <cell r="DU204">
            <v>15.9447455</v>
          </cell>
        </row>
        <row r="206">
          <cell r="F206" t="str">
            <v>(1)  Liner grade.</v>
          </cell>
        </row>
        <row r="207">
          <cell r="F207" t="str">
            <v>(2)  Assuming a conversion factor of 2.9 lbs./gal of ethane and 1.05 lbs. ethylene, which requires 1.25 pounds of ethane per pound of ethylene, to produce 1.0 lbs. LLDPE.</v>
          </cell>
        </row>
        <row r="209">
          <cell r="F209" t="str">
            <v>LLDPE/Ethylene Cost Spread</v>
          </cell>
        </row>
        <row r="211">
          <cell r="H211">
            <v>33055</v>
          </cell>
          <cell r="I211">
            <v>33086</v>
          </cell>
          <cell r="J211">
            <v>33117</v>
          </cell>
          <cell r="K211">
            <v>33147</v>
          </cell>
          <cell r="L211">
            <v>33178</v>
          </cell>
          <cell r="M211">
            <v>33208</v>
          </cell>
          <cell r="N211">
            <v>33239</v>
          </cell>
          <cell r="O211">
            <v>33270</v>
          </cell>
          <cell r="P211">
            <v>33298</v>
          </cell>
          <cell r="Q211">
            <v>33329</v>
          </cell>
          <cell r="R211">
            <v>33359</v>
          </cell>
          <cell r="S211">
            <v>33390</v>
          </cell>
          <cell r="T211">
            <v>33420</v>
          </cell>
          <cell r="U211">
            <v>33451</v>
          </cell>
          <cell r="V211">
            <v>33482</v>
          </cell>
          <cell r="W211">
            <v>33512</v>
          </cell>
          <cell r="X211">
            <v>33543</v>
          </cell>
          <cell r="Y211">
            <v>33573</v>
          </cell>
          <cell r="Z211">
            <v>33604</v>
          </cell>
          <cell r="AA211">
            <v>33635</v>
          </cell>
          <cell r="AB211">
            <v>33664</v>
          </cell>
          <cell r="AC211">
            <v>33695</v>
          </cell>
          <cell r="AD211">
            <v>33725</v>
          </cell>
          <cell r="AE211">
            <v>33756</v>
          </cell>
          <cell r="AF211">
            <v>33786</v>
          </cell>
          <cell r="AG211">
            <v>33817</v>
          </cell>
          <cell r="AH211">
            <v>33848</v>
          </cell>
          <cell r="AI211">
            <v>33878</v>
          </cell>
          <cell r="AJ211">
            <v>33909</v>
          </cell>
          <cell r="AK211">
            <v>33939</v>
          </cell>
          <cell r="AL211">
            <v>33970</v>
          </cell>
          <cell r="AM211">
            <v>34001</v>
          </cell>
          <cell r="AN211">
            <v>34029</v>
          </cell>
          <cell r="AO211">
            <v>34060</v>
          </cell>
          <cell r="AP211">
            <v>34090</v>
          </cell>
          <cell r="AQ211">
            <v>34121</v>
          </cell>
          <cell r="AR211">
            <v>34151</v>
          </cell>
          <cell r="AS211">
            <v>34182</v>
          </cell>
          <cell r="AT211">
            <v>34213</v>
          </cell>
          <cell r="AU211">
            <v>34243</v>
          </cell>
          <cell r="AV211">
            <v>34274</v>
          </cell>
          <cell r="AW211">
            <v>34304</v>
          </cell>
          <cell r="AX211">
            <v>34335</v>
          </cell>
          <cell r="AY211">
            <v>34366</v>
          </cell>
          <cell r="AZ211">
            <v>34394</v>
          </cell>
          <cell r="BA211">
            <v>34425</v>
          </cell>
          <cell r="BB211">
            <v>34455</v>
          </cell>
          <cell r="BC211">
            <v>34486</v>
          </cell>
          <cell r="BD211">
            <v>34516</v>
          </cell>
          <cell r="BE211">
            <v>34547</v>
          </cell>
          <cell r="BF211">
            <v>34578</v>
          </cell>
          <cell r="BG211">
            <v>34608</v>
          </cell>
          <cell r="BH211">
            <v>34639</v>
          </cell>
          <cell r="BI211">
            <v>34669</v>
          </cell>
          <cell r="BJ211">
            <v>34700</v>
          </cell>
          <cell r="BK211">
            <v>34731</v>
          </cell>
          <cell r="BL211">
            <v>34759</v>
          </cell>
          <cell r="BM211">
            <v>34790</v>
          </cell>
          <cell r="BN211">
            <v>34820</v>
          </cell>
          <cell r="BO211">
            <v>34851</v>
          </cell>
          <cell r="BP211">
            <v>34881</v>
          </cell>
          <cell r="BQ211">
            <v>34912</v>
          </cell>
          <cell r="BR211">
            <v>34943</v>
          </cell>
          <cell r="BS211">
            <v>34973</v>
          </cell>
          <cell r="BT211">
            <v>35004</v>
          </cell>
          <cell r="BU211">
            <v>35034</v>
          </cell>
          <cell r="BV211">
            <v>35065</v>
          </cell>
          <cell r="BW211">
            <v>35096</v>
          </cell>
          <cell r="BX211">
            <v>35125</v>
          </cell>
          <cell r="BY211">
            <v>35156</v>
          </cell>
          <cell r="BZ211">
            <v>35186</v>
          </cell>
          <cell r="CA211">
            <v>35217</v>
          </cell>
          <cell r="CB211">
            <v>35247</v>
          </cell>
          <cell r="CC211">
            <v>35278</v>
          </cell>
          <cell r="CD211">
            <v>35309</v>
          </cell>
          <cell r="CE211">
            <v>35339</v>
          </cell>
          <cell r="CF211">
            <v>35370</v>
          </cell>
          <cell r="CG211">
            <v>35400</v>
          </cell>
          <cell r="CH211">
            <v>35431</v>
          </cell>
          <cell r="CI211">
            <v>35462</v>
          </cell>
          <cell r="CJ211">
            <v>35490</v>
          </cell>
          <cell r="CK211">
            <v>35521</v>
          </cell>
          <cell r="CL211">
            <v>35551</v>
          </cell>
          <cell r="CM211">
            <v>35582</v>
          </cell>
          <cell r="CN211">
            <v>35612</v>
          </cell>
          <cell r="CO211">
            <v>35643</v>
          </cell>
          <cell r="CP211">
            <v>35674</v>
          </cell>
          <cell r="CQ211">
            <v>35704</v>
          </cell>
          <cell r="CR211">
            <v>35735</v>
          </cell>
          <cell r="CS211">
            <v>35765</v>
          </cell>
          <cell r="CT211">
            <v>35796</v>
          </cell>
          <cell r="CU211">
            <v>35827</v>
          </cell>
          <cell r="CV211">
            <v>35855</v>
          </cell>
          <cell r="CW211">
            <v>35886</v>
          </cell>
          <cell r="CX211">
            <v>35916</v>
          </cell>
          <cell r="CY211">
            <v>35947</v>
          </cell>
          <cell r="CZ211">
            <v>35977</v>
          </cell>
          <cell r="DA211">
            <v>36008</v>
          </cell>
          <cell r="DB211">
            <v>36039</v>
          </cell>
          <cell r="DC211">
            <v>36069</v>
          </cell>
          <cell r="DD211">
            <v>36100</v>
          </cell>
          <cell r="DE211">
            <v>36130</v>
          </cell>
          <cell r="DF211">
            <v>35674</v>
          </cell>
          <cell r="DG211">
            <v>35704</v>
          </cell>
          <cell r="DH211">
            <v>35735</v>
          </cell>
          <cell r="DI211">
            <v>35765</v>
          </cell>
          <cell r="DJ211">
            <v>35796</v>
          </cell>
          <cell r="DK211">
            <v>35827</v>
          </cell>
          <cell r="DL211">
            <v>35855</v>
          </cell>
          <cell r="DM211">
            <v>35886</v>
          </cell>
          <cell r="DN211">
            <v>35916</v>
          </cell>
          <cell r="DO211">
            <v>35947</v>
          </cell>
          <cell r="DP211">
            <v>35977</v>
          </cell>
          <cell r="DQ211">
            <v>36008</v>
          </cell>
          <cell r="DR211">
            <v>36039</v>
          </cell>
          <cell r="DS211">
            <v>36069</v>
          </cell>
          <cell r="DT211">
            <v>36100</v>
          </cell>
          <cell r="DU211">
            <v>36130</v>
          </cell>
        </row>
        <row r="212">
          <cell r="F212" t="str">
            <v>LLDPE price</v>
          </cell>
          <cell r="H212">
            <v>35</v>
          </cell>
          <cell r="I212">
            <v>36</v>
          </cell>
          <cell r="J212">
            <v>37</v>
          </cell>
          <cell r="K212">
            <v>40</v>
          </cell>
          <cell r="L212">
            <v>41</v>
          </cell>
          <cell r="M212">
            <v>42</v>
          </cell>
          <cell r="N212">
            <v>41</v>
          </cell>
          <cell r="O212">
            <v>40</v>
          </cell>
          <cell r="P212">
            <v>36</v>
          </cell>
          <cell r="Q212">
            <v>33</v>
          </cell>
          <cell r="R212">
            <v>29</v>
          </cell>
          <cell r="S212">
            <v>27</v>
          </cell>
          <cell r="T212">
            <v>27</v>
          </cell>
          <cell r="U212">
            <v>27</v>
          </cell>
          <cell r="V212">
            <v>29</v>
          </cell>
          <cell r="W212">
            <v>31</v>
          </cell>
          <cell r="X212">
            <v>31</v>
          </cell>
          <cell r="Y212">
            <v>31</v>
          </cell>
          <cell r="Z212">
            <v>29</v>
          </cell>
          <cell r="AA212">
            <v>28</v>
          </cell>
          <cell r="AB212">
            <v>27.5</v>
          </cell>
          <cell r="AC212">
            <v>27.5</v>
          </cell>
          <cell r="AD212">
            <v>27.5</v>
          </cell>
          <cell r="AE212">
            <v>27.5</v>
          </cell>
          <cell r="AF212">
            <v>27</v>
          </cell>
          <cell r="AG212">
            <v>27</v>
          </cell>
          <cell r="AH212">
            <v>28</v>
          </cell>
          <cell r="AI212">
            <v>28.5</v>
          </cell>
          <cell r="AJ212">
            <v>29</v>
          </cell>
          <cell r="AK212">
            <v>29</v>
          </cell>
          <cell r="AL212">
            <v>28</v>
          </cell>
          <cell r="AM212">
            <v>28</v>
          </cell>
          <cell r="AN212">
            <v>28</v>
          </cell>
          <cell r="AO212">
            <v>28</v>
          </cell>
          <cell r="AP212">
            <v>27.5</v>
          </cell>
          <cell r="AQ212">
            <v>27.5</v>
          </cell>
          <cell r="AR212">
            <v>27</v>
          </cell>
          <cell r="AS212">
            <v>26</v>
          </cell>
          <cell r="AT212">
            <v>25.5</v>
          </cell>
          <cell r="AU212">
            <v>25</v>
          </cell>
          <cell r="AV212">
            <v>25</v>
          </cell>
          <cell r="AW212">
            <v>25</v>
          </cell>
          <cell r="AX212">
            <v>25</v>
          </cell>
          <cell r="AY212">
            <v>25</v>
          </cell>
          <cell r="AZ212">
            <v>25</v>
          </cell>
          <cell r="BA212">
            <v>27</v>
          </cell>
          <cell r="BB212">
            <v>29</v>
          </cell>
          <cell r="BC212">
            <v>30</v>
          </cell>
          <cell r="BD212">
            <v>31</v>
          </cell>
          <cell r="BE212">
            <v>33</v>
          </cell>
          <cell r="BF212">
            <v>35</v>
          </cell>
          <cell r="BG212">
            <v>38</v>
          </cell>
          <cell r="BH212">
            <v>40</v>
          </cell>
          <cell r="BI212">
            <v>41</v>
          </cell>
          <cell r="BJ212">
            <v>45</v>
          </cell>
          <cell r="BK212">
            <v>47</v>
          </cell>
          <cell r="BL212">
            <v>47</v>
          </cell>
          <cell r="BM212">
            <v>47</v>
          </cell>
          <cell r="BN212">
            <v>46</v>
          </cell>
          <cell r="BO212">
            <v>45</v>
          </cell>
          <cell r="BP212">
            <v>43</v>
          </cell>
          <cell r="BQ212">
            <v>41</v>
          </cell>
          <cell r="BR212">
            <v>39</v>
          </cell>
          <cell r="BS212">
            <v>37</v>
          </cell>
          <cell r="BT212">
            <v>34</v>
          </cell>
          <cell r="BU212">
            <v>32</v>
          </cell>
          <cell r="BV212">
            <v>31</v>
          </cell>
          <cell r="BW212">
            <v>30</v>
          </cell>
          <cell r="BX212">
            <v>30</v>
          </cell>
          <cell r="BY212">
            <v>34</v>
          </cell>
          <cell r="BZ212">
            <v>35</v>
          </cell>
          <cell r="CA212">
            <v>38</v>
          </cell>
          <cell r="CB212">
            <v>39</v>
          </cell>
          <cell r="CC212">
            <v>41</v>
          </cell>
          <cell r="CD212">
            <v>43</v>
          </cell>
          <cell r="CE212">
            <v>41</v>
          </cell>
          <cell r="CF212">
            <v>39</v>
          </cell>
          <cell r="CG212">
            <v>38</v>
          </cell>
          <cell r="CH212">
            <v>38</v>
          </cell>
          <cell r="CI212">
            <v>38</v>
          </cell>
          <cell r="CJ212">
            <v>39</v>
          </cell>
          <cell r="CK212">
            <v>41</v>
          </cell>
          <cell r="CL212">
            <v>41</v>
          </cell>
          <cell r="CM212">
            <v>40</v>
          </cell>
          <cell r="CN212">
            <v>40</v>
          </cell>
          <cell r="CO212">
            <v>38</v>
          </cell>
          <cell r="CP212">
            <v>37</v>
          </cell>
          <cell r="CQ212">
            <v>36</v>
          </cell>
          <cell r="CR212">
            <v>35</v>
          </cell>
          <cell r="CS212">
            <v>35</v>
          </cell>
          <cell r="CT212">
            <v>33</v>
          </cell>
          <cell r="CU212">
            <v>31</v>
          </cell>
          <cell r="CV212">
            <v>31</v>
          </cell>
          <cell r="CW212">
            <v>30</v>
          </cell>
          <cell r="CX212">
            <v>29</v>
          </cell>
          <cell r="CY212">
            <v>28</v>
          </cell>
          <cell r="CZ212">
            <v>26.5</v>
          </cell>
          <cell r="DA212">
            <v>26</v>
          </cell>
          <cell r="DB212">
            <v>25</v>
          </cell>
          <cell r="DC212">
            <v>25</v>
          </cell>
          <cell r="DD212">
            <v>24</v>
          </cell>
          <cell r="DE212">
            <v>23</v>
          </cell>
          <cell r="DF212">
            <v>37</v>
          </cell>
          <cell r="DG212">
            <v>36</v>
          </cell>
          <cell r="DH212">
            <v>35</v>
          </cell>
          <cell r="DI212">
            <v>35</v>
          </cell>
          <cell r="DJ212">
            <v>33</v>
          </cell>
          <cell r="DK212">
            <v>31</v>
          </cell>
          <cell r="DL212">
            <v>31</v>
          </cell>
          <cell r="DM212">
            <v>30</v>
          </cell>
          <cell r="DN212">
            <v>29</v>
          </cell>
          <cell r="DO212">
            <v>28</v>
          </cell>
          <cell r="DP212">
            <v>26.5</v>
          </cell>
          <cell r="DQ212">
            <v>26</v>
          </cell>
          <cell r="DR212">
            <v>25</v>
          </cell>
          <cell r="DS212">
            <v>25</v>
          </cell>
          <cell r="DT212">
            <v>24</v>
          </cell>
          <cell r="DU212">
            <v>23</v>
          </cell>
        </row>
        <row r="214">
          <cell r="F214" t="str">
            <v>Ethylene</v>
          </cell>
          <cell r="H214">
            <v>23</v>
          </cell>
          <cell r="I214">
            <v>23</v>
          </cell>
          <cell r="J214">
            <v>26</v>
          </cell>
          <cell r="K214">
            <v>28</v>
          </cell>
          <cell r="L214">
            <v>30</v>
          </cell>
          <cell r="M214">
            <v>30</v>
          </cell>
          <cell r="N214">
            <v>28</v>
          </cell>
          <cell r="O214">
            <v>26</v>
          </cell>
          <cell r="P214">
            <v>24</v>
          </cell>
          <cell r="Q214">
            <v>22.5</v>
          </cell>
          <cell r="R214">
            <v>21.2</v>
          </cell>
          <cell r="S214">
            <v>20</v>
          </cell>
          <cell r="T214">
            <v>18</v>
          </cell>
          <cell r="U214">
            <v>18</v>
          </cell>
          <cell r="V214">
            <v>18</v>
          </cell>
          <cell r="W214">
            <v>20</v>
          </cell>
          <cell r="X214">
            <v>21</v>
          </cell>
          <cell r="Y214">
            <v>21</v>
          </cell>
          <cell r="Z214">
            <v>17.489397248307501</v>
          </cell>
          <cell r="AA214">
            <v>16.733020310111399</v>
          </cell>
          <cell r="AB214">
            <v>16.258309674601399</v>
          </cell>
          <cell r="AC214">
            <v>16.109532649049999</v>
          </cell>
          <cell r="AD214">
            <v>16.063791220790598</v>
          </cell>
          <cell r="AE214">
            <v>17.0454793623062</v>
          </cell>
          <cell r="AF214">
            <v>17.9047608648176</v>
          </cell>
          <cell r="AG214">
            <v>18.4047608648176</v>
          </cell>
          <cell r="AH214">
            <v>19.1458943000655</v>
          </cell>
          <cell r="AI214">
            <v>19.623542258135</v>
          </cell>
          <cell r="AJ214">
            <v>19.589157021183699</v>
          </cell>
          <cell r="AK214">
            <v>19.1007097619568</v>
          </cell>
          <cell r="AL214">
            <v>18.579999999999998</v>
          </cell>
          <cell r="AM214">
            <v>18.25</v>
          </cell>
          <cell r="AN214">
            <v>17.98</v>
          </cell>
          <cell r="AO214">
            <v>17.989999999999998</v>
          </cell>
          <cell r="AP214">
            <v>17.93</v>
          </cell>
          <cell r="AQ214">
            <v>17.89</v>
          </cell>
          <cell r="AR214">
            <v>17.78</v>
          </cell>
          <cell r="AS214">
            <v>17.68</v>
          </cell>
          <cell r="AT214">
            <v>17.489999999999998</v>
          </cell>
          <cell r="AU214">
            <v>17.41</v>
          </cell>
          <cell r="AV214">
            <v>17.05</v>
          </cell>
          <cell r="AW214">
            <v>16.8</v>
          </cell>
          <cell r="AX214">
            <v>16.43</v>
          </cell>
          <cell r="AY214">
            <v>16.21</v>
          </cell>
          <cell r="AZ214">
            <v>16.61</v>
          </cell>
          <cell r="BA214">
            <v>17.104500000000002</v>
          </cell>
          <cell r="BB214">
            <v>18.09225</v>
          </cell>
          <cell r="BC214">
            <v>19.057500000000001</v>
          </cell>
          <cell r="BD214">
            <v>20.048999999999999</v>
          </cell>
          <cell r="BE214">
            <v>21.027000000000001</v>
          </cell>
          <cell r="BF214">
            <v>22.936</v>
          </cell>
          <cell r="BG214">
            <v>24.913499999999999</v>
          </cell>
          <cell r="BH214">
            <v>25.890499999999999</v>
          </cell>
          <cell r="BI214">
            <v>26.46</v>
          </cell>
          <cell r="BJ214">
            <v>27.37</v>
          </cell>
          <cell r="BK214">
            <v>28.332999999999998</v>
          </cell>
          <cell r="BL214">
            <v>28.274999999999999</v>
          </cell>
          <cell r="BM214">
            <v>28.245999999999999</v>
          </cell>
          <cell r="BN214">
            <v>28.216999999999999</v>
          </cell>
          <cell r="BO214">
            <v>27.616499999999998</v>
          </cell>
          <cell r="BP214">
            <v>26.62</v>
          </cell>
          <cell r="BQ214">
            <v>25.050999999999998</v>
          </cell>
          <cell r="BR214">
            <v>23.1525</v>
          </cell>
          <cell r="BS214">
            <v>20.872499999999999</v>
          </cell>
          <cell r="BT214">
            <v>19.496400000000001</v>
          </cell>
          <cell r="BU214">
            <v>18.248999999999999</v>
          </cell>
          <cell r="BV214">
            <v>18</v>
          </cell>
          <cell r="BW214">
            <v>18</v>
          </cell>
          <cell r="BX214">
            <v>18.973500000000001</v>
          </cell>
          <cell r="BY214">
            <v>20.25</v>
          </cell>
          <cell r="BZ214">
            <v>21.220500000000001</v>
          </cell>
          <cell r="CA214">
            <v>22.172499999999999</v>
          </cell>
          <cell r="CB214">
            <v>22.6</v>
          </cell>
          <cell r="CC214">
            <v>23.103000000000002</v>
          </cell>
          <cell r="CD214">
            <v>23.465</v>
          </cell>
          <cell r="CE214">
            <v>23.706375000000001</v>
          </cell>
          <cell r="CF214">
            <v>23.823499999999999</v>
          </cell>
          <cell r="CG214">
            <v>24.75</v>
          </cell>
          <cell r="CH214">
            <v>25.712699999999998</v>
          </cell>
          <cell r="CI214">
            <v>25.712699999999998</v>
          </cell>
          <cell r="CJ214">
            <v>25.712699999999998</v>
          </cell>
          <cell r="CK214">
            <v>25.65</v>
          </cell>
          <cell r="CL214">
            <v>25.2</v>
          </cell>
          <cell r="CM214">
            <v>24.653749999999999</v>
          </cell>
          <cell r="CN214">
            <v>24.653749999999999</v>
          </cell>
          <cell r="CO214">
            <v>24.598749999999999</v>
          </cell>
          <cell r="CP214">
            <v>24.447500000000002</v>
          </cell>
          <cell r="CQ214">
            <v>23.948999999999998</v>
          </cell>
          <cell r="CR214">
            <v>23.452500000000001</v>
          </cell>
          <cell r="CS214">
            <v>22.672875000000001</v>
          </cell>
          <cell r="CT214">
            <v>21.9</v>
          </cell>
          <cell r="CU214">
            <v>20.8</v>
          </cell>
          <cell r="CV214">
            <v>19.7</v>
          </cell>
          <cell r="CW214">
            <v>18.7</v>
          </cell>
          <cell r="CX214">
            <v>17.95</v>
          </cell>
          <cell r="CY214">
            <v>17.45</v>
          </cell>
          <cell r="CZ214">
            <v>16.95</v>
          </cell>
          <cell r="DA214">
            <v>16.45</v>
          </cell>
          <cell r="DB214">
            <v>15.95</v>
          </cell>
          <cell r="DC214">
            <v>15.95</v>
          </cell>
          <cell r="DD214">
            <v>15.95</v>
          </cell>
          <cell r="DE214">
            <v>15.95</v>
          </cell>
          <cell r="DF214">
            <v>24.447500000000002</v>
          </cell>
          <cell r="DG214">
            <v>23.948999999999998</v>
          </cell>
          <cell r="DH214">
            <v>23.452500000000001</v>
          </cell>
          <cell r="DI214">
            <v>22.672875000000001</v>
          </cell>
          <cell r="DJ214">
            <v>21.9</v>
          </cell>
          <cell r="DK214">
            <v>20.8</v>
          </cell>
          <cell r="DL214">
            <v>19.7</v>
          </cell>
          <cell r="DM214">
            <v>18.7</v>
          </cell>
          <cell r="DN214">
            <v>17.95</v>
          </cell>
          <cell r="DO214">
            <v>17.45</v>
          </cell>
          <cell r="DP214">
            <v>16.95</v>
          </cell>
          <cell r="DQ214">
            <v>16.45</v>
          </cell>
          <cell r="DR214">
            <v>15.95</v>
          </cell>
          <cell r="DS214">
            <v>15.95</v>
          </cell>
          <cell r="DT214">
            <v>15.95</v>
          </cell>
          <cell r="DU214">
            <v>15.95</v>
          </cell>
        </row>
        <row r="216">
          <cell r="F216" t="str">
            <v>Spread</v>
          </cell>
          <cell r="H216">
            <v>10.849999999999998</v>
          </cell>
          <cell r="I216">
            <v>11.849999999999998</v>
          </cell>
          <cell r="J216">
            <v>9.6999999999999993</v>
          </cell>
          <cell r="K216">
            <v>10.599999999999998</v>
          </cell>
          <cell r="L216">
            <v>9.5</v>
          </cell>
          <cell r="M216">
            <v>10.5</v>
          </cell>
          <cell r="N216">
            <v>11.599999999999998</v>
          </cell>
          <cell r="O216">
            <v>12.7</v>
          </cell>
          <cell r="P216">
            <v>10.799999999999997</v>
          </cell>
          <cell r="Q216">
            <v>9.375</v>
          </cell>
          <cell r="R216">
            <v>6.7399999999999984</v>
          </cell>
          <cell r="S216">
            <v>6</v>
          </cell>
          <cell r="T216">
            <v>8.0999999999999979</v>
          </cell>
          <cell r="U216">
            <v>8.0999999999999979</v>
          </cell>
          <cell r="V216">
            <v>10.099999999999998</v>
          </cell>
          <cell r="W216">
            <v>10</v>
          </cell>
          <cell r="X216">
            <v>8.9499999999999993</v>
          </cell>
          <cell r="Y216">
            <v>8.9499999999999993</v>
          </cell>
          <cell r="Z216">
            <v>10.636132889277125</v>
          </cell>
          <cell r="AA216">
            <v>10.430328674383031</v>
          </cell>
          <cell r="AB216">
            <v>10.428774841668531</v>
          </cell>
          <cell r="AC216">
            <v>10.584990718497501</v>
          </cell>
          <cell r="AD216">
            <v>10.633019218169871</v>
          </cell>
          <cell r="AE216">
            <v>9.6022466695784914</v>
          </cell>
          <cell r="AF216">
            <v>8.2000010919415196</v>
          </cell>
          <cell r="AG216">
            <v>7.6750010919415175</v>
          </cell>
          <cell r="AH216">
            <v>7.8968109849312249</v>
          </cell>
          <cell r="AI216">
            <v>7.8952806289582504</v>
          </cell>
          <cell r="AJ216">
            <v>8.4313851277571175</v>
          </cell>
          <cell r="AK216">
            <v>8.9442547499453582</v>
          </cell>
          <cell r="AL216">
            <v>8.4909999999999997</v>
          </cell>
          <cell r="AM216">
            <v>8.8374999999999986</v>
          </cell>
          <cell r="AN216">
            <v>9.1209999999999987</v>
          </cell>
          <cell r="AO216">
            <v>9.1105000000000018</v>
          </cell>
          <cell r="AP216">
            <v>8.6735000000000007</v>
          </cell>
          <cell r="AQ216">
            <v>8.7154999999999987</v>
          </cell>
          <cell r="AR216">
            <v>8.3309999999999995</v>
          </cell>
          <cell r="AS216">
            <v>7.4359999999999999</v>
          </cell>
          <cell r="AT216">
            <v>7.1355000000000004</v>
          </cell>
          <cell r="AU216">
            <v>6.7195</v>
          </cell>
          <cell r="AV216">
            <v>7.0975000000000001</v>
          </cell>
          <cell r="AW216">
            <v>7.3599999999999994</v>
          </cell>
          <cell r="AX216">
            <v>7.7484999999999999</v>
          </cell>
          <cell r="AY216">
            <v>7.979499999999998</v>
          </cell>
          <cell r="AZ216">
            <v>7.5594999999999999</v>
          </cell>
          <cell r="BA216">
            <v>9.0402749999999976</v>
          </cell>
          <cell r="BB216">
            <v>10.003137499999998</v>
          </cell>
          <cell r="BC216">
            <v>9.9896249999999966</v>
          </cell>
          <cell r="BD216">
            <v>9.9485500000000009</v>
          </cell>
          <cell r="BE216">
            <v>10.92165</v>
          </cell>
          <cell r="BF216">
            <v>10.917199999999998</v>
          </cell>
          <cell r="BG216">
            <v>11.840824999999999</v>
          </cell>
          <cell r="BH216">
            <v>12.814975</v>
          </cell>
          <cell r="BI216">
            <v>13.216999999999999</v>
          </cell>
          <cell r="BJ216">
            <v>16.261499999999998</v>
          </cell>
          <cell r="BK216">
            <v>17.250350000000001</v>
          </cell>
          <cell r="BL216">
            <v>17.311250000000001</v>
          </cell>
          <cell r="BM216">
            <v>17.341699999999999</v>
          </cell>
          <cell r="BN216">
            <v>16.372150000000001</v>
          </cell>
          <cell r="BO216">
            <v>16.002675</v>
          </cell>
          <cell r="BP216">
            <v>15.048999999999999</v>
          </cell>
          <cell r="BQ216">
            <v>14.696450000000002</v>
          </cell>
          <cell r="BR216">
            <v>14.689875000000001</v>
          </cell>
          <cell r="BS216">
            <v>15.083874999999999</v>
          </cell>
          <cell r="BT216">
            <v>13.528779999999998</v>
          </cell>
          <cell r="BU216">
            <v>12.838550000000001</v>
          </cell>
          <cell r="BV216">
            <v>12.099999999999998</v>
          </cell>
          <cell r="BW216">
            <v>11.099999999999998</v>
          </cell>
          <cell r="BX216">
            <v>10.077824999999997</v>
          </cell>
          <cell r="BY216">
            <v>12.737500000000001</v>
          </cell>
          <cell r="BZ216">
            <v>12.718474999999998</v>
          </cell>
          <cell r="CA216">
            <v>14.718875000000001</v>
          </cell>
          <cell r="CB216">
            <v>15.269999999999996</v>
          </cell>
          <cell r="CC216">
            <v>16.741849999999996</v>
          </cell>
          <cell r="CD216">
            <v>18.361750000000001</v>
          </cell>
          <cell r="CE216">
            <v>16.108306249999998</v>
          </cell>
          <cell r="CF216">
            <v>13.985325</v>
          </cell>
          <cell r="CG216">
            <v>12.012499999999999</v>
          </cell>
          <cell r="CH216">
            <v>11.001664999999999</v>
          </cell>
          <cell r="CI216">
            <v>11.001664999999999</v>
          </cell>
          <cell r="CJ216">
            <v>12.001664999999999</v>
          </cell>
          <cell r="CK216">
            <v>14.067499999999999</v>
          </cell>
          <cell r="CL216">
            <v>14.54</v>
          </cell>
          <cell r="CM216">
            <v>14.1135625</v>
          </cell>
          <cell r="CN216">
            <v>14.1135625</v>
          </cell>
          <cell r="CO216">
            <v>12.171312499999999</v>
          </cell>
          <cell r="CP216">
            <v>11.330124999999999</v>
          </cell>
          <cell r="CQ216">
            <v>10.853550000000002</v>
          </cell>
          <cell r="CR216">
            <v>10.374874999999999</v>
          </cell>
          <cell r="CS216">
            <v>11.193481249999998</v>
          </cell>
          <cell r="CT216">
            <v>10.004999999999999</v>
          </cell>
          <cell r="CU216">
            <v>9.1599999999999966</v>
          </cell>
          <cell r="CV216">
            <v>10.315000000000001</v>
          </cell>
          <cell r="CW216">
            <v>10.364999999999998</v>
          </cell>
          <cell r="CX216">
            <v>10.1525</v>
          </cell>
          <cell r="CY216">
            <v>9.6774999999999984</v>
          </cell>
          <cell r="CZ216">
            <v>8.7025000000000006</v>
          </cell>
          <cell r="DA216">
            <v>8.7274999999999991</v>
          </cell>
          <cell r="DB216">
            <v>8.2525000000000013</v>
          </cell>
          <cell r="DC216">
            <v>8.2525000000000013</v>
          </cell>
          <cell r="DD216">
            <v>7.2525000000000013</v>
          </cell>
          <cell r="DE216">
            <v>6.2525000000000013</v>
          </cell>
          <cell r="DF216">
            <v>11.330124999999999</v>
          </cell>
          <cell r="DG216">
            <v>10.853550000000002</v>
          </cell>
          <cell r="DH216">
            <v>10.374874999999999</v>
          </cell>
          <cell r="DI216">
            <v>11.193481249999998</v>
          </cell>
          <cell r="DJ216">
            <v>10.004999999999999</v>
          </cell>
          <cell r="DK216">
            <v>9.1599999999999966</v>
          </cell>
          <cell r="DL216">
            <v>10.315000000000001</v>
          </cell>
          <cell r="DM216">
            <v>10.364999999999998</v>
          </cell>
          <cell r="DN216">
            <v>10.1525</v>
          </cell>
          <cell r="DO216">
            <v>9.6774999999999984</v>
          </cell>
          <cell r="DP216">
            <v>8.7025000000000006</v>
          </cell>
          <cell r="DQ216">
            <v>8.7274999999999991</v>
          </cell>
          <cell r="DR216">
            <v>8.2525000000000013</v>
          </cell>
          <cell r="DS216">
            <v>8.2525000000000013</v>
          </cell>
          <cell r="DT216">
            <v>7.2525000000000013</v>
          </cell>
          <cell r="DU216">
            <v>6.2525000000000013</v>
          </cell>
        </row>
        <row r="218">
          <cell r="F218" t="str">
            <v>(1)  Liner grade.</v>
          </cell>
        </row>
        <row r="219">
          <cell r="F219" t="str">
            <v>(2)  Assuming a conversion factor of 2.9 lbs./gal of ethane and 1.05 lbs. ethylene, which requires 1.25 pounds of ethane per pound of ethylene, to produce 1.0 lbs. LLDPE.</v>
          </cell>
        </row>
        <row r="221">
          <cell r="F221" t="str">
            <v>To estimate variable cash costs: Add $0.03 for ethylene production cost, Add $0.07 for polyethylene conversion cost</v>
          </cell>
          <cell r="BT221" t="str">
            <v>Add another $0.03 for ethylene plant depreciation</v>
          </cell>
          <cell r="CI221" t="str">
            <v>Add another $0.03 for ethylene plant depreciation</v>
          </cell>
          <cell r="CJ221" t="str">
            <v>Add another $0.03 for ethylene plant depreciation</v>
          </cell>
        </row>
        <row r="223">
          <cell r="F223" t="str">
            <v>PP/Propylene  Cost Spread</v>
          </cell>
        </row>
        <row r="225">
          <cell r="H225">
            <v>33055</v>
          </cell>
          <cell r="I225">
            <v>33086</v>
          </cell>
          <cell r="J225">
            <v>33117</v>
          </cell>
          <cell r="K225">
            <v>33147</v>
          </cell>
          <cell r="L225">
            <v>33178</v>
          </cell>
          <cell r="M225">
            <v>33208</v>
          </cell>
          <cell r="N225">
            <v>33239</v>
          </cell>
          <cell r="O225">
            <v>33270</v>
          </cell>
          <cell r="P225">
            <v>33298</v>
          </cell>
          <cell r="Q225">
            <v>33329</v>
          </cell>
          <cell r="R225">
            <v>33359</v>
          </cell>
          <cell r="S225">
            <v>33390</v>
          </cell>
          <cell r="T225">
            <v>33420</v>
          </cell>
          <cell r="U225">
            <v>33451</v>
          </cell>
          <cell r="V225">
            <v>33482</v>
          </cell>
          <cell r="W225">
            <v>33512</v>
          </cell>
          <cell r="X225">
            <v>33543</v>
          </cell>
          <cell r="Y225">
            <v>33573</v>
          </cell>
          <cell r="Z225">
            <v>33604</v>
          </cell>
          <cell r="AA225">
            <v>33635</v>
          </cell>
          <cell r="AB225">
            <v>33664</v>
          </cell>
          <cell r="AC225">
            <v>33695</v>
          </cell>
          <cell r="AD225">
            <v>33725</v>
          </cell>
          <cell r="AE225">
            <v>33756</v>
          </cell>
          <cell r="AF225">
            <v>33786</v>
          </cell>
          <cell r="AG225">
            <v>33817</v>
          </cell>
          <cell r="AH225">
            <v>33848</v>
          </cell>
          <cell r="AI225">
            <v>33878</v>
          </cell>
          <cell r="AJ225">
            <v>33909</v>
          </cell>
          <cell r="AK225">
            <v>33939</v>
          </cell>
          <cell r="AL225">
            <v>33970</v>
          </cell>
          <cell r="AM225">
            <v>34001</v>
          </cell>
          <cell r="AN225">
            <v>34029</v>
          </cell>
          <cell r="AO225">
            <v>34060</v>
          </cell>
          <cell r="AP225">
            <v>34090</v>
          </cell>
          <cell r="AQ225">
            <v>34121</v>
          </cell>
          <cell r="AR225">
            <v>34151</v>
          </cell>
          <cell r="AS225">
            <v>34182</v>
          </cell>
          <cell r="AT225">
            <v>34213</v>
          </cell>
          <cell r="AU225">
            <v>34243</v>
          </cell>
          <cell r="AV225">
            <v>34274</v>
          </cell>
          <cell r="AW225">
            <v>34304</v>
          </cell>
          <cell r="AX225">
            <v>34335</v>
          </cell>
          <cell r="AY225">
            <v>34366</v>
          </cell>
          <cell r="AZ225">
            <v>34394</v>
          </cell>
          <cell r="BA225">
            <v>34425</v>
          </cell>
          <cell r="BB225">
            <v>34455</v>
          </cell>
          <cell r="BC225">
            <v>34486</v>
          </cell>
          <cell r="BD225">
            <v>34516</v>
          </cell>
          <cell r="BE225">
            <v>34547</v>
          </cell>
          <cell r="BF225">
            <v>34578</v>
          </cell>
          <cell r="BG225">
            <v>34608</v>
          </cell>
          <cell r="BH225">
            <v>34639</v>
          </cell>
          <cell r="BI225">
            <v>34669</v>
          </cell>
          <cell r="BJ225">
            <v>34700</v>
          </cell>
          <cell r="BK225">
            <v>34731</v>
          </cell>
          <cell r="BL225">
            <v>34759</v>
          </cell>
          <cell r="BM225">
            <v>34790</v>
          </cell>
          <cell r="BN225">
            <v>34820</v>
          </cell>
          <cell r="BO225">
            <v>34851</v>
          </cell>
          <cell r="BP225">
            <v>34881</v>
          </cell>
          <cell r="BQ225">
            <v>34912</v>
          </cell>
          <cell r="BR225">
            <v>34943</v>
          </cell>
          <cell r="BS225">
            <v>34973</v>
          </cell>
          <cell r="BT225">
            <v>35004</v>
          </cell>
          <cell r="BU225">
            <v>35034</v>
          </cell>
          <cell r="BV225">
            <v>35065</v>
          </cell>
          <cell r="BW225">
            <v>35096</v>
          </cell>
          <cell r="BX225">
            <v>35125</v>
          </cell>
          <cell r="BY225">
            <v>35156</v>
          </cell>
          <cell r="BZ225">
            <v>35186</v>
          </cell>
          <cell r="CA225">
            <v>35217</v>
          </cell>
          <cell r="CB225">
            <v>35247</v>
          </cell>
          <cell r="CC225">
            <v>35278</v>
          </cell>
          <cell r="CD225">
            <v>35309</v>
          </cell>
          <cell r="CE225">
            <v>35339</v>
          </cell>
          <cell r="CF225">
            <v>35370</v>
          </cell>
          <cell r="CG225">
            <v>35400</v>
          </cell>
          <cell r="CH225">
            <v>35431</v>
          </cell>
          <cell r="CI225">
            <v>35462</v>
          </cell>
          <cell r="CJ225">
            <v>35490</v>
          </cell>
          <cell r="CK225">
            <v>35521</v>
          </cell>
          <cell r="CL225">
            <v>35551</v>
          </cell>
          <cell r="CM225">
            <v>35582</v>
          </cell>
          <cell r="CN225">
            <v>35612</v>
          </cell>
          <cell r="CO225">
            <v>35643</v>
          </cell>
          <cell r="CP225">
            <v>35674</v>
          </cell>
          <cell r="CQ225">
            <v>35704</v>
          </cell>
          <cell r="CR225">
            <v>35735</v>
          </cell>
          <cell r="CS225">
            <v>35765</v>
          </cell>
          <cell r="CT225">
            <v>35796</v>
          </cell>
          <cell r="CU225">
            <v>35827</v>
          </cell>
          <cell r="CV225">
            <v>35855</v>
          </cell>
          <cell r="CW225">
            <v>35886</v>
          </cell>
          <cell r="CX225">
            <v>35916</v>
          </cell>
          <cell r="CY225">
            <v>35947</v>
          </cell>
          <cell r="CZ225">
            <v>35977</v>
          </cell>
          <cell r="DA225">
            <v>36008</v>
          </cell>
          <cell r="DB225">
            <v>36039</v>
          </cell>
          <cell r="DC225">
            <v>36069</v>
          </cell>
          <cell r="DD225">
            <v>36100</v>
          </cell>
          <cell r="DE225">
            <v>36130</v>
          </cell>
          <cell r="DF225">
            <v>35674</v>
          </cell>
          <cell r="DG225">
            <v>35704</v>
          </cell>
          <cell r="DH225">
            <v>35735</v>
          </cell>
          <cell r="DI225">
            <v>35765</v>
          </cell>
          <cell r="DJ225">
            <v>35796</v>
          </cell>
          <cell r="DK225">
            <v>35827</v>
          </cell>
          <cell r="DL225">
            <v>35855</v>
          </cell>
          <cell r="DM225">
            <v>35886</v>
          </cell>
          <cell r="DN225">
            <v>35916</v>
          </cell>
          <cell r="DO225">
            <v>35947</v>
          </cell>
          <cell r="DP225">
            <v>35977</v>
          </cell>
          <cell r="DQ225">
            <v>36008</v>
          </cell>
          <cell r="DR225">
            <v>36039</v>
          </cell>
          <cell r="DS225">
            <v>36069</v>
          </cell>
          <cell r="DT225">
            <v>36100</v>
          </cell>
          <cell r="DU225">
            <v>36130</v>
          </cell>
        </row>
        <row r="226">
          <cell r="F226" t="str">
            <v>Polypropylene price</v>
          </cell>
          <cell r="H226">
            <v>38</v>
          </cell>
          <cell r="I226">
            <v>38</v>
          </cell>
          <cell r="J226">
            <v>40</v>
          </cell>
          <cell r="K226">
            <v>41</v>
          </cell>
          <cell r="L226">
            <v>42</v>
          </cell>
          <cell r="M226">
            <v>43</v>
          </cell>
          <cell r="N226">
            <v>41</v>
          </cell>
          <cell r="O226">
            <v>40</v>
          </cell>
          <cell r="P226">
            <v>39</v>
          </cell>
          <cell r="Q226">
            <v>38</v>
          </cell>
          <cell r="R226">
            <v>36</v>
          </cell>
          <cell r="S226">
            <v>34</v>
          </cell>
          <cell r="T226">
            <v>31.5</v>
          </cell>
          <cell r="U226">
            <v>31.5</v>
          </cell>
          <cell r="V226">
            <v>31.5</v>
          </cell>
          <cell r="W226">
            <v>32.5</v>
          </cell>
          <cell r="X226">
            <v>32.5</v>
          </cell>
          <cell r="Y226">
            <v>32.5</v>
          </cell>
          <cell r="Z226">
            <v>33</v>
          </cell>
          <cell r="AA226">
            <v>32.5</v>
          </cell>
          <cell r="AB226">
            <v>32</v>
          </cell>
          <cell r="AC226">
            <v>32</v>
          </cell>
          <cell r="AD226">
            <v>32</v>
          </cell>
          <cell r="AE226">
            <v>33</v>
          </cell>
          <cell r="AF226">
            <v>33</v>
          </cell>
          <cell r="AG226">
            <v>32.5</v>
          </cell>
          <cell r="AH226">
            <v>31.5</v>
          </cell>
          <cell r="AI226">
            <v>30.5</v>
          </cell>
          <cell r="AJ226">
            <v>28</v>
          </cell>
          <cell r="AK226">
            <v>27.5</v>
          </cell>
          <cell r="AL226">
            <v>27</v>
          </cell>
          <cell r="AM226">
            <v>26.5</v>
          </cell>
          <cell r="AN226">
            <v>26</v>
          </cell>
          <cell r="AO226">
            <v>26</v>
          </cell>
          <cell r="AP226">
            <v>26</v>
          </cell>
          <cell r="AQ226">
            <v>26.5</v>
          </cell>
          <cell r="AR226">
            <v>27</v>
          </cell>
          <cell r="AS226">
            <v>27</v>
          </cell>
          <cell r="AT226">
            <v>27</v>
          </cell>
          <cell r="AU226">
            <v>27</v>
          </cell>
          <cell r="AV226">
            <v>27</v>
          </cell>
          <cell r="AW226">
            <v>27</v>
          </cell>
          <cell r="AX226">
            <v>27</v>
          </cell>
          <cell r="AY226">
            <v>27</v>
          </cell>
          <cell r="AZ226">
            <v>27</v>
          </cell>
          <cell r="BA226">
            <v>29.5</v>
          </cell>
          <cell r="BB226">
            <v>30</v>
          </cell>
          <cell r="BC226">
            <v>31</v>
          </cell>
          <cell r="BD226">
            <v>32</v>
          </cell>
          <cell r="BE226">
            <v>33</v>
          </cell>
          <cell r="BF226">
            <v>34</v>
          </cell>
          <cell r="BG226">
            <v>36</v>
          </cell>
          <cell r="BH226">
            <v>38</v>
          </cell>
          <cell r="BI226">
            <v>40</v>
          </cell>
          <cell r="BJ226">
            <v>42</v>
          </cell>
          <cell r="BK226">
            <v>42</v>
          </cell>
          <cell r="BL226">
            <v>43</v>
          </cell>
          <cell r="BM226">
            <v>45</v>
          </cell>
          <cell r="BN226">
            <v>46</v>
          </cell>
          <cell r="BO226">
            <v>46</v>
          </cell>
          <cell r="BP226">
            <v>45</v>
          </cell>
          <cell r="BQ226">
            <v>43</v>
          </cell>
          <cell r="BR226">
            <v>41</v>
          </cell>
          <cell r="BS226">
            <v>39</v>
          </cell>
          <cell r="BT226">
            <v>37</v>
          </cell>
          <cell r="BU226">
            <v>35</v>
          </cell>
          <cell r="BV226">
            <v>34</v>
          </cell>
          <cell r="BW226">
            <v>33</v>
          </cell>
          <cell r="BX226">
            <v>34</v>
          </cell>
          <cell r="BY226">
            <v>36</v>
          </cell>
          <cell r="BZ226">
            <v>38</v>
          </cell>
          <cell r="CA226">
            <v>39</v>
          </cell>
          <cell r="CB226">
            <v>40</v>
          </cell>
          <cell r="CC226">
            <v>41</v>
          </cell>
          <cell r="CD226">
            <v>41</v>
          </cell>
          <cell r="CE226">
            <v>41</v>
          </cell>
          <cell r="CF226">
            <v>39</v>
          </cell>
          <cell r="CG226">
            <v>37</v>
          </cell>
          <cell r="CH226">
            <v>37</v>
          </cell>
          <cell r="CI226">
            <v>37</v>
          </cell>
          <cell r="CJ226">
            <v>37</v>
          </cell>
          <cell r="CK226">
            <v>38</v>
          </cell>
          <cell r="CL226">
            <v>38</v>
          </cell>
          <cell r="CM226">
            <v>38</v>
          </cell>
          <cell r="CN226">
            <v>36</v>
          </cell>
          <cell r="CO226">
            <v>35</v>
          </cell>
          <cell r="CP226">
            <v>34</v>
          </cell>
          <cell r="CQ226">
            <v>33</v>
          </cell>
          <cell r="CR226">
            <v>32</v>
          </cell>
          <cell r="CS226">
            <v>31</v>
          </cell>
          <cell r="CT226">
            <v>30</v>
          </cell>
          <cell r="CU226">
            <v>29</v>
          </cell>
          <cell r="CV226">
            <v>29</v>
          </cell>
          <cell r="CW226">
            <v>28</v>
          </cell>
          <cell r="CX226">
            <v>27</v>
          </cell>
          <cell r="CY226">
            <v>26</v>
          </cell>
          <cell r="CZ226">
            <v>25</v>
          </cell>
          <cell r="DA226">
            <v>24</v>
          </cell>
          <cell r="DB226">
            <v>24</v>
          </cell>
          <cell r="DC226">
            <v>24</v>
          </cell>
          <cell r="DD226">
            <v>23</v>
          </cell>
          <cell r="DE226">
            <v>23</v>
          </cell>
          <cell r="DF226">
            <v>34</v>
          </cell>
          <cell r="DG226">
            <v>33</v>
          </cell>
          <cell r="DH226">
            <v>32</v>
          </cell>
          <cell r="DI226">
            <v>31</v>
          </cell>
          <cell r="DJ226">
            <v>30</v>
          </cell>
          <cell r="DK226">
            <v>29</v>
          </cell>
          <cell r="DL226">
            <v>29</v>
          </cell>
          <cell r="DM226">
            <v>28</v>
          </cell>
          <cell r="DN226">
            <v>27</v>
          </cell>
          <cell r="DO226">
            <v>26</v>
          </cell>
          <cell r="DP226">
            <v>25</v>
          </cell>
          <cell r="DQ226">
            <v>24</v>
          </cell>
          <cell r="DR226">
            <v>24</v>
          </cell>
          <cell r="DS226">
            <v>24</v>
          </cell>
          <cell r="DT226">
            <v>23</v>
          </cell>
          <cell r="DU226">
            <v>23</v>
          </cell>
        </row>
        <row r="228">
          <cell r="F228" t="str">
            <v xml:space="preserve">Propylene </v>
          </cell>
          <cell r="H228">
            <v>14</v>
          </cell>
          <cell r="I228">
            <v>14.5</v>
          </cell>
          <cell r="J228">
            <v>16.5</v>
          </cell>
          <cell r="K228">
            <v>19.5</v>
          </cell>
          <cell r="L228">
            <v>22.5</v>
          </cell>
          <cell r="M228">
            <v>22.5</v>
          </cell>
          <cell r="N228">
            <v>21.5</v>
          </cell>
          <cell r="O228">
            <v>20</v>
          </cell>
          <cell r="P228">
            <v>19</v>
          </cell>
          <cell r="Q228">
            <v>18</v>
          </cell>
          <cell r="R228">
            <v>17</v>
          </cell>
          <cell r="S228">
            <v>16</v>
          </cell>
          <cell r="T228">
            <v>14.5</v>
          </cell>
          <cell r="U228">
            <v>14.5</v>
          </cell>
          <cell r="V228">
            <v>14.5</v>
          </cell>
          <cell r="W228">
            <v>14.5</v>
          </cell>
          <cell r="X228">
            <v>14.5</v>
          </cell>
          <cell r="Y228">
            <v>14.5</v>
          </cell>
          <cell r="Z228">
            <v>15.5</v>
          </cell>
          <cell r="AA228">
            <v>14.5</v>
          </cell>
          <cell r="AB228">
            <v>14.5</v>
          </cell>
          <cell r="AC228">
            <v>14.5</v>
          </cell>
          <cell r="AD228">
            <v>15</v>
          </cell>
          <cell r="AE228">
            <v>15.25</v>
          </cell>
          <cell r="AF228">
            <v>15.5</v>
          </cell>
          <cell r="AG228">
            <v>15.25</v>
          </cell>
          <cell r="AH228">
            <v>15</v>
          </cell>
          <cell r="AI228">
            <v>14.5</v>
          </cell>
          <cell r="AJ228">
            <v>14</v>
          </cell>
          <cell r="AK228">
            <v>13.75</v>
          </cell>
          <cell r="AL228">
            <v>13.75</v>
          </cell>
          <cell r="AM228">
            <v>13.75</v>
          </cell>
          <cell r="AN228">
            <v>13.75</v>
          </cell>
          <cell r="AO228">
            <v>14</v>
          </cell>
          <cell r="AP228">
            <v>14.25</v>
          </cell>
          <cell r="AQ228">
            <v>14.25</v>
          </cell>
          <cell r="AR228">
            <v>14.25</v>
          </cell>
          <cell r="AS228">
            <v>13.75</v>
          </cell>
          <cell r="AT228">
            <v>13.5</v>
          </cell>
          <cell r="AU228">
            <v>13.25</v>
          </cell>
          <cell r="AV228">
            <v>13</v>
          </cell>
          <cell r="AW228">
            <v>12.75</v>
          </cell>
          <cell r="AX228">
            <v>12.75</v>
          </cell>
          <cell r="AY228">
            <v>12.75</v>
          </cell>
          <cell r="AZ228">
            <v>13.25</v>
          </cell>
          <cell r="BA228">
            <v>13.75</v>
          </cell>
          <cell r="BB228">
            <v>14.25</v>
          </cell>
          <cell r="BC228">
            <v>15.25</v>
          </cell>
          <cell r="BD228">
            <v>15.75</v>
          </cell>
          <cell r="BE228">
            <v>16.75</v>
          </cell>
          <cell r="BF228">
            <v>17.75</v>
          </cell>
          <cell r="BG228">
            <v>18.75</v>
          </cell>
          <cell r="BH228">
            <v>19.75</v>
          </cell>
          <cell r="BI228">
            <v>20.75</v>
          </cell>
          <cell r="BJ228">
            <v>21.75</v>
          </cell>
          <cell r="BK228">
            <v>22.75</v>
          </cell>
          <cell r="BL228">
            <v>23.75</v>
          </cell>
          <cell r="BM228">
            <v>24.75</v>
          </cell>
          <cell r="BN228">
            <v>24.75</v>
          </cell>
          <cell r="BO228">
            <v>24.75</v>
          </cell>
          <cell r="BP228">
            <v>24.75</v>
          </cell>
          <cell r="BQ228">
            <v>23.75</v>
          </cell>
          <cell r="BR228">
            <v>21.75</v>
          </cell>
          <cell r="BS228">
            <v>20.25</v>
          </cell>
          <cell r="BT228">
            <v>18.75</v>
          </cell>
          <cell r="BU228">
            <v>17.75</v>
          </cell>
          <cell r="BV228">
            <v>16.75</v>
          </cell>
          <cell r="BW228">
            <v>16.75</v>
          </cell>
          <cell r="BX228">
            <v>16.75</v>
          </cell>
          <cell r="BY228">
            <v>17.75</v>
          </cell>
          <cell r="BZ228">
            <v>18.75</v>
          </cell>
          <cell r="CA228">
            <v>19.25</v>
          </cell>
          <cell r="CB228">
            <v>19.25</v>
          </cell>
          <cell r="CC228">
            <v>19.75</v>
          </cell>
          <cell r="CD228">
            <v>19.75</v>
          </cell>
          <cell r="CE228">
            <v>19.75</v>
          </cell>
          <cell r="CF228">
            <v>19.75</v>
          </cell>
          <cell r="CG228">
            <v>20.25</v>
          </cell>
          <cell r="CH228">
            <v>20.75</v>
          </cell>
          <cell r="CI228">
            <v>21.25</v>
          </cell>
          <cell r="CJ228">
            <v>21.25</v>
          </cell>
          <cell r="CK228">
            <v>21.25</v>
          </cell>
          <cell r="CL228">
            <v>21.25</v>
          </cell>
          <cell r="CM228">
            <v>21.25</v>
          </cell>
          <cell r="CN228">
            <v>21.25</v>
          </cell>
          <cell r="CO228">
            <v>21.25</v>
          </cell>
          <cell r="CP228">
            <v>20.5</v>
          </cell>
          <cell r="CQ228">
            <v>19.5</v>
          </cell>
          <cell r="CR228">
            <v>18.75</v>
          </cell>
          <cell r="CS228">
            <v>18</v>
          </cell>
          <cell r="CT228">
            <v>17.25</v>
          </cell>
          <cell r="CU228">
            <v>16.25</v>
          </cell>
          <cell r="CV228">
            <v>15.25</v>
          </cell>
          <cell r="CW228">
            <v>14.75</v>
          </cell>
          <cell r="CX228">
            <v>14.25</v>
          </cell>
          <cell r="CY228">
            <v>14</v>
          </cell>
          <cell r="CZ228">
            <v>14</v>
          </cell>
          <cell r="DA228">
            <v>13.5</v>
          </cell>
          <cell r="DB228">
            <v>13.5</v>
          </cell>
          <cell r="DC228">
            <v>13</v>
          </cell>
          <cell r="DD228">
            <v>12.75</v>
          </cell>
          <cell r="DE228">
            <v>12.5</v>
          </cell>
          <cell r="DF228">
            <v>20.5</v>
          </cell>
          <cell r="DG228">
            <v>19.5</v>
          </cell>
          <cell r="DH228">
            <v>18.75</v>
          </cell>
          <cell r="DI228">
            <v>18</v>
          </cell>
          <cell r="DJ228">
            <v>17.25</v>
          </cell>
          <cell r="DK228">
            <v>16.25</v>
          </cell>
          <cell r="DL228">
            <v>15.25</v>
          </cell>
          <cell r="DM228">
            <v>14.75</v>
          </cell>
          <cell r="DN228">
            <v>14.25</v>
          </cell>
          <cell r="DO228">
            <v>14</v>
          </cell>
          <cell r="DP228">
            <v>14</v>
          </cell>
          <cell r="DQ228">
            <v>13.5</v>
          </cell>
          <cell r="DR228">
            <v>13.5</v>
          </cell>
          <cell r="DS228">
            <v>13</v>
          </cell>
          <cell r="DT228">
            <v>12.75</v>
          </cell>
          <cell r="DU228">
            <v>12.5</v>
          </cell>
        </row>
        <row r="229">
          <cell r="F229" t="str">
            <v xml:space="preserve">Propylene cost </v>
          </cell>
          <cell r="H229">
            <v>15.400000000000002</v>
          </cell>
          <cell r="I229">
            <v>15.950000000000001</v>
          </cell>
          <cell r="J229">
            <v>18.150000000000002</v>
          </cell>
          <cell r="K229">
            <v>21.450000000000003</v>
          </cell>
          <cell r="L229">
            <v>24.750000000000004</v>
          </cell>
          <cell r="M229">
            <v>24.750000000000004</v>
          </cell>
          <cell r="N229">
            <v>23.650000000000002</v>
          </cell>
          <cell r="O229">
            <v>22</v>
          </cell>
          <cell r="P229">
            <v>20.900000000000002</v>
          </cell>
          <cell r="Q229">
            <v>19.8</v>
          </cell>
          <cell r="R229">
            <v>18.700000000000003</v>
          </cell>
          <cell r="S229">
            <v>17.600000000000001</v>
          </cell>
          <cell r="T229">
            <v>15.950000000000001</v>
          </cell>
          <cell r="U229">
            <v>15.950000000000001</v>
          </cell>
          <cell r="V229">
            <v>15.950000000000001</v>
          </cell>
          <cell r="W229">
            <v>15.950000000000001</v>
          </cell>
          <cell r="X229">
            <v>15.950000000000001</v>
          </cell>
          <cell r="Y229">
            <v>15.950000000000001</v>
          </cell>
          <cell r="Z229">
            <v>17.05</v>
          </cell>
          <cell r="AA229">
            <v>15.950000000000001</v>
          </cell>
          <cell r="AB229">
            <v>15.950000000000001</v>
          </cell>
          <cell r="AC229">
            <v>15.950000000000001</v>
          </cell>
          <cell r="AD229">
            <v>16.5</v>
          </cell>
          <cell r="AE229">
            <v>16.775000000000002</v>
          </cell>
          <cell r="AF229">
            <v>17.05</v>
          </cell>
          <cell r="AG229">
            <v>16.775000000000002</v>
          </cell>
          <cell r="AH229">
            <v>16.5</v>
          </cell>
          <cell r="AI229">
            <v>15.950000000000001</v>
          </cell>
          <cell r="AJ229">
            <v>15.400000000000002</v>
          </cell>
          <cell r="AK229">
            <v>15.125000000000002</v>
          </cell>
          <cell r="AL229">
            <v>15.125000000000002</v>
          </cell>
          <cell r="AM229">
            <v>15.125000000000002</v>
          </cell>
          <cell r="AN229">
            <v>15.125000000000002</v>
          </cell>
          <cell r="AO229">
            <v>15.400000000000002</v>
          </cell>
          <cell r="AP229">
            <v>15.675000000000001</v>
          </cell>
          <cell r="AQ229">
            <v>15.675000000000001</v>
          </cell>
          <cell r="AR229">
            <v>15.675000000000001</v>
          </cell>
          <cell r="AS229">
            <v>15.125000000000002</v>
          </cell>
          <cell r="AT229">
            <v>14.850000000000001</v>
          </cell>
          <cell r="AU229">
            <v>14.575000000000001</v>
          </cell>
          <cell r="AV229">
            <v>14.3</v>
          </cell>
          <cell r="AW229">
            <v>14.025</v>
          </cell>
          <cell r="AX229">
            <v>14.025</v>
          </cell>
          <cell r="AY229">
            <v>14.025</v>
          </cell>
          <cell r="AZ229">
            <v>14.575000000000001</v>
          </cell>
          <cell r="BA229">
            <v>15.125000000000002</v>
          </cell>
          <cell r="BB229">
            <v>15.675000000000001</v>
          </cell>
          <cell r="BC229">
            <v>16.775000000000002</v>
          </cell>
          <cell r="BD229">
            <v>17.325000000000003</v>
          </cell>
          <cell r="BE229">
            <v>18.425000000000001</v>
          </cell>
          <cell r="BF229">
            <v>19.525000000000002</v>
          </cell>
          <cell r="BG229">
            <v>20.625</v>
          </cell>
          <cell r="BH229">
            <v>21.725000000000001</v>
          </cell>
          <cell r="BI229">
            <v>22.825000000000003</v>
          </cell>
          <cell r="BJ229">
            <v>23.925000000000001</v>
          </cell>
          <cell r="BK229">
            <v>25.025000000000002</v>
          </cell>
          <cell r="BL229">
            <v>26.125000000000004</v>
          </cell>
          <cell r="BM229">
            <v>27.225000000000001</v>
          </cell>
          <cell r="BN229">
            <v>27.225000000000001</v>
          </cell>
          <cell r="BO229">
            <v>27.225000000000001</v>
          </cell>
          <cell r="BP229">
            <v>27.225000000000001</v>
          </cell>
          <cell r="BQ229">
            <v>26.125000000000004</v>
          </cell>
          <cell r="BR229">
            <v>23.925000000000001</v>
          </cell>
          <cell r="BS229">
            <v>22.275000000000002</v>
          </cell>
          <cell r="BT229">
            <v>20.625</v>
          </cell>
          <cell r="BU229">
            <v>19.525000000000002</v>
          </cell>
          <cell r="BV229">
            <v>18.425000000000001</v>
          </cell>
          <cell r="BW229">
            <v>18.425000000000001</v>
          </cell>
          <cell r="BX229">
            <v>18.425000000000001</v>
          </cell>
          <cell r="BY229">
            <v>19.525000000000002</v>
          </cell>
          <cell r="BZ229">
            <v>20.625</v>
          </cell>
          <cell r="CA229">
            <v>21.175000000000001</v>
          </cell>
          <cell r="CB229">
            <v>21.175000000000001</v>
          </cell>
          <cell r="CC229">
            <v>21.725000000000001</v>
          </cell>
          <cell r="CD229">
            <v>21.725000000000001</v>
          </cell>
          <cell r="CE229">
            <v>21.725000000000001</v>
          </cell>
          <cell r="CF229">
            <v>21.725000000000001</v>
          </cell>
          <cell r="CG229">
            <v>22.275000000000002</v>
          </cell>
          <cell r="CH229">
            <v>22.825000000000003</v>
          </cell>
          <cell r="CI229">
            <v>23.375000000000004</v>
          </cell>
          <cell r="CJ229">
            <v>23.375000000000004</v>
          </cell>
          <cell r="CK229">
            <v>23.375000000000004</v>
          </cell>
          <cell r="CL229">
            <v>23.375000000000004</v>
          </cell>
          <cell r="CM229">
            <v>23.375000000000004</v>
          </cell>
          <cell r="CN229">
            <v>23.375000000000004</v>
          </cell>
          <cell r="CO229">
            <v>23.375000000000004</v>
          </cell>
          <cell r="CP229">
            <v>22.55</v>
          </cell>
          <cell r="CQ229">
            <v>21.450000000000003</v>
          </cell>
          <cell r="CR229">
            <v>20.625</v>
          </cell>
          <cell r="CS229">
            <v>19.8</v>
          </cell>
          <cell r="CT229">
            <v>18.975000000000001</v>
          </cell>
          <cell r="CU229">
            <v>17.875</v>
          </cell>
          <cell r="CV229">
            <v>16.775000000000002</v>
          </cell>
          <cell r="CW229">
            <v>16.225000000000001</v>
          </cell>
          <cell r="CX229">
            <v>15.675000000000001</v>
          </cell>
          <cell r="CY229">
            <v>15.400000000000002</v>
          </cell>
          <cell r="CZ229">
            <v>15.400000000000002</v>
          </cell>
          <cell r="DA229">
            <v>14.850000000000001</v>
          </cell>
          <cell r="DB229">
            <v>14.850000000000001</v>
          </cell>
          <cell r="DC229">
            <v>14.3</v>
          </cell>
          <cell r="DD229">
            <v>14.025</v>
          </cell>
          <cell r="DE229">
            <v>13.750000000000002</v>
          </cell>
          <cell r="DF229">
            <v>22.55</v>
          </cell>
          <cell r="DG229">
            <v>21.450000000000003</v>
          </cell>
          <cell r="DH229">
            <v>20.625</v>
          </cell>
          <cell r="DI229">
            <v>19.8</v>
          </cell>
          <cell r="DJ229">
            <v>18.975000000000001</v>
          </cell>
          <cell r="DK229">
            <v>17.875</v>
          </cell>
          <cell r="DL229">
            <v>16.775000000000002</v>
          </cell>
          <cell r="DM229">
            <v>16.225000000000001</v>
          </cell>
          <cell r="DN229">
            <v>15.675000000000001</v>
          </cell>
          <cell r="DO229">
            <v>15.400000000000002</v>
          </cell>
          <cell r="DP229">
            <v>15.400000000000002</v>
          </cell>
          <cell r="DQ229">
            <v>14.850000000000001</v>
          </cell>
          <cell r="DR229">
            <v>14.850000000000001</v>
          </cell>
          <cell r="DS229">
            <v>14.3</v>
          </cell>
          <cell r="DT229">
            <v>14.025</v>
          </cell>
          <cell r="DU229">
            <v>13.750000000000002</v>
          </cell>
        </row>
        <row r="231">
          <cell r="F231" t="str">
            <v>Spread</v>
          </cell>
          <cell r="H231">
            <v>22.599999999999998</v>
          </cell>
          <cell r="I231">
            <v>22.049999999999997</v>
          </cell>
          <cell r="J231">
            <v>21.849999999999998</v>
          </cell>
          <cell r="K231">
            <v>19.549999999999997</v>
          </cell>
          <cell r="L231">
            <v>17.249999999999996</v>
          </cell>
          <cell r="M231">
            <v>18.249999999999996</v>
          </cell>
          <cell r="N231">
            <v>17.349999999999998</v>
          </cell>
          <cell r="O231">
            <v>18</v>
          </cell>
          <cell r="P231">
            <v>18.099999999999998</v>
          </cell>
          <cell r="Q231">
            <v>18.2</v>
          </cell>
          <cell r="R231">
            <v>17.299999999999997</v>
          </cell>
          <cell r="S231">
            <v>16.399999999999999</v>
          </cell>
          <cell r="T231">
            <v>15.549999999999999</v>
          </cell>
          <cell r="U231">
            <v>15.549999999999999</v>
          </cell>
          <cell r="V231">
            <v>15.549999999999999</v>
          </cell>
          <cell r="W231">
            <v>16.549999999999997</v>
          </cell>
          <cell r="X231">
            <v>16.549999999999997</v>
          </cell>
          <cell r="Y231">
            <v>16.549999999999997</v>
          </cell>
          <cell r="Z231">
            <v>15.95</v>
          </cell>
          <cell r="AA231">
            <v>16.549999999999997</v>
          </cell>
          <cell r="AB231">
            <v>16.049999999999997</v>
          </cell>
          <cell r="AC231">
            <v>16.049999999999997</v>
          </cell>
          <cell r="AD231">
            <v>15.5</v>
          </cell>
          <cell r="AE231">
            <v>16.224999999999998</v>
          </cell>
          <cell r="AF231">
            <v>15.95</v>
          </cell>
          <cell r="AG231">
            <v>15.724999999999998</v>
          </cell>
          <cell r="AH231">
            <v>15</v>
          </cell>
          <cell r="AI231">
            <v>14.549999999999999</v>
          </cell>
          <cell r="AJ231">
            <v>12.599999999999998</v>
          </cell>
          <cell r="AK231">
            <v>12.374999999999998</v>
          </cell>
          <cell r="AL231">
            <v>11.874999999999998</v>
          </cell>
          <cell r="AM231">
            <v>11.374999999999998</v>
          </cell>
          <cell r="AN231">
            <v>10.874999999999998</v>
          </cell>
          <cell r="AO231">
            <v>10.599999999999998</v>
          </cell>
          <cell r="AP231">
            <v>10.324999999999999</v>
          </cell>
          <cell r="AQ231">
            <v>10.824999999999999</v>
          </cell>
          <cell r="AR231">
            <v>11.324999999999999</v>
          </cell>
          <cell r="AS231">
            <v>11.874999999999998</v>
          </cell>
          <cell r="AT231">
            <v>12.149999999999999</v>
          </cell>
          <cell r="AU231">
            <v>12.424999999999999</v>
          </cell>
          <cell r="AV231">
            <v>12.7</v>
          </cell>
          <cell r="AW231">
            <v>12.975</v>
          </cell>
          <cell r="AX231">
            <v>12.975</v>
          </cell>
          <cell r="AY231">
            <v>12.975</v>
          </cell>
          <cell r="AZ231">
            <v>12.424999999999999</v>
          </cell>
          <cell r="BA231">
            <v>14.374999999999998</v>
          </cell>
          <cell r="BB231">
            <v>14.324999999999999</v>
          </cell>
          <cell r="BC231">
            <v>14.224999999999998</v>
          </cell>
          <cell r="BD231">
            <v>14.674999999999997</v>
          </cell>
          <cell r="BE231">
            <v>14.574999999999999</v>
          </cell>
          <cell r="BF231">
            <v>14.474999999999998</v>
          </cell>
          <cell r="BG231">
            <v>15.375</v>
          </cell>
          <cell r="BH231">
            <v>16.274999999999999</v>
          </cell>
          <cell r="BI231">
            <v>17.174999999999997</v>
          </cell>
          <cell r="BJ231">
            <v>18.074999999999999</v>
          </cell>
          <cell r="BK231">
            <v>16.974999999999998</v>
          </cell>
          <cell r="BL231">
            <v>16.874999999999996</v>
          </cell>
          <cell r="BM231">
            <v>17.774999999999999</v>
          </cell>
          <cell r="BN231">
            <v>18.774999999999999</v>
          </cell>
          <cell r="BO231">
            <v>18.774999999999999</v>
          </cell>
          <cell r="BP231">
            <v>17.774999999999999</v>
          </cell>
          <cell r="BQ231">
            <v>16.874999999999996</v>
          </cell>
          <cell r="BR231">
            <v>17.074999999999999</v>
          </cell>
          <cell r="BS231">
            <v>16.724999999999998</v>
          </cell>
          <cell r="BT231">
            <v>16.375</v>
          </cell>
          <cell r="BU231">
            <v>15.474999999999998</v>
          </cell>
          <cell r="BV231">
            <v>15.574999999999999</v>
          </cell>
          <cell r="BW231">
            <v>14.574999999999999</v>
          </cell>
          <cell r="BX231">
            <v>20.574999999999999</v>
          </cell>
          <cell r="BY231">
            <v>20.474999999999998</v>
          </cell>
          <cell r="BZ231">
            <v>20.375</v>
          </cell>
          <cell r="CA231">
            <v>19.824999999999999</v>
          </cell>
          <cell r="CB231">
            <v>18.824999999999999</v>
          </cell>
          <cell r="CC231">
            <v>19.274999999999999</v>
          </cell>
          <cell r="CD231">
            <v>19.274999999999999</v>
          </cell>
          <cell r="CE231">
            <v>19.274999999999999</v>
          </cell>
          <cell r="CF231">
            <v>17.274999999999999</v>
          </cell>
          <cell r="CG231">
            <v>14.724999999999998</v>
          </cell>
          <cell r="CH231">
            <v>14.174999999999997</v>
          </cell>
          <cell r="CI231">
            <v>13.624999999999996</v>
          </cell>
          <cell r="CJ231">
            <v>13.624999999999996</v>
          </cell>
          <cell r="CK231">
            <v>14.624999999999996</v>
          </cell>
          <cell r="CL231">
            <v>14.624999999999996</v>
          </cell>
          <cell r="CM231">
            <v>14.624999999999996</v>
          </cell>
          <cell r="CN231">
            <v>12.624999999999996</v>
          </cell>
          <cell r="CO231">
            <v>11.624999999999996</v>
          </cell>
          <cell r="CP231">
            <v>11.45</v>
          </cell>
          <cell r="CQ231">
            <v>11.549999999999997</v>
          </cell>
          <cell r="CR231">
            <v>11.375</v>
          </cell>
          <cell r="CS231">
            <v>11.2</v>
          </cell>
          <cell r="CT231">
            <v>11.024999999999999</v>
          </cell>
          <cell r="CU231">
            <v>11.125</v>
          </cell>
          <cell r="CV231">
            <v>12.224999999999998</v>
          </cell>
          <cell r="CW231">
            <v>11.774999999999999</v>
          </cell>
          <cell r="CX231">
            <v>11.324999999999999</v>
          </cell>
          <cell r="CY231">
            <v>10.599999999999998</v>
          </cell>
          <cell r="CZ231">
            <v>9.5999999999999979</v>
          </cell>
          <cell r="DA231">
            <v>9.1499999999999986</v>
          </cell>
          <cell r="DB231">
            <v>9.1499999999999986</v>
          </cell>
          <cell r="DC231">
            <v>9.6999999999999993</v>
          </cell>
          <cell r="DD231">
            <v>8.9749999999999996</v>
          </cell>
          <cell r="DE231">
            <v>9.2499999999999982</v>
          </cell>
          <cell r="DF231">
            <v>11.45</v>
          </cell>
          <cell r="DG231">
            <v>11.549999999999997</v>
          </cell>
          <cell r="DH231">
            <v>11.375</v>
          </cell>
          <cell r="DI231">
            <v>11.2</v>
          </cell>
          <cell r="DJ231">
            <v>11.024999999999999</v>
          </cell>
          <cell r="DK231">
            <v>11.125</v>
          </cell>
          <cell r="DL231">
            <v>12.224999999999998</v>
          </cell>
          <cell r="DM231">
            <v>11.774999999999999</v>
          </cell>
          <cell r="DN231">
            <v>11.324999999999999</v>
          </cell>
          <cell r="DO231">
            <v>10.599999999999998</v>
          </cell>
          <cell r="DP231">
            <v>9.5999999999999979</v>
          </cell>
          <cell r="DQ231">
            <v>9.1499999999999986</v>
          </cell>
          <cell r="DR231">
            <v>9.1499999999999986</v>
          </cell>
          <cell r="DS231">
            <v>9.6999999999999993</v>
          </cell>
          <cell r="DT231">
            <v>8.9749999999999996</v>
          </cell>
          <cell r="DU231">
            <v>9.2499999999999982</v>
          </cell>
        </row>
        <row r="233">
          <cell r="F233" t="str">
            <v>(1) Molding grade.</v>
          </cell>
        </row>
        <row r="234">
          <cell r="F234" t="str">
            <v>(2) Polymer grade.</v>
          </cell>
        </row>
        <row r="235">
          <cell r="F235" t="str">
            <v>(3) Assumes 1.1 lbs. of propylene per lb. of polypropylene.</v>
          </cell>
        </row>
        <row r="237">
          <cell r="F237" t="str">
            <v>PS/Styrene  Cost Spread</v>
          </cell>
        </row>
        <row r="239">
          <cell r="H239">
            <v>33055</v>
          </cell>
          <cell r="I239">
            <v>33086</v>
          </cell>
          <cell r="J239">
            <v>33117</v>
          </cell>
          <cell r="K239">
            <v>33147</v>
          </cell>
          <cell r="L239">
            <v>33178</v>
          </cell>
          <cell r="M239">
            <v>33208</v>
          </cell>
          <cell r="N239">
            <v>33239</v>
          </cell>
          <cell r="O239">
            <v>33270</v>
          </cell>
          <cell r="P239">
            <v>33298</v>
          </cell>
          <cell r="Q239">
            <v>33329</v>
          </cell>
          <cell r="R239">
            <v>33359</v>
          </cell>
          <cell r="S239">
            <v>33390</v>
          </cell>
          <cell r="T239">
            <v>33420</v>
          </cell>
          <cell r="U239">
            <v>33451</v>
          </cell>
          <cell r="V239">
            <v>33482</v>
          </cell>
          <cell r="W239">
            <v>33512</v>
          </cell>
          <cell r="X239">
            <v>33543</v>
          </cell>
          <cell r="Y239">
            <v>33573</v>
          </cell>
          <cell r="Z239">
            <v>33604</v>
          </cell>
          <cell r="AA239">
            <v>33635</v>
          </cell>
          <cell r="AB239">
            <v>33664</v>
          </cell>
          <cell r="AC239">
            <v>33695</v>
          </cell>
          <cell r="AD239">
            <v>33725</v>
          </cell>
          <cell r="AE239">
            <v>33756</v>
          </cell>
          <cell r="AF239">
            <v>33786</v>
          </cell>
          <cell r="AG239">
            <v>33817</v>
          </cell>
          <cell r="AH239">
            <v>33848</v>
          </cell>
          <cell r="AI239">
            <v>33878</v>
          </cell>
          <cell r="AJ239">
            <v>33909</v>
          </cell>
          <cell r="AK239">
            <v>33939</v>
          </cell>
          <cell r="AL239">
            <v>33970</v>
          </cell>
          <cell r="AM239">
            <v>34001</v>
          </cell>
          <cell r="AN239">
            <v>34029</v>
          </cell>
          <cell r="AO239">
            <v>34060</v>
          </cell>
          <cell r="AP239">
            <v>34090</v>
          </cell>
          <cell r="AQ239">
            <v>34121</v>
          </cell>
          <cell r="AR239">
            <v>34151</v>
          </cell>
          <cell r="AS239">
            <v>34182</v>
          </cell>
          <cell r="AT239">
            <v>34213</v>
          </cell>
          <cell r="AU239">
            <v>34243</v>
          </cell>
          <cell r="AV239">
            <v>34274</v>
          </cell>
          <cell r="AW239">
            <v>34304</v>
          </cell>
          <cell r="AX239">
            <v>34335</v>
          </cell>
          <cell r="AY239">
            <v>34366</v>
          </cell>
          <cell r="AZ239">
            <v>34394</v>
          </cell>
          <cell r="BA239">
            <v>34425</v>
          </cell>
          <cell r="BB239">
            <v>34455</v>
          </cell>
          <cell r="BC239">
            <v>34486</v>
          </cell>
          <cell r="BD239">
            <v>34516</v>
          </cell>
          <cell r="BE239">
            <v>34547</v>
          </cell>
          <cell r="BF239">
            <v>34578</v>
          </cell>
          <cell r="BG239">
            <v>34608</v>
          </cell>
          <cell r="BH239">
            <v>34639</v>
          </cell>
          <cell r="BI239">
            <v>34669</v>
          </cell>
          <cell r="BJ239">
            <v>34700</v>
          </cell>
          <cell r="BK239">
            <v>34731</v>
          </cell>
          <cell r="BL239">
            <v>34759</v>
          </cell>
          <cell r="BM239">
            <v>34790</v>
          </cell>
          <cell r="BN239">
            <v>34820</v>
          </cell>
          <cell r="BO239">
            <v>34851</v>
          </cell>
          <cell r="BP239">
            <v>34881</v>
          </cell>
          <cell r="BQ239">
            <v>34912</v>
          </cell>
          <cell r="BR239">
            <v>34943</v>
          </cell>
          <cell r="BS239">
            <v>34973</v>
          </cell>
          <cell r="BT239">
            <v>35004</v>
          </cell>
          <cell r="BU239">
            <v>35034</v>
          </cell>
          <cell r="BV239">
            <v>35065</v>
          </cell>
          <cell r="BW239">
            <v>35096</v>
          </cell>
          <cell r="BX239">
            <v>35125</v>
          </cell>
          <cell r="BY239">
            <v>35156</v>
          </cell>
          <cell r="BZ239">
            <v>35186</v>
          </cell>
          <cell r="CA239">
            <v>35217</v>
          </cell>
          <cell r="CB239">
            <v>35247</v>
          </cell>
          <cell r="CC239">
            <v>35278</v>
          </cell>
          <cell r="CD239">
            <v>35309</v>
          </cell>
          <cell r="CE239">
            <v>35339</v>
          </cell>
          <cell r="CF239">
            <v>35370</v>
          </cell>
          <cell r="CG239">
            <v>35400</v>
          </cell>
          <cell r="CH239">
            <v>35431</v>
          </cell>
          <cell r="CI239">
            <v>35462</v>
          </cell>
          <cell r="CJ239">
            <v>35490</v>
          </cell>
          <cell r="CK239">
            <v>35521</v>
          </cell>
          <cell r="CL239">
            <v>35551</v>
          </cell>
          <cell r="CM239">
            <v>35582</v>
          </cell>
          <cell r="CN239">
            <v>35612</v>
          </cell>
          <cell r="CO239">
            <v>35643</v>
          </cell>
          <cell r="CP239">
            <v>35674</v>
          </cell>
          <cell r="CQ239">
            <v>35704</v>
          </cell>
          <cell r="CR239">
            <v>35735</v>
          </cell>
          <cell r="CS239">
            <v>35765</v>
          </cell>
          <cell r="CT239">
            <v>35796</v>
          </cell>
          <cell r="CU239">
            <v>35827</v>
          </cell>
          <cell r="CV239">
            <v>35855</v>
          </cell>
          <cell r="CW239">
            <v>35886</v>
          </cell>
          <cell r="CX239">
            <v>35916</v>
          </cell>
          <cell r="CY239">
            <v>35947</v>
          </cell>
          <cell r="CZ239">
            <v>35977</v>
          </cell>
          <cell r="DA239">
            <v>36008</v>
          </cell>
          <cell r="DB239">
            <v>36039</v>
          </cell>
          <cell r="DC239">
            <v>36069</v>
          </cell>
          <cell r="DD239">
            <v>36100</v>
          </cell>
          <cell r="DE239">
            <v>36130</v>
          </cell>
          <cell r="DF239">
            <v>35674</v>
          </cell>
          <cell r="DG239">
            <v>35704</v>
          </cell>
          <cell r="DH239">
            <v>35735</v>
          </cell>
          <cell r="DI239">
            <v>35765</v>
          </cell>
          <cell r="DJ239">
            <v>35796</v>
          </cell>
          <cell r="DK239">
            <v>35827</v>
          </cell>
          <cell r="DL239">
            <v>35855</v>
          </cell>
          <cell r="DM239">
            <v>35886</v>
          </cell>
          <cell r="DN239">
            <v>35916</v>
          </cell>
          <cell r="DO239">
            <v>35947</v>
          </cell>
          <cell r="DP239">
            <v>35977</v>
          </cell>
          <cell r="DQ239">
            <v>36008</v>
          </cell>
          <cell r="DR239">
            <v>36039</v>
          </cell>
          <cell r="DS239">
            <v>36069</v>
          </cell>
          <cell r="DT239">
            <v>36100</v>
          </cell>
          <cell r="DU239">
            <v>36130</v>
          </cell>
        </row>
        <row r="240">
          <cell r="F240" t="str">
            <v>Polystyrene price</v>
          </cell>
          <cell r="H240">
            <v>44</v>
          </cell>
          <cell r="I240">
            <v>44.45</v>
          </cell>
          <cell r="J240">
            <v>46.43</v>
          </cell>
          <cell r="K240">
            <v>48.8</v>
          </cell>
          <cell r="L240">
            <v>52.46</v>
          </cell>
          <cell r="M240">
            <v>52.46</v>
          </cell>
          <cell r="N240">
            <v>50.74</v>
          </cell>
          <cell r="O240">
            <v>47.14</v>
          </cell>
          <cell r="P240">
            <v>42.95</v>
          </cell>
          <cell r="Q240">
            <v>39.96</v>
          </cell>
          <cell r="R240">
            <v>37.11</v>
          </cell>
          <cell r="S240">
            <v>35.619999999999997</v>
          </cell>
          <cell r="T240">
            <v>34.869999999999997</v>
          </cell>
          <cell r="U240">
            <v>34.42</v>
          </cell>
          <cell r="V240">
            <v>34.42</v>
          </cell>
          <cell r="W240">
            <v>34.950000000000003</v>
          </cell>
          <cell r="X240">
            <v>35.47</v>
          </cell>
          <cell r="Y240">
            <v>36.22</v>
          </cell>
          <cell r="Z240">
            <v>35.47</v>
          </cell>
          <cell r="AA240">
            <v>34.57</v>
          </cell>
          <cell r="AB240">
            <v>34.270000000000003</v>
          </cell>
          <cell r="AC240">
            <v>34.270000000000003</v>
          </cell>
          <cell r="AD240">
            <v>35.17</v>
          </cell>
          <cell r="AE240">
            <v>35.99</v>
          </cell>
          <cell r="AF240">
            <v>37.49</v>
          </cell>
          <cell r="AG240">
            <v>37.64</v>
          </cell>
          <cell r="AH240">
            <v>36.89</v>
          </cell>
          <cell r="AI240">
            <v>36.14</v>
          </cell>
          <cell r="AJ240">
            <v>35.770000000000003</v>
          </cell>
          <cell r="AK240">
            <v>35.770000000000003</v>
          </cell>
          <cell r="AL240">
            <v>35.39</v>
          </cell>
          <cell r="AM240">
            <v>35.090000000000003</v>
          </cell>
          <cell r="AN240">
            <v>35.24</v>
          </cell>
          <cell r="AO240">
            <v>35.99</v>
          </cell>
          <cell r="AP240">
            <v>35.99</v>
          </cell>
          <cell r="AQ240">
            <v>36.14</v>
          </cell>
          <cell r="AR240">
            <v>36.22</v>
          </cell>
          <cell r="AS240">
            <v>36.22</v>
          </cell>
          <cell r="AT240">
            <v>36.03</v>
          </cell>
          <cell r="AU240">
            <v>35.43</v>
          </cell>
          <cell r="AV240">
            <v>35.17</v>
          </cell>
          <cell r="AW240">
            <v>35.17</v>
          </cell>
          <cell r="AX240">
            <v>33.99</v>
          </cell>
          <cell r="AY240">
            <v>33.99</v>
          </cell>
          <cell r="AZ240">
            <v>34.14</v>
          </cell>
          <cell r="BA240">
            <v>36.770000000000003</v>
          </cell>
          <cell r="BB240">
            <v>37.43</v>
          </cell>
          <cell r="BC240">
            <v>37.65</v>
          </cell>
          <cell r="BD240">
            <v>39.17</v>
          </cell>
          <cell r="BE240">
            <v>39.32</v>
          </cell>
          <cell r="BF240">
            <v>42.51</v>
          </cell>
          <cell r="BG240">
            <v>47.97</v>
          </cell>
          <cell r="BH240">
            <v>47.97</v>
          </cell>
          <cell r="BI240">
            <v>47.75</v>
          </cell>
          <cell r="BJ240">
            <v>48.05</v>
          </cell>
          <cell r="BK240">
            <v>48.35</v>
          </cell>
          <cell r="BL240">
            <v>51.24</v>
          </cell>
          <cell r="BM240">
            <v>51.54</v>
          </cell>
          <cell r="BN240">
            <v>51.84</v>
          </cell>
          <cell r="BO240">
            <v>51.84</v>
          </cell>
          <cell r="BP240">
            <v>51.39</v>
          </cell>
          <cell r="BQ240">
            <v>48.59</v>
          </cell>
          <cell r="BR240">
            <v>45.65</v>
          </cell>
          <cell r="BS240">
            <v>43.33</v>
          </cell>
          <cell r="BT240">
            <v>40.29</v>
          </cell>
          <cell r="BU240">
            <v>38.700000000000003</v>
          </cell>
          <cell r="BV240">
            <v>37.159999999999997</v>
          </cell>
          <cell r="BW240">
            <v>35.619999999999997</v>
          </cell>
          <cell r="BX240">
            <v>36.22</v>
          </cell>
          <cell r="BY240">
            <v>37.76</v>
          </cell>
          <cell r="BZ240">
            <v>38.06</v>
          </cell>
          <cell r="CA240">
            <v>38.06</v>
          </cell>
          <cell r="CB240">
            <v>37.76</v>
          </cell>
          <cell r="CC240">
            <v>37.46</v>
          </cell>
          <cell r="CD240">
            <v>37.46</v>
          </cell>
          <cell r="CE240">
            <v>35.92</v>
          </cell>
          <cell r="CF240">
            <v>34.520000000000003</v>
          </cell>
          <cell r="CG240">
            <v>33.880000000000003</v>
          </cell>
          <cell r="CH240">
            <v>35.08</v>
          </cell>
          <cell r="CI240">
            <v>35.229999999999997</v>
          </cell>
          <cell r="CJ240">
            <v>35.08</v>
          </cell>
          <cell r="CK240">
            <v>34.06</v>
          </cell>
          <cell r="CL240">
            <v>34.06</v>
          </cell>
          <cell r="CM240">
            <v>33.340000000000003</v>
          </cell>
          <cell r="CN240">
            <v>33.340000000000003</v>
          </cell>
          <cell r="CO240">
            <v>33.340000000000003</v>
          </cell>
          <cell r="CP240">
            <v>33.340000000000003</v>
          </cell>
          <cell r="CQ240">
            <v>32.47</v>
          </cell>
          <cell r="CR240">
            <v>32.47</v>
          </cell>
          <cell r="CS240">
            <v>32.32</v>
          </cell>
          <cell r="CT240">
            <v>31.34</v>
          </cell>
          <cell r="CU240">
            <v>33.729999999999997</v>
          </cell>
          <cell r="CV240">
            <v>33.729999999999997</v>
          </cell>
          <cell r="CW240">
            <v>33.58</v>
          </cell>
          <cell r="CX240">
            <v>32.880000000000003</v>
          </cell>
          <cell r="CY240">
            <v>31.34</v>
          </cell>
          <cell r="CZ240">
            <v>31.34</v>
          </cell>
          <cell r="DA240">
            <v>31.34</v>
          </cell>
          <cell r="DB240">
            <v>30.49</v>
          </cell>
          <cell r="DC240">
            <v>30.49</v>
          </cell>
          <cell r="DD240">
            <v>30.49</v>
          </cell>
          <cell r="DE240">
            <v>30.49</v>
          </cell>
          <cell r="DF240">
            <v>33.340000000000003</v>
          </cell>
          <cell r="DG240">
            <v>32.47</v>
          </cell>
          <cell r="DH240">
            <v>32.47</v>
          </cell>
          <cell r="DI240">
            <v>32.32</v>
          </cell>
          <cell r="DJ240">
            <v>31.34</v>
          </cell>
          <cell r="DK240">
            <v>33.729999999999997</v>
          </cell>
          <cell r="DL240">
            <v>33.729999999999997</v>
          </cell>
          <cell r="DM240">
            <v>33.58</v>
          </cell>
          <cell r="DN240">
            <v>32.880000000000003</v>
          </cell>
          <cell r="DO240">
            <v>31.34</v>
          </cell>
          <cell r="DP240">
            <v>31.34</v>
          </cell>
          <cell r="DQ240">
            <v>31.34</v>
          </cell>
          <cell r="DR240">
            <v>30.49</v>
          </cell>
          <cell r="DS240">
            <v>30.49</v>
          </cell>
          <cell r="DT240">
            <v>30.49</v>
          </cell>
          <cell r="DU240">
            <v>30.49</v>
          </cell>
        </row>
        <row r="242">
          <cell r="F242" t="str">
            <v>Benzene</v>
          </cell>
          <cell r="H242">
            <v>14.56</v>
          </cell>
          <cell r="I242">
            <v>14.56</v>
          </cell>
          <cell r="J242">
            <v>19.04</v>
          </cell>
          <cell r="K242">
            <v>22.400000000000002</v>
          </cell>
          <cell r="L242">
            <v>22.400000000000002</v>
          </cell>
          <cell r="M242">
            <v>16.8</v>
          </cell>
          <cell r="N242">
            <v>16.8</v>
          </cell>
          <cell r="O242">
            <v>16.240000000000002</v>
          </cell>
          <cell r="P242">
            <v>12.32</v>
          </cell>
          <cell r="Q242">
            <v>12.32</v>
          </cell>
          <cell r="R242">
            <v>12.375999999999999</v>
          </cell>
          <cell r="S242">
            <v>12.32</v>
          </cell>
          <cell r="T242">
            <v>11.76</v>
          </cell>
          <cell r="U242">
            <v>12.32</v>
          </cell>
          <cell r="V242">
            <v>14</v>
          </cell>
          <cell r="W242">
            <v>14.56</v>
          </cell>
          <cell r="X242">
            <v>14.56</v>
          </cell>
          <cell r="Y242">
            <v>14.56</v>
          </cell>
          <cell r="Z242">
            <v>12.32</v>
          </cell>
          <cell r="AA242">
            <v>11.76</v>
          </cell>
          <cell r="AB242">
            <v>12.32</v>
          </cell>
          <cell r="AC242">
            <v>12.88</v>
          </cell>
          <cell r="AD242">
            <v>13.44</v>
          </cell>
          <cell r="AE242">
            <v>13.44</v>
          </cell>
          <cell r="AF242">
            <v>14.56</v>
          </cell>
          <cell r="AG242">
            <v>13.44</v>
          </cell>
          <cell r="AH242">
            <v>12.32</v>
          </cell>
          <cell r="AI242">
            <v>10.08</v>
          </cell>
          <cell r="AJ242">
            <v>11.200000000000001</v>
          </cell>
          <cell r="AK242">
            <v>11.200000000000001</v>
          </cell>
          <cell r="AL242">
            <v>11.200000000000001</v>
          </cell>
          <cell r="AM242">
            <v>11.76</v>
          </cell>
          <cell r="AN242">
            <v>12.32</v>
          </cell>
          <cell r="AO242">
            <v>11.76</v>
          </cell>
          <cell r="AP242">
            <v>11.200000000000001</v>
          </cell>
          <cell r="AQ242">
            <v>11.200000000000001</v>
          </cell>
          <cell r="AR242">
            <v>10.64</v>
          </cell>
          <cell r="AS242">
            <v>10.64</v>
          </cell>
          <cell r="AT242">
            <v>10.64</v>
          </cell>
          <cell r="AU242">
            <v>10.08</v>
          </cell>
          <cell r="AV242">
            <v>10.08</v>
          </cell>
          <cell r="AW242">
            <v>9.52</v>
          </cell>
          <cell r="AX242">
            <v>9.52</v>
          </cell>
          <cell r="AY242">
            <v>9.52</v>
          </cell>
          <cell r="AZ242">
            <v>10.64</v>
          </cell>
          <cell r="BA242">
            <v>11.76</v>
          </cell>
          <cell r="BB242">
            <v>12.32</v>
          </cell>
          <cell r="BC242">
            <v>11.200000000000001</v>
          </cell>
          <cell r="BD242">
            <v>11.200000000000001</v>
          </cell>
          <cell r="BE242">
            <v>12.88</v>
          </cell>
          <cell r="BF242">
            <v>16.8</v>
          </cell>
          <cell r="BG242">
            <v>14.56</v>
          </cell>
          <cell r="BH242">
            <v>11.200000000000001</v>
          </cell>
          <cell r="BI242">
            <v>11.200000000000001</v>
          </cell>
          <cell r="BJ242">
            <v>12.32</v>
          </cell>
          <cell r="BK242">
            <v>13.44</v>
          </cell>
          <cell r="BL242">
            <v>11.200000000000001</v>
          </cell>
          <cell r="BM242">
            <v>11.76</v>
          </cell>
          <cell r="BN242">
            <v>12.88</v>
          </cell>
          <cell r="BO242">
            <v>11.76</v>
          </cell>
          <cell r="BP242">
            <v>10.08</v>
          </cell>
          <cell r="BQ242">
            <v>10.08</v>
          </cell>
          <cell r="BR242">
            <v>9.52</v>
          </cell>
          <cell r="BS242">
            <v>8.4</v>
          </cell>
          <cell r="BT242">
            <v>7.84</v>
          </cell>
          <cell r="BU242">
            <v>8.9600000000000009</v>
          </cell>
          <cell r="BV242">
            <v>10.08</v>
          </cell>
          <cell r="BW242">
            <v>10.64</v>
          </cell>
          <cell r="BX242">
            <v>10.08</v>
          </cell>
          <cell r="BY242">
            <v>10.08</v>
          </cell>
          <cell r="BZ242">
            <v>11.200000000000001</v>
          </cell>
          <cell r="CA242">
            <v>10.64</v>
          </cell>
          <cell r="CB242">
            <v>10.64</v>
          </cell>
          <cell r="CC242">
            <v>10.64</v>
          </cell>
          <cell r="CD242">
            <v>12.88</v>
          </cell>
          <cell r="CE242">
            <v>11.200000000000001</v>
          </cell>
          <cell r="CF242">
            <v>11.200000000000001</v>
          </cell>
          <cell r="CG242">
            <v>11.76</v>
          </cell>
          <cell r="CH242">
            <v>12.32</v>
          </cell>
          <cell r="CI242">
            <v>13.44</v>
          </cell>
          <cell r="CJ242">
            <v>11.76</v>
          </cell>
          <cell r="CK242">
            <v>11.76</v>
          </cell>
          <cell r="CL242">
            <v>11.76</v>
          </cell>
          <cell r="CM242">
            <v>9.52</v>
          </cell>
          <cell r="CN242">
            <v>8.9600000000000009</v>
          </cell>
          <cell r="CO242">
            <v>10.08</v>
          </cell>
          <cell r="CP242">
            <v>11.200000000000001</v>
          </cell>
          <cell r="CQ242">
            <v>10.64</v>
          </cell>
          <cell r="CR242">
            <v>11.200000000000001</v>
          </cell>
          <cell r="CS242">
            <v>11.76</v>
          </cell>
          <cell r="CT242">
            <v>12.88</v>
          </cell>
          <cell r="CU242">
            <v>9.52</v>
          </cell>
          <cell r="CV242">
            <v>8.6240000000000006</v>
          </cell>
          <cell r="CW242">
            <v>8.6240000000000006</v>
          </cell>
          <cell r="CX242">
            <v>8.6240000000000006</v>
          </cell>
          <cell r="CY242">
            <v>8.4</v>
          </cell>
          <cell r="CZ242">
            <v>8.4</v>
          </cell>
          <cell r="DA242">
            <v>8.4</v>
          </cell>
          <cell r="DB242">
            <v>8.0640000000000001</v>
          </cell>
          <cell r="DC242">
            <v>8.0640000000000001</v>
          </cell>
          <cell r="DD242">
            <v>8.9600000000000009</v>
          </cell>
          <cell r="DE242">
            <v>9.52</v>
          </cell>
          <cell r="DF242">
            <v>11.200000000000001</v>
          </cell>
          <cell r="DG242">
            <v>10.64</v>
          </cell>
          <cell r="DH242">
            <v>11.200000000000001</v>
          </cell>
          <cell r="DI242">
            <v>11.76</v>
          </cell>
          <cell r="DJ242">
            <v>12.88</v>
          </cell>
          <cell r="DK242">
            <v>9.52</v>
          </cell>
          <cell r="DL242">
            <v>8.6240000000000006</v>
          </cell>
          <cell r="DM242">
            <v>8.6240000000000006</v>
          </cell>
          <cell r="DN242">
            <v>8.6240000000000006</v>
          </cell>
          <cell r="DO242">
            <v>8.4</v>
          </cell>
          <cell r="DP242">
            <v>8.4</v>
          </cell>
          <cell r="DQ242">
            <v>8.4</v>
          </cell>
          <cell r="DR242">
            <v>8.0640000000000001</v>
          </cell>
          <cell r="DS242">
            <v>8.0640000000000001</v>
          </cell>
          <cell r="DT242">
            <v>8.9600000000000009</v>
          </cell>
          <cell r="DU242">
            <v>9.52</v>
          </cell>
        </row>
        <row r="243">
          <cell r="F243" t="str">
            <v>Ethylene</v>
          </cell>
          <cell r="H243">
            <v>23</v>
          </cell>
          <cell r="I243">
            <v>23</v>
          </cell>
          <cell r="J243">
            <v>26</v>
          </cell>
          <cell r="K243">
            <v>28</v>
          </cell>
          <cell r="L243">
            <v>30</v>
          </cell>
          <cell r="M243">
            <v>30</v>
          </cell>
          <cell r="N243">
            <v>28</v>
          </cell>
          <cell r="O243">
            <v>26</v>
          </cell>
          <cell r="P243">
            <v>24</v>
          </cell>
          <cell r="Q243">
            <v>22.5</v>
          </cell>
          <cell r="R243">
            <v>21.2</v>
          </cell>
          <cell r="S243">
            <v>20</v>
          </cell>
          <cell r="T243">
            <v>18</v>
          </cell>
          <cell r="U243">
            <v>18</v>
          </cell>
          <cell r="V243">
            <v>18</v>
          </cell>
          <cell r="W243">
            <v>20</v>
          </cell>
          <cell r="X243">
            <v>21</v>
          </cell>
          <cell r="Y243">
            <v>21</v>
          </cell>
          <cell r="Z243">
            <v>17.489397248307501</v>
          </cell>
          <cell r="AA243">
            <v>16.733020310111399</v>
          </cell>
          <cell r="AB243">
            <v>16.258309674601399</v>
          </cell>
          <cell r="AC243">
            <v>16.109532649049999</v>
          </cell>
          <cell r="AD243">
            <v>16.063791220790598</v>
          </cell>
          <cell r="AE243">
            <v>17.0454793623062</v>
          </cell>
          <cell r="AF243">
            <v>17.9047608648176</v>
          </cell>
          <cell r="AG243">
            <v>18.4047608648176</v>
          </cell>
          <cell r="AH243">
            <v>19.1458943000655</v>
          </cell>
          <cell r="AI243">
            <v>19.623542258135</v>
          </cell>
          <cell r="AJ243">
            <v>19.589157021183699</v>
          </cell>
          <cell r="AK243">
            <v>19.1007097619568</v>
          </cell>
          <cell r="AL243">
            <v>18.579999999999998</v>
          </cell>
          <cell r="AM243">
            <v>18.25</v>
          </cell>
          <cell r="AN243">
            <v>17.98</v>
          </cell>
          <cell r="AO243">
            <v>17.989999999999998</v>
          </cell>
          <cell r="AP243">
            <v>17.93</v>
          </cell>
          <cell r="AQ243">
            <v>17.89</v>
          </cell>
          <cell r="AR243">
            <v>17.78</v>
          </cell>
          <cell r="AS243">
            <v>17.68</v>
          </cell>
          <cell r="AT243">
            <v>17.489999999999998</v>
          </cell>
          <cell r="AU243">
            <v>17.41</v>
          </cell>
          <cell r="AV243">
            <v>17.05</v>
          </cell>
          <cell r="AW243">
            <v>16.8</v>
          </cell>
          <cell r="AX243">
            <v>16.43</v>
          </cell>
          <cell r="AY243">
            <v>16.21</v>
          </cell>
          <cell r="AZ243">
            <v>16.61</v>
          </cell>
          <cell r="BA243">
            <v>17.104500000000002</v>
          </cell>
          <cell r="BB243">
            <v>18.09225</v>
          </cell>
          <cell r="BC243">
            <v>19.057500000000001</v>
          </cell>
          <cell r="BD243">
            <v>20.048999999999999</v>
          </cell>
          <cell r="BE243">
            <v>21.027000000000001</v>
          </cell>
          <cell r="BF243">
            <v>22.936</v>
          </cell>
          <cell r="BG243">
            <v>24.913499999999999</v>
          </cell>
          <cell r="BH243">
            <v>25.890499999999999</v>
          </cell>
          <cell r="BI243">
            <v>26.46</v>
          </cell>
          <cell r="BJ243">
            <v>27.37</v>
          </cell>
          <cell r="BK243">
            <v>28.332999999999998</v>
          </cell>
          <cell r="BL243">
            <v>28.274999999999999</v>
          </cell>
          <cell r="BM243">
            <v>28.245999999999999</v>
          </cell>
          <cell r="BN243">
            <v>28.216999999999999</v>
          </cell>
          <cell r="BO243">
            <v>27.616499999999998</v>
          </cell>
          <cell r="BP243">
            <v>26.62</v>
          </cell>
          <cell r="BQ243">
            <v>25.050999999999998</v>
          </cell>
          <cell r="BR243">
            <v>23.1525</v>
          </cell>
          <cell r="BS243">
            <v>20.872499999999999</v>
          </cell>
          <cell r="BT243">
            <v>19.496400000000001</v>
          </cell>
          <cell r="BU243">
            <v>18.248999999999999</v>
          </cell>
          <cell r="BV243">
            <v>18</v>
          </cell>
          <cell r="BW243">
            <v>18</v>
          </cell>
          <cell r="BX243">
            <v>18.973500000000001</v>
          </cell>
          <cell r="BY243">
            <v>20.25</v>
          </cell>
          <cell r="BZ243">
            <v>21.220500000000001</v>
          </cell>
          <cell r="CA243">
            <v>22.172499999999999</v>
          </cell>
          <cell r="CB243">
            <v>22.6</v>
          </cell>
          <cell r="CC243">
            <v>23.103000000000002</v>
          </cell>
          <cell r="CD243">
            <v>23.465</v>
          </cell>
          <cell r="CE243">
            <v>23.706375000000001</v>
          </cell>
          <cell r="CF243">
            <v>23.823499999999999</v>
          </cell>
          <cell r="CG243">
            <v>24.75</v>
          </cell>
          <cell r="CH243">
            <v>25.712699999999998</v>
          </cell>
          <cell r="CI243">
            <v>25.712699999999998</v>
          </cell>
          <cell r="CJ243">
            <v>25.712699999999998</v>
          </cell>
          <cell r="CK243">
            <v>25.65</v>
          </cell>
          <cell r="CL243">
            <v>25.2</v>
          </cell>
          <cell r="CM243">
            <v>24.653749999999999</v>
          </cell>
          <cell r="CN243">
            <v>24.653749999999999</v>
          </cell>
          <cell r="CO243">
            <v>24.598749999999999</v>
          </cell>
          <cell r="CP243">
            <v>24.447500000000002</v>
          </cell>
          <cell r="CQ243">
            <v>23.948999999999998</v>
          </cell>
          <cell r="CR243">
            <v>23.452500000000001</v>
          </cell>
          <cell r="CS243">
            <v>22.672875000000001</v>
          </cell>
          <cell r="CT243">
            <v>21.9</v>
          </cell>
          <cell r="CU243">
            <v>20.8</v>
          </cell>
          <cell r="CV243">
            <v>19.7</v>
          </cell>
          <cell r="CW243">
            <v>18.7</v>
          </cell>
          <cell r="CX243">
            <v>17.95</v>
          </cell>
          <cell r="CY243">
            <v>17.45</v>
          </cell>
          <cell r="CZ243">
            <v>16.95</v>
          </cell>
          <cell r="DA243">
            <v>16.45</v>
          </cell>
          <cell r="DB243">
            <v>15.95</v>
          </cell>
          <cell r="DC243">
            <v>15.95</v>
          </cell>
          <cell r="DD243">
            <v>15.95</v>
          </cell>
          <cell r="DE243">
            <v>15.95</v>
          </cell>
          <cell r="DF243">
            <v>24.447500000000002</v>
          </cell>
          <cell r="DG243">
            <v>23.948999999999998</v>
          </cell>
          <cell r="DH243">
            <v>23.452500000000001</v>
          </cell>
          <cell r="DI243">
            <v>22.672875000000001</v>
          </cell>
          <cell r="DJ243">
            <v>21.9</v>
          </cell>
          <cell r="DK243">
            <v>20.8</v>
          </cell>
          <cell r="DL243">
            <v>19.7</v>
          </cell>
          <cell r="DM243">
            <v>18.7</v>
          </cell>
          <cell r="DN243">
            <v>17.95</v>
          </cell>
          <cell r="DO243">
            <v>17.45</v>
          </cell>
          <cell r="DP243">
            <v>16.95</v>
          </cell>
          <cell r="DQ243">
            <v>16.45</v>
          </cell>
          <cell r="DR243">
            <v>15.95</v>
          </cell>
          <cell r="DS243">
            <v>15.95</v>
          </cell>
          <cell r="DT243">
            <v>15.95</v>
          </cell>
          <cell r="DU243">
            <v>15.95</v>
          </cell>
        </row>
        <row r="245">
          <cell r="F245" t="str">
            <v>Spread</v>
          </cell>
          <cell r="H245">
            <v>6.4399999999999977</v>
          </cell>
          <cell r="I245">
            <v>6.8900000000000006</v>
          </cell>
          <cell r="J245">
            <v>1.3900000000000006</v>
          </cell>
          <cell r="K245">
            <v>-1.600000000000005</v>
          </cell>
          <cell r="L245">
            <v>5.9999999999998721E-2</v>
          </cell>
          <cell r="M245">
            <v>5.6599999999999966</v>
          </cell>
          <cell r="N245">
            <v>5.9399999999999977</v>
          </cell>
          <cell r="O245">
            <v>4.8999999999999986</v>
          </cell>
          <cell r="P245">
            <v>6.6300000000000026</v>
          </cell>
          <cell r="Q245">
            <v>5.1400000000000006</v>
          </cell>
          <cell r="R245">
            <v>3.5340000000000025</v>
          </cell>
          <cell r="S245">
            <v>3.2999999999999972</v>
          </cell>
          <cell r="T245">
            <v>5.1099999999999994</v>
          </cell>
          <cell r="U245">
            <v>4.1000000000000014</v>
          </cell>
          <cell r="V245">
            <v>2.4200000000000017</v>
          </cell>
          <cell r="W245">
            <v>0.39000000000000057</v>
          </cell>
          <cell r="X245">
            <v>-9.0000000000003411E-2</v>
          </cell>
          <cell r="Y245">
            <v>0.65999999999999659</v>
          </cell>
          <cell r="Z245">
            <v>5.6606027516924975</v>
          </cell>
          <cell r="AA245">
            <v>6.0769796898886028</v>
          </cell>
          <cell r="AB245">
            <v>5.6916903253986035</v>
          </cell>
          <cell r="AC245">
            <v>5.2804673509500013</v>
          </cell>
          <cell r="AD245">
            <v>5.6662087792094056</v>
          </cell>
          <cell r="AE245">
            <v>5.5045206376938047</v>
          </cell>
          <cell r="AF245">
            <v>5.0252391351823995</v>
          </cell>
          <cell r="AG245">
            <v>5.7952391351824026</v>
          </cell>
          <cell r="AH245">
            <v>5.4241056999345005</v>
          </cell>
          <cell r="AI245">
            <v>6.4364577418650022</v>
          </cell>
          <cell r="AJ245">
            <v>4.9808429788163018</v>
          </cell>
          <cell r="AK245">
            <v>5.4692902380432002</v>
          </cell>
          <cell r="AL245">
            <v>5.6099999999999994</v>
          </cell>
          <cell r="AM245">
            <v>5.0800000000000054</v>
          </cell>
          <cell r="AN245">
            <v>4.9400000000000013</v>
          </cell>
          <cell r="AO245">
            <v>6.2400000000000055</v>
          </cell>
          <cell r="AP245">
            <v>6.8599999999999994</v>
          </cell>
          <cell r="AQ245">
            <v>7.0499999999999972</v>
          </cell>
          <cell r="AR245">
            <v>7.7999999999999972</v>
          </cell>
          <cell r="AS245">
            <v>7.8999999999999986</v>
          </cell>
          <cell r="AT245">
            <v>7.9000000000000021</v>
          </cell>
          <cell r="AU245">
            <v>7.9400000000000013</v>
          </cell>
          <cell r="AV245">
            <v>8.0400000000000027</v>
          </cell>
          <cell r="AW245">
            <v>8.8500000000000014</v>
          </cell>
          <cell r="AX245">
            <v>8.0400000000000027</v>
          </cell>
          <cell r="AY245">
            <v>8.2600000000000016</v>
          </cell>
          <cell r="AZ245">
            <v>6.8900000000000006</v>
          </cell>
          <cell r="BA245">
            <v>7.9055000000000035</v>
          </cell>
          <cell r="BB245">
            <v>7.0177499999999995</v>
          </cell>
          <cell r="BC245">
            <v>7.3924999999999947</v>
          </cell>
          <cell r="BD245">
            <v>7.9209999999999994</v>
          </cell>
          <cell r="BE245">
            <v>5.4129999999999967</v>
          </cell>
          <cell r="BF245">
            <v>2.7739999999999974</v>
          </cell>
          <cell r="BG245">
            <v>8.4964999999999975</v>
          </cell>
          <cell r="BH245">
            <v>10.879499999999997</v>
          </cell>
          <cell r="BI245">
            <v>10.089999999999996</v>
          </cell>
          <cell r="BJ245">
            <v>8.3599999999999959</v>
          </cell>
          <cell r="BK245">
            <v>6.5770000000000053</v>
          </cell>
          <cell r="BL245">
            <v>11.765000000000001</v>
          </cell>
          <cell r="BM245">
            <v>11.534000000000002</v>
          </cell>
          <cell r="BN245">
            <v>10.743000000000002</v>
          </cell>
          <cell r="BO245">
            <v>12.463500000000007</v>
          </cell>
          <cell r="BP245">
            <v>14.690000000000001</v>
          </cell>
          <cell r="BQ245">
            <v>13.459000000000007</v>
          </cell>
          <cell r="BR245">
            <v>12.977499999999996</v>
          </cell>
          <cell r="BS245">
            <v>14.057500000000001</v>
          </cell>
          <cell r="BT245">
            <v>12.953600000000002</v>
          </cell>
          <cell r="BU245">
            <v>11.491000000000003</v>
          </cell>
          <cell r="BV245">
            <v>9.0799999999999983</v>
          </cell>
          <cell r="BW245">
            <v>6.9799999999999969</v>
          </cell>
          <cell r="BX245">
            <v>7.1664999999999992</v>
          </cell>
          <cell r="BY245">
            <v>7.43</v>
          </cell>
          <cell r="BZ245">
            <v>5.6394999999999982</v>
          </cell>
          <cell r="CA245">
            <v>5.2475000000000023</v>
          </cell>
          <cell r="CB245">
            <v>4.519999999999996</v>
          </cell>
          <cell r="CC245">
            <v>3.7169999999999987</v>
          </cell>
          <cell r="CD245">
            <v>1.1149999999999984</v>
          </cell>
          <cell r="CE245">
            <v>1.0136249999999976</v>
          </cell>
          <cell r="CF245">
            <v>-0.50349999999999895</v>
          </cell>
          <cell r="CG245">
            <v>-2.6299999999999955</v>
          </cell>
          <cell r="CH245">
            <v>-2.9527000000000001</v>
          </cell>
          <cell r="CI245">
            <v>-3.922699999999999</v>
          </cell>
          <cell r="CJ245">
            <v>-2.3926999999999978</v>
          </cell>
          <cell r="CK245">
            <v>-3.3499999999999943</v>
          </cell>
          <cell r="CL245">
            <v>-2.899999999999995</v>
          </cell>
          <cell r="CM245">
            <v>-0.83374999999999488</v>
          </cell>
          <cell r="CN245">
            <v>-0.27374999999999616</v>
          </cell>
          <cell r="CO245">
            <v>-1.3387499999999939</v>
          </cell>
          <cell r="CP245">
            <v>-2.307500000000001</v>
          </cell>
          <cell r="CQ245">
            <v>-2.1189999999999998</v>
          </cell>
          <cell r="CR245">
            <v>-2.1825000000000045</v>
          </cell>
          <cell r="CS245">
            <v>-2.1128749999999989</v>
          </cell>
          <cell r="CT245">
            <v>-3.4399999999999977</v>
          </cell>
          <cell r="CU245">
            <v>3.4099999999999966</v>
          </cell>
          <cell r="CV245">
            <v>5.4059999999999953</v>
          </cell>
          <cell r="CW245">
            <v>6.2559999999999967</v>
          </cell>
          <cell r="CX245">
            <v>6.3060000000000009</v>
          </cell>
          <cell r="CY245">
            <v>5.4899999999999984</v>
          </cell>
          <cell r="CZ245">
            <v>5.9899999999999984</v>
          </cell>
          <cell r="DA245">
            <v>6.4899999999999984</v>
          </cell>
          <cell r="DB245">
            <v>6.4759999999999991</v>
          </cell>
          <cell r="DC245">
            <v>6.4759999999999991</v>
          </cell>
          <cell r="DD245">
            <v>5.5799999999999983</v>
          </cell>
          <cell r="DE245">
            <v>5.0199999999999996</v>
          </cell>
          <cell r="DF245">
            <v>-2.307500000000001</v>
          </cell>
          <cell r="DG245">
            <v>-2.1189999999999998</v>
          </cell>
          <cell r="DH245">
            <v>-2.1825000000000045</v>
          </cell>
          <cell r="DI245">
            <v>-2.1128749999999989</v>
          </cell>
          <cell r="DJ245">
            <v>-3.4399999999999977</v>
          </cell>
          <cell r="DK245">
            <v>3.4099999999999966</v>
          </cell>
          <cell r="DL245">
            <v>5.4059999999999953</v>
          </cell>
          <cell r="DM245">
            <v>6.2559999999999967</v>
          </cell>
          <cell r="DN245">
            <v>6.3060000000000009</v>
          </cell>
          <cell r="DO245">
            <v>5.4899999999999984</v>
          </cell>
          <cell r="DP245">
            <v>5.9899999999999984</v>
          </cell>
          <cell r="DQ245">
            <v>6.4899999999999984</v>
          </cell>
          <cell r="DR245">
            <v>6.4759999999999991</v>
          </cell>
          <cell r="DS245">
            <v>6.4759999999999991</v>
          </cell>
          <cell r="DT245">
            <v>5.5799999999999983</v>
          </cell>
          <cell r="DU245">
            <v>5.0199999999999996</v>
          </cell>
        </row>
        <row r="248">
          <cell r="F248" t="str">
            <v>(Phenol + Acetone)/ (Benzene+C3)  Cost Spread</v>
          </cell>
        </row>
        <row r="250">
          <cell r="H250">
            <v>33055</v>
          </cell>
          <cell r="I250">
            <v>33086</v>
          </cell>
          <cell r="J250">
            <v>33117</v>
          </cell>
          <cell r="K250">
            <v>33147</v>
          </cell>
          <cell r="L250">
            <v>33178</v>
          </cell>
          <cell r="M250">
            <v>33208</v>
          </cell>
          <cell r="N250">
            <v>33239</v>
          </cell>
          <cell r="O250">
            <v>33270</v>
          </cell>
          <cell r="P250">
            <v>33298</v>
          </cell>
          <cell r="Q250">
            <v>33329</v>
          </cell>
          <cell r="R250">
            <v>33359</v>
          </cell>
          <cell r="S250">
            <v>33390</v>
          </cell>
          <cell r="T250">
            <v>33420</v>
          </cell>
          <cell r="U250">
            <v>33451</v>
          </cell>
          <cell r="V250">
            <v>33482</v>
          </cell>
          <cell r="W250">
            <v>33512</v>
          </cell>
          <cell r="X250">
            <v>33543</v>
          </cell>
          <cell r="Y250">
            <v>33573</v>
          </cell>
          <cell r="Z250">
            <v>33604</v>
          </cell>
          <cell r="AA250">
            <v>33635</v>
          </cell>
          <cell r="AB250">
            <v>33664</v>
          </cell>
          <cell r="AC250">
            <v>33695</v>
          </cell>
          <cell r="AD250">
            <v>33725</v>
          </cell>
          <cell r="AE250">
            <v>33756</v>
          </cell>
          <cell r="AF250">
            <v>33786</v>
          </cell>
          <cell r="AG250">
            <v>33817</v>
          </cell>
          <cell r="AH250">
            <v>33848</v>
          </cell>
          <cell r="AI250">
            <v>33878</v>
          </cell>
          <cell r="AJ250">
            <v>33909</v>
          </cell>
          <cell r="AK250">
            <v>33939</v>
          </cell>
          <cell r="AL250">
            <v>33970</v>
          </cell>
          <cell r="AM250">
            <v>34001</v>
          </cell>
          <cell r="AN250">
            <v>34029</v>
          </cell>
          <cell r="AO250">
            <v>34060</v>
          </cell>
          <cell r="AP250">
            <v>34090</v>
          </cell>
          <cell r="AQ250">
            <v>34121</v>
          </cell>
          <cell r="AR250">
            <v>34151</v>
          </cell>
          <cell r="AS250">
            <v>34182</v>
          </cell>
          <cell r="AT250">
            <v>34213</v>
          </cell>
          <cell r="AU250">
            <v>34243</v>
          </cell>
          <cell r="AV250">
            <v>34274</v>
          </cell>
          <cell r="AW250">
            <v>34304</v>
          </cell>
          <cell r="AX250">
            <v>34335</v>
          </cell>
          <cell r="AY250">
            <v>34366</v>
          </cell>
          <cell r="AZ250">
            <v>34394</v>
          </cell>
          <cell r="BA250">
            <v>34425</v>
          </cell>
          <cell r="BB250">
            <v>34455</v>
          </cell>
          <cell r="BC250">
            <v>34486</v>
          </cell>
          <cell r="BD250">
            <v>34516</v>
          </cell>
          <cell r="BE250">
            <v>34547</v>
          </cell>
          <cell r="BF250">
            <v>34578</v>
          </cell>
          <cell r="BG250">
            <v>34608</v>
          </cell>
          <cell r="BH250">
            <v>34639</v>
          </cell>
          <cell r="BI250">
            <v>34669</v>
          </cell>
          <cell r="BJ250">
            <v>34700</v>
          </cell>
          <cell r="BK250">
            <v>34731</v>
          </cell>
          <cell r="BL250">
            <v>34759</v>
          </cell>
          <cell r="BM250">
            <v>34790</v>
          </cell>
          <cell r="BN250">
            <v>34820</v>
          </cell>
          <cell r="BO250">
            <v>34851</v>
          </cell>
          <cell r="BP250">
            <v>34881</v>
          </cell>
          <cell r="BQ250">
            <v>34912</v>
          </cell>
          <cell r="BR250">
            <v>34943</v>
          </cell>
          <cell r="BS250">
            <v>34973</v>
          </cell>
          <cell r="BT250">
            <v>35004</v>
          </cell>
          <cell r="BU250">
            <v>35034</v>
          </cell>
          <cell r="BV250">
            <v>35065</v>
          </cell>
          <cell r="BW250">
            <v>35096</v>
          </cell>
          <cell r="BX250">
            <v>35125</v>
          </cell>
          <cell r="BY250">
            <v>35156</v>
          </cell>
          <cell r="BZ250">
            <v>35186</v>
          </cell>
          <cell r="CA250">
            <v>35217</v>
          </cell>
          <cell r="CB250">
            <v>35247</v>
          </cell>
          <cell r="CC250">
            <v>35278</v>
          </cell>
          <cell r="CD250">
            <v>35309</v>
          </cell>
          <cell r="CE250">
            <v>35339</v>
          </cell>
          <cell r="CF250">
            <v>35370</v>
          </cell>
          <cell r="CG250">
            <v>35400</v>
          </cell>
          <cell r="CH250">
            <v>35431</v>
          </cell>
          <cell r="CI250">
            <v>35462</v>
          </cell>
          <cell r="CJ250">
            <v>35490</v>
          </cell>
          <cell r="CK250">
            <v>35521</v>
          </cell>
          <cell r="CL250">
            <v>35551</v>
          </cell>
          <cell r="CM250">
            <v>35582</v>
          </cell>
          <cell r="CN250">
            <v>35612</v>
          </cell>
          <cell r="CO250">
            <v>35643</v>
          </cell>
          <cell r="CP250">
            <v>35674</v>
          </cell>
          <cell r="CQ250">
            <v>35704</v>
          </cell>
          <cell r="CR250">
            <v>35735</v>
          </cell>
          <cell r="CS250">
            <v>35765</v>
          </cell>
          <cell r="CT250">
            <v>35796</v>
          </cell>
          <cell r="CU250">
            <v>35827</v>
          </cell>
          <cell r="CV250">
            <v>35855</v>
          </cell>
          <cell r="CW250">
            <v>35886</v>
          </cell>
          <cell r="CX250">
            <v>35916</v>
          </cell>
          <cell r="CY250">
            <v>35947</v>
          </cell>
          <cell r="CZ250">
            <v>35977</v>
          </cell>
          <cell r="DA250">
            <v>36008</v>
          </cell>
          <cell r="DB250">
            <v>36039</v>
          </cell>
          <cell r="DC250">
            <v>36069</v>
          </cell>
          <cell r="DD250">
            <v>36100</v>
          </cell>
          <cell r="DE250">
            <v>36130</v>
          </cell>
          <cell r="DF250">
            <v>35674</v>
          </cell>
          <cell r="DG250">
            <v>35704</v>
          </cell>
          <cell r="DH250">
            <v>35735</v>
          </cell>
          <cell r="DI250">
            <v>35765</v>
          </cell>
          <cell r="DJ250">
            <v>35796</v>
          </cell>
          <cell r="DK250">
            <v>35827</v>
          </cell>
          <cell r="DL250">
            <v>35855</v>
          </cell>
          <cell r="DM250">
            <v>35886</v>
          </cell>
          <cell r="DN250">
            <v>35916</v>
          </cell>
          <cell r="DO250">
            <v>35947</v>
          </cell>
          <cell r="DP250">
            <v>35977</v>
          </cell>
          <cell r="DQ250">
            <v>36008</v>
          </cell>
          <cell r="DR250">
            <v>36039</v>
          </cell>
          <cell r="DS250">
            <v>36069</v>
          </cell>
          <cell r="DT250">
            <v>36100</v>
          </cell>
          <cell r="DU250">
            <v>36130</v>
          </cell>
        </row>
        <row r="251">
          <cell r="F251" t="str">
            <v>Phenol price</v>
          </cell>
          <cell r="H251">
            <v>35</v>
          </cell>
          <cell r="I251">
            <v>35</v>
          </cell>
          <cell r="J251">
            <v>35</v>
          </cell>
          <cell r="K251">
            <v>40</v>
          </cell>
          <cell r="L251">
            <v>41</v>
          </cell>
          <cell r="M251">
            <v>37</v>
          </cell>
          <cell r="N251">
            <v>34</v>
          </cell>
          <cell r="O251">
            <v>33</v>
          </cell>
          <cell r="P251">
            <v>29</v>
          </cell>
          <cell r="Q251">
            <v>27</v>
          </cell>
          <cell r="R251">
            <v>27</v>
          </cell>
          <cell r="S251">
            <v>26</v>
          </cell>
          <cell r="T251">
            <v>26</v>
          </cell>
          <cell r="U251">
            <v>26</v>
          </cell>
          <cell r="V251">
            <v>26</v>
          </cell>
          <cell r="W251">
            <v>28</v>
          </cell>
          <cell r="X251">
            <v>28</v>
          </cell>
          <cell r="Y251">
            <v>28</v>
          </cell>
          <cell r="Z251">
            <v>24</v>
          </cell>
          <cell r="AA251">
            <v>24</v>
          </cell>
          <cell r="AB251">
            <v>24</v>
          </cell>
          <cell r="AC251">
            <v>27</v>
          </cell>
          <cell r="AD251">
            <v>27</v>
          </cell>
          <cell r="AE251">
            <v>27</v>
          </cell>
          <cell r="AF251">
            <v>29</v>
          </cell>
          <cell r="AG251">
            <v>29</v>
          </cell>
          <cell r="AH251">
            <v>27.5</v>
          </cell>
          <cell r="AI251">
            <v>26</v>
          </cell>
          <cell r="AJ251">
            <v>26</v>
          </cell>
          <cell r="AK251">
            <v>26</v>
          </cell>
          <cell r="AL251">
            <v>28</v>
          </cell>
          <cell r="AM251">
            <v>28</v>
          </cell>
          <cell r="AN251">
            <v>28</v>
          </cell>
          <cell r="AO251">
            <v>31</v>
          </cell>
          <cell r="AP251">
            <v>31</v>
          </cell>
          <cell r="AQ251">
            <v>31</v>
          </cell>
          <cell r="AR251">
            <v>30</v>
          </cell>
          <cell r="AS251">
            <v>29</v>
          </cell>
          <cell r="AT251">
            <v>27</v>
          </cell>
          <cell r="AU251">
            <v>27</v>
          </cell>
          <cell r="AV251">
            <v>27</v>
          </cell>
          <cell r="AW251">
            <v>25</v>
          </cell>
          <cell r="AX251">
            <v>23.5</v>
          </cell>
          <cell r="AY251">
            <v>23.5</v>
          </cell>
          <cell r="AZ251">
            <v>23.5</v>
          </cell>
          <cell r="BA251">
            <v>27.5</v>
          </cell>
          <cell r="BB251">
            <v>27.5</v>
          </cell>
          <cell r="BC251">
            <v>27.5</v>
          </cell>
          <cell r="BD251">
            <v>30.5</v>
          </cell>
          <cell r="BE251">
            <v>30.5</v>
          </cell>
          <cell r="BF251">
            <v>30.5</v>
          </cell>
          <cell r="BG251">
            <v>36.5</v>
          </cell>
          <cell r="BH251">
            <v>34.5</v>
          </cell>
          <cell r="BI251">
            <v>34.5</v>
          </cell>
          <cell r="BJ251">
            <v>36.5</v>
          </cell>
          <cell r="BK251">
            <v>36.5</v>
          </cell>
          <cell r="BL251">
            <v>36.5</v>
          </cell>
          <cell r="BM251">
            <v>36.5</v>
          </cell>
          <cell r="BN251">
            <v>36.5</v>
          </cell>
          <cell r="BO251">
            <v>35.5</v>
          </cell>
          <cell r="BP251">
            <v>34.5</v>
          </cell>
          <cell r="BQ251">
            <v>34.5</v>
          </cell>
          <cell r="BR251">
            <v>32.5</v>
          </cell>
          <cell r="BS251">
            <v>30.5</v>
          </cell>
          <cell r="BT251">
            <v>29.5</v>
          </cell>
          <cell r="BU251">
            <v>28.5</v>
          </cell>
          <cell r="BV251">
            <v>28.5</v>
          </cell>
          <cell r="BW251">
            <v>28.5</v>
          </cell>
          <cell r="BX251">
            <v>28.5</v>
          </cell>
          <cell r="BY251">
            <v>30.5</v>
          </cell>
          <cell r="BZ251">
            <v>30.5</v>
          </cell>
          <cell r="CA251">
            <v>30.5</v>
          </cell>
          <cell r="CB251">
            <v>33.5</v>
          </cell>
          <cell r="CC251">
            <v>33.5</v>
          </cell>
          <cell r="CD251">
            <v>33.5</v>
          </cell>
          <cell r="CE251">
            <v>35.5</v>
          </cell>
          <cell r="CF251">
            <v>35.5</v>
          </cell>
          <cell r="CG251">
            <v>35.5</v>
          </cell>
          <cell r="CH251">
            <v>35.5</v>
          </cell>
          <cell r="CI251">
            <v>35.5</v>
          </cell>
          <cell r="CJ251">
            <v>35.5</v>
          </cell>
          <cell r="CK251">
            <v>35.5</v>
          </cell>
          <cell r="CL251">
            <v>35.5</v>
          </cell>
          <cell r="CM251">
            <v>35.5</v>
          </cell>
          <cell r="CN251">
            <v>35.5</v>
          </cell>
          <cell r="CO251">
            <v>35.5</v>
          </cell>
          <cell r="CP251">
            <v>35.5</v>
          </cell>
          <cell r="CQ251">
            <v>35.5</v>
          </cell>
          <cell r="CR251">
            <v>35.5</v>
          </cell>
          <cell r="CS251">
            <v>35.5</v>
          </cell>
          <cell r="CT251">
            <v>37.5</v>
          </cell>
          <cell r="CU251">
            <v>35.5</v>
          </cell>
          <cell r="CV251">
            <v>35.5</v>
          </cell>
          <cell r="CW251">
            <v>34.5</v>
          </cell>
          <cell r="CX251">
            <v>32.5</v>
          </cell>
          <cell r="CY251">
            <v>31.5</v>
          </cell>
          <cell r="CZ251">
            <v>30.5</v>
          </cell>
          <cell r="DA251">
            <v>28.5</v>
          </cell>
          <cell r="DB251">
            <v>28</v>
          </cell>
          <cell r="DC251">
            <v>28</v>
          </cell>
          <cell r="DD251">
            <v>26</v>
          </cell>
          <cell r="DE251">
            <v>26</v>
          </cell>
          <cell r="DF251">
            <v>35.5</v>
          </cell>
          <cell r="DG251">
            <v>35.5</v>
          </cell>
          <cell r="DH251">
            <v>35.5</v>
          </cell>
          <cell r="DI251">
            <v>35.5</v>
          </cell>
          <cell r="DJ251">
            <v>37.5</v>
          </cell>
          <cell r="DK251">
            <v>35.5</v>
          </cell>
          <cell r="DL251">
            <v>35.5</v>
          </cell>
          <cell r="DM251">
            <v>34.5</v>
          </cell>
          <cell r="DN251">
            <v>32.5</v>
          </cell>
          <cell r="DO251">
            <v>31.5</v>
          </cell>
          <cell r="DP251">
            <v>30.5</v>
          </cell>
          <cell r="DQ251">
            <v>28.5</v>
          </cell>
          <cell r="DR251">
            <v>28</v>
          </cell>
          <cell r="DS251">
            <v>28</v>
          </cell>
          <cell r="DT251">
            <v>26</v>
          </cell>
          <cell r="DU251">
            <v>26</v>
          </cell>
        </row>
        <row r="252">
          <cell r="F252" t="str">
            <v>Acetone price</v>
          </cell>
          <cell r="H252">
            <v>20</v>
          </cell>
          <cell r="I252">
            <v>20</v>
          </cell>
          <cell r="J252">
            <v>20</v>
          </cell>
          <cell r="K252">
            <v>22</v>
          </cell>
          <cell r="L252">
            <v>23</v>
          </cell>
          <cell r="M252">
            <v>24</v>
          </cell>
          <cell r="N252">
            <v>24</v>
          </cell>
          <cell r="O252">
            <v>24</v>
          </cell>
          <cell r="P252">
            <v>24</v>
          </cell>
          <cell r="Q252">
            <v>24</v>
          </cell>
          <cell r="R252">
            <v>24</v>
          </cell>
          <cell r="S252">
            <v>24</v>
          </cell>
          <cell r="T252">
            <v>21</v>
          </cell>
          <cell r="U252">
            <v>21</v>
          </cell>
          <cell r="V252">
            <v>21</v>
          </cell>
          <cell r="W252">
            <v>19</v>
          </cell>
          <cell r="X252">
            <v>19</v>
          </cell>
          <cell r="Y252">
            <v>19</v>
          </cell>
          <cell r="Z252">
            <v>17</v>
          </cell>
          <cell r="AA252">
            <v>17</v>
          </cell>
          <cell r="AB252">
            <v>17</v>
          </cell>
          <cell r="AC252">
            <v>15</v>
          </cell>
          <cell r="AD252">
            <v>15</v>
          </cell>
          <cell r="AE252">
            <v>15</v>
          </cell>
          <cell r="AF252">
            <v>15</v>
          </cell>
          <cell r="AG252">
            <v>15</v>
          </cell>
          <cell r="AH252">
            <v>15</v>
          </cell>
          <cell r="AI252">
            <v>14</v>
          </cell>
          <cell r="AJ252">
            <v>14</v>
          </cell>
          <cell r="AK252">
            <v>14</v>
          </cell>
          <cell r="AL252">
            <v>13</v>
          </cell>
          <cell r="AM252">
            <v>13</v>
          </cell>
          <cell r="AN252">
            <v>13</v>
          </cell>
          <cell r="AO252">
            <v>13</v>
          </cell>
          <cell r="AP252">
            <v>13</v>
          </cell>
          <cell r="AQ252">
            <v>13</v>
          </cell>
          <cell r="AR252">
            <v>13</v>
          </cell>
          <cell r="AS252">
            <v>13</v>
          </cell>
          <cell r="AT252">
            <v>13</v>
          </cell>
          <cell r="AU252">
            <v>11</v>
          </cell>
          <cell r="AV252">
            <v>11</v>
          </cell>
          <cell r="AW252">
            <v>11</v>
          </cell>
          <cell r="AX252">
            <v>10.5</v>
          </cell>
          <cell r="AY252">
            <v>10.5</v>
          </cell>
          <cell r="AZ252">
            <v>10.5</v>
          </cell>
          <cell r="BA252">
            <v>12</v>
          </cell>
          <cell r="BB252">
            <v>12</v>
          </cell>
          <cell r="BC252">
            <v>12</v>
          </cell>
          <cell r="BD252">
            <v>13.75</v>
          </cell>
          <cell r="BE252">
            <v>13.75</v>
          </cell>
          <cell r="BF252">
            <v>13.75</v>
          </cell>
          <cell r="BG252">
            <v>17.75</v>
          </cell>
          <cell r="BH252">
            <v>17.75</v>
          </cell>
          <cell r="BI252">
            <v>17.75</v>
          </cell>
          <cell r="BJ252">
            <v>19.75</v>
          </cell>
          <cell r="BK252">
            <v>19.75</v>
          </cell>
          <cell r="BL252">
            <v>19.75</v>
          </cell>
          <cell r="BM252">
            <v>23.75</v>
          </cell>
          <cell r="BN252">
            <v>23.75</v>
          </cell>
          <cell r="BO252">
            <v>23.75</v>
          </cell>
          <cell r="BP252">
            <v>26.75</v>
          </cell>
          <cell r="BQ252">
            <v>26.75</v>
          </cell>
          <cell r="BR252">
            <v>26.75</v>
          </cell>
          <cell r="BS252">
            <v>26.75</v>
          </cell>
          <cell r="BT252">
            <v>26.75</v>
          </cell>
          <cell r="BU252">
            <v>26.75</v>
          </cell>
          <cell r="BV252">
            <v>23.75</v>
          </cell>
          <cell r="BW252">
            <v>23.75</v>
          </cell>
          <cell r="BX252">
            <v>23.75</v>
          </cell>
          <cell r="BY252">
            <v>20.5</v>
          </cell>
          <cell r="BZ252">
            <v>20.5</v>
          </cell>
          <cell r="CA252">
            <v>20.5</v>
          </cell>
          <cell r="CB252">
            <v>17.5</v>
          </cell>
          <cell r="CC252">
            <v>17.5</v>
          </cell>
          <cell r="CD252">
            <v>17.5</v>
          </cell>
          <cell r="CE252">
            <v>16</v>
          </cell>
          <cell r="CF252">
            <v>16</v>
          </cell>
          <cell r="CG252">
            <v>16</v>
          </cell>
          <cell r="CH252">
            <v>16</v>
          </cell>
          <cell r="CI252">
            <v>16</v>
          </cell>
          <cell r="CJ252">
            <v>16</v>
          </cell>
          <cell r="CK252">
            <v>18</v>
          </cell>
          <cell r="CL252">
            <v>17.25</v>
          </cell>
          <cell r="CM252">
            <v>17.25</v>
          </cell>
          <cell r="CN252">
            <v>18</v>
          </cell>
          <cell r="CO252">
            <v>18.25</v>
          </cell>
          <cell r="CP252">
            <v>18.25</v>
          </cell>
          <cell r="CQ252">
            <v>18.25</v>
          </cell>
          <cell r="CR252">
            <v>18.25</v>
          </cell>
          <cell r="CS252">
            <v>18.25</v>
          </cell>
          <cell r="CT252">
            <v>18.25</v>
          </cell>
          <cell r="CU252">
            <v>18.25</v>
          </cell>
          <cell r="CV252">
            <v>18.25</v>
          </cell>
          <cell r="CW252">
            <v>15.75</v>
          </cell>
          <cell r="CX252">
            <v>15.75</v>
          </cell>
          <cell r="CY252">
            <v>14.25</v>
          </cell>
          <cell r="CZ252">
            <v>14.25</v>
          </cell>
          <cell r="DA252">
            <v>14.25</v>
          </cell>
          <cell r="DB252">
            <v>12.25</v>
          </cell>
          <cell r="DC252">
            <v>12.25</v>
          </cell>
          <cell r="DD252">
            <v>12.25</v>
          </cell>
          <cell r="DE252">
            <v>11</v>
          </cell>
          <cell r="DF252">
            <v>18.25</v>
          </cell>
          <cell r="DG252">
            <v>18.25</v>
          </cell>
          <cell r="DH252">
            <v>18.25</v>
          </cell>
          <cell r="DI252">
            <v>18.25</v>
          </cell>
          <cell r="DJ252">
            <v>18.25</v>
          </cell>
          <cell r="DK252">
            <v>18.25</v>
          </cell>
          <cell r="DL252">
            <v>18.25</v>
          </cell>
          <cell r="DM252">
            <v>15.75</v>
          </cell>
          <cell r="DN252">
            <v>15.75</v>
          </cell>
          <cell r="DO252">
            <v>14.25</v>
          </cell>
          <cell r="DP252">
            <v>14.25</v>
          </cell>
          <cell r="DQ252">
            <v>14.25</v>
          </cell>
          <cell r="DR252">
            <v>12.25</v>
          </cell>
          <cell r="DS252">
            <v>12.25</v>
          </cell>
          <cell r="DT252">
            <v>12.25</v>
          </cell>
          <cell r="DU252">
            <v>11</v>
          </cell>
        </row>
        <row r="253">
          <cell r="F253" t="str">
            <v>Total Selling Value</v>
          </cell>
          <cell r="H253">
            <v>55</v>
          </cell>
          <cell r="I253">
            <v>55</v>
          </cell>
          <cell r="J253">
            <v>55</v>
          </cell>
          <cell r="K253">
            <v>62</v>
          </cell>
          <cell r="L253">
            <v>64</v>
          </cell>
          <cell r="M253">
            <v>61</v>
          </cell>
          <cell r="N253">
            <v>58</v>
          </cell>
          <cell r="O253">
            <v>57</v>
          </cell>
          <cell r="P253">
            <v>53</v>
          </cell>
          <cell r="Q253">
            <v>51</v>
          </cell>
          <cell r="R253">
            <v>51</v>
          </cell>
          <cell r="S253">
            <v>50</v>
          </cell>
          <cell r="T253">
            <v>47</v>
          </cell>
          <cell r="U253">
            <v>47</v>
          </cell>
          <cell r="V253">
            <v>47</v>
          </cell>
          <cell r="W253">
            <v>47</v>
          </cell>
          <cell r="X253">
            <v>47</v>
          </cell>
          <cell r="Y253">
            <v>47</v>
          </cell>
          <cell r="Z253">
            <v>41</v>
          </cell>
          <cell r="AA253">
            <v>41</v>
          </cell>
          <cell r="AB253">
            <v>41</v>
          </cell>
          <cell r="AC253">
            <v>42</v>
          </cell>
          <cell r="AD253">
            <v>42</v>
          </cell>
          <cell r="AE253">
            <v>42</v>
          </cell>
          <cell r="AF253">
            <v>44</v>
          </cell>
          <cell r="AG253">
            <v>44</v>
          </cell>
          <cell r="AH253">
            <v>42.5</v>
          </cell>
          <cell r="AI253">
            <v>40</v>
          </cell>
          <cell r="AJ253">
            <v>40</v>
          </cell>
          <cell r="AK253">
            <v>40</v>
          </cell>
          <cell r="AL253">
            <v>41</v>
          </cell>
          <cell r="AM253">
            <v>41</v>
          </cell>
          <cell r="AN253">
            <v>41</v>
          </cell>
          <cell r="AO253">
            <v>44</v>
          </cell>
          <cell r="AP253">
            <v>44</v>
          </cell>
          <cell r="AQ253">
            <v>44</v>
          </cell>
          <cell r="AR253">
            <v>43</v>
          </cell>
          <cell r="AS253">
            <v>42</v>
          </cell>
          <cell r="AT253">
            <v>40</v>
          </cell>
          <cell r="AU253">
            <v>38</v>
          </cell>
          <cell r="AV253">
            <v>38</v>
          </cell>
          <cell r="AW253">
            <v>36</v>
          </cell>
          <cell r="AX253">
            <v>34</v>
          </cell>
          <cell r="AY253">
            <v>34</v>
          </cell>
          <cell r="AZ253">
            <v>34</v>
          </cell>
          <cell r="BA253">
            <v>39.5</v>
          </cell>
          <cell r="BB253">
            <v>39.5</v>
          </cell>
          <cell r="BC253">
            <v>39.5</v>
          </cell>
          <cell r="BD253">
            <v>44.25</v>
          </cell>
          <cell r="BE253">
            <v>44.25</v>
          </cell>
          <cell r="BF253">
            <v>44.25</v>
          </cell>
          <cell r="BG253">
            <v>54.25</v>
          </cell>
          <cell r="BH253">
            <v>52.25</v>
          </cell>
          <cell r="BI253">
            <v>52.25</v>
          </cell>
          <cell r="BJ253">
            <v>56.25</v>
          </cell>
          <cell r="BK253">
            <v>56.25</v>
          </cell>
          <cell r="BL253">
            <v>56.25</v>
          </cell>
          <cell r="BM253">
            <v>60.25</v>
          </cell>
          <cell r="BN253">
            <v>60.25</v>
          </cell>
          <cell r="BO253">
            <v>59.25</v>
          </cell>
          <cell r="BP253">
            <v>61.25</v>
          </cell>
          <cell r="BQ253">
            <v>61.25</v>
          </cell>
          <cell r="BR253">
            <v>59.25</v>
          </cell>
          <cell r="BS253">
            <v>57.25</v>
          </cell>
          <cell r="BT253">
            <v>56.25</v>
          </cell>
          <cell r="BU253">
            <v>55.25</v>
          </cell>
          <cell r="BV253">
            <v>52.25</v>
          </cell>
          <cell r="BW253">
            <v>52.25</v>
          </cell>
          <cell r="BX253">
            <v>52.25</v>
          </cell>
          <cell r="BY253">
            <v>51</v>
          </cell>
          <cell r="BZ253">
            <v>51</v>
          </cell>
          <cell r="CA253">
            <v>51</v>
          </cell>
          <cell r="CB253">
            <v>51</v>
          </cell>
          <cell r="CC253">
            <v>51</v>
          </cell>
          <cell r="CD253">
            <v>51</v>
          </cell>
          <cell r="CE253">
            <v>51.5</v>
          </cell>
          <cell r="CF253">
            <v>51.5</v>
          </cell>
          <cell r="CG253">
            <v>51.5</v>
          </cell>
          <cell r="CH253">
            <v>51.5</v>
          </cell>
          <cell r="CI253">
            <v>51.5</v>
          </cell>
          <cell r="CJ253">
            <v>51.5</v>
          </cell>
          <cell r="CK253">
            <v>53.5</v>
          </cell>
          <cell r="CL253">
            <v>52.75</v>
          </cell>
          <cell r="CM253">
            <v>52.75</v>
          </cell>
          <cell r="CN253">
            <v>53.5</v>
          </cell>
          <cell r="CO253">
            <v>53.75</v>
          </cell>
          <cell r="CP253">
            <v>53.75</v>
          </cell>
          <cell r="CQ253">
            <v>53.75</v>
          </cell>
          <cell r="CR253">
            <v>53.75</v>
          </cell>
          <cell r="CS253">
            <v>53.75</v>
          </cell>
          <cell r="CT253">
            <v>55.75</v>
          </cell>
          <cell r="CU253">
            <v>53.75</v>
          </cell>
          <cell r="CV253">
            <v>53.75</v>
          </cell>
          <cell r="CW253">
            <v>50.25</v>
          </cell>
          <cell r="CX253">
            <v>48.25</v>
          </cell>
          <cell r="CY253">
            <v>45.75</v>
          </cell>
          <cell r="CZ253">
            <v>44.75</v>
          </cell>
          <cell r="DA253">
            <v>42.75</v>
          </cell>
          <cell r="DB253">
            <v>40.25</v>
          </cell>
          <cell r="DC253">
            <v>40.25</v>
          </cell>
          <cell r="DD253">
            <v>38.25</v>
          </cell>
          <cell r="DE253">
            <v>37</v>
          </cell>
          <cell r="DF253">
            <v>53.75</v>
          </cell>
          <cell r="DG253">
            <v>53.75</v>
          </cell>
          <cell r="DH253">
            <v>53.75</v>
          </cell>
          <cell r="DI253">
            <v>53.75</v>
          </cell>
          <cell r="DJ253">
            <v>55.75</v>
          </cell>
          <cell r="DK253">
            <v>53.75</v>
          </cell>
          <cell r="DL253">
            <v>53.75</v>
          </cell>
          <cell r="DM253">
            <v>50.25</v>
          </cell>
          <cell r="DN253">
            <v>48.25</v>
          </cell>
          <cell r="DO253">
            <v>45.75</v>
          </cell>
          <cell r="DP253">
            <v>44.75</v>
          </cell>
          <cell r="DQ253">
            <v>42.75</v>
          </cell>
          <cell r="DR253">
            <v>40.25</v>
          </cell>
          <cell r="DS253">
            <v>40.25</v>
          </cell>
          <cell r="DT253">
            <v>38.25</v>
          </cell>
          <cell r="DU253">
            <v>37</v>
          </cell>
        </row>
        <row r="255">
          <cell r="F255" t="str">
            <v>Benzene</v>
          </cell>
          <cell r="H255">
            <v>14.56</v>
          </cell>
          <cell r="I255">
            <v>14.56</v>
          </cell>
          <cell r="J255">
            <v>19.04</v>
          </cell>
          <cell r="K255">
            <v>22.400000000000002</v>
          </cell>
          <cell r="L255">
            <v>22.400000000000002</v>
          </cell>
          <cell r="M255">
            <v>16.8</v>
          </cell>
          <cell r="N255">
            <v>16.8</v>
          </cell>
          <cell r="O255">
            <v>16.240000000000002</v>
          </cell>
          <cell r="P255">
            <v>12.32</v>
          </cell>
          <cell r="Q255">
            <v>12.32</v>
          </cell>
          <cell r="R255">
            <v>12.375999999999999</v>
          </cell>
          <cell r="S255">
            <v>12.32</v>
          </cell>
          <cell r="T255">
            <v>11.76</v>
          </cell>
          <cell r="U255">
            <v>12.32</v>
          </cell>
          <cell r="V255">
            <v>14</v>
          </cell>
          <cell r="W255">
            <v>14.56</v>
          </cell>
          <cell r="X255">
            <v>14.56</v>
          </cell>
          <cell r="Y255">
            <v>14.56</v>
          </cell>
          <cell r="Z255">
            <v>12.32</v>
          </cell>
          <cell r="AA255">
            <v>11.76</v>
          </cell>
          <cell r="AB255">
            <v>12.32</v>
          </cell>
          <cell r="AC255">
            <v>12.88</v>
          </cell>
          <cell r="AD255">
            <v>13.44</v>
          </cell>
          <cell r="AE255">
            <v>13.44</v>
          </cell>
          <cell r="AF255">
            <v>14.56</v>
          </cell>
          <cell r="AG255">
            <v>13.44</v>
          </cell>
          <cell r="AH255">
            <v>12.32</v>
          </cell>
          <cell r="AI255">
            <v>10.08</v>
          </cell>
          <cell r="AJ255">
            <v>11.200000000000001</v>
          </cell>
          <cell r="AK255">
            <v>11.200000000000001</v>
          </cell>
          <cell r="AL255">
            <v>11.200000000000001</v>
          </cell>
          <cell r="AM255">
            <v>11.76</v>
          </cell>
          <cell r="AN255">
            <v>12.32</v>
          </cell>
          <cell r="AO255">
            <v>11.76</v>
          </cell>
          <cell r="AP255">
            <v>11.200000000000001</v>
          </cell>
          <cell r="AQ255">
            <v>11.200000000000001</v>
          </cell>
          <cell r="AR255">
            <v>10.64</v>
          </cell>
          <cell r="AS255">
            <v>10.64</v>
          </cell>
          <cell r="AT255">
            <v>10.64</v>
          </cell>
          <cell r="AU255">
            <v>10.08</v>
          </cell>
          <cell r="AV255">
            <v>10.08</v>
          </cell>
          <cell r="AW255">
            <v>9.52</v>
          </cell>
          <cell r="AX255">
            <v>9.52</v>
          </cell>
          <cell r="AY255">
            <v>9.52</v>
          </cell>
          <cell r="AZ255">
            <v>10.64</v>
          </cell>
          <cell r="BA255">
            <v>11.76</v>
          </cell>
          <cell r="BB255">
            <v>12.32</v>
          </cell>
          <cell r="BC255">
            <v>11.200000000000001</v>
          </cell>
          <cell r="BD255">
            <v>11.200000000000001</v>
          </cell>
          <cell r="BE255">
            <v>12.88</v>
          </cell>
          <cell r="BF255">
            <v>16.8</v>
          </cell>
          <cell r="BG255">
            <v>14.56</v>
          </cell>
          <cell r="BH255">
            <v>11.200000000000001</v>
          </cell>
          <cell r="BI255">
            <v>11.200000000000001</v>
          </cell>
          <cell r="BJ255">
            <v>12.32</v>
          </cell>
          <cell r="BK255">
            <v>13.44</v>
          </cell>
          <cell r="BL255">
            <v>11.200000000000001</v>
          </cell>
          <cell r="BM255">
            <v>11.76</v>
          </cell>
          <cell r="BN255">
            <v>12.88</v>
          </cell>
          <cell r="BO255">
            <v>11.76</v>
          </cell>
          <cell r="BP255">
            <v>10.08</v>
          </cell>
          <cell r="BQ255">
            <v>10.08</v>
          </cell>
          <cell r="BR255">
            <v>9.52</v>
          </cell>
          <cell r="BS255">
            <v>8.4</v>
          </cell>
          <cell r="BT255">
            <v>7.84</v>
          </cell>
          <cell r="BU255">
            <v>8.9600000000000009</v>
          </cell>
          <cell r="BV255">
            <v>10.08</v>
          </cell>
          <cell r="BW255">
            <v>10.64</v>
          </cell>
          <cell r="BX255">
            <v>10.08</v>
          </cell>
          <cell r="BY255">
            <v>10.08</v>
          </cell>
          <cell r="BZ255">
            <v>11.200000000000001</v>
          </cell>
          <cell r="CA255">
            <v>10.64</v>
          </cell>
          <cell r="CB255">
            <v>10.64</v>
          </cell>
          <cell r="CC255">
            <v>10.64</v>
          </cell>
          <cell r="CD255">
            <v>12.88</v>
          </cell>
          <cell r="CE255">
            <v>11.200000000000001</v>
          </cell>
          <cell r="CF255">
            <v>11.200000000000001</v>
          </cell>
          <cell r="CG255">
            <v>11.76</v>
          </cell>
          <cell r="CH255">
            <v>12.32</v>
          </cell>
          <cell r="CI255">
            <v>13.44</v>
          </cell>
          <cell r="CJ255">
            <v>11.76</v>
          </cell>
          <cell r="CK255">
            <v>11.76</v>
          </cell>
          <cell r="CL255">
            <v>11.76</v>
          </cell>
          <cell r="CM255">
            <v>9.52</v>
          </cell>
          <cell r="CN255">
            <v>8.9600000000000009</v>
          </cell>
          <cell r="CO255">
            <v>10.08</v>
          </cell>
          <cell r="CP255">
            <v>11.200000000000001</v>
          </cell>
          <cell r="CQ255">
            <v>10.64</v>
          </cell>
          <cell r="CR255">
            <v>11.200000000000001</v>
          </cell>
          <cell r="CS255">
            <v>11.76</v>
          </cell>
          <cell r="CT255">
            <v>12.88</v>
          </cell>
          <cell r="CU255">
            <v>9.52</v>
          </cell>
          <cell r="CV255">
            <v>8.6240000000000006</v>
          </cell>
          <cell r="CW255">
            <v>8.6240000000000006</v>
          </cell>
          <cell r="CX255">
            <v>8.6240000000000006</v>
          </cell>
          <cell r="CY255">
            <v>8.4</v>
          </cell>
          <cell r="CZ255">
            <v>8.4</v>
          </cell>
          <cell r="DA255">
            <v>8.4</v>
          </cell>
          <cell r="DB255">
            <v>8.0640000000000001</v>
          </cell>
          <cell r="DC255">
            <v>8.0640000000000001</v>
          </cell>
          <cell r="DD255">
            <v>8.9600000000000009</v>
          </cell>
          <cell r="DE255">
            <v>9.52</v>
          </cell>
          <cell r="DF255">
            <v>11.200000000000001</v>
          </cell>
          <cell r="DG255">
            <v>10.64</v>
          </cell>
          <cell r="DH255">
            <v>11.200000000000001</v>
          </cell>
          <cell r="DI255">
            <v>11.76</v>
          </cell>
          <cell r="DJ255">
            <v>12.88</v>
          </cell>
          <cell r="DK255">
            <v>9.52</v>
          </cell>
          <cell r="DL255">
            <v>8.6240000000000006</v>
          </cell>
          <cell r="DM255">
            <v>8.6240000000000006</v>
          </cell>
          <cell r="DN255">
            <v>8.6240000000000006</v>
          </cell>
          <cell r="DO255">
            <v>8.4</v>
          </cell>
          <cell r="DP255">
            <v>8.4</v>
          </cell>
          <cell r="DQ255">
            <v>8.4</v>
          </cell>
          <cell r="DR255">
            <v>8.0640000000000001</v>
          </cell>
          <cell r="DS255">
            <v>8.0640000000000001</v>
          </cell>
          <cell r="DT255">
            <v>8.9600000000000009</v>
          </cell>
          <cell r="DU255">
            <v>9.52</v>
          </cell>
        </row>
        <row r="256">
          <cell r="F256" t="str">
            <v>Propylene</v>
          </cell>
          <cell r="H256">
            <v>14</v>
          </cell>
          <cell r="I256">
            <v>14.5</v>
          </cell>
          <cell r="J256">
            <v>16.5</v>
          </cell>
          <cell r="K256">
            <v>19.5</v>
          </cell>
          <cell r="L256">
            <v>22.5</v>
          </cell>
          <cell r="M256">
            <v>22.5</v>
          </cell>
          <cell r="N256">
            <v>21.5</v>
          </cell>
          <cell r="O256">
            <v>20</v>
          </cell>
          <cell r="P256">
            <v>19</v>
          </cell>
          <cell r="Q256">
            <v>18</v>
          </cell>
          <cell r="R256">
            <v>17</v>
          </cell>
          <cell r="S256">
            <v>16</v>
          </cell>
          <cell r="T256">
            <v>14.5</v>
          </cell>
          <cell r="U256">
            <v>14.5</v>
          </cell>
          <cell r="V256">
            <v>14.5</v>
          </cell>
          <cell r="W256">
            <v>14.5</v>
          </cell>
          <cell r="X256">
            <v>14.5</v>
          </cell>
          <cell r="Y256">
            <v>14.5</v>
          </cell>
          <cell r="Z256">
            <v>15.5</v>
          </cell>
          <cell r="AA256">
            <v>14.5</v>
          </cell>
          <cell r="AB256">
            <v>14.5</v>
          </cell>
          <cell r="AC256">
            <v>14.5</v>
          </cell>
          <cell r="AD256">
            <v>15</v>
          </cell>
          <cell r="AE256">
            <v>15.25</v>
          </cell>
          <cell r="AF256">
            <v>15.5</v>
          </cell>
          <cell r="AG256">
            <v>15.25</v>
          </cell>
          <cell r="AH256">
            <v>15</v>
          </cell>
          <cell r="AI256">
            <v>14.5</v>
          </cell>
          <cell r="AJ256">
            <v>14</v>
          </cell>
          <cell r="AK256">
            <v>13.75</v>
          </cell>
          <cell r="AL256">
            <v>13.75</v>
          </cell>
          <cell r="AM256">
            <v>13.75</v>
          </cell>
          <cell r="AN256">
            <v>13.75</v>
          </cell>
          <cell r="AO256">
            <v>14</v>
          </cell>
          <cell r="AP256">
            <v>14.25</v>
          </cell>
          <cell r="AQ256">
            <v>14.25</v>
          </cell>
          <cell r="AR256">
            <v>14.25</v>
          </cell>
          <cell r="AS256">
            <v>13.75</v>
          </cell>
          <cell r="AT256">
            <v>13.5</v>
          </cell>
          <cell r="AU256">
            <v>13.25</v>
          </cell>
          <cell r="AV256">
            <v>13</v>
          </cell>
          <cell r="AW256">
            <v>12.75</v>
          </cell>
          <cell r="AX256">
            <v>12.75</v>
          </cell>
          <cell r="AY256">
            <v>12.75</v>
          </cell>
          <cell r="AZ256">
            <v>13.25</v>
          </cell>
          <cell r="BA256">
            <v>13.75</v>
          </cell>
          <cell r="BB256">
            <v>14.25</v>
          </cell>
          <cell r="BC256">
            <v>15.25</v>
          </cell>
          <cell r="BD256">
            <v>15.75</v>
          </cell>
          <cell r="BE256">
            <v>16.75</v>
          </cell>
          <cell r="BF256">
            <v>17.75</v>
          </cell>
          <cell r="BG256">
            <v>18.75</v>
          </cell>
          <cell r="BH256">
            <v>19.75</v>
          </cell>
          <cell r="BI256">
            <v>20.75</v>
          </cell>
          <cell r="BJ256">
            <v>21.75</v>
          </cell>
          <cell r="BK256">
            <v>22.75</v>
          </cell>
          <cell r="BL256">
            <v>23.75</v>
          </cell>
          <cell r="BM256">
            <v>24.75</v>
          </cell>
          <cell r="BN256">
            <v>24.75</v>
          </cell>
          <cell r="BO256">
            <v>24.75</v>
          </cell>
          <cell r="BP256">
            <v>24.75</v>
          </cell>
          <cell r="BQ256">
            <v>23.75</v>
          </cell>
          <cell r="BR256">
            <v>21.75</v>
          </cell>
          <cell r="BS256">
            <v>20.25</v>
          </cell>
          <cell r="BT256">
            <v>18.75</v>
          </cell>
          <cell r="BU256">
            <v>17.75</v>
          </cell>
          <cell r="BV256">
            <v>16.75</v>
          </cell>
          <cell r="BW256">
            <v>16.75</v>
          </cell>
          <cell r="BX256">
            <v>16.75</v>
          </cell>
          <cell r="BY256">
            <v>17.75</v>
          </cell>
          <cell r="BZ256">
            <v>18.75</v>
          </cell>
          <cell r="CA256">
            <v>19.25</v>
          </cell>
          <cell r="CB256">
            <v>19.25</v>
          </cell>
          <cell r="CC256">
            <v>19.75</v>
          </cell>
          <cell r="CD256">
            <v>19.75</v>
          </cell>
          <cell r="CE256">
            <v>19.75</v>
          </cell>
          <cell r="CF256">
            <v>19.75</v>
          </cell>
          <cell r="CG256">
            <v>20.25</v>
          </cell>
          <cell r="CH256">
            <v>20.75</v>
          </cell>
          <cell r="CI256">
            <v>21.25</v>
          </cell>
          <cell r="CJ256">
            <v>21.25</v>
          </cell>
          <cell r="CK256">
            <v>21.25</v>
          </cell>
          <cell r="CL256">
            <v>21.25</v>
          </cell>
          <cell r="CM256">
            <v>21.25</v>
          </cell>
          <cell r="CN256">
            <v>21.25</v>
          </cell>
          <cell r="CO256">
            <v>21.25</v>
          </cell>
          <cell r="CP256">
            <v>20.5</v>
          </cell>
          <cell r="CQ256">
            <v>19.5</v>
          </cell>
          <cell r="CR256">
            <v>18.75</v>
          </cell>
          <cell r="CS256">
            <v>18</v>
          </cell>
          <cell r="CT256">
            <v>17.25</v>
          </cell>
          <cell r="CU256">
            <v>16.25</v>
          </cell>
          <cell r="CV256">
            <v>15.25</v>
          </cell>
          <cell r="CW256">
            <v>14.75</v>
          </cell>
          <cell r="CX256">
            <v>14.25</v>
          </cell>
          <cell r="CY256">
            <v>14</v>
          </cell>
          <cell r="CZ256">
            <v>14</v>
          </cell>
          <cell r="DA256">
            <v>13.5</v>
          </cell>
          <cell r="DB256">
            <v>13.5</v>
          </cell>
          <cell r="DC256">
            <v>13</v>
          </cell>
          <cell r="DD256">
            <v>12.75</v>
          </cell>
          <cell r="DE256">
            <v>12.5</v>
          </cell>
          <cell r="DF256">
            <v>20.5</v>
          </cell>
          <cell r="DG256">
            <v>19.5</v>
          </cell>
          <cell r="DH256">
            <v>18.75</v>
          </cell>
          <cell r="DI256">
            <v>18</v>
          </cell>
          <cell r="DJ256">
            <v>17.25</v>
          </cell>
          <cell r="DK256">
            <v>16.25</v>
          </cell>
          <cell r="DL256">
            <v>15.25</v>
          </cell>
          <cell r="DM256">
            <v>14.75</v>
          </cell>
          <cell r="DN256">
            <v>14.25</v>
          </cell>
          <cell r="DO256">
            <v>14</v>
          </cell>
          <cell r="DP256">
            <v>14</v>
          </cell>
          <cell r="DQ256">
            <v>13.5</v>
          </cell>
          <cell r="DR256">
            <v>13.5</v>
          </cell>
          <cell r="DS256">
            <v>13</v>
          </cell>
          <cell r="DT256">
            <v>12.75</v>
          </cell>
          <cell r="DU256">
            <v>12.5</v>
          </cell>
        </row>
        <row r="257">
          <cell r="F257" t="str">
            <v>Benzene + Propylene Costs</v>
          </cell>
          <cell r="H257">
            <v>28.560000000000002</v>
          </cell>
          <cell r="I257">
            <v>29.060000000000002</v>
          </cell>
          <cell r="J257">
            <v>35.54</v>
          </cell>
          <cell r="K257">
            <v>41.900000000000006</v>
          </cell>
          <cell r="L257">
            <v>44.900000000000006</v>
          </cell>
          <cell r="M257">
            <v>39.299999999999997</v>
          </cell>
          <cell r="N257">
            <v>38.299999999999997</v>
          </cell>
          <cell r="O257">
            <v>36.24</v>
          </cell>
          <cell r="P257">
            <v>31.32</v>
          </cell>
          <cell r="Q257">
            <v>30.32</v>
          </cell>
          <cell r="R257">
            <v>29.375999999999998</v>
          </cell>
          <cell r="S257">
            <v>28.32</v>
          </cell>
          <cell r="T257">
            <v>26.259999999999998</v>
          </cell>
          <cell r="U257">
            <v>26.82</v>
          </cell>
          <cell r="V257">
            <v>28.5</v>
          </cell>
          <cell r="W257">
            <v>29.060000000000002</v>
          </cell>
          <cell r="X257">
            <v>29.060000000000002</v>
          </cell>
          <cell r="Y257">
            <v>29.060000000000002</v>
          </cell>
          <cell r="Z257">
            <v>27.82</v>
          </cell>
          <cell r="AA257">
            <v>26.259999999999998</v>
          </cell>
          <cell r="AB257">
            <v>26.82</v>
          </cell>
          <cell r="AC257">
            <v>27.380000000000003</v>
          </cell>
          <cell r="AD257">
            <v>28.439999999999998</v>
          </cell>
          <cell r="AE257">
            <v>28.689999999999998</v>
          </cell>
          <cell r="AF257">
            <v>30.060000000000002</v>
          </cell>
          <cell r="AG257">
            <v>28.689999999999998</v>
          </cell>
          <cell r="AH257">
            <v>27.32</v>
          </cell>
          <cell r="AI257">
            <v>24.58</v>
          </cell>
          <cell r="AJ257">
            <v>25.200000000000003</v>
          </cell>
          <cell r="AK257">
            <v>24.950000000000003</v>
          </cell>
          <cell r="AL257">
            <v>24.950000000000003</v>
          </cell>
          <cell r="AM257">
            <v>25.509999999999998</v>
          </cell>
          <cell r="AN257">
            <v>26.07</v>
          </cell>
          <cell r="AO257">
            <v>25.759999999999998</v>
          </cell>
          <cell r="AP257">
            <v>25.450000000000003</v>
          </cell>
          <cell r="AQ257">
            <v>25.450000000000003</v>
          </cell>
          <cell r="AR257">
            <v>24.89</v>
          </cell>
          <cell r="AS257">
            <v>24.39</v>
          </cell>
          <cell r="AT257">
            <v>24.14</v>
          </cell>
          <cell r="AU257">
            <v>23.33</v>
          </cell>
          <cell r="AV257">
            <v>23.08</v>
          </cell>
          <cell r="AW257">
            <v>22.27</v>
          </cell>
          <cell r="AX257">
            <v>22.27</v>
          </cell>
          <cell r="AY257">
            <v>22.27</v>
          </cell>
          <cell r="AZ257">
            <v>23.89</v>
          </cell>
          <cell r="BA257">
            <v>25.509999999999998</v>
          </cell>
          <cell r="BB257">
            <v>26.57</v>
          </cell>
          <cell r="BC257">
            <v>26.450000000000003</v>
          </cell>
          <cell r="BD257">
            <v>26.950000000000003</v>
          </cell>
          <cell r="BE257">
            <v>29.630000000000003</v>
          </cell>
          <cell r="BF257">
            <v>34.549999999999997</v>
          </cell>
          <cell r="BG257">
            <v>33.31</v>
          </cell>
          <cell r="BH257">
            <v>30.950000000000003</v>
          </cell>
          <cell r="BI257">
            <v>31.950000000000003</v>
          </cell>
          <cell r="BJ257">
            <v>34.07</v>
          </cell>
          <cell r="BK257">
            <v>36.19</v>
          </cell>
          <cell r="BL257">
            <v>34.950000000000003</v>
          </cell>
          <cell r="BM257">
            <v>36.51</v>
          </cell>
          <cell r="BN257">
            <v>37.630000000000003</v>
          </cell>
          <cell r="BO257">
            <v>36.51</v>
          </cell>
          <cell r="BP257">
            <v>34.83</v>
          </cell>
          <cell r="BQ257">
            <v>33.83</v>
          </cell>
          <cell r="BR257">
            <v>31.27</v>
          </cell>
          <cell r="BS257">
            <v>28.65</v>
          </cell>
          <cell r="BT257">
            <v>26.59</v>
          </cell>
          <cell r="BU257">
            <v>26.71</v>
          </cell>
          <cell r="BV257">
            <v>26.83</v>
          </cell>
          <cell r="BW257">
            <v>27.39</v>
          </cell>
          <cell r="BX257">
            <v>26.83</v>
          </cell>
          <cell r="BY257">
            <v>27.83</v>
          </cell>
          <cell r="BZ257">
            <v>29.950000000000003</v>
          </cell>
          <cell r="CA257">
            <v>29.89</v>
          </cell>
          <cell r="CB257">
            <v>29.89</v>
          </cell>
          <cell r="CC257">
            <v>30.39</v>
          </cell>
          <cell r="CD257">
            <v>32.630000000000003</v>
          </cell>
          <cell r="CE257">
            <v>30.950000000000003</v>
          </cell>
          <cell r="CF257">
            <v>30.950000000000003</v>
          </cell>
          <cell r="CG257">
            <v>32.01</v>
          </cell>
          <cell r="CH257">
            <v>33.07</v>
          </cell>
          <cell r="CI257">
            <v>34.69</v>
          </cell>
          <cell r="CJ257">
            <v>33.01</v>
          </cell>
          <cell r="CK257">
            <v>33.01</v>
          </cell>
          <cell r="CL257">
            <v>33.01</v>
          </cell>
          <cell r="CM257">
            <v>30.77</v>
          </cell>
          <cell r="CN257">
            <v>30.21</v>
          </cell>
          <cell r="CO257">
            <v>31.33</v>
          </cell>
          <cell r="CP257">
            <v>31.700000000000003</v>
          </cell>
          <cell r="CQ257">
            <v>30.14</v>
          </cell>
          <cell r="CR257">
            <v>29.950000000000003</v>
          </cell>
          <cell r="CS257">
            <v>29.759999999999998</v>
          </cell>
          <cell r="CT257">
            <v>30.130000000000003</v>
          </cell>
          <cell r="CU257">
            <v>25.77</v>
          </cell>
          <cell r="CV257">
            <v>23.874000000000002</v>
          </cell>
          <cell r="CW257">
            <v>23.374000000000002</v>
          </cell>
          <cell r="CX257">
            <v>22.874000000000002</v>
          </cell>
          <cell r="CY257">
            <v>22.4</v>
          </cell>
          <cell r="CZ257">
            <v>22.4</v>
          </cell>
          <cell r="DA257">
            <v>21.9</v>
          </cell>
          <cell r="DB257">
            <v>21.564</v>
          </cell>
          <cell r="DC257">
            <v>21.064</v>
          </cell>
          <cell r="DD257">
            <v>21.71</v>
          </cell>
          <cell r="DE257">
            <v>22.02</v>
          </cell>
          <cell r="DF257">
            <v>31.700000000000003</v>
          </cell>
          <cell r="DG257">
            <v>30.14</v>
          </cell>
          <cell r="DH257">
            <v>29.950000000000003</v>
          </cell>
          <cell r="DI257">
            <v>29.759999999999998</v>
          </cell>
          <cell r="DJ257">
            <v>30.130000000000003</v>
          </cell>
          <cell r="DK257">
            <v>25.77</v>
          </cell>
          <cell r="DL257">
            <v>23.874000000000002</v>
          </cell>
          <cell r="DM257">
            <v>23.374000000000002</v>
          </cell>
          <cell r="DN257">
            <v>22.874000000000002</v>
          </cell>
          <cell r="DO257">
            <v>22.4</v>
          </cell>
          <cell r="DP257">
            <v>22.4</v>
          </cell>
          <cell r="DQ257">
            <v>21.9</v>
          </cell>
          <cell r="DR257">
            <v>21.564</v>
          </cell>
          <cell r="DS257">
            <v>21.064</v>
          </cell>
          <cell r="DT257">
            <v>21.71</v>
          </cell>
          <cell r="DU257">
            <v>22.02</v>
          </cell>
        </row>
        <row r="259">
          <cell r="F259" t="str">
            <v>Spread</v>
          </cell>
          <cell r="H259">
            <v>26.439999999999998</v>
          </cell>
          <cell r="I259">
            <v>25.939999999999998</v>
          </cell>
          <cell r="J259">
            <v>19.46</v>
          </cell>
          <cell r="K259">
            <v>20.099999999999994</v>
          </cell>
          <cell r="L259">
            <v>19.099999999999994</v>
          </cell>
          <cell r="M259">
            <v>21.700000000000003</v>
          </cell>
          <cell r="N259">
            <v>19.700000000000003</v>
          </cell>
          <cell r="O259">
            <v>20.759999999999998</v>
          </cell>
          <cell r="P259">
            <v>21.68</v>
          </cell>
          <cell r="Q259">
            <v>20.68</v>
          </cell>
          <cell r="R259">
            <v>21.624000000000002</v>
          </cell>
          <cell r="S259">
            <v>21.68</v>
          </cell>
          <cell r="T259">
            <v>20.740000000000002</v>
          </cell>
          <cell r="U259">
            <v>20.18</v>
          </cell>
          <cell r="V259">
            <v>18.5</v>
          </cell>
          <cell r="W259">
            <v>17.939999999999998</v>
          </cell>
          <cell r="X259">
            <v>17.939999999999998</v>
          </cell>
          <cell r="Y259">
            <v>17.939999999999998</v>
          </cell>
          <cell r="Z259">
            <v>13.18</v>
          </cell>
          <cell r="AA259">
            <v>14.740000000000002</v>
          </cell>
          <cell r="AB259">
            <v>14.18</v>
          </cell>
          <cell r="AC259">
            <v>14.619999999999997</v>
          </cell>
          <cell r="AD259">
            <v>13.560000000000002</v>
          </cell>
          <cell r="AE259">
            <v>13.310000000000002</v>
          </cell>
          <cell r="AF259">
            <v>13.939999999999998</v>
          </cell>
          <cell r="AG259">
            <v>15.310000000000002</v>
          </cell>
          <cell r="AH259">
            <v>15.18</v>
          </cell>
          <cell r="AI259">
            <v>15.420000000000002</v>
          </cell>
          <cell r="AJ259">
            <v>14.799999999999997</v>
          </cell>
          <cell r="AK259">
            <v>15.049999999999997</v>
          </cell>
          <cell r="AL259">
            <v>16.049999999999997</v>
          </cell>
          <cell r="AM259">
            <v>15.490000000000002</v>
          </cell>
          <cell r="AN259">
            <v>14.93</v>
          </cell>
          <cell r="AO259">
            <v>18.240000000000002</v>
          </cell>
          <cell r="AP259">
            <v>18.549999999999997</v>
          </cell>
          <cell r="AQ259">
            <v>18.549999999999997</v>
          </cell>
          <cell r="AR259">
            <v>18.11</v>
          </cell>
          <cell r="AS259">
            <v>17.61</v>
          </cell>
          <cell r="AT259">
            <v>15.86</v>
          </cell>
          <cell r="AU259">
            <v>14.670000000000002</v>
          </cell>
          <cell r="AV259">
            <v>14.920000000000002</v>
          </cell>
          <cell r="AW259">
            <v>13.73</v>
          </cell>
          <cell r="AX259">
            <v>11.73</v>
          </cell>
          <cell r="AY259">
            <v>11.73</v>
          </cell>
          <cell r="AZ259">
            <v>10.11</v>
          </cell>
          <cell r="BA259">
            <v>13.990000000000002</v>
          </cell>
          <cell r="BB259">
            <v>12.93</v>
          </cell>
          <cell r="BC259">
            <v>13.049999999999997</v>
          </cell>
          <cell r="BD259">
            <v>17.299999999999997</v>
          </cell>
          <cell r="BE259">
            <v>14.619999999999997</v>
          </cell>
          <cell r="BF259">
            <v>9.7000000000000028</v>
          </cell>
          <cell r="BG259">
            <v>20.939999999999998</v>
          </cell>
          <cell r="BH259">
            <v>21.299999999999997</v>
          </cell>
          <cell r="BI259">
            <v>20.299999999999997</v>
          </cell>
          <cell r="BJ259">
            <v>22.18</v>
          </cell>
          <cell r="BK259">
            <v>20.060000000000002</v>
          </cell>
          <cell r="BL259">
            <v>21.299999999999997</v>
          </cell>
          <cell r="BM259">
            <v>23.740000000000002</v>
          </cell>
          <cell r="BN259">
            <v>22.619999999999997</v>
          </cell>
          <cell r="BO259">
            <v>22.740000000000002</v>
          </cell>
          <cell r="BP259">
            <v>26.42</v>
          </cell>
          <cell r="BQ259">
            <v>27.42</v>
          </cell>
          <cell r="BR259">
            <v>27.98</v>
          </cell>
          <cell r="BS259">
            <v>28.6</v>
          </cell>
          <cell r="BT259">
            <v>29.66</v>
          </cell>
          <cell r="BU259">
            <v>28.54</v>
          </cell>
          <cell r="BV259">
            <v>25.42</v>
          </cell>
          <cell r="BW259">
            <v>24.86</v>
          </cell>
          <cell r="BX259">
            <v>25.42</v>
          </cell>
          <cell r="BY259">
            <v>23.17</v>
          </cell>
          <cell r="BZ259">
            <v>21.049999999999997</v>
          </cell>
          <cell r="CA259">
            <v>21.11</v>
          </cell>
          <cell r="CB259">
            <v>21.11</v>
          </cell>
          <cell r="CC259">
            <v>20.61</v>
          </cell>
          <cell r="CD259">
            <v>18.369999999999997</v>
          </cell>
          <cell r="CE259">
            <v>20.549999999999997</v>
          </cell>
          <cell r="CF259">
            <v>20.549999999999997</v>
          </cell>
          <cell r="CG259">
            <v>19.490000000000002</v>
          </cell>
          <cell r="CH259">
            <v>18.43</v>
          </cell>
          <cell r="CI259">
            <v>16.810000000000002</v>
          </cell>
          <cell r="CJ259">
            <v>18.490000000000002</v>
          </cell>
          <cell r="CK259">
            <v>20.490000000000002</v>
          </cell>
          <cell r="CL259">
            <v>19.740000000000002</v>
          </cell>
          <cell r="CM259">
            <v>21.98</v>
          </cell>
          <cell r="CN259">
            <v>23.29</v>
          </cell>
          <cell r="CO259">
            <v>22.42</v>
          </cell>
          <cell r="CP259">
            <v>22.049999999999997</v>
          </cell>
          <cell r="CQ259">
            <v>23.61</v>
          </cell>
          <cell r="CR259">
            <v>23.799999999999997</v>
          </cell>
          <cell r="CS259">
            <v>23.990000000000002</v>
          </cell>
          <cell r="CT259">
            <v>25.619999999999997</v>
          </cell>
          <cell r="CU259">
            <v>27.98</v>
          </cell>
          <cell r="CV259">
            <v>29.875999999999998</v>
          </cell>
          <cell r="CW259">
            <v>26.875999999999998</v>
          </cell>
          <cell r="CX259">
            <v>25.375999999999998</v>
          </cell>
          <cell r="CY259">
            <v>23.35</v>
          </cell>
          <cell r="CZ259">
            <v>22.35</v>
          </cell>
          <cell r="DA259">
            <v>20.85</v>
          </cell>
          <cell r="DB259">
            <v>18.686</v>
          </cell>
          <cell r="DC259">
            <v>19.186</v>
          </cell>
          <cell r="DD259">
            <v>16.54</v>
          </cell>
          <cell r="DE259">
            <v>14.98</v>
          </cell>
          <cell r="DF259">
            <v>22.049999999999997</v>
          </cell>
          <cell r="DG259">
            <v>23.61</v>
          </cell>
          <cell r="DH259">
            <v>23.799999999999997</v>
          </cell>
          <cell r="DI259">
            <v>23.990000000000002</v>
          </cell>
          <cell r="DJ259">
            <v>25.619999999999997</v>
          </cell>
          <cell r="DK259">
            <v>27.98</v>
          </cell>
          <cell r="DL259">
            <v>29.875999999999998</v>
          </cell>
          <cell r="DM259">
            <v>26.875999999999998</v>
          </cell>
          <cell r="DN259">
            <v>25.375999999999998</v>
          </cell>
          <cell r="DO259">
            <v>23.35</v>
          </cell>
          <cell r="DP259">
            <v>22.35</v>
          </cell>
          <cell r="DQ259">
            <v>20.85</v>
          </cell>
          <cell r="DR259">
            <v>18.686</v>
          </cell>
          <cell r="DS259">
            <v>19.186</v>
          </cell>
          <cell r="DT259">
            <v>16.54</v>
          </cell>
          <cell r="DU259">
            <v>14.98</v>
          </cell>
        </row>
        <row r="261">
          <cell r="EU261">
            <v>19.101016666666666</v>
          </cell>
          <cell r="FG261">
            <v>26.675799999999995</v>
          </cell>
          <cell r="FJ261">
            <v>19.039345833333332</v>
          </cell>
          <cell r="FK261">
            <v>19.101016666666666</v>
          </cell>
          <cell r="FV261">
            <v>24.691904166666664</v>
          </cell>
          <cell r="FW261">
            <v>26.675799999999995</v>
          </cell>
        </row>
        <row r="262">
          <cell r="EN262">
            <v>19.4985</v>
          </cell>
          <cell r="EQ262">
            <v>15.688966666666667</v>
          </cell>
          <cell r="ET262">
            <v>19.866333333333333</v>
          </cell>
          <cell r="EW262">
            <v>20.096916666666669</v>
          </cell>
          <cell r="EZ262">
            <v>20.751850000000001</v>
          </cell>
          <cell r="FC262">
            <v>26.879350000000002</v>
          </cell>
          <cell r="FD262">
            <v>19.4985</v>
          </cell>
          <cell r="FF262">
            <v>26.661166666666663</v>
          </cell>
          <cell r="FG262">
            <v>15.688966666666667</v>
          </cell>
          <cell r="FI262">
            <v>26.218800000000002</v>
          </cell>
          <cell r="FJ262">
            <v>19.866333333333333</v>
          </cell>
          <cell r="FL262">
            <v>26.943883333333332</v>
          </cell>
          <cell r="FM262">
            <v>20.096916666666669</v>
          </cell>
          <cell r="FO262">
            <v>20.505166666666668</v>
          </cell>
          <cell r="FP262">
            <v>20.751850000000001</v>
          </cell>
          <cell r="FR262">
            <v>20.356550000000002</v>
          </cell>
          <cell r="FS262">
            <v>26.879350000000002</v>
          </cell>
          <cell r="FU262">
            <v>25.134799999999998</v>
          </cell>
          <cell r="FV262">
            <v>26.661166666666663</v>
          </cell>
          <cell r="FX262">
            <v>26.47966666666667</v>
          </cell>
          <cell r="FY262">
            <v>26.218800000000002</v>
          </cell>
          <cell r="GA262">
            <v>26.796600000000002</v>
          </cell>
          <cell r="GB262">
            <v>26.943883333333332</v>
          </cell>
        </row>
        <row r="263">
          <cell r="F263" t="str">
            <v>PET/P-xylene, EG  Cost Spread</v>
          </cell>
        </row>
        <row r="265">
          <cell r="H265">
            <v>33055</v>
          </cell>
          <cell r="I265">
            <v>33086</v>
          </cell>
          <cell r="J265">
            <v>33117</v>
          </cell>
          <cell r="K265">
            <v>33147</v>
          </cell>
          <cell r="L265">
            <v>33178</v>
          </cell>
          <cell r="M265">
            <v>33208</v>
          </cell>
          <cell r="N265">
            <v>33239</v>
          </cell>
          <cell r="O265">
            <v>33270</v>
          </cell>
          <cell r="P265">
            <v>33298</v>
          </cell>
          <cell r="Q265">
            <v>33329</v>
          </cell>
          <cell r="R265">
            <v>33359</v>
          </cell>
          <cell r="S265">
            <v>33390</v>
          </cell>
          <cell r="T265">
            <v>33420</v>
          </cell>
          <cell r="U265">
            <v>33451</v>
          </cell>
          <cell r="V265">
            <v>33482</v>
          </cell>
          <cell r="W265">
            <v>33512</v>
          </cell>
          <cell r="X265">
            <v>33543</v>
          </cell>
          <cell r="Y265">
            <v>33573</v>
          </cell>
          <cell r="Z265">
            <v>33604</v>
          </cell>
          <cell r="AA265">
            <v>33635</v>
          </cell>
          <cell r="AB265">
            <v>33664</v>
          </cell>
          <cell r="AC265">
            <v>33695</v>
          </cell>
          <cell r="AD265">
            <v>33725</v>
          </cell>
          <cell r="AE265">
            <v>33756</v>
          </cell>
          <cell r="AF265">
            <v>33786</v>
          </cell>
          <cell r="AG265">
            <v>33817</v>
          </cell>
          <cell r="AH265">
            <v>33848</v>
          </cell>
          <cell r="AI265">
            <v>33878</v>
          </cell>
          <cell r="AJ265">
            <v>33909</v>
          </cell>
          <cell r="AK265">
            <v>33939</v>
          </cell>
          <cell r="AL265">
            <v>33970</v>
          </cell>
          <cell r="AM265">
            <v>34001</v>
          </cell>
          <cell r="AN265">
            <v>34029</v>
          </cell>
          <cell r="AO265">
            <v>34060</v>
          </cell>
          <cell r="AP265">
            <v>34090</v>
          </cell>
          <cell r="AQ265">
            <v>34121</v>
          </cell>
          <cell r="AR265">
            <v>34151</v>
          </cell>
          <cell r="AS265">
            <v>34182</v>
          </cell>
          <cell r="AT265">
            <v>34213</v>
          </cell>
          <cell r="AU265">
            <v>34243</v>
          </cell>
          <cell r="AV265">
            <v>34274</v>
          </cell>
          <cell r="AW265">
            <v>34304</v>
          </cell>
          <cell r="AX265">
            <v>34335</v>
          </cell>
          <cell r="AY265">
            <v>34366</v>
          </cell>
          <cell r="AZ265">
            <v>34394</v>
          </cell>
          <cell r="BA265">
            <v>34425</v>
          </cell>
          <cell r="BB265">
            <v>34455</v>
          </cell>
          <cell r="BC265">
            <v>34486</v>
          </cell>
          <cell r="BD265">
            <v>34516</v>
          </cell>
          <cell r="BE265">
            <v>34547</v>
          </cell>
          <cell r="BF265">
            <v>34578</v>
          </cell>
          <cell r="BG265">
            <v>34608</v>
          </cell>
          <cell r="BH265">
            <v>34639</v>
          </cell>
          <cell r="BI265">
            <v>34669</v>
          </cell>
          <cell r="BJ265">
            <v>34700</v>
          </cell>
          <cell r="BK265">
            <v>34731</v>
          </cell>
          <cell r="BL265">
            <v>34759</v>
          </cell>
          <cell r="BM265">
            <v>34790</v>
          </cell>
          <cell r="BN265">
            <v>34820</v>
          </cell>
          <cell r="BO265">
            <v>34851</v>
          </cell>
          <cell r="BP265">
            <v>34881</v>
          </cell>
          <cell r="BQ265">
            <v>34912</v>
          </cell>
          <cell r="BR265">
            <v>34943</v>
          </cell>
          <cell r="BS265">
            <v>34973</v>
          </cell>
          <cell r="BT265">
            <v>35004</v>
          </cell>
          <cell r="BU265">
            <v>35034</v>
          </cell>
          <cell r="BV265">
            <v>35065</v>
          </cell>
          <cell r="BW265">
            <v>35096</v>
          </cell>
          <cell r="BX265">
            <v>35125</v>
          </cell>
          <cell r="BY265">
            <v>35156</v>
          </cell>
          <cell r="BZ265">
            <v>35186</v>
          </cell>
          <cell r="CA265">
            <v>35217</v>
          </cell>
          <cell r="CB265">
            <v>35247</v>
          </cell>
          <cell r="CC265">
            <v>35278</v>
          </cell>
          <cell r="CD265">
            <v>35309</v>
          </cell>
          <cell r="CE265">
            <v>35339</v>
          </cell>
          <cell r="CF265">
            <v>35370</v>
          </cell>
          <cell r="CG265">
            <v>35400</v>
          </cell>
          <cell r="CH265">
            <v>35431</v>
          </cell>
          <cell r="CI265">
            <v>35462</v>
          </cell>
          <cell r="CJ265">
            <v>35490</v>
          </cell>
          <cell r="CK265">
            <v>35521</v>
          </cell>
          <cell r="CL265">
            <v>35551</v>
          </cell>
          <cell r="CM265">
            <v>35582</v>
          </cell>
          <cell r="CN265">
            <v>35612</v>
          </cell>
          <cell r="CO265">
            <v>35643</v>
          </cell>
          <cell r="CP265">
            <v>35674</v>
          </cell>
          <cell r="CQ265">
            <v>35704</v>
          </cell>
          <cell r="CR265">
            <v>35735</v>
          </cell>
          <cell r="CS265">
            <v>35765</v>
          </cell>
          <cell r="CT265">
            <v>35796</v>
          </cell>
          <cell r="CU265">
            <v>35827</v>
          </cell>
          <cell r="CV265">
            <v>35855</v>
          </cell>
          <cell r="CW265">
            <v>35886</v>
          </cell>
          <cell r="CX265">
            <v>35916</v>
          </cell>
          <cell r="CY265">
            <v>35947</v>
          </cell>
          <cell r="CZ265">
            <v>35977</v>
          </cell>
          <cell r="DA265">
            <v>36008</v>
          </cell>
          <cell r="DB265">
            <v>36039</v>
          </cell>
          <cell r="DC265">
            <v>36069</v>
          </cell>
          <cell r="DD265">
            <v>36100</v>
          </cell>
          <cell r="DE265">
            <v>36130</v>
          </cell>
          <cell r="DF265">
            <v>36161</v>
          </cell>
          <cell r="DG265">
            <v>36192</v>
          </cell>
          <cell r="DH265">
            <v>36220</v>
          </cell>
          <cell r="DI265">
            <v>36251</v>
          </cell>
          <cell r="DJ265">
            <v>36281</v>
          </cell>
          <cell r="DK265">
            <v>36312</v>
          </cell>
          <cell r="DL265">
            <v>36342</v>
          </cell>
          <cell r="DM265">
            <v>36373</v>
          </cell>
          <cell r="DN265">
            <v>36404</v>
          </cell>
          <cell r="DO265">
            <v>36434</v>
          </cell>
          <cell r="DP265">
            <v>36465</v>
          </cell>
          <cell r="DQ265">
            <v>36495</v>
          </cell>
          <cell r="DR265">
            <v>36526</v>
          </cell>
          <cell r="DS265">
            <v>36557</v>
          </cell>
          <cell r="DT265">
            <v>36586</v>
          </cell>
          <cell r="DU265">
            <v>36617</v>
          </cell>
          <cell r="DV265">
            <v>36647</v>
          </cell>
          <cell r="DW265">
            <v>36678</v>
          </cell>
          <cell r="DX265">
            <v>36708</v>
          </cell>
          <cell r="DY265">
            <v>36739</v>
          </cell>
          <cell r="DZ265">
            <v>36770</v>
          </cell>
          <cell r="EA265">
            <v>36800</v>
          </cell>
          <cell r="EB265">
            <v>36831</v>
          </cell>
          <cell r="EC265">
            <v>36861</v>
          </cell>
          <cell r="ED265">
            <v>36892</v>
          </cell>
          <cell r="EE265">
            <v>36923</v>
          </cell>
          <cell r="EF265">
            <v>36951</v>
          </cell>
          <cell r="EG265">
            <v>36982</v>
          </cell>
          <cell r="EH265">
            <v>37012</v>
          </cell>
          <cell r="EI265">
            <v>37043</v>
          </cell>
          <cell r="EJ265">
            <v>37073</v>
          </cell>
          <cell r="EK265">
            <v>37104</v>
          </cell>
          <cell r="EL265">
            <v>37135</v>
          </cell>
          <cell r="EM265">
            <v>37165</v>
          </cell>
          <cell r="EN265">
            <v>37196</v>
          </cell>
          <cell r="EO265">
            <v>37226</v>
          </cell>
          <cell r="EP265">
            <v>37257</v>
          </cell>
          <cell r="EQ265">
            <v>37288</v>
          </cell>
          <cell r="ER265">
            <v>37316</v>
          </cell>
          <cell r="ES265">
            <v>37347</v>
          </cell>
          <cell r="ET265">
            <v>37377</v>
          </cell>
          <cell r="EU265">
            <v>37408</v>
          </cell>
          <cell r="EV265">
            <v>37438</v>
          </cell>
          <cell r="EW265">
            <v>37469</v>
          </cell>
          <cell r="EX265">
            <v>37500</v>
          </cell>
          <cell r="EY265">
            <v>37530</v>
          </cell>
          <cell r="EZ265">
            <v>37561</v>
          </cell>
          <cell r="FA265">
            <v>37591</v>
          </cell>
          <cell r="FB265">
            <v>37622</v>
          </cell>
          <cell r="FC265">
            <v>37653</v>
          </cell>
          <cell r="FD265">
            <v>37681</v>
          </cell>
          <cell r="FE265">
            <v>37712</v>
          </cell>
          <cell r="FF265">
            <v>37742</v>
          </cell>
          <cell r="FG265">
            <v>37773</v>
          </cell>
          <cell r="FH265">
            <v>37803</v>
          </cell>
          <cell r="FI265">
            <v>37834</v>
          </cell>
          <cell r="FJ265">
            <v>37865</v>
          </cell>
          <cell r="FK265">
            <v>37895</v>
          </cell>
          <cell r="FL265">
            <v>37926</v>
          </cell>
          <cell r="FM265">
            <v>37956</v>
          </cell>
          <cell r="FN265">
            <v>37987</v>
          </cell>
          <cell r="FO265">
            <v>38018</v>
          </cell>
          <cell r="FP265">
            <v>38047</v>
          </cell>
          <cell r="FQ265">
            <v>38078</v>
          </cell>
          <cell r="FR265">
            <v>38108</v>
          </cell>
          <cell r="FS265">
            <v>38139</v>
          </cell>
          <cell r="FT265">
            <v>38169</v>
          </cell>
          <cell r="FU265">
            <v>38200</v>
          </cell>
          <cell r="FV265">
            <v>38231</v>
          </cell>
          <cell r="FW265">
            <v>38261</v>
          </cell>
          <cell r="FX265">
            <v>38292</v>
          </cell>
          <cell r="FY265">
            <v>38322</v>
          </cell>
          <cell r="FZ265">
            <v>38353</v>
          </cell>
          <cell r="GA265">
            <v>38384</v>
          </cell>
          <cell r="GB265">
            <v>38412</v>
          </cell>
          <cell r="GC265">
            <v>38443</v>
          </cell>
          <cell r="GD265">
            <v>38473</v>
          </cell>
          <cell r="GE265">
            <v>38504</v>
          </cell>
          <cell r="GF265">
            <v>38534</v>
          </cell>
          <cell r="GG265">
            <v>38565</v>
          </cell>
          <cell r="GH265">
            <v>38596</v>
          </cell>
          <cell r="GI265">
            <v>38626</v>
          </cell>
          <cell r="GJ265">
            <v>38657</v>
          </cell>
          <cell r="GK265">
            <v>38687</v>
          </cell>
          <cell r="GL265">
            <v>38718</v>
          </cell>
          <cell r="GM265">
            <v>38749</v>
          </cell>
          <cell r="GN265">
            <v>38777</v>
          </cell>
          <cell r="GO265">
            <v>38808</v>
          </cell>
          <cell r="GP265">
            <v>38838</v>
          </cell>
          <cell r="GQ265">
            <v>38869</v>
          </cell>
          <cell r="GR265">
            <v>38899</v>
          </cell>
          <cell r="GS265">
            <v>38930</v>
          </cell>
          <cell r="GT265">
            <v>38961</v>
          </cell>
          <cell r="GU265">
            <v>38991</v>
          </cell>
          <cell r="GV265">
            <v>39022</v>
          </cell>
          <cell r="GW265">
            <v>39052</v>
          </cell>
          <cell r="GX265">
            <v>39083</v>
          </cell>
          <cell r="GY265">
            <v>39114</v>
          </cell>
          <cell r="GZ265">
            <v>39142</v>
          </cell>
          <cell r="HA265">
            <v>39173</v>
          </cell>
          <cell r="HB265">
            <v>39203</v>
          </cell>
          <cell r="HC265">
            <v>39234</v>
          </cell>
          <cell r="HD265">
            <v>39264</v>
          </cell>
          <cell r="HE265">
            <v>39295</v>
          </cell>
          <cell r="HF265">
            <v>39326</v>
          </cell>
          <cell r="HG265">
            <v>39356</v>
          </cell>
          <cell r="HH265">
            <v>39387</v>
          </cell>
          <cell r="HI265">
            <v>39417</v>
          </cell>
          <cell r="HJ265">
            <v>39448</v>
          </cell>
          <cell r="HK265">
            <v>39479</v>
          </cell>
          <cell r="HL265">
            <v>39508</v>
          </cell>
          <cell r="HM265">
            <v>39539</v>
          </cell>
          <cell r="HN265">
            <v>39569</v>
          </cell>
          <cell r="HO265">
            <v>39600</v>
          </cell>
          <cell r="HP265">
            <v>39630</v>
          </cell>
          <cell r="HQ265">
            <v>39661</v>
          </cell>
          <cell r="HR265">
            <v>39692</v>
          </cell>
          <cell r="HS265">
            <v>39722</v>
          </cell>
          <cell r="HT265">
            <v>39753</v>
          </cell>
          <cell r="HU265">
            <v>39783</v>
          </cell>
          <cell r="HV265">
            <v>39814</v>
          </cell>
          <cell r="HW265">
            <v>39845</v>
          </cell>
          <cell r="HX265">
            <v>39873</v>
          </cell>
          <cell r="HY265">
            <v>39904</v>
          </cell>
          <cell r="HZ265">
            <v>39934</v>
          </cell>
          <cell r="IA265">
            <v>39965</v>
          </cell>
          <cell r="IB265">
            <v>39995</v>
          </cell>
          <cell r="IC265">
            <v>40026</v>
          </cell>
          <cell r="ID265">
            <v>40057</v>
          </cell>
          <cell r="IE265">
            <v>40087</v>
          </cell>
          <cell r="IF265">
            <v>40118</v>
          </cell>
          <cell r="IG265">
            <v>40148</v>
          </cell>
          <cell r="IH265">
            <v>39692</v>
          </cell>
          <cell r="II265">
            <v>39722</v>
          </cell>
          <cell r="IJ265">
            <v>39753</v>
          </cell>
          <cell r="IK265">
            <v>39783</v>
          </cell>
        </row>
        <row r="266">
          <cell r="F266" t="str">
            <v>PET price</v>
          </cell>
          <cell r="H266">
            <v>61</v>
          </cell>
          <cell r="I266">
            <v>61</v>
          </cell>
          <cell r="J266">
            <v>61</v>
          </cell>
          <cell r="K266">
            <v>64</v>
          </cell>
          <cell r="L266">
            <v>64</v>
          </cell>
          <cell r="M266">
            <v>64</v>
          </cell>
          <cell r="N266">
            <v>64</v>
          </cell>
          <cell r="O266">
            <v>64</v>
          </cell>
          <cell r="P266">
            <v>64</v>
          </cell>
          <cell r="Q266">
            <v>64</v>
          </cell>
          <cell r="R266">
            <v>64</v>
          </cell>
          <cell r="S266">
            <v>64</v>
          </cell>
          <cell r="T266">
            <v>64</v>
          </cell>
          <cell r="U266">
            <v>64</v>
          </cell>
          <cell r="V266">
            <v>64</v>
          </cell>
          <cell r="W266">
            <v>64</v>
          </cell>
          <cell r="X266">
            <v>64</v>
          </cell>
          <cell r="Y266">
            <v>64</v>
          </cell>
          <cell r="Z266">
            <v>60.5</v>
          </cell>
          <cell r="AA266">
            <v>60.5</v>
          </cell>
          <cell r="AB266">
            <v>60.5</v>
          </cell>
          <cell r="AC266">
            <v>61.5</v>
          </cell>
          <cell r="AD266">
            <v>61.5</v>
          </cell>
          <cell r="AE266">
            <v>61.5</v>
          </cell>
          <cell r="AF266">
            <v>64.5</v>
          </cell>
          <cell r="AG266">
            <v>64.5</v>
          </cell>
          <cell r="AH266">
            <v>64.5</v>
          </cell>
          <cell r="AI266">
            <v>64.5</v>
          </cell>
          <cell r="AJ266">
            <v>64.5</v>
          </cell>
          <cell r="AK266">
            <v>64.5</v>
          </cell>
          <cell r="AL266">
            <v>64.5</v>
          </cell>
          <cell r="AM266">
            <v>64.5</v>
          </cell>
          <cell r="AN266">
            <v>64.5</v>
          </cell>
          <cell r="AO266">
            <v>64.5</v>
          </cell>
          <cell r="AP266">
            <v>64.5</v>
          </cell>
          <cell r="AQ266">
            <v>64.5</v>
          </cell>
          <cell r="AR266">
            <v>62</v>
          </cell>
          <cell r="AS266">
            <v>62</v>
          </cell>
          <cell r="AT266">
            <v>62</v>
          </cell>
          <cell r="AU266">
            <v>60.5</v>
          </cell>
          <cell r="AV266">
            <v>60.5</v>
          </cell>
          <cell r="AW266">
            <v>60.5</v>
          </cell>
          <cell r="AX266">
            <v>59.5</v>
          </cell>
          <cell r="AY266">
            <v>59.5</v>
          </cell>
          <cell r="AZ266">
            <v>59.5</v>
          </cell>
          <cell r="BA266">
            <v>61</v>
          </cell>
          <cell r="BB266">
            <v>61</v>
          </cell>
          <cell r="BC266">
            <v>61</v>
          </cell>
          <cell r="BD266">
            <v>61</v>
          </cell>
          <cell r="BE266">
            <v>61</v>
          </cell>
          <cell r="BF266">
            <v>61</v>
          </cell>
          <cell r="BG266">
            <v>65</v>
          </cell>
          <cell r="BH266">
            <v>65</v>
          </cell>
          <cell r="BI266">
            <v>65</v>
          </cell>
          <cell r="BJ266">
            <v>70.5</v>
          </cell>
          <cell r="BK266">
            <v>70.5</v>
          </cell>
          <cell r="BL266">
            <v>70.5</v>
          </cell>
          <cell r="BM266">
            <v>78</v>
          </cell>
          <cell r="BN266">
            <v>78</v>
          </cell>
          <cell r="BO266">
            <v>78</v>
          </cell>
          <cell r="BP266">
            <v>81.5</v>
          </cell>
          <cell r="BQ266">
            <v>81.5</v>
          </cell>
          <cell r="BR266">
            <v>81.5</v>
          </cell>
          <cell r="BS266">
            <v>79.5</v>
          </cell>
          <cell r="BT266">
            <v>79.5</v>
          </cell>
          <cell r="BU266">
            <v>79.5</v>
          </cell>
          <cell r="BV266">
            <v>75</v>
          </cell>
          <cell r="BW266">
            <v>75</v>
          </cell>
          <cell r="BX266">
            <v>75</v>
          </cell>
          <cell r="BY266">
            <v>71</v>
          </cell>
          <cell r="BZ266">
            <v>67.5</v>
          </cell>
          <cell r="CA266">
            <v>61.5</v>
          </cell>
          <cell r="CB266">
            <v>58.5</v>
          </cell>
          <cell r="CC266">
            <v>55</v>
          </cell>
          <cell r="CD266">
            <v>50.5</v>
          </cell>
          <cell r="CE266">
            <v>43</v>
          </cell>
          <cell r="CF266">
            <v>42</v>
          </cell>
          <cell r="CG266">
            <v>42</v>
          </cell>
          <cell r="CH266">
            <v>44</v>
          </cell>
          <cell r="CI266">
            <v>44</v>
          </cell>
          <cell r="CJ266">
            <v>44</v>
          </cell>
          <cell r="CK266">
            <v>47</v>
          </cell>
          <cell r="CL266">
            <v>47</v>
          </cell>
          <cell r="CM266">
            <v>54</v>
          </cell>
          <cell r="CN266">
            <v>53</v>
          </cell>
          <cell r="CO266">
            <v>51</v>
          </cell>
          <cell r="CP266">
            <v>51</v>
          </cell>
          <cell r="CQ266">
            <v>50</v>
          </cell>
          <cell r="CR266">
            <v>50</v>
          </cell>
          <cell r="CS266">
            <v>50.5</v>
          </cell>
          <cell r="CT266">
            <v>50.5</v>
          </cell>
          <cell r="CU266">
            <v>50.5</v>
          </cell>
          <cell r="CV266">
            <v>50.5</v>
          </cell>
          <cell r="CW266">
            <v>53.5</v>
          </cell>
          <cell r="CX266">
            <v>53.5</v>
          </cell>
          <cell r="CY266">
            <v>53.5</v>
          </cell>
          <cell r="CZ266">
            <v>52.8</v>
          </cell>
          <cell r="DA266">
            <v>52.5</v>
          </cell>
          <cell r="DB266">
            <v>52.5</v>
          </cell>
          <cell r="DC266">
            <v>48.3</v>
          </cell>
          <cell r="DD266">
            <v>47.5</v>
          </cell>
          <cell r="DE266">
            <v>45</v>
          </cell>
          <cell r="DF266">
            <v>44.5</v>
          </cell>
          <cell r="DG266">
            <v>44.5</v>
          </cell>
          <cell r="DH266">
            <v>44</v>
          </cell>
          <cell r="DI266">
            <v>43.75</v>
          </cell>
          <cell r="DJ266">
            <v>43.75</v>
          </cell>
          <cell r="DK266">
            <v>48.75</v>
          </cell>
          <cell r="DL266">
            <v>53.75</v>
          </cell>
          <cell r="DM266">
            <v>53.75</v>
          </cell>
          <cell r="DN266">
            <v>53.75</v>
          </cell>
          <cell r="DO266">
            <v>52.75</v>
          </cell>
          <cell r="DP266">
            <v>55.75</v>
          </cell>
          <cell r="DQ266">
            <v>55.75</v>
          </cell>
          <cell r="DR266">
            <v>55.75</v>
          </cell>
          <cell r="DS266">
            <v>55.75</v>
          </cell>
          <cell r="DT266">
            <v>55.75</v>
          </cell>
          <cell r="DU266">
            <v>62</v>
          </cell>
          <cell r="DV266">
            <v>63</v>
          </cell>
          <cell r="DW266">
            <v>63</v>
          </cell>
          <cell r="DX266">
            <v>68</v>
          </cell>
          <cell r="DY266">
            <v>68</v>
          </cell>
          <cell r="DZ266">
            <v>68</v>
          </cell>
          <cell r="EA266">
            <v>65.5</v>
          </cell>
          <cell r="EB266">
            <v>65.5</v>
          </cell>
          <cell r="EC266">
            <v>65.5</v>
          </cell>
          <cell r="ED266">
            <v>62</v>
          </cell>
          <cell r="EE266">
            <v>62</v>
          </cell>
          <cell r="EF266">
            <v>62</v>
          </cell>
          <cell r="EG266">
            <v>69</v>
          </cell>
          <cell r="EH266">
            <v>69</v>
          </cell>
          <cell r="EI266">
            <v>66</v>
          </cell>
          <cell r="EJ266">
            <v>66</v>
          </cell>
          <cell r="EK266">
            <v>66</v>
          </cell>
          <cell r="EL266">
            <v>66</v>
          </cell>
          <cell r="EM266">
            <v>62</v>
          </cell>
          <cell r="EN266">
            <v>62</v>
          </cell>
          <cell r="EO266">
            <v>60</v>
          </cell>
          <cell r="EP266">
            <v>58</v>
          </cell>
          <cell r="EQ266">
            <v>58</v>
          </cell>
          <cell r="ER266">
            <v>58</v>
          </cell>
          <cell r="ES266">
            <v>63</v>
          </cell>
          <cell r="ET266">
            <v>63</v>
          </cell>
          <cell r="EU266">
            <v>63</v>
          </cell>
          <cell r="EV266">
            <v>63</v>
          </cell>
          <cell r="EW266">
            <v>63</v>
          </cell>
          <cell r="EX266">
            <v>63</v>
          </cell>
          <cell r="EY266">
            <v>63</v>
          </cell>
          <cell r="EZ266">
            <v>63</v>
          </cell>
          <cell r="FA266">
            <v>61</v>
          </cell>
          <cell r="FB266">
            <v>66</v>
          </cell>
          <cell r="FC266">
            <v>66</v>
          </cell>
          <cell r="FD266">
            <v>71</v>
          </cell>
          <cell r="FE266">
            <v>79</v>
          </cell>
          <cell r="FF266">
            <v>74</v>
          </cell>
          <cell r="FG266">
            <v>72</v>
          </cell>
          <cell r="FH266">
            <v>70</v>
          </cell>
          <cell r="FI266">
            <v>70</v>
          </cell>
          <cell r="FJ266">
            <v>70</v>
          </cell>
          <cell r="FK266">
            <v>70</v>
          </cell>
          <cell r="FL266">
            <v>70</v>
          </cell>
          <cell r="FM266">
            <v>68</v>
          </cell>
          <cell r="FN266">
            <v>70</v>
          </cell>
          <cell r="FO266">
            <v>71</v>
          </cell>
          <cell r="FP266">
            <v>77</v>
          </cell>
          <cell r="FQ266">
            <v>77</v>
          </cell>
          <cell r="FR266">
            <v>80</v>
          </cell>
          <cell r="FS266">
            <v>82</v>
          </cell>
          <cell r="FT266">
            <v>79</v>
          </cell>
          <cell r="FU266">
            <v>79</v>
          </cell>
          <cell r="FV266">
            <v>82</v>
          </cell>
          <cell r="FW266">
            <v>87</v>
          </cell>
          <cell r="FX266">
            <v>90</v>
          </cell>
          <cell r="FY266">
            <v>99</v>
          </cell>
          <cell r="FZ266">
            <v>80</v>
          </cell>
          <cell r="GA266">
            <v>80</v>
          </cell>
          <cell r="GB266">
            <v>77</v>
          </cell>
          <cell r="GC266">
            <v>77</v>
          </cell>
          <cell r="GD266">
            <v>77</v>
          </cell>
          <cell r="GE266">
            <v>71</v>
          </cell>
          <cell r="GF266">
            <v>69</v>
          </cell>
          <cell r="GG266">
            <v>73</v>
          </cell>
          <cell r="GH266">
            <v>88.6</v>
          </cell>
          <cell r="GI266">
            <v>95.8</v>
          </cell>
          <cell r="GJ266">
            <v>85</v>
          </cell>
          <cell r="GK266">
            <v>79</v>
          </cell>
          <cell r="GL266">
            <v>74</v>
          </cell>
          <cell r="GM266">
            <v>77</v>
          </cell>
          <cell r="GN266">
            <v>76</v>
          </cell>
          <cell r="GO266">
            <v>75</v>
          </cell>
          <cell r="GP266">
            <v>76.5</v>
          </cell>
          <cell r="GQ266">
            <v>80</v>
          </cell>
          <cell r="GR266">
            <v>84</v>
          </cell>
          <cell r="GS266">
            <v>86</v>
          </cell>
          <cell r="GT266">
            <v>88.5</v>
          </cell>
          <cell r="GU266">
            <v>84</v>
          </cell>
          <cell r="GV266">
            <v>78</v>
          </cell>
          <cell r="GW266">
            <v>78</v>
          </cell>
          <cell r="GX266">
            <v>76.5</v>
          </cell>
          <cell r="GY266">
            <v>76</v>
          </cell>
          <cell r="GZ266">
            <v>79.5</v>
          </cell>
          <cell r="HA266">
            <v>80.5</v>
          </cell>
          <cell r="HB266">
            <v>82.5</v>
          </cell>
          <cell r="HC266">
            <v>84</v>
          </cell>
          <cell r="HD266">
            <v>82.5</v>
          </cell>
          <cell r="HE266">
            <v>82.5</v>
          </cell>
          <cell r="HF266">
            <v>81</v>
          </cell>
          <cell r="HG266">
            <v>84</v>
          </cell>
          <cell r="HH266">
            <v>87</v>
          </cell>
          <cell r="HI266">
            <v>90</v>
          </cell>
          <cell r="HJ266">
            <v>90</v>
          </cell>
          <cell r="HK266">
            <v>87.75</v>
          </cell>
          <cell r="HL266">
            <v>87</v>
          </cell>
          <cell r="HM266">
            <v>90.75</v>
          </cell>
          <cell r="HN266">
            <v>91.75</v>
          </cell>
          <cell r="HO266">
            <v>95</v>
          </cell>
          <cell r="HP266">
            <v>100.5</v>
          </cell>
          <cell r="HQ266">
            <v>98.5</v>
          </cell>
          <cell r="HR266">
            <v>94</v>
          </cell>
          <cell r="HS266">
            <v>94</v>
          </cell>
          <cell r="HT266">
            <v>94</v>
          </cell>
          <cell r="HU266">
            <v>93.5</v>
          </cell>
          <cell r="HV266">
            <v>94</v>
          </cell>
          <cell r="HW266">
            <v>94.5</v>
          </cell>
          <cell r="HX266">
            <v>94.5</v>
          </cell>
          <cell r="HY266">
            <v>92.75</v>
          </cell>
          <cell r="HZ266">
            <v>92.25</v>
          </cell>
          <cell r="IA266">
            <v>90</v>
          </cell>
          <cell r="IB266">
            <v>90.25</v>
          </cell>
          <cell r="IC266">
            <v>90.5</v>
          </cell>
          <cell r="ID266">
            <v>91</v>
          </cell>
          <cell r="IE266">
            <v>90.5</v>
          </cell>
          <cell r="IF266">
            <v>90</v>
          </cell>
          <cell r="IG266">
            <v>89</v>
          </cell>
          <cell r="IH266">
            <v>84.25</v>
          </cell>
          <cell r="II266">
            <v>84</v>
          </cell>
          <cell r="IJ266">
            <v>83</v>
          </cell>
          <cell r="IK266">
            <v>80.25</v>
          </cell>
        </row>
        <row r="268">
          <cell r="F268" t="str">
            <v>Ethylene Glycol</v>
          </cell>
          <cell r="H268">
            <v>20</v>
          </cell>
          <cell r="I268">
            <v>22</v>
          </cell>
          <cell r="J268">
            <v>25</v>
          </cell>
          <cell r="K268">
            <v>29</v>
          </cell>
          <cell r="L268">
            <v>30</v>
          </cell>
          <cell r="M268">
            <v>30</v>
          </cell>
          <cell r="N268">
            <v>27</v>
          </cell>
          <cell r="O268">
            <v>26</v>
          </cell>
          <cell r="P268">
            <v>26</v>
          </cell>
          <cell r="Q268">
            <v>25</v>
          </cell>
          <cell r="R268">
            <v>23</v>
          </cell>
          <cell r="S268">
            <v>22</v>
          </cell>
          <cell r="T268">
            <v>22.5</v>
          </cell>
          <cell r="U268">
            <v>22.25</v>
          </cell>
          <cell r="V268">
            <v>21.5</v>
          </cell>
          <cell r="W268">
            <v>21.5</v>
          </cell>
          <cell r="X268">
            <v>21.5</v>
          </cell>
          <cell r="Y268">
            <v>21.5</v>
          </cell>
          <cell r="Z268">
            <v>21</v>
          </cell>
          <cell r="AA268">
            <v>21</v>
          </cell>
          <cell r="AB268">
            <v>21</v>
          </cell>
          <cell r="AC268">
            <v>19.75</v>
          </cell>
          <cell r="AD268">
            <v>19.75</v>
          </cell>
          <cell r="AE268">
            <v>19.75</v>
          </cell>
          <cell r="AF268">
            <v>19.75</v>
          </cell>
          <cell r="AG268">
            <v>19.75</v>
          </cell>
          <cell r="AH268">
            <v>19.75</v>
          </cell>
          <cell r="AI268">
            <v>21.5</v>
          </cell>
          <cell r="AJ268">
            <v>21.5</v>
          </cell>
          <cell r="AK268">
            <v>21.5</v>
          </cell>
          <cell r="AL268">
            <v>20</v>
          </cell>
          <cell r="AM268">
            <v>20</v>
          </cell>
          <cell r="AN268">
            <v>20</v>
          </cell>
          <cell r="AO268">
            <v>18</v>
          </cell>
          <cell r="AP268">
            <v>18</v>
          </cell>
          <cell r="AQ268">
            <v>18</v>
          </cell>
          <cell r="AR268">
            <v>16</v>
          </cell>
          <cell r="AS268">
            <v>16</v>
          </cell>
          <cell r="AT268">
            <v>16</v>
          </cell>
          <cell r="AU268">
            <v>16</v>
          </cell>
          <cell r="AV268">
            <v>16</v>
          </cell>
          <cell r="AW268">
            <v>16</v>
          </cell>
          <cell r="AX268">
            <v>14</v>
          </cell>
          <cell r="AY268">
            <v>14</v>
          </cell>
          <cell r="AZ268">
            <v>14</v>
          </cell>
          <cell r="BA268">
            <v>14</v>
          </cell>
          <cell r="BB268">
            <v>14</v>
          </cell>
          <cell r="BC268">
            <v>14</v>
          </cell>
          <cell r="BD268">
            <v>16</v>
          </cell>
          <cell r="BE268">
            <v>16</v>
          </cell>
          <cell r="BF268">
            <v>16</v>
          </cell>
          <cell r="BG268">
            <v>21</v>
          </cell>
          <cell r="BH268">
            <v>21</v>
          </cell>
          <cell r="BI268">
            <v>21</v>
          </cell>
          <cell r="BJ268">
            <v>24.5</v>
          </cell>
          <cell r="BK268">
            <v>24.5</v>
          </cell>
          <cell r="BL268">
            <v>24.5</v>
          </cell>
          <cell r="BM268">
            <v>26.5</v>
          </cell>
          <cell r="BN268">
            <v>26.5</v>
          </cell>
          <cell r="BO268">
            <v>26.5</v>
          </cell>
          <cell r="BP268">
            <v>29.5</v>
          </cell>
          <cell r="BQ268">
            <v>29.5</v>
          </cell>
          <cell r="BR268">
            <v>29.5</v>
          </cell>
          <cell r="BS268">
            <v>29.5</v>
          </cell>
          <cell r="BT268">
            <v>29.5</v>
          </cell>
          <cell r="BU268">
            <v>29.5</v>
          </cell>
          <cell r="BV268">
            <v>27.5</v>
          </cell>
          <cell r="BW268">
            <v>27.5</v>
          </cell>
          <cell r="BX268">
            <v>27.5</v>
          </cell>
          <cell r="BY268">
            <v>27</v>
          </cell>
          <cell r="BZ268">
            <v>27</v>
          </cell>
          <cell r="CA268">
            <v>27</v>
          </cell>
          <cell r="CB268">
            <v>23.5</v>
          </cell>
          <cell r="CC268">
            <v>23.5</v>
          </cell>
          <cell r="CD268">
            <v>23.5</v>
          </cell>
          <cell r="CE268">
            <v>24.75</v>
          </cell>
          <cell r="CF268">
            <v>24.75</v>
          </cell>
          <cell r="CG268">
            <v>24.75</v>
          </cell>
          <cell r="CH268">
            <v>26.5</v>
          </cell>
          <cell r="CI268">
            <v>26.5</v>
          </cell>
          <cell r="CJ268">
            <v>26.5</v>
          </cell>
          <cell r="CK268">
            <v>28</v>
          </cell>
          <cell r="CL268">
            <v>28</v>
          </cell>
          <cell r="CM268">
            <v>28</v>
          </cell>
          <cell r="CN268">
            <v>29</v>
          </cell>
          <cell r="CO268">
            <v>29</v>
          </cell>
          <cell r="CP268">
            <v>29</v>
          </cell>
          <cell r="CQ268">
            <v>29</v>
          </cell>
          <cell r="CR268">
            <v>29</v>
          </cell>
          <cell r="CS268">
            <v>29</v>
          </cell>
          <cell r="CT268">
            <v>24</v>
          </cell>
          <cell r="CU268">
            <v>24</v>
          </cell>
          <cell r="CV268">
            <v>24</v>
          </cell>
          <cell r="CW268">
            <v>21</v>
          </cell>
          <cell r="CX268">
            <v>21</v>
          </cell>
          <cell r="CY268">
            <v>21</v>
          </cell>
          <cell r="CZ268">
            <v>19</v>
          </cell>
          <cell r="DA268">
            <v>19</v>
          </cell>
          <cell r="DB268">
            <v>19</v>
          </cell>
          <cell r="DC268">
            <v>18</v>
          </cell>
          <cell r="DD268">
            <v>18</v>
          </cell>
          <cell r="DE268">
            <v>18</v>
          </cell>
          <cell r="DF268">
            <v>18</v>
          </cell>
          <cell r="DG268">
            <v>18</v>
          </cell>
          <cell r="DH268">
            <v>18</v>
          </cell>
          <cell r="DI268">
            <v>18</v>
          </cell>
          <cell r="DJ268">
            <v>18</v>
          </cell>
          <cell r="DK268">
            <v>18</v>
          </cell>
          <cell r="DL268">
            <v>23</v>
          </cell>
          <cell r="DM268">
            <v>23</v>
          </cell>
          <cell r="DN268">
            <v>23</v>
          </cell>
          <cell r="DO268">
            <v>28</v>
          </cell>
          <cell r="DP268">
            <v>28</v>
          </cell>
          <cell r="DQ268">
            <v>28</v>
          </cell>
          <cell r="DR268">
            <v>28</v>
          </cell>
          <cell r="DS268">
            <v>26</v>
          </cell>
          <cell r="DT268">
            <v>26</v>
          </cell>
          <cell r="DU268">
            <v>28.5</v>
          </cell>
          <cell r="DV268">
            <v>29.5</v>
          </cell>
          <cell r="DW268">
            <v>28.5</v>
          </cell>
          <cell r="DX268">
            <v>26.5</v>
          </cell>
          <cell r="DY268">
            <v>25.15</v>
          </cell>
          <cell r="DZ268">
            <v>23.2</v>
          </cell>
          <cell r="EA268">
            <v>21.84</v>
          </cell>
          <cell r="EB268">
            <v>22.75</v>
          </cell>
          <cell r="EC268">
            <v>23.4</v>
          </cell>
          <cell r="ED268">
            <v>22.23</v>
          </cell>
          <cell r="EE268">
            <v>23.81</v>
          </cell>
          <cell r="EF268">
            <v>24.95</v>
          </cell>
          <cell r="EG268">
            <v>23.8</v>
          </cell>
          <cell r="EH268">
            <v>21.32</v>
          </cell>
          <cell r="EI268">
            <v>23.13</v>
          </cell>
          <cell r="EJ268">
            <v>23.13</v>
          </cell>
          <cell r="EK268">
            <v>22.23</v>
          </cell>
          <cell r="EL268">
            <v>21.32</v>
          </cell>
          <cell r="EM268">
            <v>20.41</v>
          </cell>
          <cell r="EN268">
            <v>19.5</v>
          </cell>
          <cell r="EO268">
            <v>18.14</v>
          </cell>
          <cell r="EP268">
            <v>16.329999999999998</v>
          </cell>
          <cell r="EQ268">
            <v>15.42</v>
          </cell>
          <cell r="ER268">
            <v>16.329999999999998</v>
          </cell>
          <cell r="ES268">
            <v>18.14</v>
          </cell>
          <cell r="ET268">
            <v>21.32</v>
          </cell>
          <cell r="EU268">
            <v>22.68</v>
          </cell>
          <cell r="EV268">
            <v>22.68</v>
          </cell>
          <cell r="EW268">
            <v>21.32</v>
          </cell>
          <cell r="EX268">
            <v>23.13</v>
          </cell>
          <cell r="EY268">
            <v>24.95</v>
          </cell>
          <cell r="EZ268">
            <v>23.59</v>
          </cell>
          <cell r="FA268">
            <v>22.68</v>
          </cell>
          <cell r="FB268">
            <v>23.13</v>
          </cell>
          <cell r="FC268">
            <v>27.67</v>
          </cell>
          <cell r="FD268">
            <v>33.11</v>
          </cell>
          <cell r="FE268">
            <v>35.380000000000003</v>
          </cell>
          <cell r="FF268">
            <v>32.21</v>
          </cell>
          <cell r="FG268">
            <v>24.95</v>
          </cell>
          <cell r="FH268">
            <v>28.12</v>
          </cell>
          <cell r="FI268">
            <v>30.39</v>
          </cell>
          <cell r="FJ268">
            <v>32.659999999999997</v>
          </cell>
          <cell r="FK268">
            <v>33.57</v>
          </cell>
          <cell r="FL268">
            <v>32.21</v>
          </cell>
          <cell r="FM268">
            <v>32.21</v>
          </cell>
          <cell r="FN268">
            <v>31.75</v>
          </cell>
          <cell r="FO268">
            <v>34.020000000000003</v>
          </cell>
          <cell r="FP268">
            <v>38.56</v>
          </cell>
          <cell r="FQ268">
            <v>38.56</v>
          </cell>
          <cell r="FR268">
            <v>39.01</v>
          </cell>
          <cell r="FS268">
            <v>39.01</v>
          </cell>
          <cell r="FT268">
            <v>39.01</v>
          </cell>
          <cell r="FU268">
            <v>39.46</v>
          </cell>
          <cell r="FV268">
            <v>42.19</v>
          </cell>
          <cell r="FW268">
            <v>51.71</v>
          </cell>
          <cell r="FX268">
            <v>53.52</v>
          </cell>
          <cell r="FY268">
            <v>53.52</v>
          </cell>
          <cell r="FZ268">
            <v>48.99</v>
          </cell>
          <cell r="GA268">
            <v>45.81</v>
          </cell>
          <cell r="GB268">
            <v>48.53</v>
          </cell>
          <cell r="GC268">
            <v>50.8</v>
          </cell>
          <cell r="GD268">
            <v>48.08</v>
          </cell>
          <cell r="GE268">
            <v>36.29</v>
          </cell>
          <cell r="GF268">
            <v>36.29</v>
          </cell>
          <cell r="GG268">
            <v>37.65</v>
          </cell>
          <cell r="GH268">
            <v>37.65</v>
          </cell>
          <cell r="GI268">
            <v>43.86</v>
          </cell>
          <cell r="GJ268">
            <v>42.64</v>
          </cell>
          <cell r="GK268">
            <v>38.56</v>
          </cell>
          <cell r="GL268">
            <v>38.56</v>
          </cell>
          <cell r="GM268">
            <v>39.46</v>
          </cell>
          <cell r="GN268">
            <v>40.369999999999997</v>
          </cell>
          <cell r="GO268">
            <v>38.51</v>
          </cell>
          <cell r="GP268">
            <v>38.51</v>
          </cell>
          <cell r="GQ268">
            <v>39.46</v>
          </cell>
          <cell r="GR268">
            <v>41.28</v>
          </cell>
          <cell r="GS268">
            <v>44</v>
          </cell>
          <cell r="GT268">
            <v>44.91</v>
          </cell>
          <cell r="GU268">
            <v>44.91</v>
          </cell>
          <cell r="GV268">
            <v>42.18</v>
          </cell>
          <cell r="GW268">
            <v>40.82</v>
          </cell>
          <cell r="GX268">
            <v>40.82</v>
          </cell>
          <cell r="GY268">
            <v>40.82</v>
          </cell>
          <cell r="GZ268">
            <v>40.82</v>
          </cell>
          <cell r="HA268">
            <v>43.09</v>
          </cell>
          <cell r="HB268">
            <v>43.09</v>
          </cell>
          <cell r="HC268">
            <v>44.91</v>
          </cell>
          <cell r="HD268">
            <v>44.91</v>
          </cell>
          <cell r="HE268">
            <v>44.91</v>
          </cell>
          <cell r="HF268">
            <v>47.17</v>
          </cell>
          <cell r="HG268">
            <v>59.51</v>
          </cell>
          <cell r="HH268">
            <v>63.28</v>
          </cell>
          <cell r="HI268">
            <v>72.12</v>
          </cell>
          <cell r="HJ268">
            <v>72.12</v>
          </cell>
          <cell r="HK268">
            <v>66.23</v>
          </cell>
          <cell r="HL268">
            <v>58.06</v>
          </cell>
          <cell r="HM268">
            <v>59.87</v>
          </cell>
          <cell r="HN268">
            <v>56.25</v>
          </cell>
          <cell r="HO268">
            <v>54.43</v>
          </cell>
          <cell r="HP268">
            <v>57.15</v>
          </cell>
          <cell r="HQ268">
            <v>57.15</v>
          </cell>
          <cell r="HR268">
            <v>54.7</v>
          </cell>
          <cell r="HS268">
            <v>56.47</v>
          </cell>
          <cell r="HT268">
            <v>54.66</v>
          </cell>
          <cell r="HU268">
            <v>53.62</v>
          </cell>
          <cell r="HV268">
            <v>52.07</v>
          </cell>
          <cell r="HW268">
            <v>51.3</v>
          </cell>
          <cell r="HX268">
            <v>50.71</v>
          </cell>
          <cell r="HY268">
            <v>47.76</v>
          </cell>
          <cell r="HZ268">
            <v>46.49</v>
          </cell>
          <cell r="IA268">
            <v>45.5</v>
          </cell>
          <cell r="IB268">
            <v>45.95</v>
          </cell>
          <cell r="IC268">
            <v>46.49</v>
          </cell>
          <cell r="ID268">
            <v>46.58</v>
          </cell>
          <cell r="IE268">
            <v>45.9</v>
          </cell>
          <cell r="IF268">
            <v>45.36</v>
          </cell>
          <cell r="IG268">
            <v>45.54</v>
          </cell>
          <cell r="IH268">
            <v>47.81</v>
          </cell>
          <cell r="II268">
            <v>45.45</v>
          </cell>
          <cell r="IJ268">
            <v>43.09</v>
          </cell>
          <cell r="IK268">
            <v>41.32</v>
          </cell>
        </row>
        <row r="269">
          <cell r="F269" t="str">
            <v>Paraxylene</v>
          </cell>
          <cell r="H269">
            <v>21.5</v>
          </cell>
          <cell r="I269">
            <v>21.5</v>
          </cell>
          <cell r="J269">
            <v>21.5</v>
          </cell>
          <cell r="K269">
            <v>27.5</v>
          </cell>
          <cell r="L269">
            <v>27.5</v>
          </cell>
          <cell r="M269">
            <v>27.5</v>
          </cell>
          <cell r="N269">
            <v>24.5</v>
          </cell>
          <cell r="O269">
            <v>24.5</v>
          </cell>
          <cell r="P269">
            <v>22</v>
          </cell>
          <cell r="Q269">
            <v>20.5</v>
          </cell>
          <cell r="R269">
            <v>20.5</v>
          </cell>
          <cell r="S269">
            <v>20.5</v>
          </cell>
          <cell r="T269">
            <v>19.8</v>
          </cell>
          <cell r="U269">
            <v>19.8</v>
          </cell>
          <cell r="V269">
            <v>19.8</v>
          </cell>
          <cell r="W269">
            <v>19.8</v>
          </cell>
          <cell r="X269">
            <v>19.8</v>
          </cell>
          <cell r="Y269">
            <v>19.8</v>
          </cell>
          <cell r="Z269">
            <v>19.75</v>
          </cell>
          <cell r="AA269">
            <v>19.75</v>
          </cell>
          <cell r="AB269">
            <v>19.75</v>
          </cell>
          <cell r="AC269">
            <v>21</v>
          </cell>
          <cell r="AD269">
            <v>21</v>
          </cell>
          <cell r="AE269">
            <v>21</v>
          </cell>
          <cell r="AF269">
            <v>21.5</v>
          </cell>
          <cell r="AG269">
            <v>21.5</v>
          </cell>
          <cell r="AH269">
            <v>21.5</v>
          </cell>
          <cell r="AI269">
            <v>20.5</v>
          </cell>
          <cell r="AJ269">
            <v>20.5</v>
          </cell>
          <cell r="AK269">
            <v>20.5</v>
          </cell>
          <cell r="AL269">
            <v>20.5</v>
          </cell>
          <cell r="AM269">
            <v>20.5</v>
          </cell>
          <cell r="AN269">
            <v>20.5</v>
          </cell>
          <cell r="AO269">
            <v>21</v>
          </cell>
          <cell r="AP269">
            <v>21</v>
          </cell>
          <cell r="AQ269">
            <v>21</v>
          </cell>
          <cell r="AR269">
            <v>21.25</v>
          </cell>
          <cell r="AS269">
            <v>21.25</v>
          </cell>
          <cell r="AT269">
            <v>21.25</v>
          </cell>
          <cell r="AU269">
            <v>21.25</v>
          </cell>
          <cell r="AV269">
            <v>21.25</v>
          </cell>
          <cell r="AW269">
            <v>21.25</v>
          </cell>
          <cell r="AX269">
            <v>22.25</v>
          </cell>
          <cell r="AY269">
            <v>22.25</v>
          </cell>
          <cell r="AZ269">
            <v>22.25</v>
          </cell>
          <cell r="BA269">
            <v>22.25</v>
          </cell>
          <cell r="BB269">
            <v>22.25</v>
          </cell>
          <cell r="BC269">
            <v>22.25</v>
          </cell>
          <cell r="BD269">
            <v>24</v>
          </cell>
          <cell r="BE269">
            <v>24</v>
          </cell>
          <cell r="BF269">
            <v>24</v>
          </cell>
          <cell r="BG269">
            <v>28</v>
          </cell>
          <cell r="BH269">
            <v>28</v>
          </cell>
          <cell r="BI269">
            <v>28</v>
          </cell>
          <cell r="BJ269">
            <v>29.5</v>
          </cell>
          <cell r="BK269">
            <v>29.5</v>
          </cell>
          <cell r="BL269">
            <v>29.5</v>
          </cell>
          <cell r="BM269">
            <v>36</v>
          </cell>
          <cell r="BN269">
            <v>36</v>
          </cell>
          <cell r="BO269">
            <v>36</v>
          </cell>
          <cell r="BP269">
            <v>40</v>
          </cell>
          <cell r="BQ269">
            <v>40</v>
          </cell>
          <cell r="BR269">
            <v>40</v>
          </cell>
          <cell r="BS269">
            <v>41</v>
          </cell>
          <cell r="BT269">
            <v>41</v>
          </cell>
          <cell r="BU269">
            <v>41</v>
          </cell>
          <cell r="BV269">
            <v>41</v>
          </cell>
          <cell r="BW269">
            <v>41</v>
          </cell>
          <cell r="BX269">
            <v>41</v>
          </cell>
          <cell r="BY269">
            <v>34.5</v>
          </cell>
          <cell r="BZ269">
            <v>34.5</v>
          </cell>
          <cell r="CA269">
            <v>34.5</v>
          </cell>
          <cell r="CB269">
            <v>22</v>
          </cell>
          <cell r="CC269">
            <v>22</v>
          </cell>
          <cell r="CD269">
            <v>22</v>
          </cell>
          <cell r="CE269">
            <v>19</v>
          </cell>
          <cell r="CF269">
            <v>19</v>
          </cell>
          <cell r="CG269">
            <v>19</v>
          </cell>
          <cell r="CH269">
            <v>20.5</v>
          </cell>
          <cell r="CI269">
            <v>20.5</v>
          </cell>
          <cell r="CJ269">
            <v>20.5</v>
          </cell>
          <cell r="CK269">
            <v>21.5</v>
          </cell>
          <cell r="CL269">
            <v>21.5</v>
          </cell>
          <cell r="CM269">
            <v>21.5</v>
          </cell>
          <cell r="CN269">
            <v>22.5</v>
          </cell>
          <cell r="CO269">
            <v>22.5</v>
          </cell>
          <cell r="CP269">
            <v>22.5</v>
          </cell>
          <cell r="CQ269">
            <v>21.5</v>
          </cell>
          <cell r="CR269">
            <v>21.5</v>
          </cell>
          <cell r="CS269">
            <v>21.5</v>
          </cell>
          <cell r="CT269">
            <v>19</v>
          </cell>
          <cell r="CU269">
            <v>19</v>
          </cell>
          <cell r="CV269">
            <v>19</v>
          </cell>
          <cell r="CW269">
            <v>15.75</v>
          </cell>
          <cell r="CX269">
            <v>15.75</v>
          </cell>
          <cell r="CY269">
            <v>15.75</v>
          </cell>
          <cell r="CZ269">
            <v>15.75</v>
          </cell>
          <cell r="DA269">
            <v>15.75</v>
          </cell>
          <cell r="DB269">
            <v>15.75</v>
          </cell>
          <cell r="DC269">
            <v>14.75</v>
          </cell>
          <cell r="DD269">
            <v>14.75</v>
          </cell>
          <cell r="DE269">
            <v>14.75</v>
          </cell>
          <cell r="DF269">
            <v>14.25</v>
          </cell>
          <cell r="DG269">
            <v>14.25</v>
          </cell>
          <cell r="DH269">
            <v>14.25</v>
          </cell>
          <cell r="DI269">
            <v>15.75</v>
          </cell>
          <cell r="DJ269">
            <v>15.75</v>
          </cell>
          <cell r="DK269">
            <v>15.75</v>
          </cell>
          <cell r="DL269">
            <v>18.25</v>
          </cell>
          <cell r="DM269">
            <v>18.25</v>
          </cell>
          <cell r="DN269">
            <v>18.25</v>
          </cell>
          <cell r="DO269">
            <v>21</v>
          </cell>
          <cell r="DP269">
            <v>21</v>
          </cell>
          <cell r="DQ269">
            <v>21</v>
          </cell>
          <cell r="DR269">
            <v>21</v>
          </cell>
          <cell r="DS269">
            <v>21</v>
          </cell>
          <cell r="DT269">
            <v>21</v>
          </cell>
          <cell r="DU269">
            <v>23.25</v>
          </cell>
          <cell r="DV269">
            <v>23.25</v>
          </cell>
          <cell r="DW269">
            <v>23.25</v>
          </cell>
          <cell r="DX269">
            <v>24.75</v>
          </cell>
          <cell r="DY269">
            <v>24.75</v>
          </cell>
          <cell r="DZ269">
            <v>24.75</v>
          </cell>
          <cell r="EA269">
            <v>23.5</v>
          </cell>
          <cell r="EB269">
            <v>23.5</v>
          </cell>
          <cell r="EC269">
            <v>23.5</v>
          </cell>
          <cell r="ED269">
            <v>23.5</v>
          </cell>
          <cell r="EE269">
            <v>23.5</v>
          </cell>
          <cell r="EF269">
            <v>23.5</v>
          </cell>
          <cell r="EG269">
            <v>25.75</v>
          </cell>
          <cell r="EH269">
            <v>25.75</v>
          </cell>
          <cell r="EI269">
            <v>25.75</v>
          </cell>
          <cell r="EJ269">
            <v>25.75</v>
          </cell>
          <cell r="EK269">
            <v>25.75</v>
          </cell>
          <cell r="EL269">
            <v>25.75</v>
          </cell>
          <cell r="EM269">
            <v>22.5</v>
          </cell>
          <cell r="EN269">
            <v>22.5</v>
          </cell>
          <cell r="EO269">
            <v>22.5</v>
          </cell>
          <cell r="EP269">
            <v>17.5</v>
          </cell>
          <cell r="EQ269">
            <v>17.5</v>
          </cell>
          <cell r="ER269">
            <v>18.5</v>
          </cell>
          <cell r="ES269">
            <v>22.5</v>
          </cell>
          <cell r="ET269">
            <v>22.5</v>
          </cell>
          <cell r="EU269">
            <v>22</v>
          </cell>
          <cell r="EV269">
            <v>21.75</v>
          </cell>
          <cell r="EW269">
            <v>21.75</v>
          </cell>
          <cell r="EX269">
            <v>21.75</v>
          </cell>
          <cell r="EY269">
            <v>22</v>
          </cell>
          <cell r="EZ269">
            <v>22</v>
          </cell>
          <cell r="FA269">
            <v>22.25</v>
          </cell>
          <cell r="FB269">
            <v>24</v>
          </cell>
          <cell r="FC269">
            <v>30</v>
          </cell>
          <cell r="FD269">
            <v>36.75</v>
          </cell>
          <cell r="FE269">
            <v>36.25</v>
          </cell>
          <cell r="FF269">
            <v>24.75</v>
          </cell>
          <cell r="FG269">
            <v>23.5</v>
          </cell>
          <cell r="FH269">
            <v>25.75</v>
          </cell>
          <cell r="FI269">
            <v>27.75</v>
          </cell>
          <cell r="FJ269">
            <v>29.5</v>
          </cell>
          <cell r="FK269">
            <v>27</v>
          </cell>
          <cell r="FL269">
            <v>27.75</v>
          </cell>
          <cell r="FM269">
            <v>28</v>
          </cell>
          <cell r="FN269">
            <v>28.75</v>
          </cell>
          <cell r="FO269">
            <v>32.5</v>
          </cell>
          <cell r="FP269">
            <v>33.5</v>
          </cell>
          <cell r="FQ269">
            <v>33.75</v>
          </cell>
          <cell r="FR269">
            <v>34.75</v>
          </cell>
          <cell r="FS269">
            <v>35.25</v>
          </cell>
          <cell r="FT269">
            <v>35.25</v>
          </cell>
          <cell r="FU269">
            <v>35.75</v>
          </cell>
          <cell r="FV269">
            <v>40</v>
          </cell>
          <cell r="FW269">
            <v>42.25</v>
          </cell>
          <cell r="FX269">
            <v>45.5</v>
          </cell>
          <cell r="FY269">
            <v>46</v>
          </cell>
          <cell r="FZ269">
            <v>41</v>
          </cell>
          <cell r="GA269">
            <v>42.25</v>
          </cell>
          <cell r="GB269">
            <v>44.5</v>
          </cell>
          <cell r="GC269">
            <v>44.5</v>
          </cell>
          <cell r="GD269">
            <v>40</v>
          </cell>
          <cell r="GE269">
            <v>37.25</v>
          </cell>
          <cell r="GF269">
            <v>39.25</v>
          </cell>
          <cell r="GG269">
            <v>40.25</v>
          </cell>
          <cell r="GH269">
            <v>60</v>
          </cell>
          <cell r="GI269">
            <v>60</v>
          </cell>
          <cell r="GJ269">
            <v>51.5</v>
          </cell>
          <cell r="GK269">
            <v>41.5</v>
          </cell>
          <cell r="GL269">
            <v>45</v>
          </cell>
          <cell r="GM269">
            <v>48.5</v>
          </cell>
          <cell r="GN269">
            <v>46.75</v>
          </cell>
          <cell r="GO269">
            <v>49</v>
          </cell>
          <cell r="GP269">
            <v>52.25</v>
          </cell>
          <cell r="GQ269">
            <v>57</v>
          </cell>
          <cell r="GR269">
            <v>59.75</v>
          </cell>
          <cell r="GS269">
            <v>64.5</v>
          </cell>
          <cell r="GT269">
            <v>68.75</v>
          </cell>
          <cell r="GU269">
            <v>61</v>
          </cell>
          <cell r="GV269">
            <v>49</v>
          </cell>
          <cell r="GW269">
            <v>50.5</v>
          </cell>
          <cell r="GX269">
            <v>52.5</v>
          </cell>
          <cell r="GY269">
            <v>50.75</v>
          </cell>
          <cell r="GZ269">
            <v>52</v>
          </cell>
          <cell r="HA269">
            <v>55.25</v>
          </cell>
          <cell r="HB269">
            <v>58</v>
          </cell>
          <cell r="HC269">
            <v>60.75</v>
          </cell>
          <cell r="HD269">
            <v>55.5</v>
          </cell>
          <cell r="HE269">
            <v>56</v>
          </cell>
          <cell r="HF269">
            <v>51.75</v>
          </cell>
          <cell r="HG269">
            <v>51.5</v>
          </cell>
          <cell r="HH269">
            <v>54</v>
          </cell>
          <cell r="HI269">
            <v>54.25</v>
          </cell>
          <cell r="HJ269">
            <v>54.75</v>
          </cell>
          <cell r="HK269">
            <v>54.25</v>
          </cell>
          <cell r="HL269">
            <v>58.25</v>
          </cell>
          <cell r="HM269">
            <v>62.75</v>
          </cell>
          <cell r="HN269">
            <v>64.25</v>
          </cell>
          <cell r="HO269">
            <v>71.25</v>
          </cell>
          <cell r="HP269">
            <v>79.75</v>
          </cell>
          <cell r="HQ269">
            <v>71</v>
          </cell>
          <cell r="HR269">
            <v>71</v>
          </cell>
          <cell r="HS269">
            <v>70.5</v>
          </cell>
          <cell r="HT269">
            <v>69.5</v>
          </cell>
          <cell r="HU269">
            <v>69.25</v>
          </cell>
          <cell r="HV269">
            <v>69</v>
          </cell>
          <cell r="HW269">
            <v>70.5</v>
          </cell>
          <cell r="HX269">
            <v>70.5</v>
          </cell>
          <cell r="HY269">
            <v>69.5</v>
          </cell>
          <cell r="HZ269">
            <v>69.25</v>
          </cell>
          <cell r="IA269">
            <v>66.25</v>
          </cell>
          <cell r="IB269">
            <v>66.5</v>
          </cell>
          <cell r="IC269">
            <v>66.75</v>
          </cell>
          <cell r="ID269">
            <v>67.5</v>
          </cell>
          <cell r="IE269">
            <v>67</v>
          </cell>
          <cell r="IF269">
            <v>66.75</v>
          </cell>
          <cell r="IG269">
            <v>64.5</v>
          </cell>
          <cell r="IH269">
            <v>58.19</v>
          </cell>
          <cell r="II269">
            <v>59.15</v>
          </cell>
          <cell r="IJ269">
            <v>59.21</v>
          </cell>
          <cell r="IK269">
            <v>56.68</v>
          </cell>
        </row>
        <row r="271">
          <cell r="F271" t="str">
            <v>EG cost</v>
          </cell>
          <cell r="H271">
            <v>6.8000000000000007</v>
          </cell>
          <cell r="I271">
            <v>7.48</v>
          </cell>
          <cell r="J271">
            <v>8.5</v>
          </cell>
          <cell r="K271">
            <v>9.8600000000000012</v>
          </cell>
          <cell r="L271">
            <v>10.200000000000001</v>
          </cell>
          <cell r="M271">
            <v>10.200000000000001</v>
          </cell>
          <cell r="N271">
            <v>9.1800000000000015</v>
          </cell>
          <cell r="O271">
            <v>8.84</v>
          </cell>
          <cell r="P271">
            <v>8.84</v>
          </cell>
          <cell r="Q271">
            <v>8.5</v>
          </cell>
          <cell r="R271">
            <v>7.82</v>
          </cell>
          <cell r="S271">
            <v>7.48</v>
          </cell>
          <cell r="T271">
            <v>7.65</v>
          </cell>
          <cell r="U271">
            <v>7.5650000000000004</v>
          </cell>
          <cell r="V271">
            <v>7.3100000000000005</v>
          </cell>
          <cell r="W271">
            <v>7.3100000000000005</v>
          </cell>
          <cell r="X271">
            <v>7.3100000000000005</v>
          </cell>
          <cell r="Y271">
            <v>7.3100000000000005</v>
          </cell>
          <cell r="Z271">
            <v>7.1400000000000006</v>
          </cell>
          <cell r="AA271">
            <v>7.1400000000000006</v>
          </cell>
          <cell r="AB271">
            <v>7.1400000000000006</v>
          </cell>
          <cell r="AC271">
            <v>6.7150000000000007</v>
          </cell>
          <cell r="AD271">
            <v>6.7150000000000007</v>
          </cell>
          <cell r="AE271">
            <v>6.7150000000000007</v>
          </cell>
          <cell r="AF271">
            <v>6.7150000000000007</v>
          </cell>
          <cell r="AG271">
            <v>6.7150000000000007</v>
          </cell>
          <cell r="AH271">
            <v>6.7150000000000007</v>
          </cell>
          <cell r="AI271">
            <v>7.3100000000000005</v>
          </cell>
          <cell r="AJ271">
            <v>7.3100000000000005</v>
          </cell>
          <cell r="AK271">
            <v>7.3100000000000005</v>
          </cell>
          <cell r="AL271">
            <v>6.8000000000000007</v>
          </cell>
          <cell r="AM271">
            <v>6.8000000000000007</v>
          </cell>
          <cell r="AN271">
            <v>6.8000000000000007</v>
          </cell>
          <cell r="AO271">
            <v>6.12</v>
          </cell>
          <cell r="AP271">
            <v>6.12</v>
          </cell>
          <cell r="AQ271">
            <v>6.12</v>
          </cell>
          <cell r="AR271">
            <v>5.44</v>
          </cell>
          <cell r="AS271">
            <v>5.44</v>
          </cell>
          <cell r="AT271">
            <v>5.44</v>
          </cell>
          <cell r="AU271">
            <v>5.44</v>
          </cell>
          <cell r="AV271">
            <v>5.44</v>
          </cell>
          <cell r="AW271">
            <v>5.44</v>
          </cell>
          <cell r="AX271">
            <v>4.7600000000000007</v>
          </cell>
          <cell r="AY271">
            <v>4.7600000000000007</v>
          </cell>
          <cell r="AZ271">
            <v>4.7600000000000007</v>
          </cell>
          <cell r="BA271">
            <v>4.7600000000000007</v>
          </cell>
          <cell r="BB271">
            <v>4.7600000000000007</v>
          </cell>
          <cell r="BC271">
            <v>4.7600000000000007</v>
          </cell>
          <cell r="BD271">
            <v>5.44</v>
          </cell>
          <cell r="BE271">
            <v>5.44</v>
          </cell>
          <cell r="BF271">
            <v>5.44</v>
          </cell>
          <cell r="BG271">
            <v>7.1400000000000006</v>
          </cell>
          <cell r="BH271">
            <v>7.1400000000000006</v>
          </cell>
          <cell r="BI271">
            <v>7.1400000000000006</v>
          </cell>
          <cell r="BJ271">
            <v>8.33</v>
          </cell>
          <cell r="BK271">
            <v>8.33</v>
          </cell>
          <cell r="BL271">
            <v>8.33</v>
          </cell>
          <cell r="BM271">
            <v>9.01</v>
          </cell>
          <cell r="BN271">
            <v>9.01</v>
          </cell>
          <cell r="BO271">
            <v>9.01</v>
          </cell>
          <cell r="BP271">
            <v>10.030000000000001</v>
          </cell>
          <cell r="BQ271">
            <v>10.030000000000001</v>
          </cell>
          <cell r="BR271">
            <v>10.030000000000001</v>
          </cell>
          <cell r="BS271">
            <v>10.030000000000001</v>
          </cell>
          <cell r="BT271">
            <v>10.030000000000001</v>
          </cell>
          <cell r="BU271">
            <v>10.030000000000001</v>
          </cell>
          <cell r="BV271">
            <v>9.3500000000000014</v>
          </cell>
          <cell r="BW271">
            <v>9.3500000000000014</v>
          </cell>
          <cell r="BX271">
            <v>9.3500000000000014</v>
          </cell>
          <cell r="BY271">
            <v>9.1800000000000015</v>
          </cell>
          <cell r="BZ271">
            <v>9.1800000000000015</v>
          </cell>
          <cell r="CA271">
            <v>9.1800000000000015</v>
          </cell>
          <cell r="CB271">
            <v>7.99</v>
          </cell>
          <cell r="CC271">
            <v>7.99</v>
          </cell>
          <cell r="CD271">
            <v>7.99</v>
          </cell>
          <cell r="CE271">
            <v>8.4150000000000009</v>
          </cell>
          <cell r="CF271">
            <v>8.4150000000000009</v>
          </cell>
          <cell r="CG271">
            <v>8.4150000000000009</v>
          </cell>
          <cell r="CH271">
            <v>9.01</v>
          </cell>
          <cell r="CI271">
            <v>9.01</v>
          </cell>
          <cell r="CJ271">
            <v>9.01</v>
          </cell>
          <cell r="CK271">
            <v>9.5200000000000014</v>
          </cell>
          <cell r="CL271">
            <v>9.5200000000000014</v>
          </cell>
          <cell r="CM271">
            <v>9.5200000000000014</v>
          </cell>
          <cell r="CN271">
            <v>9.8600000000000012</v>
          </cell>
          <cell r="CO271">
            <v>9.8600000000000012</v>
          </cell>
          <cell r="CP271">
            <v>9.8600000000000012</v>
          </cell>
          <cell r="CQ271">
            <v>9.8600000000000012</v>
          </cell>
          <cell r="CR271">
            <v>9.8600000000000012</v>
          </cell>
          <cell r="CS271">
            <v>9.8600000000000012</v>
          </cell>
          <cell r="CT271">
            <v>8.16</v>
          </cell>
          <cell r="CU271">
            <v>8.16</v>
          </cell>
          <cell r="CV271">
            <v>8.16</v>
          </cell>
          <cell r="CW271">
            <v>7.1400000000000006</v>
          </cell>
          <cell r="CX271">
            <v>7.1400000000000006</v>
          </cell>
          <cell r="CY271">
            <v>7.1400000000000006</v>
          </cell>
          <cell r="CZ271">
            <v>6.4600000000000009</v>
          </cell>
          <cell r="DA271">
            <v>6.4600000000000009</v>
          </cell>
          <cell r="DB271">
            <v>6.4600000000000009</v>
          </cell>
          <cell r="DC271">
            <v>6.12</v>
          </cell>
          <cell r="DD271">
            <v>6.12</v>
          </cell>
          <cell r="DE271">
            <v>6.12</v>
          </cell>
          <cell r="DF271">
            <v>6.12</v>
          </cell>
          <cell r="DG271">
            <v>6.12</v>
          </cell>
          <cell r="DH271">
            <v>6.12</v>
          </cell>
          <cell r="DI271">
            <v>6.12</v>
          </cell>
          <cell r="DJ271">
            <v>6.12</v>
          </cell>
          <cell r="DK271">
            <v>6.12</v>
          </cell>
          <cell r="DL271">
            <v>7.82</v>
          </cell>
          <cell r="DM271">
            <v>7.82</v>
          </cell>
          <cell r="DN271">
            <v>7.82</v>
          </cell>
          <cell r="DO271">
            <v>9.5200000000000014</v>
          </cell>
          <cell r="DP271">
            <v>9.5200000000000014</v>
          </cell>
          <cell r="DQ271">
            <v>9.5200000000000014</v>
          </cell>
          <cell r="DR271">
            <v>9.5200000000000014</v>
          </cell>
          <cell r="DS271">
            <v>8.84</v>
          </cell>
          <cell r="DT271">
            <v>8.84</v>
          </cell>
          <cell r="DU271">
            <v>9.6900000000000013</v>
          </cell>
          <cell r="DV271">
            <v>10.030000000000001</v>
          </cell>
          <cell r="DW271">
            <v>9.6900000000000013</v>
          </cell>
          <cell r="DX271">
            <v>9.01</v>
          </cell>
          <cell r="DY271">
            <v>8.5510000000000002</v>
          </cell>
          <cell r="DZ271">
            <v>7.8879999999999999</v>
          </cell>
          <cell r="EA271">
            <v>7.4256000000000002</v>
          </cell>
          <cell r="EB271">
            <v>7.7350000000000003</v>
          </cell>
          <cell r="EC271">
            <v>7.9560000000000004</v>
          </cell>
          <cell r="ED271">
            <v>7.5582000000000003</v>
          </cell>
          <cell r="EE271">
            <v>8.0953999999999997</v>
          </cell>
          <cell r="EF271">
            <v>8.4830000000000005</v>
          </cell>
          <cell r="EG271">
            <v>8.0920000000000005</v>
          </cell>
          <cell r="EH271">
            <v>7.248800000000001</v>
          </cell>
          <cell r="EI271">
            <v>7.8642000000000003</v>
          </cell>
          <cell r="EJ271">
            <v>7.8642000000000003</v>
          </cell>
          <cell r="EK271">
            <v>7.5582000000000003</v>
          </cell>
          <cell r="EL271">
            <v>7.248800000000001</v>
          </cell>
          <cell r="EM271">
            <v>6.9394000000000009</v>
          </cell>
          <cell r="EN271">
            <v>6.6300000000000008</v>
          </cell>
          <cell r="EO271">
            <v>6.1676000000000002</v>
          </cell>
          <cell r="EP271">
            <v>5.5522</v>
          </cell>
          <cell r="EQ271">
            <v>5.2428000000000008</v>
          </cell>
          <cell r="ER271">
            <v>5.5522</v>
          </cell>
          <cell r="ES271">
            <v>6.1676000000000002</v>
          </cell>
          <cell r="ET271">
            <v>7.248800000000001</v>
          </cell>
          <cell r="EU271">
            <v>7.7112000000000007</v>
          </cell>
          <cell r="EV271">
            <v>7.7112000000000007</v>
          </cell>
          <cell r="EW271">
            <v>7.248800000000001</v>
          </cell>
          <cell r="EX271">
            <v>7.8642000000000003</v>
          </cell>
          <cell r="EY271">
            <v>8.4830000000000005</v>
          </cell>
          <cell r="EZ271">
            <v>8.0206</v>
          </cell>
          <cell r="FA271">
            <v>7.7112000000000007</v>
          </cell>
          <cell r="FB271">
            <v>7.8642000000000003</v>
          </cell>
          <cell r="FC271">
            <v>9.4078000000000017</v>
          </cell>
          <cell r="FD271">
            <v>11.257400000000001</v>
          </cell>
          <cell r="FE271">
            <v>12.029200000000001</v>
          </cell>
          <cell r="FF271">
            <v>10.951400000000001</v>
          </cell>
          <cell r="FG271">
            <v>8.4830000000000005</v>
          </cell>
          <cell r="FH271">
            <v>9.5608000000000004</v>
          </cell>
          <cell r="FI271">
            <v>10.332600000000001</v>
          </cell>
          <cell r="FJ271">
            <v>11.1044</v>
          </cell>
          <cell r="FK271">
            <v>11.4138</v>
          </cell>
          <cell r="FL271">
            <v>10.951400000000001</v>
          </cell>
          <cell r="FM271">
            <v>10.951400000000001</v>
          </cell>
          <cell r="FN271">
            <v>10.795</v>
          </cell>
          <cell r="FO271">
            <v>11.566800000000002</v>
          </cell>
          <cell r="FP271">
            <v>13.110400000000002</v>
          </cell>
          <cell r="FQ271">
            <v>13.110400000000002</v>
          </cell>
          <cell r="FR271">
            <v>13.263400000000001</v>
          </cell>
          <cell r="FS271">
            <v>13.263400000000001</v>
          </cell>
          <cell r="FT271">
            <v>13.263400000000001</v>
          </cell>
          <cell r="FU271">
            <v>13.416400000000001</v>
          </cell>
          <cell r="FV271">
            <v>14.3446</v>
          </cell>
          <cell r="FW271">
            <v>17.581400000000002</v>
          </cell>
          <cell r="FX271">
            <v>18.196800000000003</v>
          </cell>
          <cell r="FY271">
            <v>18.196800000000003</v>
          </cell>
          <cell r="FZ271">
            <v>16.656600000000001</v>
          </cell>
          <cell r="GA271">
            <v>15.575400000000002</v>
          </cell>
          <cell r="GB271">
            <v>16.500200000000003</v>
          </cell>
          <cell r="GC271">
            <v>17.272000000000002</v>
          </cell>
          <cell r="GD271">
            <v>16.347200000000001</v>
          </cell>
          <cell r="GE271">
            <v>12.338600000000001</v>
          </cell>
          <cell r="GF271">
            <v>12.338600000000001</v>
          </cell>
          <cell r="GG271">
            <v>12.801</v>
          </cell>
          <cell r="GH271">
            <v>12.801</v>
          </cell>
          <cell r="GI271">
            <v>14.912400000000002</v>
          </cell>
          <cell r="GJ271">
            <v>14.497600000000002</v>
          </cell>
          <cell r="GK271">
            <v>13.110400000000002</v>
          </cell>
          <cell r="GL271">
            <v>13.110400000000002</v>
          </cell>
          <cell r="GM271">
            <v>13.416400000000001</v>
          </cell>
          <cell r="GN271">
            <v>13.7258</v>
          </cell>
          <cell r="GO271">
            <v>13.093400000000001</v>
          </cell>
          <cell r="GP271">
            <v>13.093400000000001</v>
          </cell>
          <cell r="GQ271">
            <v>13.416400000000001</v>
          </cell>
          <cell r="GR271">
            <v>14.035200000000001</v>
          </cell>
          <cell r="GS271">
            <v>14.96</v>
          </cell>
          <cell r="GT271">
            <v>15.269399999999999</v>
          </cell>
          <cell r="GU271">
            <v>15.269399999999999</v>
          </cell>
          <cell r="GV271">
            <v>14.341200000000001</v>
          </cell>
          <cell r="GW271">
            <v>13.878800000000002</v>
          </cell>
          <cell r="GX271">
            <v>13.878800000000002</v>
          </cell>
          <cell r="GY271">
            <v>13.878800000000002</v>
          </cell>
          <cell r="GZ271">
            <v>13.878800000000002</v>
          </cell>
          <cell r="HA271">
            <v>14.650600000000003</v>
          </cell>
          <cell r="HB271">
            <v>14.650600000000003</v>
          </cell>
          <cell r="HC271">
            <v>15.269399999999999</v>
          </cell>
          <cell r="HD271">
            <v>15.269399999999999</v>
          </cell>
          <cell r="HE271">
            <v>15.269399999999999</v>
          </cell>
          <cell r="HF271">
            <v>16.037800000000001</v>
          </cell>
          <cell r="HG271">
            <v>20.2334</v>
          </cell>
          <cell r="HH271">
            <v>21.515200000000004</v>
          </cell>
          <cell r="HI271">
            <v>24.520800000000005</v>
          </cell>
          <cell r="HJ271">
            <v>24.520800000000005</v>
          </cell>
          <cell r="HK271">
            <v>22.518200000000004</v>
          </cell>
          <cell r="HL271">
            <v>19.740400000000001</v>
          </cell>
          <cell r="HM271">
            <v>20.355800000000002</v>
          </cell>
          <cell r="HN271">
            <v>19.125</v>
          </cell>
          <cell r="HO271">
            <v>18.5062</v>
          </cell>
          <cell r="HP271">
            <v>19.431000000000001</v>
          </cell>
          <cell r="HQ271">
            <v>19.431000000000001</v>
          </cell>
          <cell r="HR271">
            <v>18.598000000000003</v>
          </cell>
          <cell r="HS271">
            <v>19.1998</v>
          </cell>
          <cell r="HT271">
            <v>18.584399999999999</v>
          </cell>
          <cell r="HU271">
            <v>18.230800000000002</v>
          </cell>
          <cell r="HV271">
            <v>17.703800000000001</v>
          </cell>
          <cell r="HW271">
            <v>17.442</v>
          </cell>
          <cell r="HX271">
            <v>17.241400000000002</v>
          </cell>
          <cell r="HY271">
            <v>16.238400000000002</v>
          </cell>
          <cell r="HZ271">
            <v>15.806600000000001</v>
          </cell>
          <cell r="IA271">
            <v>15.47</v>
          </cell>
          <cell r="IB271">
            <v>15.623000000000003</v>
          </cell>
          <cell r="IC271">
            <v>15.806600000000001</v>
          </cell>
          <cell r="ID271">
            <v>15.837200000000001</v>
          </cell>
          <cell r="IE271">
            <v>15.606</v>
          </cell>
          <cell r="IF271">
            <v>15.422400000000001</v>
          </cell>
          <cell r="IG271">
            <v>15.483600000000001</v>
          </cell>
          <cell r="IH271">
            <v>16.255400000000002</v>
          </cell>
          <cell r="II271">
            <v>15.453000000000003</v>
          </cell>
          <cell r="IJ271">
            <v>14.650600000000003</v>
          </cell>
          <cell r="IK271">
            <v>14.048800000000002</v>
          </cell>
        </row>
        <row r="272">
          <cell r="F272" t="str">
            <v>PX cost</v>
          </cell>
          <cell r="H272">
            <v>12.345300000000002</v>
          </cell>
          <cell r="I272">
            <v>12.345300000000002</v>
          </cell>
          <cell r="J272">
            <v>12.345300000000002</v>
          </cell>
          <cell r="K272">
            <v>15.790500000000002</v>
          </cell>
          <cell r="L272">
            <v>15.790500000000002</v>
          </cell>
          <cell r="M272">
            <v>15.790500000000002</v>
          </cell>
          <cell r="N272">
            <v>14.067900000000002</v>
          </cell>
          <cell r="O272">
            <v>14.067900000000002</v>
          </cell>
          <cell r="P272">
            <v>12.632400000000001</v>
          </cell>
          <cell r="Q272">
            <v>11.771100000000001</v>
          </cell>
          <cell r="R272">
            <v>11.771100000000001</v>
          </cell>
          <cell r="S272">
            <v>11.771100000000001</v>
          </cell>
          <cell r="T272">
            <v>11.369160000000001</v>
          </cell>
          <cell r="U272">
            <v>11.369160000000001</v>
          </cell>
          <cell r="V272">
            <v>11.369160000000001</v>
          </cell>
          <cell r="W272">
            <v>11.369160000000001</v>
          </cell>
          <cell r="X272">
            <v>11.369160000000001</v>
          </cell>
          <cell r="Y272">
            <v>11.369160000000001</v>
          </cell>
          <cell r="Z272">
            <v>11.340450000000001</v>
          </cell>
          <cell r="AA272">
            <v>11.340450000000001</v>
          </cell>
          <cell r="AB272">
            <v>11.340450000000001</v>
          </cell>
          <cell r="AC272">
            <v>12.058200000000001</v>
          </cell>
          <cell r="AD272">
            <v>12.058200000000001</v>
          </cell>
          <cell r="AE272">
            <v>12.058200000000001</v>
          </cell>
          <cell r="AF272">
            <v>12.345300000000002</v>
          </cell>
          <cell r="AG272">
            <v>12.345300000000002</v>
          </cell>
          <cell r="AH272">
            <v>12.345300000000002</v>
          </cell>
          <cell r="AI272">
            <v>11.771100000000001</v>
          </cell>
          <cell r="AJ272">
            <v>11.771100000000001</v>
          </cell>
          <cell r="AK272">
            <v>11.771100000000001</v>
          </cell>
          <cell r="AL272">
            <v>11.771100000000001</v>
          </cell>
          <cell r="AM272">
            <v>11.771100000000001</v>
          </cell>
          <cell r="AN272">
            <v>11.771100000000001</v>
          </cell>
          <cell r="AO272">
            <v>12.058200000000001</v>
          </cell>
          <cell r="AP272">
            <v>12.058200000000001</v>
          </cell>
          <cell r="AQ272">
            <v>12.058200000000001</v>
          </cell>
          <cell r="AR272">
            <v>12.201750000000001</v>
          </cell>
          <cell r="AS272">
            <v>12.201750000000001</v>
          </cell>
          <cell r="AT272">
            <v>12.201750000000001</v>
          </cell>
          <cell r="AU272">
            <v>12.201750000000001</v>
          </cell>
          <cell r="AV272">
            <v>12.201750000000001</v>
          </cell>
          <cell r="AW272">
            <v>12.201750000000001</v>
          </cell>
          <cell r="AX272">
            <v>12.775950000000002</v>
          </cell>
          <cell r="AY272">
            <v>12.775950000000002</v>
          </cell>
          <cell r="AZ272">
            <v>12.775950000000002</v>
          </cell>
          <cell r="BA272">
            <v>12.775950000000002</v>
          </cell>
          <cell r="BB272">
            <v>12.775950000000002</v>
          </cell>
          <cell r="BC272">
            <v>12.775950000000002</v>
          </cell>
          <cell r="BD272">
            <v>13.780800000000001</v>
          </cell>
          <cell r="BE272">
            <v>13.780800000000001</v>
          </cell>
          <cell r="BF272">
            <v>13.780800000000001</v>
          </cell>
          <cell r="BG272">
            <v>16.0776</v>
          </cell>
          <cell r="BH272">
            <v>16.0776</v>
          </cell>
          <cell r="BI272">
            <v>16.0776</v>
          </cell>
          <cell r="BJ272">
            <v>16.9389</v>
          </cell>
          <cell r="BK272">
            <v>16.9389</v>
          </cell>
          <cell r="BL272">
            <v>16.9389</v>
          </cell>
          <cell r="BM272">
            <v>20.671200000000002</v>
          </cell>
          <cell r="BN272">
            <v>20.671200000000002</v>
          </cell>
          <cell r="BO272">
            <v>20.671200000000002</v>
          </cell>
          <cell r="BP272">
            <v>22.968000000000004</v>
          </cell>
          <cell r="BQ272">
            <v>22.968000000000004</v>
          </cell>
          <cell r="BR272">
            <v>22.968000000000004</v>
          </cell>
          <cell r="BS272">
            <v>23.542200000000001</v>
          </cell>
          <cell r="BT272">
            <v>23.542200000000001</v>
          </cell>
          <cell r="BU272">
            <v>23.542200000000001</v>
          </cell>
          <cell r="BV272">
            <v>23.542200000000001</v>
          </cell>
          <cell r="BW272">
            <v>23.542200000000001</v>
          </cell>
          <cell r="BX272">
            <v>23.542200000000001</v>
          </cell>
          <cell r="BY272">
            <v>19.809900000000003</v>
          </cell>
          <cell r="BZ272">
            <v>19.809900000000003</v>
          </cell>
          <cell r="CA272">
            <v>19.809900000000003</v>
          </cell>
          <cell r="CB272">
            <v>12.632400000000001</v>
          </cell>
          <cell r="CC272">
            <v>12.632400000000001</v>
          </cell>
          <cell r="CD272">
            <v>12.632400000000001</v>
          </cell>
          <cell r="CE272">
            <v>10.909800000000001</v>
          </cell>
          <cell r="CF272">
            <v>10.909800000000001</v>
          </cell>
          <cell r="CG272">
            <v>10.909800000000001</v>
          </cell>
          <cell r="CH272">
            <v>11.771100000000001</v>
          </cell>
          <cell r="CI272">
            <v>11.771100000000001</v>
          </cell>
          <cell r="CJ272">
            <v>11.771100000000001</v>
          </cell>
          <cell r="CK272">
            <v>12.345300000000002</v>
          </cell>
          <cell r="CL272">
            <v>12.345300000000002</v>
          </cell>
          <cell r="CM272">
            <v>12.345300000000002</v>
          </cell>
          <cell r="CN272">
            <v>12.919500000000001</v>
          </cell>
          <cell r="CO272">
            <v>12.919500000000001</v>
          </cell>
          <cell r="CP272">
            <v>12.919500000000001</v>
          </cell>
          <cell r="CQ272">
            <v>12.345300000000002</v>
          </cell>
          <cell r="CR272">
            <v>12.345300000000002</v>
          </cell>
          <cell r="CS272">
            <v>12.345300000000002</v>
          </cell>
          <cell r="CT272">
            <v>10.909800000000001</v>
          </cell>
          <cell r="CU272">
            <v>10.909800000000001</v>
          </cell>
          <cell r="CV272">
            <v>10.909800000000001</v>
          </cell>
          <cell r="CW272">
            <v>9.0436500000000013</v>
          </cell>
          <cell r="CX272">
            <v>9.0436500000000013</v>
          </cell>
          <cell r="CY272">
            <v>9.0436500000000013</v>
          </cell>
          <cell r="CZ272">
            <v>9.0436500000000013</v>
          </cell>
          <cell r="DA272">
            <v>9.0436500000000013</v>
          </cell>
          <cell r="DB272">
            <v>9.0436500000000013</v>
          </cell>
          <cell r="DC272">
            <v>8.4694500000000001</v>
          </cell>
          <cell r="DD272">
            <v>8.4694500000000001</v>
          </cell>
          <cell r="DE272">
            <v>8.4694500000000001</v>
          </cell>
          <cell r="DF272">
            <v>8.1823500000000013</v>
          </cell>
          <cell r="DG272">
            <v>8.1823500000000013</v>
          </cell>
          <cell r="DH272">
            <v>8.1823500000000013</v>
          </cell>
          <cell r="DI272">
            <v>9.0436500000000013</v>
          </cell>
          <cell r="DJ272">
            <v>9.0436500000000013</v>
          </cell>
          <cell r="DK272">
            <v>9.0436500000000013</v>
          </cell>
          <cell r="DL272">
            <v>10.479150000000001</v>
          </cell>
          <cell r="DM272">
            <v>10.479150000000001</v>
          </cell>
          <cell r="DN272">
            <v>10.479150000000001</v>
          </cell>
          <cell r="DO272">
            <v>12.058200000000001</v>
          </cell>
          <cell r="DP272">
            <v>12.058200000000001</v>
          </cell>
          <cell r="DQ272">
            <v>12.058200000000001</v>
          </cell>
          <cell r="DR272">
            <v>12.058200000000001</v>
          </cell>
          <cell r="DS272">
            <v>12.058200000000001</v>
          </cell>
          <cell r="DT272">
            <v>12.058200000000001</v>
          </cell>
          <cell r="DU272">
            <v>13.350150000000001</v>
          </cell>
          <cell r="DV272">
            <v>13.350150000000001</v>
          </cell>
          <cell r="DW272">
            <v>13.350150000000001</v>
          </cell>
          <cell r="DX272">
            <v>14.211450000000001</v>
          </cell>
          <cell r="DY272">
            <v>14.211450000000001</v>
          </cell>
          <cell r="DZ272">
            <v>14.211450000000001</v>
          </cell>
          <cell r="EA272">
            <v>13.4937</v>
          </cell>
          <cell r="EB272">
            <v>13.4937</v>
          </cell>
          <cell r="EC272">
            <v>13.4937</v>
          </cell>
          <cell r="ED272">
            <v>13.4937</v>
          </cell>
          <cell r="EE272">
            <v>13.4937</v>
          </cell>
          <cell r="EF272">
            <v>13.4937</v>
          </cell>
          <cell r="EG272">
            <v>14.78565</v>
          </cell>
          <cell r="EH272">
            <v>14.78565</v>
          </cell>
          <cell r="EI272">
            <v>14.78565</v>
          </cell>
          <cell r="EJ272">
            <v>14.78565</v>
          </cell>
          <cell r="EK272">
            <v>14.78565</v>
          </cell>
          <cell r="EL272">
            <v>14.78565</v>
          </cell>
          <cell r="EM272">
            <v>12.919500000000001</v>
          </cell>
          <cell r="EN272">
            <v>12.919500000000001</v>
          </cell>
          <cell r="EO272">
            <v>12.919500000000001</v>
          </cell>
          <cell r="EP272">
            <v>10.048500000000001</v>
          </cell>
          <cell r="EQ272">
            <v>10.048500000000001</v>
          </cell>
          <cell r="ER272">
            <v>10.6227</v>
          </cell>
          <cell r="ES272">
            <v>12.919500000000001</v>
          </cell>
          <cell r="ET272">
            <v>12.919500000000001</v>
          </cell>
          <cell r="EU272">
            <v>12.632400000000001</v>
          </cell>
          <cell r="EV272">
            <v>12.488850000000001</v>
          </cell>
          <cell r="EW272">
            <v>12.488850000000001</v>
          </cell>
          <cell r="EX272">
            <v>12.488850000000001</v>
          </cell>
          <cell r="EY272">
            <v>12.632400000000001</v>
          </cell>
          <cell r="EZ272">
            <v>12.632400000000001</v>
          </cell>
          <cell r="FA272">
            <v>12.775950000000002</v>
          </cell>
          <cell r="FB272">
            <v>13.780800000000001</v>
          </cell>
          <cell r="FC272">
            <v>17.226000000000003</v>
          </cell>
          <cell r="FD272">
            <v>21.101850000000002</v>
          </cell>
          <cell r="FE272">
            <v>20.81475</v>
          </cell>
          <cell r="FF272">
            <v>14.211450000000001</v>
          </cell>
          <cell r="FG272">
            <v>13.4937</v>
          </cell>
          <cell r="FH272">
            <v>14.78565</v>
          </cell>
          <cell r="FI272">
            <v>15.934050000000001</v>
          </cell>
          <cell r="FJ272">
            <v>16.9389</v>
          </cell>
          <cell r="FK272">
            <v>15.503400000000001</v>
          </cell>
          <cell r="FL272">
            <v>15.934050000000001</v>
          </cell>
          <cell r="FM272">
            <v>16.0776</v>
          </cell>
          <cell r="FN272">
            <v>16.50825</v>
          </cell>
          <cell r="FO272">
            <v>18.6615</v>
          </cell>
          <cell r="FP272">
            <v>19.235700000000001</v>
          </cell>
          <cell r="FQ272">
            <v>19.379250000000003</v>
          </cell>
          <cell r="FR272">
            <v>19.95345</v>
          </cell>
          <cell r="FS272">
            <v>20.240550000000002</v>
          </cell>
          <cell r="FT272">
            <v>20.240550000000002</v>
          </cell>
          <cell r="FU272">
            <v>20.527650000000001</v>
          </cell>
          <cell r="FV272">
            <v>22.968000000000004</v>
          </cell>
          <cell r="FW272">
            <v>24.259950000000003</v>
          </cell>
          <cell r="FX272">
            <v>26.126100000000001</v>
          </cell>
          <cell r="FY272">
            <v>26.413200000000003</v>
          </cell>
          <cell r="FZ272">
            <v>23.542200000000001</v>
          </cell>
          <cell r="GA272">
            <v>24.259950000000003</v>
          </cell>
          <cell r="GB272">
            <v>25.551900000000003</v>
          </cell>
          <cell r="GC272">
            <v>25.551900000000003</v>
          </cell>
          <cell r="GD272">
            <v>22.968000000000004</v>
          </cell>
          <cell r="GE272">
            <v>21.388950000000001</v>
          </cell>
          <cell r="GF272">
            <v>22.53735</v>
          </cell>
          <cell r="GG272">
            <v>23.111550000000001</v>
          </cell>
          <cell r="GH272">
            <v>34.452000000000005</v>
          </cell>
          <cell r="GI272">
            <v>34.452000000000005</v>
          </cell>
          <cell r="GJ272">
            <v>29.571300000000001</v>
          </cell>
          <cell r="GK272">
            <v>23.829300000000003</v>
          </cell>
          <cell r="GL272">
            <v>25.839000000000002</v>
          </cell>
          <cell r="GM272">
            <v>27.848700000000001</v>
          </cell>
          <cell r="GN272">
            <v>26.843850000000003</v>
          </cell>
          <cell r="GO272">
            <v>28.135800000000003</v>
          </cell>
          <cell r="GP272">
            <v>30.001950000000001</v>
          </cell>
          <cell r="GQ272">
            <v>32.729400000000005</v>
          </cell>
          <cell r="GR272">
            <v>34.308450000000001</v>
          </cell>
          <cell r="GS272">
            <v>37.035900000000005</v>
          </cell>
          <cell r="GT272">
            <v>39.47625</v>
          </cell>
          <cell r="GU272">
            <v>35.026200000000003</v>
          </cell>
          <cell r="GV272">
            <v>28.135800000000003</v>
          </cell>
          <cell r="GW272">
            <v>28.997100000000003</v>
          </cell>
          <cell r="GX272">
            <v>30.145500000000002</v>
          </cell>
          <cell r="GY272">
            <v>29.140650000000001</v>
          </cell>
          <cell r="GZ272">
            <v>29.858400000000003</v>
          </cell>
          <cell r="HA272">
            <v>31.724550000000001</v>
          </cell>
          <cell r="HB272">
            <v>33.303600000000003</v>
          </cell>
          <cell r="HC272">
            <v>34.882650000000005</v>
          </cell>
          <cell r="HD272">
            <v>31.868100000000002</v>
          </cell>
          <cell r="HE272">
            <v>32.155200000000001</v>
          </cell>
          <cell r="HF272">
            <v>29.714850000000002</v>
          </cell>
          <cell r="HG272">
            <v>29.571300000000001</v>
          </cell>
          <cell r="HH272">
            <v>31.006800000000002</v>
          </cell>
          <cell r="HI272">
            <v>31.150350000000003</v>
          </cell>
          <cell r="HJ272">
            <v>31.437450000000002</v>
          </cell>
          <cell r="HK272">
            <v>31.150350000000003</v>
          </cell>
          <cell r="HL272">
            <v>33.447150000000001</v>
          </cell>
          <cell r="HM272">
            <v>36.03105</v>
          </cell>
          <cell r="HN272">
            <v>36.89235</v>
          </cell>
          <cell r="HO272">
            <v>40.911750000000005</v>
          </cell>
          <cell r="HP272">
            <v>45.792450000000002</v>
          </cell>
          <cell r="HQ272">
            <v>40.7682</v>
          </cell>
          <cell r="HR272">
            <v>40.7682</v>
          </cell>
          <cell r="HS272">
            <v>40.481100000000005</v>
          </cell>
          <cell r="HT272">
            <v>39.9069</v>
          </cell>
          <cell r="HU272">
            <v>39.763350000000003</v>
          </cell>
          <cell r="HV272">
            <v>39.619800000000005</v>
          </cell>
          <cell r="HW272">
            <v>40.481100000000005</v>
          </cell>
          <cell r="HX272">
            <v>40.481100000000005</v>
          </cell>
          <cell r="HY272">
            <v>39.9069</v>
          </cell>
          <cell r="HZ272">
            <v>39.763350000000003</v>
          </cell>
          <cell r="IA272">
            <v>38.040750000000003</v>
          </cell>
          <cell r="IB272">
            <v>38.1843</v>
          </cell>
          <cell r="IC272">
            <v>38.327850000000005</v>
          </cell>
          <cell r="ID272">
            <v>38.758500000000005</v>
          </cell>
          <cell r="IE272">
            <v>38.471400000000003</v>
          </cell>
          <cell r="IF272">
            <v>38.327850000000005</v>
          </cell>
          <cell r="IG272">
            <v>37.035900000000005</v>
          </cell>
          <cell r="IH272">
            <v>33.412697999999999</v>
          </cell>
          <cell r="II272">
            <v>33.963930000000005</v>
          </cell>
          <cell r="IJ272">
            <v>33.998382000000007</v>
          </cell>
          <cell r="IK272">
            <v>32.545656000000001</v>
          </cell>
        </row>
        <row r="273">
          <cell r="F273" t="str">
            <v>PET Raw Maerial Cost</v>
          </cell>
          <cell r="H273">
            <v>19.145300000000002</v>
          </cell>
          <cell r="I273">
            <v>19.825300000000002</v>
          </cell>
          <cell r="J273">
            <v>20.845300000000002</v>
          </cell>
          <cell r="K273">
            <v>25.650500000000001</v>
          </cell>
          <cell r="L273">
            <v>25.990500000000004</v>
          </cell>
          <cell r="M273">
            <v>25.990500000000004</v>
          </cell>
          <cell r="N273">
            <v>23.247900000000001</v>
          </cell>
          <cell r="O273">
            <v>22.907900000000001</v>
          </cell>
          <cell r="P273">
            <v>21.4724</v>
          </cell>
          <cell r="Q273">
            <v>20.271100000000001</v>
          </cell>
          <cell r="R273">
            <v>19.591100000000001</v>
          </cell>
          <cell r="S273">
            <v>19.251100000000001</v>
          </cell>
          <cell r="T273">
            <v>19.019159999999999</v>
          </cell>
          <cell r="U273">
            <v>18.934160000000002</v>
          </cell>
          <cell r="V273">
            <v>18.679160000000003</v>
          </cell>
          <cell r="W273">
            <v>18.679160000000003</v>
          </cell>
          <cell r="X273">
            <v>18.679160000000003</v>
          </cell>
          <cell r="Y273">
            <v>18.679160000000003</v>
          </cell>
          <cell r="Z273">
            <v>18.480450000000001</v>
          </cell>
          <cell r="AA273">
            <v>18.480450000000001</v>
          </cell>
          <cell r="AB273">
            <v>18.480450000000001</v>
          </cell>
          <cell r="AC273">
            <v>18.773200000000003</v>
          </cell>
          <cell r="AD273">
            <v>18.773200000000003</v>
          </cell>
          <cell r="AE273">
            <v>18.773200000000003</v>
          </cell>
          <cell r="AF273">
            <v>19.060300000000002</v>
          </cell>
          <cell r="AG273">
            <v>19.060300000000002</v>
          </cell>
          <cell r="AH273">
            <v>19.060300000000002</v>
          </cell>
          <cell r="AI273">
            <v>19.081099999999999</v>
          </cell>
          <cell r="AJ273">
            <v>19.081099999999999</v>
          </cell>
          <cell r="AK273">
            <v>19.081099999999999</v>
          </cell>
          <cell r="AL273">
            <v>18.571100000000001</v>
          </cell>
          <cell r="AM273">
            <v>18.571100000000001</v>
          </cell>
          <cell r="AN273">
            <v>18.571100000000001</v>
          </cell>
          <cell r="AO273">
            <v>18.1782</v>
          </cell>
          <cell r="AP273">
            <v>18.1782</v>
          </cell>
          <cell r="AQ273">
            <v>18.1782</v>
          </cell>
          <cell r="AR273">
            <v>17.641750000000002</v>
          </cell>
          <cell r="AS273">
            <v>17.641750000000002</v>
          </cell>
          <cell r="AT273">
            <v>17.641750000000002</v>
          </cell>
          <cell r="AU273">
            <v>17.641750000000002</v>
          </cell>
          <cell r="AV273">
            <v>17.641750000000002</v>
          </cell>
          <cell r="AW273">
            <v>17.641750000000002</v>
          </cell>
          <cell r="AX273">
            <v>17.535950000000003</v>
          </cell>
          <cell r="AY273">
            <v>17.535950000000003</v>
          </cell>
          <cell r="AZ273">
            <v>17.535950000000003</v>
          </cell>
          <cell r="BA273">
            <v>17.535950000000003</v>
          </cell>
          <cell r="BB273">
            <v>17.535950000000003</v>
          </cell>
          <cell r="BC273">
            <v>17.535950000000003</v>
          </cell>
          <cell r="BD273">
            <v>19.220800000000001</v>
          </cell>
          <cell r="BE273">
            <v>19.220800000000001</v>
          </cell>
          <cell r="BF273">
            <v>19.220800000000001</v>
          </cell>
          <cell r="BG273">
            <v>23.217600000000001</v>
          </cell>
          <cell r="BH273">
            <v>23.217600000000001</v>
          </cell>
          <cell r="BI273">
            <v>23.217600000000001</v>
          </cell>
          <cell r="BJ273">
            <v>25.268900000000002</v>
          </cell>
          <cell r="BK273">
            <v>25.268900000000002</v>
          </cell>
          <cell r="BL273">
            <v>25.268900000000002</v>
          </cell>
          <cell r="BM273">
            <v>29.681200000000004</v>
          </cell>
          <cell r="BN273">
            <v>29.681200000000004</v>
          </cell>
          <cell r="BO273">
            <v>29.681200000000004</v>
          </cell>
          <cell r="BP273">
            <v>32.998000000000005</v>
          </cell>
          <cell r="BQ273">
            <v>32.998000000000005</v>
          </cell>
          <cell r="BR273">
            <v>32.998000000000005</v>
          </cell>
          <cell r="BS273">
            <v>33.572200000000002</v>
          </cell>
          <cell r="BT273">
            <v>33.572200000000002</v>
          </cell>
          <cell r="BU273">
            <v>33.572200000000002</v>
          </cell>
          <cell r="BV273">
            <v>32.892200000000003</v>
          </cell>
          <cell r="BW273">
            <v>32.892200000000003</v>
          </cell>
          <cell r="BX273">
            <v>32.892200000000003</v>
          </cell>
          <cell r="BY273">
            <v>28.989900000000006</v>
          </cell>
          <cell r="BZ273">
            <v>28.989900000000006</v>
          </cell>
          <cell r="CA273">
            <v>28.989900000000006</v>
          </cell>
          <cell r="CB273">
            <v>20.622399999999999</v>
          </cell>
          <cell r="CC273">
            <v>20.622399999999999</v>
          </cell>
          <cell r="CD273">
            <v>20.622399999999999</v>
          </cell>
          <cell r="CE273">
            <v>19.324800000000003</v>
          </cell>
          <cell r="CF273">
            <v>19.324800000000003</v>
          </cell>
          <cell r="CG273">
            <v>19.324800000000003</v>
          </cell>
          <cell r="CH273">
            <v>20.781100000000002</v>
          </cell>
          <cell r="CI273">
            <v>20.781100000000002</v>
          </cell>
          <cell r="CJ273">
            <v>20.781100000000002</v>
          </cell>
          <cell r="CK273">
            <v>21.865300000000005</v>
          </cell>
          <cell r="CL273">
            <v>21.865300000000005</v>
          </cell>
          <cell r="CM273">
            <v>21.865300000000005</v>
          </cell>
          <cell r="CN273">
            <v>22.779500000000002</v>
          </cell>
          <cell r="CO273">
            <v>22.779500000000002</v>
          </cell>
          <cell r="CP273">
            <v>22.779500000000002</v>
          </cell>
          <cell r="CQ273">
            <v>22.205300000000001</v>
          </cell>
          <cell r="CR273">
            <v>22.205300000000001</v>
          </cell>
          <cell r="CS273">
            <v>22.205300000000001</v>
          </cell>
          <cell r="CT273">
            <v>19.069800000000001</v>
          </cell>
          <cell r="CU273">
            <v>19.069800000000001</v>
          </cell>
          <cell r="CV273">
            <v>19.069800000000001</v>
          </cell>
          <cell r="CW273">
            <v>16.18365</v>
          </cell>
          <cell r="CX273">
            <v>16.18365</v>
          </cell>
          <cell r="CY273">
            <v>16.18365</v>
          </cell>
          <cell r="CZ273">
            <v>15.503650000000002</v>
          </cell>
          <cell r="DA273">
            <v>15.503650000000002</v>
          </cell>
          <cell r="DB273">
            <v>15.503650000000002</v>
          </cell>
          <cell r="DC273">
            <v>14.589449999999999</v>
          </cell>
          <cell r="DD273">
            <v>14.589449999999999</v>
          </cell>
          <cell r="DE273">
            <v>14.589449999999999</v>
          </cell>
          <cell r="DF273">
            <v>14.302350000000001</v>
          </cell>
          <cell r="DG273">
            <v>14.302350000000001</v>
          </cell>
          <cell r="DH273">
            <v>14.302350000000001</v>
          </cell>
          <cell r="DI273">
            <v>15.163650000000001</v>
          </cell>
          <cell r="DJ273">
            <v>15.163650000000001</v>
          </cell>
          <cell r="DK273">
            <v>15.163650000000001</v>
          </cell>
          <cell r="DL273">
            <v>18.299150000000001</v>
          </cell>
          <cell r="DM273">
            <v>18.299150000000001</v>
          </cell>
          <cell r="DN273">
            <v>18.299150000000001</v>
          </cell>
          <cell r="DO273">
            <v>21.578200000000002</v>
          </cell>
          <cell r="DP273">
            <v>21.578200000000002</v>
          </cell>
          <cell r="DQ273">
            <v>21.578200000000002</v>
          </cell>
          <cell r="DR273">
            <v>21.578200000000002</v>
          </cell>
          <cell r="DS273">
            <v>20.898200000000003</v>
          </cell>
          <cell r="DT273">
            <v>20.898200000000003</v>
          </cell>
          <cell r="DU273">
            <v>23.040150000000004</v>
          </cell>
          <cell r="DV273">
            <v>23.38015</v>
          </cell>
          <cell r="DW273">
            <v>23.040150000000004</v>
          </cell>
          <cell r="DX273">
            <v>23.221450000000001</v>
          </cell>
          <cell r="DY273">
            <v>22.762450000000001</v>
          </cell>
          <cell r="DZ273">
            <v>22.099450000000001</v>
          </cell>
          <cell r="EA273">
            <v>20.9193</v>
          </cell>
          <cell r="EB273">
            <v>21.2287</v>
          </cell>
          <cell r="EC273">
            <v>21.4497</v>
          </cell>
          <cell r="ED273">
            <v>21.0519</v>
          </cell>
          <cell r="EE273">
            <v>21.589100000000002</v>
          </cell>
          <cell r="EF273">
            <v>21.976700000000001</v>
          </cell>
          <cell r="EG273">
            <v>22.877650000000003</v>
          </cell>
          <cell r="EH273">
            <v>22.03445</v>
          </cell>
          <cell r="EI273">
            <v>22.649850000000001</v>
          </cell>
          <cell r="EJ273">
            <v>22.649850000000001</v>
          </cell>
          <cell r="EK273">
            <v>22.34385</v>
          </cell>
          <cell r="EL273">
            <v>22.03445</v>
          </cell>
          <cell r="EM273">
            <v>19.858900000000002</v>
          </cell>
          <cell r="EN273">
            <v>19.549500000000002</v>
          </cell>
          <cell r="EO273">
            <v>19.0871</v>
          </cell>
          <cell r="EP273">
            <v>15.6007</v>
          </cell>
          <cell r="EQ273">
            <v>15.291300000000001</v>
          </cell>
          <cell r="ER273">
            <v>16.174900000000001</v>
          </cell>
          <cell r="ES273">
            <v>19.0871</v>
          </cell>
          <cell r="ET273">
            <v>20.168300000000002</v>
          </cell>
          <cell r="EU273">
            <v>20.343600000000002</v>
          </cell>
          <cell r="EV273">
            <v>20.200050000000001</v>
          </cell>
          <cell r="EW273">
            <v>19.737650000000002</v>
          </cell>
          <cell r="EX273">
            <v>20.353050000000003</v>
          </cell>
          <cell r="EY273">
            <v>21.115400000000001</v>
          </cell>
          <cell r="EZ273">
            <v>20.652999999999999</v>
          </cell>
          <cell r="FA273">
            <v>20.487150000000003</v>
          </cell>
          <cell r="FB273">
            <v>21.645000000000003</v>
          </cell>
          <cell r="FC273">
            <v>26.633800000000004</v>
          </cell>
          <cell r="FD273">
            <v>32.359250000000003</v>
          </cell>
          <cell r="FE273">
            <v>32.84395</v>
          </cell>
          <cell r="FF273">
            <v>25.162850000000002</v>
          </cell>
          <cell r="FG273">
            <v>21.976700000000001</v>
          </cell>
          <cell r="FH273">
            <v>24.346450000000001</v>
          </cell>
          <cell r="FI273">
            <v>26.266650000000002</v>
          </cell>
          <cell r="FJ273">
            <v>28.043300000000002</v>
          </cell>
          <cell r="FK273">
            <v>26.917200000000001</v>
          </cell>
          <cell r="FL273">
            <v>26.885450000000002</v>
          </cell>
          <cell r="FM273">
            <v>27.029000000000003</v>
          </cell>
          <cell r="FN273">
            <v>27.303249999999998</v>
          </cell>
          <cell r="FO273">
            <v>30.228300000000004</v>
          </cell>
          <cell r="FP273">
            <v>32.346100000000007</v>
          </cell>
          <cell r="FQ273">
            <v>32.489650000000005</v>
          </cell>
          <cell r="FR273">
            <v>33.216850000000001</v>
          </cell>
          <cell r="FS273">
            <v>33.503950000000003</v>
          </cell>
          <cell r="FT273">
            <v>33.503950000000003</v>
          </cell>
          <cell r="FU273">
            <v>33.944050000000004</v>
          </cell>
          <cell r="FV273">
            <v>37.312600000000003</v>
          </cell>
          <cell r="FW273">
            <v>41.841350000000006</v>
          </cell>
          <cell r="FX273">
            <v>44.322900000000004</v>
          </cell>
          <cell r="FY273">
            <v>44.610000000000007</v>
          </cell>
          <cell r="FZ273">
            <v>40.198800000000006</v>
          </cell>
          <cell r="GA273">
            <v>39.835350000000005</v>
          </cell>
          <cell r="GB273">
            <v>42.05210000000001</v>
          </cell>
          <cell r="GC273">
            <v>42.823900000000009</v>
          </cell>
          <cell r="GD273">
            <v>39.315200000000004</v>
          </cell>
          <cell r="GE273">
            <v>33.727550000000001</v>
          </cell>
          <cell r="GF273">
            <v>34.875950000000003</v>
          </cell>
          <cell r="GG273">
            <v>35.912550000000003</v>
          </cell>
          <cell r="GH273">
            <v>47.253000000000007</v>
          </cell>
          <cell r="GI273">
            <v>49.364400000000003</v>
          </cell>
          <cell r="GJ273">
            <v>44.068899999999999</v>
          </cell>
          <cell r="GK273">
            <v>36.939700000000002</v>
          </cell>
          <cell r="GL273">
            <v>38.949400000000004</v>
          </cell>
          <cell r="GM273">
            <v>41.265100000000004</v>
          </cell>
          <cell r="GN273">
            <v>40.569650000000003</v>
          </cell>
          <cell r="GO273">
            <v>41.229200000000006</v>
          </cell>
          <cell r="GP273">
            <v>43.095350000000003</v>
          </cell>
          <cell r="GQ273">
            <v>46.145800000000008</v>
          </cell>
          <cell r="GR273">
            <v>48.343650000000004</v>
          </cell>
          <cell r="GS273">
            <v>51.995900000000006</v>
          </cell>
          <cell r="GT273">
            <v>54.745649999999998</v>
          </cell>
          <cell r="GU273">
            <v>50.2956</v>
          </cell>
          <cell r="GV273">
            <v>42.477000000000004</v>
          </cell>
          <cell r="GW273">
            <v>42.875900000000001</v>
          </cell>
          <cell r="GX273">
            <v>44.024300000000004</v>
          </cell>
          <cell r="GY273">
            <v>43.019450000000006</v>
          </cell>
          <cell r="GZ273">
            <v>43.737200000000001</v>
          </cell>
          <cell r="HA273">
            <v>46.375150000000005</v>
          </cell>
          <cell r="HB273">
            <v>47.954200000000007</v>
          </cell>
          <cell r="HC273">
            <v>50.152050000000003</v>
          </cell>
          <cell r="HD273">
            <v>47.137500000000003</v>
          </cell>
          <cell r="HE273">
            <v>47.424599999999998</v>
          </cell>
          <cell r="HF273">
            <v>45.752650000000003</v>
          </cell>
          <cell r="HG273">
            <v>49.804699999999997</v>
          </cell>
          <cell r="HH273">
            <v>52.522000000000006</v>
          </cell>
          <cell r="HI273">
            <v>55.671150000000011</v>
          </cell>
          <cell r="HJ273">
            <v>55.958250000000007</v>
          </cell>
          <cell r="HK273">
            <v>53.66855000000001</v>
          </cell>
          <cell r="HL273">
            <v>53.187550000000002</v>
          </cell>
          <cell r="HM273">
            <v>56.386850000000003</v>
          </cell>
          <cell r="HN273">
            <v>56.01735</v>
          </cell>
          <cell r="HO273">
            <v>59.417950000000005</v>
          </cell>
          <cell r="HP273">
            <v>65.22345</v>
          </cell>
          <cell r="HQ273">
            <v>60.199200000000005</v>
          </cell>
          <cell r="HR273">
            <v>59.366200000000006</v>
          </cell>
          <cell r="HS273">
            <v>59.680900000000008</v>
          </cell>
          <cell r="HT273">
            <v>58.491299999999995</v>
          </cell>
          <cell r="HU273">
            <v>57.994150000000005</v>
          </cell>
          <cell r="HV273">
            <v>57.323600000000006</v>
          </cell>
          <cell r="HW273">
            <v>57.923100000000005</v>
          </cell>
          <cell r="HX273">
            <v>57.722500000000011</v>
          </cell>
          <cell r="HY273">
            <v>56.145300000000006</v>
          </cell>
          <cell r="HZ273">
            <v>55.569950000000006</v>
          </cell>
          <cell r="IA273">
            <v>53.510750000000002</v>
          </cell>
          <cell r="IB273">
            <v>53.807300000000005</v>
          </cell>
          <cell r="IC273">
            <v>54.134450000000008</v>
          </cell>
          <cell r="ID273">
            <v>54.595700000000008</v>
          </cell>
          <cell r="IE273">
            <v>54.077400000000004</v>
          </cell>
          <cell r="IF273">
            <v>53.750250000000008</v>
          </cell>
          <cell r="IG273">
            <v>52.519500000000008</v>
          </cell>
          <cell r="IH273">
            <v>49.668098000000001</v>
          </cell>
          <cell r="II273">
            <v>49.416930000000008</v>
          </cell>
          <cell r="IJ273">
            <v>48.648982000000011</v>
          </cell>
          <cell r="IK273">
            <v>46.594456000000001</v>
          </cell>
        </row>
        <row r="274">
          <cell r="F274" t="str">
            <v>Indexed PET Raw Maerial Cost (Jan'92 = 1.00)</v>
          </cell>
          <cell r="H274">
            <v>1.0359758555662877</v>
          </cell>
          <cell r="I274">
            <v>1.0727714963650778</v>
          </cell>
          <cell r="J274">
            <v>1.1279649575632629</v>
          </cell>
          <cell r="K274">
            <v>1.3879802710431834</v>
          </cell>
          <cell r="L274">
            <v>1.4063780914425787</v>
          </cell>
          <cell r="M274">
            <v>1.4063780914425787</v>
          </cell>
          <cell r="N274">
            <v>1.257972614303223</v>
          </cell>
          <cell r="O274">
            <v>1.2395747939038282</v>
          </cell>
          <cell r="P274">
            <v>1.1618981139528528</v>
          </cell>
          <cell r="Q274">
            <v>1.0968942855828727</v>
          </cell>
          <cell r="R274">
            <v>1.0600986447840826</v>
          </cell>
          <cell r="S274">
            <v>1.0417008243846877</v>
          </cell>
          <cell r="T274">
            <v>1.0291502641981121</v>
          </cell>
          <cell r="U274">
            <v>1.0245508090982633</v>
          </cell>
          <cell r="V274">
            <v>1.0107524437987172</v>
          </cell>
          <cell r="W274">
            <v>1.0107524437987172</v>
          </cell>
          <cell r="X274">
            <v>1.0107524437987172</v>
          </cell>
          <cell r="Y274">
            <v>1.0107524437987172</v>
          </cell>
          <cell r="Z274">
            <v>1</v>
          </cell>
          <cell r="AA274">
            <v>1</v>
          </cell>
          <cell r="AB274">
            <v>1</v>
          </cell>
          <cell r="AC274">
            <v>1.0158410644762439</v>
          </cell>
          <cell r="AD274">
            <v>1.0158410644762439</v>
          </cell>
          <cell r="AE274">
            <v>1.0158410644762439</v>
          </cell>
          <cell r="AF274">
            <v>1.031376400466439</v>
          </cell>
          <cell r="AG274">
            <v>1.031376400466439</v>
          </cell>
          <cell r="AH274">
            <v>1.031376400466439</v>
          </cell>
          <cell r="AI274">
            <v>1.03250191418499</v>
          </cell>
          <cell r="AJ274">
            <v>1.03250191418499</v>
          </cell>
          <cell r="AK274">
            <v>1.03250191418499</v>
          </cell>
          <cell r="AL274">
            <v>1.0049051835858975</v>
          </cell>
          <cell r="AM274">
            <v>1.0049051835858975</v>
          </cell>
          <cell r="AN274">
            <v>1.0049051835858975</v>
          </cell>
          <cell r="AO274">
            <v>0.98364487877730244</v>
          </cell>
          <cell r="AP274">
            <v>0.98364487877730244</v>
          </cell>
          <cell r="AQ274">
            <v>0.98364487877730244</v>
          </cell>
          <cell r="AR274">
            <v>0.95461690597361004</v>
          </cell>
          <cell r="AS274">
            <v>0.95461690597361004</v>
          </cell>
          <cell r="AT274">
            <v>0.95461690597361004</v>
          </cell>
          <cell r="AU274">
            <v>0.95461690597361004</v>
          </cell>
          <cell r="AV274">
            <v>0.95461690597361004</v>
          </cell>
          <cell r="AW274">
            <v>0.95461690597361004</v>
          </cell>
          <cell r="AX274">
            <v>0.94889193715521003</v>
          </cell>
          <cell r="AY274">
            <v>0.94889193715521003</v>
          </cell>
          <cell r="AZ274">
            <v>0.94889193715521003</v>
          </cell>
          <cell r="BA274">
            <v>0.94889193715521003</v>
          </cell>
          <cell r="BB274">
            <v>0.94889193715521003</v>
          </cell>
          <cell r="BC274">
            <v>0.94889193715521003</v>
          </cell>
          <cell r="BD274">
            <v>1.0400612539196827</v>
          </cell>
          <cell r="BE274">
            <v>1.0400612539196827</v>
          </cell>
          <cell r="BF274">
            <v>1.0400612539196827</v>
          </cell>
          <cell r="BG274">
            <v>1.2563330438382181</v>
          </cell>
          <cell r="BH274">
            <v>1.2563330438382181</v>
          </cell>
          <cell r="BI274">
            <v>1.2563330438382181</v>
          </cell>
          <cell r="BJ274">
            <v>1.367331423206686</v>
          </cell>
          <cell r="BK274">
            <v>1.367331423206686</v>
          </cell>
          <cell r="BL274">
            <v>1.367331423206686</v>
          </cell>
          <cell r="BM274">
            <v>1.6060864318780117</v>
          </cell>
          <cell r="BN274">
            <v>1.6060864318780117</v>
          </cell>
          <cell r="BO274">
            <v>1.6060864318780117</v>
          </cell>
          <cell r="BP274">
            <v>1.7855625809977573</v>
          </cell>
          <cell r="BQ274">
            <v>1.7855625809977573</v>
          </cell>
          <cell r="BR274">
            <v>1.7855625809977573</v>
          </cell>
          <cell r="BS274">
            <v>1.8166332529781473</v>
          </cell>
          <cell r="BT274">
            <v>1.8166332529781473</v>
          </cell>
          <cell r="BU274">
            <v>1.8166332529781473</v>
          </cell>
          <cell r="BV274">
            <v>1.7798376121793571</v>
          </cell>
          <cell r="BW274">
            <v>1.7798376121793571</v>
          </cell>
          <cell r="BX274">
            <v>1.7798376121793571</v>
          </cell>
          <cell r="BY274">
            <v>1.5686793341071241</v>
          </cell>
          <cell r="BZ274">
            <v>1.5686793341071241</v>
          </cell>
          <cell r="CA274">
            <v>1.5686793341071241</v>
          </cell>
          <cell r="CB274">
            <v>1.1159035629543652</v>
          </cell>
          <cell r="CC274">
            <v>1.1159035629543652</v>
          </cell>
          <cell r="CD274">
            <v>1.1159035629543652</v>
          </cell>
          <cell r="CE274">
            <v>1.045688822512439</v>
          </cell>
          <cell r="CF274">
            <v>1.045688822512439</v>
          </cell>
          <cell r="CG274">
            <v>1.045688822512439</v>
          </cell>
          <cell r="CH274">
            <v>1.1244910161819652</v>
          </cell>
          <cell r="CI274">
            <v>1.1244910161819652</v>
          </cell>
          <cell r="CJ274">
            <v>1.1244910161819652</v>
          </cell>
          <cell r="CK274">
            <v>1.1831584187614481</v>
          </cell>
          <cell r="CL274">
            <v>1.1831584187614481</v>
          </cell>
          <cell r="CM274">
            <v>1.1831584187614481</v>
          </cell>
          <cell r="CN274">
            <v>1.2326269111412331</v>
          </cell>
          <cell r="CO274">
            <v>1.2326269111412331</v>
          </cell>
          <cell r="CP274">
            <v>1.2326269111412331</v>
          </cell>
          <cell r="CQ274">
            <v>1.201556239160843</v>
          </cell>
          <cell r="CR274">
            <v>1.201556239160843</v>
          </cell>
          <cell r="CS274">
            <v>1.201556239160843</v>
          </cell>
          <cell r="CT274">
            <v>1.0318904572128924</v>
          </cell>
          <cell r="CU274">
            <v>1.0318904572128924</v>
          </cell>
          <cell r="CV274">
            <v>1.0318904572128924</v>
          </cell>
          <cell r="CW274">
            <v>0.87571731207843961</v>
          </cell>
          <cell r="CX274">
            <v>0.87571731207843961</v>
          </cell>
          <cell r="CY274">
            <v>0.87571731207843961</v>
          </cell>
          <cell r="CZ274">
            <v>0.83892167127964967</v>
          </cell>
          <cell r="DA274">
            <v>0.83892167127964967</v>
          </cell>
          <cell r="DB274">
            <v>0.83892167127964967</v>
          </cell>
          <cell r="DC274">
            <v>0.78945317889986433</v>
          </cell>
          <cell r="DD274">
            <v>0.78945317889986433</v>
          </cell>
          <cell r="DE274">
            <v>0.78945317889986433</v>
          </cell>
          <cell r="DF274">
            <v>0.77391784290966936</v>
          </cell>
          <cell r="DG274">
            <v>0.77391784290966936</v>
          </cell>
          <cell r="DH274">
            <v>0.77391784290966936</v>
          </cell>
          <cell r="DI274">
            <v>0.82052385088025448</v>
          </cell>
          <cell r="DJ274">
            <v>0.82052385088025448</v>
          </cell>
          <cell r="DK274">
            <v>0.82052385088025448</v>
          </cell>
          <cell r="DL274">
            <v>0.99018963282820494</v>
          </cell>
          <cell r="DM274">
            <v>0.99018963282820494</v>
          </cell>
          <cell r="DN274">
            <v>0.99018963282820494</v>
          </cell>
          <cell r="DO274">
            <v>1.1676230827712528</v>
          </cell>
          <cell r="DP274">
            <v>1.1676230827712528</v>
          </cell>
          <cell r="DQ274">
            <v>1.1676230827712528</v>
          </cell>
          <cell r="DR274">
            <v>1.1676230827712528</v>
          </cell>
          <cell r="DS274">
            <v>1.1308274419724629</v>
          </cell>
          <cell r="DT274">
            <v>1.1308274419724629</v>
          </cell>
          <cell r="DU274">
            <v>1.2467310049268283</v>
          </cell>
          <cell r="DV274">
            <v>1.2651288253262232</v>
          </cell>
          <cell r="DW274">
            <v>1.2467310049268283</v>
          </cell>
          <cell r="DX274">
            <v>1.2565413720986232</v>
          </cell>
          <cell r="DY274">
            <v>1.2317043145594397</v>
          </cell>
          <cell r="DZ274">
            <v>1.1958285647806195</v>
          </cell>
          <cell r="EA274">
            <v>1.1319691890619545</v>
          </cell>
          <cell r="EB274">
            <v>1.1487112056254041</v>
          </cell>
          <cell r="EC274">
            <v>1.1606697888850108</v>
          </cell>
          <cell r="ED274">
            <v>1.1391443390177187</v>
          </cell>
          <cell r="EE274">
            <v>1.1682128952487629</v>
          </cell>
          <cell r="EF274">
            <v>1.1891864105040733</v>
          </cell>
          <cell r="EG274">
            <v>1.2379379290006467</v>
          </cell>
          <cell r="EH274">
            <v>1.1923113344101468</v>
          </cell>
          <cell r="EI274">
            <v>1.225611389333052</v>
          </cell>
          <cell r="EJ274">
            <v>1.225611389333052</v>
          </cell>
          <cell r="EK274">
            <v>1.2090533509735963</v>
          </cell>
          <cell r="EL274">
            <v>1.1923113344101468</v>
          </cell>
          <cell r="EM274">
            <v>1.0745896339104297</v>
          </cell>
          <cell r="EN274">
            <v>1.0578476173469802</v>
          </cell>
          <cell r="EO274">
            <v>1.0328265816038029</v>
          </cell>
          <cell r="EP274">
            <v>0.84417316677894738</v>
          </cell>
          <cell r="EQ274">
            <v>0.82743115021549807</v>
          </cell>
          <cell r="ER274">
            <v>0.87524383875933753</v>
          </cell>
          <cell r="ES274">
            <v>1.0328265816038029</v>
          </cell>
          <cell r="ET274">
            <v>1.0913316504738793</v>
          </cell>
          <cell r="EU274">
            <v>1.1008173502268614</v>
          </cell>
          <cell r="EV274">
            <v>1.0930496822317639</v>
          </cell>
          <cell r="EW274">
            <v>1.0680286464885866</v>
          </cell>
          <cell r="EX274">
            <v>1.1013287014114916</v>
          </cell>
          <cell r="EY274">
            <v>1.142580402533488</v>
          </cell>
          <cell r="EZ274">
            <v>1.1175593667903108</v>
          </cell>
          <cell r="FA274">
            <v>1.108585018221959</v>
          </cell>
          <cell r="FB274">
            <v>1.1712377133673695</v>
          </cell>
          <cell r="FC274">
            <v>1.4411878498629633</v>
          </cell>
          <cell r="FD274">
            <v>1.7509990287033055</v>
          </cell>
          <cell r="FE274">
            <v>1.777226745019737</v>
          </cell>
          <cell r="FF274">
            <v>1.3615929265791689</v>
          </cell>
          <cell r="FG274">
            <v>1.1891864105040733</v>
          </cell>
          <cell r="FH274">
            <v>1.3174165131260331</v>
          </cell>
          <cell r="FI274">
            <v>1.42132090939344</v>
          </cell>
          <cell r="FJ274">
            <v>1.5174576376657496</v>
          </cell>
          <cell r="FK274">
            <v>1.4565229742782237</v>
          </cell>
          <cell r="FL274">
            <v>1.4548049425203391</v>
          </cell>
          <cell r="FM274">
            <v>1.4625726105154366</v>
          </cell>
          <cell r="FN274">
            <v>1.4774126171170072</v>
          </cell>
          <cell r="FO274">
            <v>1.6356906893500971</v>
          </cell>
          <cell r="FP274">
            <v>1.7502874659437408</v>
          </cell>
          <cell r="FQ274">
            <v>1.7580551339388382</v>
          </cell>
          <cell r="FR274">
            <v>1.7974048250989558</v>
          </cell>
          <cell r="FS274">
            <v>1.8129401610891511</v>
          </cell>
          <cell r="FT274">
            <v>1.8129401610891511</v>
          </cell>
          <cell r="FU274">
            <v>1.8367545162590739</v>
          </cell>
          <cell r="FV274">
            <v>2.0190309218660802</v>
          </cell>
          <cell r="FW274">
            <v>2.2640871840241985</v>
          </cell>
          <cell r="FX274">
            <v>2.3983669228833713</v>
          </cell>
          <cell r="FY274">
            <v>2.4139022588735668</v>
          </cell>
          <cell r="FZ274">
            <v>2.1752067725623565</v>
          </cell>
          <cell r="GA274">
            <v>2.1555400436677679</v>
          </cell>
          <cell r="GB274">
            <v>2.2754911271100005</v>
          </cell>
          <cell r="GC274">
            <v>2.317254179416627</v>
          </cell>
          <cell r="GD274">
            <v>2.1273940840185168</v>
          </cell>
          <cell r="GE274">
            <v>1.8250394335635767</v>
          </cell>
          <cell r="GF274">
            <v>1.887180777524357</v>
          </cell>
          <cell r="GG274">
            <v>1.9432724852479242</v>
          </cell>
          <cell r="GH274">
            <v>2.5569182568606288</v>
          </cell>
          <cell r="GI274">
            <v>2.6711687215408717</v>
          </cell>
          <cell r="GJ274">
            <v>2.3846226688202936</v>
          </cell>
          <cell r="GK274">
            <v>1.9988528417868612</v>
          </cell>
          <cell r="GL274">
            <v>2.1076001937182265</v>
          </cell>
          <cell r="GM274">
            <v>2.2329055840090475</v>
          </cell>
          <cell r="GN274">
            <v>2.195273924606814</v>
          </cell>
          <cell r="GO274">
            <v>2.2309629906198172</v>
          </cell>
          <cell r="GP274">
            <v>2.3319426745560849</v>
          </cell>
          <cell r="GQ274">
            <v>2.4970062958423633</v>
          </cell>
          <cell r="GR274">
            <v>2.6159346769153351</v>
          </cell>
          <cell r="GS274">
            <v>2.8135624403085426</v>
          </cell>
          <cell r="GT274">
            <v>2.9623548127886492</v>
          </cell>
          <cell r="GU274">
            <v>2.7215571049406262</v>
          </cell>
          <cell r="GV274">
            <v>2.2984829914855971</v>
          </cell>
          <cell r="GW274">
            <v>2.3200679637130048</v>
          </cell>
          <cell r="GX274">
            <v>2.3822093076737851</v>
          </cell>
          <cell r="GY274">
            <v>2.3278356317081026</v>
          </cell>
          <cell r="GZ274">
            <v>2.3666739716835901</v>
          </cell>
          <cell r="HA274">
            <v>2.5094167079264844</v>
          </cell>
          <cell r="HB274">
            <v>2.5948610558725576</v>
          </cell>
          <cell r="HC274">
            <v>2.7137894369455289</v>
          </cell>
          <cell r="HD274">
            <v>2.5506684090484808</v>
          </cell>
          <cell r="HE274">
            <v>2.5662037450386759</v>
          </cell>
          <cell r="HF274">
            <v>2.4757324632246509</v>
          </cell>
          <cell r="HG274">
            <v>2.6949938989580877</v>
          </cell>
          <cell r="HH274">
            <v>2.8420303618147829</v>
          </cell>
          <cell r="HI274">
            <v>3.0124347621405327</v>
          </cell>
          <cell r="HJ274">
            <v>3.0279700981307274</v>
          </cell>
          <cell r="HK274">
            <v>2.9040715999880957</v>
          </cell>
          <cell r="HL274">
            <v>2.8780440952465982</v>
          </cell>
          <cell r="HM274">
            <v>3.0511621740812589</v>
          </cell>
          <cell r="HN274">
            <v>3.0311680722060337</v>
          </cell>
          <cell r="HO274">
            <v>3.2151787429418657</v>
          </cell>
          <cell r="HP274">
            <v>3.5293215262615356</v>
          </cell>
          <cell r="HQ274">
            <v>3.2574531464331224</v>
          </cell>
          <cell r="HR274">
            <v>3.2123784864546048</v>
          </cell>
          <cell r="HS274">
            <v>3.2294072925713393</v>
          </cell>
          <cell r="HT274">
            <v>3.1650365656680433</v>
          </cell>
          <cell r="HU274">
            <v>3.1381351644575757</v>
          </cell>
          <cell r="HV274">
            <v>3.1018508748434157</v>
          </cell>
          <cell r="HW274">
            <v>3.1342905611064666</v>
          </cell>
          <cell r="HX274">
            <v>3.1234358470708239</v>
          </cell>
          <cell r="HY274">
            <v>3.0380916049122182</v>
          </cell>
          <cell r="HZ274">
            <v>3.0069587050098892</v>
          </cell>
          <cell r="IA274">
            <v>2.8955328468733175</v>
          </cell>
          <cell r="IB274">
            <v>2.9115795340481427</v>
          </cell>
          <cell r="IC274">
            <v>2.9292820250589138</v>
          </cell>
          <cell r="ID274">
            <v>2.9542408328801519</v>
          </cell>
          <cell r="IE274">
            <v>2.9261949790183679</v>
          </cell>
          <cell r="IF274">
            <v>2.9084924880075973</v>
          </cell>
          <cell r="IG274">
            <v>2.8418950837236108</v>
          </cell>
          <cell r="IH274">
            <v>2.6876021958339757</v>
          </cell>
          <cell r="II274">
            <v>2.6740111847925783</v>
          </cell>
          <cell r="IJ274">
            <v>2.6324565689688297</v>
          </cell>
          <cell r="IK274">
            <v>2.5212836267515129</v>
          </cell>
        </row>
        <row r="276">
          <cell r="F276" t="str">
            <v xml:space="preserve"> Spread</v>
          </cell>
          <cell r="H276">
            <v>41.854700000000001</v>
          </cell>
          <cell r="I276">
            <v>41.174699999999994</v>
          </cell>
          <cell r="J276">
            <v>40.154699999999998</v>
          </cell>
          <cell r="K276">
            <v>38.349499999999999</v>
          </cell>
          <cell r="L276">
            <v>38.009499999999996</v>
          </cell>
          <cell r="M276">
            <v>38.009499999999996</v>
          </cell>
          <cell r="N276">
            <v>40.752099999999999</v>
          </cell>
          <cell r="O276">
            <v>41.092099999999995</v>
          </cell>
          <cell r="P276">
            <v>42.527599999999993</v>
          </cell>
          <cell r="Q276">
            <v>43.728899999999996</v>
          </cell>
          <cell r="R276">
            <v>44.408900000000003</v>
          </cell>
          <cell r="S276">
            <v>44.748899999999992</v>
          </cell>
          <cell r="T276">
            <v>44.980840000000001</v>
          </cell>
          <cell r="U276">
            <v>45.065840000000001</v>
          </cell>
          <cell r="V276">
            <v>45.320839999999997</v>
          </cell>
          <cell r="W276">
            <v>45.320839999999997</v>
          </cell>
          <cell r="X276">
            <v>45.320839999999997</v>
          </cell>
          <cell r="Y276">
            <v>45.320839999999997</v>
          </cell>
          <cell r="Z276">
            <v>42.019549999999995</v>
          </cell>
          <cell r="AA276">
            <v>42.019549999999995</v>
          </cell>
          <cell r="AB276">
            <v>42.019549999999995</v>
          </cell>
          <cell r="AC276">
            <v>42.726799999999997</v>
          </cell>
          <cell r="AD276">
            <v>42.726799999999997</v>
          </cell>
          <cell r="AE276">
            <v>42.726799999999997</v>
          </cell>
          <cell r="AF276">
            <v>45.439699999999995</v>
          </cell>
          <cell r="AG276">
            <v>45.439699999999995</v>
          </cell>
          <cell r="AH276">
            <v>45.439699999999995</v>
          </cell>
          <cell r="AI276">
            <v>45.418899999999994</v>
          </cell>
          <cell r="AJ276">
            <v>45.418899999999994</v>
          </cell>
          <cell r="AK276">
            <v>45.418899999999994</v>
          </cell>
          <cell r="AL276">
            <v>45.928899999999999</v>
          </cell>
          <cell r="AM276">
            <v>45.928899999999999</v>
          </cell>
          <cell r="AN276">
            <v>45.928899999999999</v>
          </cell>
          <cell r="AO276">
            <v>46.321800000000003</v>
          </cell>
          <cell r="AP276">
            <v>46.321800000000003</v>
          </cell>
          <cell r="AQ276">
            <v>46.321800000000003</v>
          </cell>
          <cell r="AR276">
            <v>44.358249999999998</v>
          </cell>
          <cell r="AS276">
            <v>44.358249999999998</v>
          </cell>
          <cell r="AT276">
            <v>44.358249999999998</v>
          </cell>
          <cell r="AU276">
            <v>42.858249999999998</v>
          </cell>
          <cell r="AV276">
            <v>42.858249999999998</v>
          </cell>
          <cell r="AW276">
            <v>42.858249999999998</v>
          </cell>
          <cell r="AX276">
            <v>41.96405</v>
          </cell>
          <cell r="AY276">
            <v>41.96405</v>
          </cell>
          <cell r="AZ276">
            <v>41.96405</v>
          </cell>
          <cell r="BA276">
            <v>43.46405</v>
          </cell>
          <cell r="BB276">
            <v>43.46405</v>
          </cell>
          <cell r="BC276">
            <v>43.46405</v>
          </cell>
          <cell r="BD276">
            <v>41.779200000000003</v>
          </cell>
          <cell r="BE276">
            <v>41.779200000000003</v>
          </cell>
          <cell r="BF276">
            <v>41.779200000000003</v>
          </cell>
          <cell r="BG276">
            <v>41.782399999999996</v>
          </cell>
          <cell r="BH276">
            <v>41.782399999999996</v>
          </cell>
          <cell r="BI276">
            <v>41.782399999999996</v>
          </cell>
          <cell r="BJ276">
            <v>45.231099999999998</v>
          </cell>
          <cell r="BK276">
            <v>45.231099999999998</v>
          </cell>
          <cell r="BL276">
            <v>45.231099999999998</v>
          </cell>
          <cell r="BM276">
            <v>48.318799999999996</v>
          </cell>
          <cell r="BN276">
            <v>48.318799999999996</v>
          </cell>
          <cell r="BO276">
            <v>48.318799999999996</v>
          </cell>
          <cell r="BP276">
            <v>48.501999999999995</v>
          </cell>
          <cell r="BQ276">
            <v>48.501999999999995</v>
          </cell>
          <cell r="BR276">
            <v>48.501999999999995</v>
          </cell>
          <cell r="BS276">
            <v>45.927799999999998</v>
          </cell>
          <cell r="BT276">
            <v>45.927799999999998</v>
          </cell>
          <cell r="BU276">
            <v>45.927799999999998</v>
          </cell>
          <cell r="BV276">
            <v>42.107800000000005</v>
          </cell>
          <cell r="BW276">
            <v>42.107800000000005</v>
          </cell>
          <cell r="BX276">
            <v>42.107800000000005</v>
          </cell>
          <cell r="BY276">
            <v>42.010099999999994</v>
          </cell>
          <cell r="BZ276">
            <v>38.510099999999994</v>
          </cell>
          <cell r="CA276">
            <v>32.510099999999994</v>
          </cell>
          <cell r="CB276">
            <v>37.877600000000001</v>
          </cell>
          <cell r="CC276">
            <v>34.377600000000001</v>
          </cell>
          <cell r="CD276">
            <v>29.877599999999997</v>
          </cell>
          <cell r="CE276">
            <v>23.6752</v>
          </cell>
          <cell r="CF276">
            <v>22.6752</v>
          </cell>
          <cell r="CG276">
            <v>22.6752</v>
          </cell>
          <cell r="CH276">
            <v>23.218900000000001</v>
          </cell>
          <cell r="CI276">
            <v>23.218900000000001</v>
          </cell>
          <cell r="CJ276">
            <v>23.218900000000001</v>
          </cell>
          <cell r="CK276">
            <v>25.134699999999995</v>
          </cell>
          <cell r="CL276">
            <v>25.134699999999995</v>
          </cell>
          <cell r="CM276">
            <v>32.134699999999995</v>
          </cell>
          <cell r="CN276">
            <v>30.220500000000001</v>
          </cell>
          <cell r="CO276">
            <v>28.220500000000001</v>
          </cell>
          <cell r="CP276">
            <v>28.220500000000001</v>
          </cell>
          <cell r="CQ276">
            <v>27.794699999999999</v>
          </cell>
          <cell r="CR276">
            <v>27.794699999999999</v>
          </cell>
          <cell r="CS276">
            <v>28.294699999999999</v>
          </cell>
          <cell r="CT276">
            <v>31.430200000000003</v>
          </cell>
          <cell r="CU276">
            <v>31.430200000000003</v>
          </cell>
          <cell r="CV276">
            <v>31.430200000000003</v>
          </cell>
          <cell r="CW276">
            <v>37.31635</v>
          </cell>
          <cell r="CX276">
            <v>37.31635</v>
          </cell>
          <cell r="CY276">
            <v>37.31635</v>
          </cell>
          <cell r="CZ276">
            <v>37.296349999999997</v>
          </cell>
          <cell r="DA276">
            <v>36.99635</v>
          </cell>
          <cell r="DB276">
            <v>36.99635</v>
          </cell>
          <cell r="DC276">
            <v>33.710549999999998</v>
          </cell>
          <cell r="DD276">
            <v>32.910550000000001</v>
          </cell>
          <cell r="DE276">
            <v>30.410550000000001</v>
          </cell>
          <cell r="DF276">
            <v>30.197650000000003</v>
          </cell>
          <cell r="DG276">
            <v>30.197650000000003</v>
          </cell>
          <cell r="DH276">
            <v>29.697650000000003</v>
          </cell>
          <cell r="DI276">
            <v>28.586350000000003</v>
          </cell>
          <cell r="DJ276">
            <v>28.586350000000003</v>
          </cell>
          <cell r="DK276">
            <v>33.586350000000003</v>
          </cell>
          <cell r="DL276">
            <v>35.450850000000003</v>
          </cell>
          <cell r="DM276">
            <v>35.450850000000003</v>
          </cell>
          <cell r="DN276">
            <v>35.450850000000003</v>
          </cell>
          <cell r="DO276">
            <v>31.171799999999998</v>
          </cell>
          <cell r="DP276">
            <v>34.171799999999998</v>
          </cell>
          <cell r="DQ276">
            <v>34.171799999999998</v>
          </cell>
          <cell r="DR276">
            <v>34.171799999999998</v>
          </cell>
          <cell r="DS276">
            <v>34.851799999999997</v>
          </cell>
          <cell r="DT276">
            <v>34.851799999999997</v>
          </cell>
          <cell r="DU276">
            <v>38.959850000000003</v>
          </cell>
          <cell r="DV276">
            <v>39.61985</v>
          </cell>
          <cell r="DW276">
            <v>39.959850000000003</v>
          </cell>
          <cell r="DX276">
            <v>44.778550000000003</v>
          </cell>
          <cell r="DY276">
            <v>45.237549999999999</v>
          </cell>
          <cell r="DZ276">
            <v>45.900550000000003</v>
          </cell>
          <cell r="EA276">
            <v>44.580699999999993</v>
          </cell>
          <cell r="EB276">
            <v>44.271299999999997</v>
          </cell>
          <cell r="EC276">
            <v>44.050299999999993</v>
          </cell>
          <cell r="ED276">
            <v>40.948099999999997</v>
          </cell>
          <cell r="EE276">
            <v>40.410899999999998</v>
          </cell>
          <cell r="EF276">
            <v>40.023299999999992</v>
          </cell>
          <cell r="EG276">
            <v>46.122349999999997</v>
          </cell>
          <cell r="EH276">
            <v>46.965549999999993</v>
          </cell>
          <cell r="EI276">
            <v>43.350149999999999</v>
          </cell>
          <cell r="EJ276">
            <v>43.350149999999999</v>
          </cell>
          <cell r="EK276">
            <v>43.656149999999997</v>
          </cell>
          <cell r="EL276">
            <v>43.965549999999993</v>
          </cell>
          <cell r="EM276">
            <v>42.141100000000002</v>
          </cell>
          <cell r="EN276">
            <v>42.450499999999998</v>
          </cell>
          <cell r="EO276">
            <v>40.9129</v>
          </cell>
          <cell r="EP276">
            <v>42.399299999999997</v>
          </cell>
          <cell r="EQ276">
            <v>42.708699999999993</v>
          </cell>
          <cell r="ER276">
            <v>41.825099999999999</v>
          </cell>
          <cell r="ES276">
            <v>43.9129</v>
          </cell>
          <cell r="ET276">
            <v>42.831699999999998</v>
          </cell>
          <cell r="EU276">
            <v>42.656400000000005</v>
          </cell>
          <cell r="EV276">
            <v>42.799950000000003</v>
          </cell>
          <cell r="EW276">
            <v>43.262349999999998</v>
          </cell>
          <cell r="EX276">
            <v>42.646950000000004</v>
          </cell>
          <cell r="EY276">
            <v>41.884599999999992</v>
          </cell>
          <cell r="EZ276">
            <v>42.346999999999994</v>
          </cell>
          <cell r="FA276">
            <v>40.51285</v>
          </cell>
          <cell r="FB276">
            <v>44.355000000000004</v>
          </cell>
          <cell r="FC276">
            <v>39.366199999999992</v>
          </cell>
          <cell r="FD276">
            <v>38.640749999999997</v>
          </cell>
          <cell r="FE276">
            <v>46.156049999999993</v>
          </cell>
          <cell r="FF276">
            <v>48.837150000000001</v>
          </cell>
          <cell r="FG276">
            <v>50.023299999999992</v>
          </cell>
          <cell r="FH276">
            <v>45.653549999999996</v>
          </cell>
          <cell r="FI276">
            <v>43.733350000000002</v>
          </cell>
          <cell r="FJ276">
            <v>41.956699999999998</v>
          </cell>
          <cell r="FK276">
            <v>43.082799999999999</v>
          </cell>
          <cell r="FL276">
            <v>43.114550000000001</v>
          </cell>
          <cell r="FM276">
            <v>40.971000000000004</v>
          </cell>
          <cell r="FN276">
            <v>42.696749999999994</v>
          </cell>
          <cell r="FO276">
            <v>40.771699999999996</v>
          </cell>
          <cell r="FP276">
            <v>44.6539</v>
          </cell>
          <cell r="FQ276">
            <v>44.510350000000003</v>
          </cell>
          <cell r="FR276">
            <v>46.783149999999992</v>
          </cell>
          <cell r="FS276">
            <v>48.496049999999997</v>
          </cell>
          <cell r="FT276">
            <v>45.496049999999997</v>
          </cell>
          <cell r="FU276">
            <v>45.055950000000003</v>
          </cell>
          <cell r="FV276">
            <v>44.687399999999997</v>
          </cell>
          <cell r="FW276">
            <v>45.158649999999994</v>
          </cell>
          <cell r="FX276">
            <v>45.677100000000003</v>
          </cell>
          <cell r="FY276">
            <v>54.39</v>
          </cell>
          <cell r="FZ276">
            <v>39.801200000000001</v>
          </cell>
          <cell r="GA276">
            <v>40.164649999999995</v>
          </cell>
          <cell r="GB276">
            <v>34.94789999999999</v>
          </cell>
          <cell r="GC276">
            <v>34.176099999999991</v>
          </cell>
          <cell r="GD276">
            <v>37.684799999999996</v>
          </cell>
          <cell r="GE276">
            <v>37.272449999999999</v>
          </cell>
          <cell r="GF276">
            <v>34.124049999999997</v>
          </cell>
          <cell r="GG276">
            <v>37.087449999999997</v>
          </cell>
          <cell r="GH276">
            <v>41.346999999999987</v>
          </cell>
          <cell r="GI276">
            <v>46.435599999999987</v>
          </cell>
          <cell r="GJ276">
            <v>40.931099999999994</v>
          </cell>
          <cell r="GK276">
            <v>42.060299999999998</v>
          </cell>
          <cell r="GL276">
            <v>35.050600000000003</v>
          </cell>
          <cell r="GM276">
            <v>35.734899999999996</v>
          </cell>
          <cell r="GN276">
            <v>35.430349999999997</v>
          </cell>
          <cell r="GO276">
            <v>33.770799999999994</v>
          </cell>
          <cell r="GP276">
            <v>33.404649999999997</v>
          </cell>
          <cell r="GQ276">
            <v>33.854199999999999</v>
          </cell>
          <cell r="GR276">
            <v>35.656349999999996</v>
          </cell>
          <cell r="GS276">
            <v>34.004099999999987</v>
          </cell>
          <cell r="GT276">
            <v>33.754349999999995</v>
          </cell>
          <cell r="GU276">
            <v>33.704399999999993</v>
          </cell>
          <cell r="GV276">
            <v>35.522999999999996</v>
          </cell>
          <cell r="GW276">
            <v>35.124099999999999</v>
          </cell>
          <cell r="GX276">
            <v>32.475700000000003</v>
          </cell>
          <cell r="GY276">
            <v>32.980550000000001</v>
          </cell>
          <cell r="GZ276">
            <v>35.762799999999999</v>
          </cell>
          <cell r="HA276">
            <v>34.124850000000002</v>
          </cell>
          <cell r="HB276">
            <v>34.5458</v>
          </cell>
          <cell r="HC276">
            <v>33.84794999999999</v>
          </cell>
          <cell r="HD276">
            <v>35.362499999999997</v>
          </cell>
          <cell r="HE276">
            <v>35.075399999999995</v>
          </cell>
          <cell r="HF276">
            <v>35.247349999999997</v>
          </cell>
          <cell r="HG276">
            <v>34.195299999999996</v>
          </cell>
          <cell r="HH276">
            <v>34.477999999999994</v>
          </cell>
          <cell r="HI276">
            <v>34.328849999999989</v>
          </cell>
          <cell r="HJ276">
            <v>34.041749999999993</v>
          </cell>
          <cell r="HK276">
            <v>34.08144999999999</v>
          </cell>
          <cell r="HL276">
            <v>33.812450000000005</v>
          </cell>
          <cell r="HM276">
            <v>34.363149999999997</v>
          </cell>
          <cell r="HN276">
            <v>35.73265</v>
          </cell>
          <cell r="HO276">
            <v>35.582049999999988</v>
          </cell>
          <cell r="HP276">
            <v>35.27655</v>
          </cell>
          <cell r="HQ276">
            <v>38.300800000000002</v>
          </cell>
          <cell r="HR276">
            <v>34.633800000000001</v>
          </cell>
          <cell r="HS276">
            <v>34.319099999999999</v>
          </cell>
          <cell r="HT276">
            <v>35.508699999999997</v>
          </cell>
          <cell r="HU276">
            <v>35.505849999999995</v>
          </cell>
          <cell r="HV276">
            <v>36.676399999999994</v>
          </cell>
          <cell r="HW276">
            <v>36.576899999999988</v>
          </cell>
          <cell r="HX276">
            <v>36.777499999999996</v>
          </cell>
          <cell r="HY276">
            <v>36.604700000000001</v>
          </cell>
          <cell r="HZ276">
            <v>36.680049999999994</v>
          </cell>
          <cell r="IA276">
            <v>36.489249999999998</v>
          </cell>
          <cell r="IB276">
            <v>36.442699999999995</v>
          </cell>
          <cell r="IC276">
            <v>36.365549999999992</v>
          </cell>
          <cell r="ID276">
            <v>36.404299999999999</v>
          </cell>
          <cell r="IE276">
            <v>36.422600000000003</v>
          </cell>
          <cell r="IF276">
            <v>36.249749999999999</v>
          </cell>
          <cell r="IG276">
            <v>36.480499999999999</v>
          </cell>
          <cell r="IH276">
            <v>34.581901999999992</v>
          </cell>
          <cell r="II276">
            <v>34.583069999999992</v>
          </cell>
          <cell r="IJ276">
            <v>34.351017999999996</v>
          </cell>
          <cell r="IK276">
            <v>33.655543999999999</v>
          </cell>
        </row>
        <row r="278">
          <cell r="F278" t="str">
            <v>(1) Bottle grade.</v>
          </cell>
        </row>
        <row r="279">
          <cell r="F279" t="str">
            <v>(2)  Assuming that one pound of PET requires 0.34 pounds of ethylene glycol.</v>
          </cell>
        </row>
        <row r="280">
          <cell r="F280" t="str">
            <v>(3)  Assuming that one pound of PET requires 0.57 pounds of paraxylene to produce the needed PTA intermediate.</v>
          </cell>
        </row>
        <row r="282">
          <cell r="F282" t="str">
            <v>PVC/Ethane, Chlorine  Cost Spread</v>
          </cell>
          <cell r="BO282" t="str">
            <v>INTEGRATED ON ETHYENE</v>
          </cell>
          <cell r="CD282" t="str">
            <v>INTEGRATED ON ETHYENE</v>
          </cell>
          <cell r="CE282" t="str">
            <v>INTEGRATED ON ETHYENE</v>
          </cell>
        </row>
        <row r="284">
          <cell r="H284">
            <v>33055</v>
          </cell>
          <cell r="I284">
            <v>33086</v>
          </cell>
          <cell r="J284">
            <v>33117</v>
          </cell>
          <cell r="K284">
            <v>33147</v>
          </cell>
          <cell r="L284">
            <v>33178</v>
          </cell>
          <cell r="M284">
            <v>33208</v>
          </cell>
          <cell r="N284">
            <v>33239</v>
          </cell>
          <cell r="O284">
            <v>33270</v>
          </cell>
          <cell r="P284">
            <v>33298</v>
          </cell>
          <cell r="Q284">
            <v>33329</v>
          </cell>
          <cell r="R284">
            <v>33359</v>
          </cell>
          <cell r="S284">
            <v>33390</v>
          </cell>
          <cell r="T284">
            <v>33420</v>
          </cell>
          <cell r="U284">
            <v>33451</v>
          </cell>
          <cell r="V284">
            <v>33482</v>
          </cell>
          <cell r="W284">
            <v>33512</v>
          </cell>
          <cell r="X284">
            <v>33543</v>
          </cell>
          <cell r="Y284">
            <v>33573</v>
          </cell>
          <cell r="Z284">
            <v>33604</v>
          </cell>
          <cell r="AA284">
            <v>33635</v>
          </cell>
          <cell r="AB284">
            <v>33664</v>
          </cell>
          <cell r="AC284">
            <v>33695</v>
          </cell>
          <cell r="AD284">
            <v>33725</v>
          </cell>
          <cell r="AE284">
            <v>33756</v>
          </cell>
          <cell r="AF284">
            <v>33786</v>
          </cell>
          <cell r="AG284">
            <v>33817</v>
          </cell>
          <cell r="AH284">
            <v>33848</v>
          </cell>
          <cell r="AI284">
            <v>33878</v>
          </cell>
          <cell r="AJ284">
            <v>33909</v>
          </cell>
          <cell r="AK284">
            <v>33939</v>
          </cell>
          <cell r="AL284">
            <v>33970</v>
          </cell>
          <cell r="AM284">
            <v>34001</v>
          </cell>
          <cell r="AN284">
            <v>34029</v>
          </cell>
          <cell r="AO284">
            <v>34060</v>
          </cell>
          <cell r="AP284">
            <v>34090</v>
          </cell>
          <cell r="AQ284">
            <v>34121</v>
          </cell>
          <cell r="AR284">
            <v>34151</v>
          </cell>
          <cell r="AS284">
            <v>34182</v>
          </cell>
          <cell r="AT284">
            <v>34213</v>
          </cell>
          <cell r="AU284">
            <v>34243</v>
          </cell>
          <cell r="AV284">
            <v>34274</v>
          </cell>
          <cell r="AW284">
            <v>34304</v>
          </cell>
          <cell r="AX284">
            <v>34335</v>
          </cell>
          <cell r="AY284">
            <v>34366</v>
          </cell>
          <cell r="AZ284">
            <v>34394</v>
          </cell>
          <cell r="BA284">
            <v>34425</v>
          </cell>
          <cell r="BB284">
            <v>34455</v>
          </cell>
          <cell r="BC284">
            <v>34486</v>
          </cell>
          <cell r="BD284">
            <v>34516</v>
          </cell>
          <cell r="BE284">
            <v>34547</v>
          </cell>
          <cell r="BF284">
            <v>34578</v>
          </cell>
          <cell r="BG284">
            <v>34608</v>
          </cell>
          <cell r="BH284">
            <v>34639</v>
          </cell>
          <cell r="BI284">
            <v>34669</v>
          </cell>
          <cell r="BJ284">
            <v>34700</v>
          </cell>
          <cell r="BK284">
            <v>34731</v>
          </cell>
          <cell r="BL284">
            <v>34759</v>
          </cell>
          <cell r="BM284">
            <v>34790</v>
          </cell>
          <cell r="BN284">
            <v>34820</v>
          </cell>
          <cell r="BO284">
            <v>34851</v>
          </cell>
          <cell r="BP284">
            <v>34881</v>
          </cell>
          <cell r="BQ284">
            <v>34912</v>
          </cell>
          <cell r="BR284">
            <v>34943</v>
          </cell>
          <cell r="BS284">
            <v>34973</v>
          </cell>
          <cell r="BT284">
            <v>35004</v>
          </cell>
          <cell r="BU284">
            <v>35034</v>
          </cell>
          <cell r="BV284">
            <v>35065</v>
          </cell>
          <cell r="BW284">
            <v>35096</v>
          </cell>
          <cell r="BX284">
            <v>35125</v>
          </cell>
          <cell r="BY284">
            <v>35156</v>
          </cell>
          <cell r="BZ284">
            <v>35186</v>
          </cell>
          <cell r="CA284">
            <v>35217</v>
          </cell>
          <cell r="CB284">
            <v>35247</v>
          </cell>
          <cell r="CC284">
            <v>35278</v>
          </cell>
          <cell r="CD284">
            <v>35309</v>
          </cell>
          <cell r="CE284">
            <v>35339</v>
          </cell>
          <cell r="CF284">
            <v>35370</v>
          </cell>
          <cell r="CG284">
            <v>35400</v>
          </cell>
          <cell r="CH284">
            <v>35431</v>
          </cell>
          <cell r="CI284">
            <v>35462</v>
          </cell>
          <cell r="CJ284">
            <v>35490</v>
          </cell>
          <cell r="CK284">
            <v>35521</v>
          </cell>
          <cell r="CL284">
            <v>35551</v>
          </cell>
          <cell r="CM284">
            <v>35582</v>
          </cell>
          <cell r="CN284">
            <v>35612</v>
          </cell>
          <cell r="CO284">
            <v>35643</v>
          </cell>
          <cell r="CP284">
            <v>35674</v>
          </cell>
          <cell r="CQ284">
            <v>35704</v>
          </cell>
          <cell r="CR284">
            <v>35735</v>
          </cell>
          <cell r="CS284">
            <v>35765</v>
          </cell>
          <cell r="CT284">
            <v>35796</v>
          </cell>
          <cell r="CU284">
            <v>35827</v>
          </cell>
          <cell r="CV284">
            <v>35855</v>
          </cell>
          <cell r="CW284">
            <v>35886</v>
          </cell>
          <cell r="CX284">
            <v>35916</v>
          </cell>
          <cell r="CY284">
            <v>35947</v>
          </cell>
          <cell r="CZ284">
            <v>35977</v>
          </cell>
          <cell r="DA284">
            <v>36008</v>
          </cell>
          <cell r="DB284">
            <v>36039</v>
          </cell>
          <cell r="DC284">
            <v>36069</v>
          </cell>
          <cell r="DD284">
            <v>36100</v>
          </cell>
          <cell r="DE284">
            <v>36130</v>
          </cell>
          <cell r="DF284">
            <v>35674</v>
          </cell>
          <cell r="DG284">
            <v>35704</v>
          </cell>
          <cell r="DH284">
            <v>35735</v>
          </cell>
          <cell r="DI284">
            <v>35765</v>
          </cell>
          <cell r="DJ284">
            <v>35796</v>
          </cell>
          <cell r="DK284">
            <v>35827</v>
          </cell>
          <cell r="DL284">
            <v>35855</v>
          </cell>
          <cell r="DM284">
            <v>35886</v>
          </cell>
          <cell r="DN284">
            <v>35916</v>
          </cell>
          <cell r="DO284">
            <v>35947</v>
          </cell>
          <cell r="DP284">
            <v>35977</v>
          </cell>
          <cell r="DQ284">
            <v>36008</v>
          </cell>
          <cell r="DR284">
            <v>36039</v>
          </cell>
          <cell r="DS284">
            <v>36069</v>
          </cell>
          <cell r="DT284">
            <v>36100</v>
          </cell>
          <cell r="DU284">
            <v>36130</v>
          </cell>
        </row>
        <row r="285">
          <cell r="E285">
            <v>1</v>
          </cell>
          <cell r="F285" t="str">
            <v>PVC price</v>
          </cell>
          <cell r="H285">
            <v>34</v>
          </cell>
          <cell r="I285">
            <v>34</v>
          </cell>
          <cell r="J285">
            <v>35</v>
          </cell>
          <cell r="K285">
            <v>35.5</v>
          </cell>
          <cell r="L285">
            <v>37</v>
          </cell>
          <cell r="M285">
            <v>36</v>
          </cell>
          <cell r="N285">
            <v>35</v>
          </cell>
          <cell r="O285">
            <v>34</v>
          </cell>
          <cell r="P285">
            <v>33</v>
          </cell>
          <cell r="Q285">
            <v>31</v>
          </cell>
          <cell r="R285">
            <v>28</v>
          </cell>
          <cell r="S285">
            <v>27</v>
          </cell>
          <cell r="T285">
            <v>26</v>
          </cell>
          <cell r="U285">
            <v>27</v>
          </cell>
          <cell r="V285">
            <v>28</v>
          </cell>
          <cell r="W285">
            <v>28</v>
          </cell>
          <cell r="X285">
            <v>27</v>
          </cell>
          <cell r="Y285">
            <v>25.5</v>
          </cell>
          <cell r="Z285">
            <v>23</v>
          </cell>
          <cell r="AA285">
            <v>22</v>
          </cell>
          <cell r="AB285">
            <v>23</v>
          </cell>
          <cell r="AC285">
            <v>23.5</v>
          </cell>
          <cell r="AD285">
            <v>24</v>
          </cell>
          <cell r="AE285">
            <v>24.25</v>
          </cell>
          <cell r="AF285">
            <v>24.25</v>
          </cell>
          <cell r="AG285">
            <v>23.5</v>
          </cell>
          <cell r="AH285">
            <v>22.75</v>
          </cell>
          <cell r="AI285">
            <v>22</v>
          </cell>
          <cell r="AJ285">
            <v>22</v>
          </cell>
          <cell r="AK285">
            <v>23.5</v>
          </cell>
          <cell r="AL285">
            <v>23</v>
          </cell>
          <cell r="AM285">
            <v>23</v>
          </cell>
          <cell r="AN285">
            <v>24.5</v>
          </cell>
          <cell r="AO285">
            <v>24.5</v>
          </cell>
          <cell r="AP285">
            <v>25.5</v>
          </cell>
          <cell r="AQ285">
            <v>27</v>
          </cell>
          <cell r="AR285">
            <v>27.5</v>
          </cell>
          <cell r="AS285">
            <v>28.5</v>
          </cell>
          <cell r="AT285">
            <v>29</v>
          </cell>
          <cell r="AU285">
            <v>29</v>
          </cell>
          <cell r="AV285">
            <v>29</v>
          </cell>
          <cell r="AW285">
            <v>28.5</v>
          </cell>
          <cell r="AX285">
            <v>28</v>
          </cell>
          <cell r="AY285">
            <v>29.25</v>
          </cell>
          <cell r="AZ285">
            <v>30</v>
          </cell>
          <cell r="BA285">
            <v>31.5</v>
          </cell>
          <cell r="BB285">
            <v>32</v>
          </cell>
          <cell r="BC285">
            <v>34</v>
          </cell>
          <cell r="BD285">
            <v>34</v>
          </cell>
          <cell r="BE285">
            <v>35</v>
          </cell>
          <cell r="BF285">
            <v>36</v>
          </cell>
          <cell r="BG285">
            <v>37</v>
          </cell>
          <cell r="BH285">
            <v>38</v>
          </cell>
          <cell r="BI285">
            <v>38</v>
          </cell>
          <cell r="BJ285">
            <v>40</v>
          </cell>
          <cell r="BK285">
            <v>40</v>
          </cell>
          <cell r="BL285">
            <v>40</v>
          </cell>
          <cell r="BM285">
            <v>41</v>
          </cell>
          <cell r="BN285">
            <v>42</v>
          </cell>
          <cell r="BO285">
            <v>41</v>
          </cell>
          <cell r="BP285">
            <v>39</v>
          </cell>
          <cell r="BQ285">
            <v>37</v>
          </cell>
          <cell r="BR285">
            <v>35</v>
          </cell>
          <cell r="BS285">
            <v>33</v>
          </cell>
          <cell r="BT285">
            <v>31</v>
          </cell>
          <cell r="BU285">
            <v>29</v>
          </cell>
          <cell r="BV285">
            <v>28</v>
          </cell>
          <cell r="BW285">
            <v>28</v>
          </cell>
          <cell r="BX285">
            <v>30</v>
          </cell>
          <cell r="BY285">
            <v>32</v>
          </cell>
          <cell r="BZ285">
            <v>33</v>
          </cell>
          <cell r="CA285">
            <v>34</v>
          </cell>
          <cell r="CB285">
            <v>34</v>
          </cell>
          <cell r="CC285">
            <v>34</v>
          </cell>
          <cell r="CD285">
            <v>33.5</v>
          </cell>
          <cell r="CE285">
            <v>32.5</v>
          </cell>
          <cell r="CF285">
            <v>31.5</v>
          </cell>
          <cell r="CG285">
            <v>30</v>
          </cell>
          <cell r="CH285">
            <v>30</v>
          </cell>
          <cell r="CI285">
            <v>33</v>
          </cell>
          <cell r="CJ285">
            <v>35</v>
          </cell>
          <cell r="CK285">
            <v>37</v>
          </cell>
          <cell r="CL285">
            <v>37</v>
          </cell>
          <cell r="CM285">
            <v>36</v>
          </cell>
          <cell r="CN285">
            <v>34</v>
          </cell>
          <cell r="CO285">
            <v>33</v>
          </cell>
          <cell r="CP285">
            <v>32.5</v>
          </cell>
          <cell r="CQ285">
            <v>32</v>
          </cell>
          <cell r="CR285">
            <v>32</v>
          </cell>
          <cell r="CS285">
            <v>31.5</v>
          </cell>
          <cell r="CT285">
            <v>31.5</v>
          </cell>
          <cell r="CU285">
            <v>30.5</v>
          </cell>
          <cell r="CV285">
            <v>28.5</v>
          </cell>
          <cell r="CW285">
            <v>27.5</v>
          </cell>
          <cell r="CX285">
            <v>27.5</v>
          </cell>
          <cell r="CY285">
            <v>26.5</v>
          </cell>
          <cell r="CZ285">
            <v>25.5</v>
          </cell>
          <cell r="DA285">
            <v>24.5</v>
          </cell>
          <cell r="DB285">
            <v>23.5</v>
          </cell>
          <cell r="DC285">
            <v>23.5</v>
          </cell>
          <cell r="DD285">
            <v>24.5</v>
          </cell>
          <cell r="DE285">
            <v>25</v>
          </cell>
          <cell r="DF285">
            <v>32.5</v>
          </cell>
          <cell r="DG285">
            <v>32</v>
          </cell>
          <cell r="DH285">
            <v>32</v>
          </cell>
          <cell r="DI285">
            <v>31.5</v>
          </cell>
          <cell r="DJ285">
            <v>31.5</v>
          </cell>
          <cell r="DK285">
            <v>30.5</v>
          </cell>
          <cell r="DL285">
            <v>28.5</v>
          </cell>
          <cell r="DM285">
            <v>27.5</v>
          </cell>
          <cell r="DN285">
            <v>27.5</v>
          </cell>
          <cell r="DO285">
            <v>26.5</v>
          </cell>
          <cell r="DP285">
            <v>25.5</v>
          </cell>
          <cell r="DQ285">
            <v>24.5</v>
          </cell>
          <cell r="DR285">
            <v>23.5</v>
          </cell>
          <cell r="DS285">
            <v>23.5</v>
          </cell>
          <cell r="DT285">
            <v>24.5</v>
          </cell>
          <cell r="DU285">
            <v>25</v>
          </cell>
        </row>
        <row r="287">
          <cell r="E287">
            <v>2</v>
          </cell>
          <cell r="F287" t="str">
            <v>Chlorine</v>
          </cell>
          <cell r="H287">
            <v>85</v>
          </cell>
          <cell r="I287">
            <v>82.5</v>
          </cell>
          <cell r="J287">
            <v>80</v>
          </cell>
          <cell r="K287">
            <v>80</v>
          </cell>
          <cell r="L287">
            <v>85</v>
          </cell>
          <cell r="M287">
            <v>85</v>
          </cell>
          <cell r="N287">
            <v>70</v>
          </cell>
          <cell r="O287">
            <v>70</v>
          </cell>
          <cell r="P287">
            <v>70</v>
          </cell>
          <cell r="Q287">
            <v>65</v>
          </cell>
          <cell r="R287">
            <v>65</v>
          </cell>
          <cell r="S287">
            <v>65</v>
          </cell>
          <cell r="T287">
            <v>65</v>
          </cell>
          <cell r="U287">
            <v>65</v>
          </cell>
          <cell r="V287">
            <v>65</v>
          </cell>
          <cell r="W287">
            <v>45</v>
          </cell>
          <cell r="X287">
            <v>45</v>
          </cell>
          <cell r="Y287">
            <v>45</v>
          </cell>
          <cell r="Z287">
            <v>45</v>
          </cell>
          <cell r="AA287">
            <v>45</v>
          </cell>
          <cell r="AB287">
            <v>50</v>
          </cell>
          <cell r="AC287">
            <v>55</v>
          </cell>
          <cell r="AD287">
            <v>55</v>
          </cell>
          <cell r="AE287">
            <v>55</v>
          </cell>
          <cell r="AF287">
            <v>70</v>
          </cell>
          <cell r="AG287">
            <v>70</v>
          </cell>
          <cell r="AH287">
            <v>70</v>
          </cell>
          <cell r="AI287">
            <v>70</v>
          </cell>
          <cell r="AJ287">
            <v>70</v>
          </cell>
          <cell r="AK287">
            <v>70</v>
          </cell>
          <cell r="AL287">
            <v>75</v>
          </cell>
          <cell r="AM287">
            <v>75</v>
          </cell>
          <cell r="AN287">
            <v>80</v>
          </cell>
          <cell r="AO287">
            <v>110</v>
          </cell>
          <cell r="AP287">
            <v>110</v>
          </cell>
          <cell r="AQ287">
            <v>95</v>
          </cell>
          <cell r="AR287">
            <v>150</v>
          </cell>
          <cell r="AS287">
            <v>145</v>
          </cell>
          <cell r="AT287">
            <v>145</v>
          </cell>
          <cell r="AU287">
            <v>180</v>
          </cell>
          <cell r="AV287">
            <v>185</v>
          </cell>
          <cell r="AW287">
            <v>185</v>
          </cell>
          <cell r="AX287">
            <v>185</v>
          </cell>
          <cell r="AY287">
            <v>185</v>
          </cell>
          <cell r="AZ287">
            <v>185</v>
          </cell>
          <cell r="BA287">
            <v>182.5</v>
          </cell>
          <cell r="BB287">
            <v>177.5</v>
          </cell>
          <cell r="BC287">
            <v>177.5</v>
          </cell>
          <cell r="BD287">
            <v>175</v>
          </cell>
          <cell r="BE287">
            <v>175</v>
          </cell>
          <cell r="BF287">
            <v>175</v>
          </cell>
          <cell r="BG287">
            <v>165</v>
          </cell>
          <cell r="BH287">
            <v>160</v>
          </cell>
          <cell r="BI287">
            <v>175</v>
          </cell>
          <cell r="BJ287">
            <v>170</v>
          </cell>
          <cell r="BK287">
            <v>165</v>
          </cell>
          <cell r="BL287">
            <v>165</v>
          </cell>
          <cell r="BM287">
            <v>165</v>
          </cell>
          <cell r="BN287">
            <v>165</v>
          </cell>
          <cell r="BO287">
            <v>170</v>
          </cell>
          <cell r="BP287">
            <v>175</v>
          </cell>
          <cell r="BQ287">
            <v>175</v>
          </cell>
          <cell r="BR287">
            <v>175</v>
          </cell>
          <cell r="BS287">
            <v>175</v>
          </cell>
          <cell r="BT287">
            <v>170</v>
          </cell>
          <cell r="BU287">
            <v>167.5</v>
          </cell>
          <cell r="BV287">
            <v>162.5</v>
          </cell>
          <cell r="BW287">
            <v>147.5</v>
          </cell>
          <cell r="BX287">
            <v>147.5</v>
          </cell>
          <cell r="BY287">
            <v>157.5</v>
          </cell>
          <cell r="BZ287">
            <v>157.5</v>
          </cell>
          <cell r="CA287">
            <v>157.5</v>
          </cell>
          <cell r="CB287">
            <v>157.5</v>
          </cell>
          <cell r="CC287">
            <v>170</v>
          </cell>
          <cell r="CD287">
            <v>170</v>
          </cell>
          <cell r="CE287">
            <v>167.5</v>
          </cell>
          <cell r="CF287">
            <v>167.5</v>
          </cell>
          <cell r="CG287">
            <v>167.5</v>
          </cell>
          <cell r="CH287">
            <v>180</v>
          </cell>
          <cell r="CI287">
            <v>187.5</v>
          </cell>
          <cell r="CJ287">
            <v>187.5</v>
          </cell>
          <cell r="CK287">
            <v>190</v>
          </cell>
          <cell r="CL287">
            <v>222.5</v>
          </cell>
          <cell r="CM287">
            <v>222.5</v>
          </cell>
          <cell r="CN287">
            <v>225</v>
          </cell>
          <cell r="CO287">
            <v>225</v>
          </cell>
          <cell r="CP287">
            <v>225</v>
          </cell>
          <cell r="CQ287">
            <v>225</v>
          </cell>
          <cell r="CR287">
            <v>225</v>
          </cell>
          <cell r="CS287">
            <v>215</v>
          </cell>
          <cell r="CT287">
            <v>215</v>
          </cell>
          <cell r="CU287">
            <v>205</v>
          </cell>
          <cell r="CV287">
            <v>205</v>
          </cell>
          <cell r="CW287">
            <v>150</v>
          </cell>
          <cell r="CX287">
            <v>155</v>
          </cell>
          <cell r="CY287">
            <v>155</v>
          </cell>
          <cell r="CZ287">
            <v>95</v>
          </cell>
          <cell r="DA287">
            <v>95</v>
          </cell>
          <cell r="DB287">
            <v>95</v>
          </cell>
          <cell r="DC287" t="e">
            <v>#REF!</v>
          </cell>
          <cell r="DD287" t="e">
            <v>#REF!</v>
          </cell>
          <cell r="DE287" t="e">
            <v>#REF!</v>
          </cell>
          <cell r="DF287">
            <v>225</v>
          </cell>
          <cell r="DG287">
            <v>225</v>
          </cell>
          <cell r="DH287">
            <v>225</v>
          </cell>
          <cell r="DI287">
            <v>215</v>
          </cell>
          <cell r="DJ287">
            <v>215</v>
          </cell>
          <cell r="DK287">
            <v>205</v>
          </cell>
          <cell r="DL287">
            <v>205</v>
          </cell>
          <cell r="DM287">
            <v>150</v>
          </cell>
          <cell r="DN287">
            <v>155</v>
          </cell>
          <cell r="DO287">
            <v>155</v>
          </cell>
          <cell r="DP287">
            <v>95</v>
          </cell>
          <cell r="DQ287">
            <v>95</v>
          </cell>
          <cell r="DR287">
            <v>95</v>
          </cell>
          <cell r="DS287" t="e">
            <v>#REF!</v>
          </cell>
          <cell r="DT287" t="e">
            <v>#REF!</v>
          </cell>
          <cell r="DU287" t="e">
            <v>#REF!</v>
          </cell>
        </row>
        <row r="289">
          <cell r="E289">
            <v>4</v>
          </cell>
          <cell r="F289" t="str">
            <v>Chlorine cost</v>
          </cell>
          <cell r="H289">
            <v>2.7625000000000002</v>
          </cell>
          <cell r="I289">
            <v>2.6812499999999999</v>
          </cell>
          <cell r="J289">
            <v>2.6</v>
          </cell>
          <cell r="K289">
            <v>2.6</v>
          </cell>
          <cell r="L289">
            <v>2.7625000000000002</v>
          </cell>
          <cell r="M289">
            <v>2.7625000000000002</v>
          </cell>
          <cell r="N289">
            <v>2.2749999999999999</v>
          </cell>
          <cell r="O289">
            <v>2.2749999999999999</v>
          </cell>
          <cell r="P289">
            <v>2.2749999999999999</v>
          </cell>
          <cell r="Q289">
            <v>2.1124999999999998</v>
          </cell>
          <cell r="R289">
            <v>2.1124999999999998</v>
          </cell>
          <cell r="S289">
            <v>2.1124999999999998</v>
          </cell>
          <cell r="T289">
            <v>2.1124999999999998</v>
          </cell>
          <cell r="U289">
            <v>2.1124999999999998</v>
          </cell>
          <cell r="V289">
            <v>2.1124999999999998</v>
          </cell>
          <cell r="W289">
            <v>1.4624999999999999</v>
          </cell>
          <cell r="X289">
            <v>1.4624999999999999</v>
          </cell>
          <cell r="Y289">
            <v>1.4624999999999999</v>
          </cell>
          <cell r="Z289">
            <v>1.4624999999999999</v>
          </cell>
          <cell r="AA289">
            <v>1.4624999999999999</v>
          </cell>
          <cell r="AB289">
            <v>1.625</v>
          </cell>
          <cell r="AC289">
            <v>1.7875000000000001</v>
          </cell>
          <cell r="AD289">
            <v>1.7875000000000001</v>
          </cell>
          <cell r="AE289">
            <v>1.7875000000000001</v>
          </cell>
          <cell r="AF289">
            <v>2.2749999999999999</v>
          </cell>
          <cell r="AG289">
            <v>2.2749999999999999</v>
          </cell>
          <cell r="AH289">
            <v>2.2749999999999999</v>
          </cell>
          <cell r="AI289">
            <v>2.2749999999999999</v>
          </cell>
          <cell r="AJ289">
            <v>2.2749999999999999</v>
          </cell>
          <cell r="AK289">
            <v>2.2749999999999999</v>
          </cell>
          <cell r="AL289">
            <v>2.4375</v>
          </cell>
          <cell r="AM289">
            <v>2.4375</v>
          </cell>
          <cell r="AN289">
            <v>2.6</v>
          </cell>
          <cell r="AO289">
            <v>3.5750000000000002</v>
          </cell>
          <cell r="AP289">
            <v>3.5750000000000002</v>
          </cell>
          <cell r="AQ289">
            <v>3.0874999999999999</v>
          </cell>
          <cell r="AR289">
            <v>4.875</v>
          </cell>
          <cell r="AS289">
            <v>4.7125000000000004</v>
          </cell>
          <cell r="AT289">
            <v>4.7125000000000004</v>
          </cell>
          <cell r="AU289">
            <v>5.85</v>
          </cell>
          <cell r="AV289">
            <v>6.0125000000000002</v>
          </cell>
          <cell r="AW289">
            <v>6.0125000000000002</v>
          </cell>
          <cell r="AX289">
            <v>6.0125000000000002</v>
          </cell>
          <cell r="AY289">
            <v>6.0125000000000002</v>
          </cell>
          <cell r="AZ289">
            <v>6.0125000000000002</v>
          </cell>
          <cell r="BA289">
            <v>5.9312500000000004</v>
          </cell>
          <cell r="BB289">
            <v>5.7687499999999998</v>
          </cell>
          <cell r="BC289">
            <v>5.7687499999999998</v>
          </cell>
          <cell r="BD289">
            <v>5.6875</v>
          </cell>
          <cell r="BE289">
            <v>5.6875</v>
          </cell>
          <cell r="BF289">
            <v>5.6875</v>
          </cell>
          <cell r="BG289">
            <v>5.3624999999999998</v>
          </cell>
          <cell r="BH289">
            <v>5.2</v>
          </cell>
          <cell r="BI289">
            <v>5.6875</v>
          </cell>
          <cell r="BJ289">
            <v>5.5250000000000004</v>
          </cell>
          <cell r="BK289">
            <v>5.3624999999999998</v>
          </cell>
          <cell r="BL289">
            <v>5.3624999999999998</v>
          </cell>
          <cell r="BM289">
            <v>5.3624999999999998</v>
          </cell>
          <cell r="BN289">
            <v>5.3624999999999998</v>
          </cell>
          <cell r="BO289">
            <v>5.5250000000000004</v>
          </cell>
          <cell r="BP289">
            <v>5.6875</v>
          </cell>
          <cell r="BQ289">
            <v>5.6875</v>
          </cell>
          <cell r="BR289">
            <v>5.6875</v>
          </cell>
          <cell r="BS289">
            <v>5.6875</v>
          </cell>
          <cell r="BT289">
            <v>5.5250000000000004</v>
          </cell>
          <cell r="BU289">
            <v>5.4437499999999996</v>
          </cell>
          <cell r="BV289">
            <v>5.28125</v>
          </cell>
          <cell r="BW289">
            <v>4.7937500000000002</v>
          </cell>
          <cell r="BX289">
            <v>4.7937500000000002</v>
          </cell>
          <cell r="BY289">
            <v>5.1187500000000004</v>
          </cell>
          <cell r="BZ289">
            <v>5.1187500000000004</v>
          </cell>
          <cell r="CA289">
            <v>5.1187500000000004</v>
          </cell>
          <cell r="CB289">
            <v>5.1187500000000004</v>
          </cell>
          <cell r="CC289">
            <v>5.5250000000000004</v>
          </cell>
          <cell r="CD289">
            <v>5.5250000000000004</v>
          </cell>
          <cell r="CE289">
            <v>5.4437499999999996</v>
          </cell>
          <cell r="CF289">
            <v>5.4437499999999996</v>
          </cell>
          <cell r="CG289">
            <v>5.4437499999999996</v>
          </cell>
          <cell r="CH289">
            <v>5.85</v>
          </cell>
          <cell r="CI289">
            <v>6.09375</v>
          </cell>
          <cell r="CJ289">
            <v>6.09375</v>
          </cell>
          <cell r="CK289">
            <v>6.1749999999999998</v>
          </cell>
          <cell r="CL289">
            <v>7.2312500000000002</v>
          </cell>
          <cell r="CM289">
            <v>7.2312500000000002</v>
          </cell>
          <cell r="CN289">
            <v>7.3125</v>
          </cell>
          <cell r="CO289">
            <v>7.3125</v>
          </cell>
          <cell r="CP289">
            <v>7.3125</v>
          </cell>
          <cell r="CQ289">
            <v>7.3125</v>
          </cell>
          <cell r="CR289">
            <v>7.3125</v>
          </cell>
          <cell r="CS289">
            <v>6.9874999999999998</v>
          </cell>
          <cell r="CT289">
            <v>6.9874999999999998</v>
          </cell>
          <cell r="CU289">
            <v>6.6624999999999996</v>
          </cell>
          <cell r="CV289">
            <v>6.6624999999999996</v>
          </cell>
          <cell r="CW289">
            <v>4.875</v>
          </cell>
          <cell r="CX289">
            <v>5.0374999999999996</v>
          </cell>
          <cell r="CY289">
            <v>5.0374999999999996</v>
          </cell>
          <cell r="CZ289">
            <v>3.0874999999999999</v>
          </cell>
          <cell r="DA289">
            <v>3.0874999999999999</v>
          </cell>
          <cell r="DB289">
            <v>3.0874999999999999</v>
          </cell>
          <cell r="DC289" t="e">
            <v>#REF!</v>
          </cell>
          <cell r="DD289" t="e">
            <v>#REF!</v>
          </cell>
          <cell r="DE289" t="e">
            <v>#REF!</v>
          </cell>
          <cell r="DF289">
            <v>7.3125</v>
          </cell>
          <cell r="DG289">
            <v>7.3125</v>
          </cell>
          <cell r="DH289">
            <v>7.3125</v>
          </cell>
          <cell r="DI289">
            <v>6.9874999999999998</v>
          </cell>
          <cell r="DJ289">
            <v>6.9874999999999998</v>
          </cell>
          <cell r="DK289">
            <v>6.6624999999999996</v>
          </cell>
          <cell r="DL289">
            <v>6.6624999999999996</v>
          </cell>
          <cell r="DM289">
            <v>4.875</v>
          </cell>
          <cell r="DN289">
            <v>5.0374999999999996</v>
          </cell>
          <cell r="DO289">
            <v>5.0374999999999996</v>
          </cell>
          <cell r="DP289">
            <v>3.0874999999999999</v>
          </cell>
          <cell r="DQ289">
            <v>3.0874999999999999</v>
          </cell>
          <cell r="DR289">
            <v>3.0874999999999999</v>
          </cell>
          <cell r="DS289" t="e">
            <v>#REF!</v>
          </cell>
          <cell r="DT289" t="e">
            <v>#REF!</v>
          </cell>
          <cell r="DU289" t="e">
            <v>#REF!</v>
          </cell>
        </row>
        <row r="290">
          <cell r="E290">
            <v>5</v>
          </cell>
          <cell r="F290" t="str">
            <v>Ethylene</v>
          </cell>
          <cell r="H290">
            <v>23</v>
          </cell>
          <cell r="I290">
            <v>23</v>
          </cell>
          <cell r="J290">
            <v>26</v>
          </cell>
          <cell r="K290">
            <v>28</v>
          </cell>
          <cell r="L290">
            <v>30</v>
          </cell>
          <cell r="M290">
            <v>30</v>
          </cell>
          <cell r="N290">
            <v>28</v>
          </cell>
          <cell r="O290">
            <v>26</v>
          </cell>
          <cell r="P290">
            <v>24</v>
          </cell>
          <cell r="Q290">
            <v>22.5</v>
          </cell>
          <cell r="R290">
            <v>21.2</v>
          </cell>
          <cell r="S290">
            <v>20</v>
          </cell>
          <cell r="T290">
            <v>18</v>
          </cell>
          <cell r="U290">
            <v>18</v>
          </cell>
          <cell r="V290">
            <v>18</v>
          </cell>
          <cell r="W290">
            <v>20</v>
          </cell>
          <cell r="X290">
            <v>21</v>
          </cell>
          <cell r="Y290">
            <v>21</v>
          </cell>
          <cell r="Z290">
            <v>17.489397248307501</v>
          </cell>
          <cell r="AA290">
            <v>16.733020310111399</v>
          </cell>
          <cell r="AB290">
            <v>16.258309674601399</v>
          </cell>
          <cell r="AC290">
            <v>16.109532649049999</v>
          </cell>
          <cell r="AD290">
            <v>16.063791220790598</v>
          </cell>
          <cell r="AE290">
            <v>17.0454793623062</v>
          </cell>
          <cell r="AF290">
            <v>17.9047608648176</v>
          </cell>
          <cell r="AG290">
            <v>18.4047608648176</v>
          </cell>
          <cell r="AH290">
            <v>19.1458943000655</v>
          </cell>
          <cell r="AI290">
            <v>19.623542258135</v>
          </cell>
          <cell r="AJ290">
            <v>19.589157021183699</v>
          </cell>
          <cell r="AK290">
            <v>19.1007097619568</v>
          </cell>
          <cell r="AL290">
            <v>18.579999999999998</v>
          </cell>
          <cell r="AM290">
            <v>18.25</v>
          </cell>
          <cell r="AN290">
            <v>17.98</v>
          </cell>
          <cell r="AO290">
            <v>17.989999999999998</v>
          </cell>
          <cell r="AP290">
            <v>17.93</v>
          </cell>
          <cell r="AQ290">
            <v>17.89</v>
          </cell>
          <cell r="AR290">
            <v>17.78</v>
          </cell>
          <cell r="AS290">
            <v>17.68</v>
          </cell>
          <cell r="AT290">
            <v>17.489999999999998</v>
          </cell>
          <cell r="AU290">
            <v>17.41</v>
          </cell>
          <cell r="AV290">
            <v>17.05</v>
          </cell>
          <cell r="AW290">
            <v>16.8</v>
          </cell>
          <cell r="AX290">
            <v>16.43</v>
          </cell>
          <cell r="AY290">
            <v>16.21</v>
          </cell>
          <cell r="AZ290">
            <v>16.61</v>
          </cell>
          <cell r="BA290">
            <v>17.104500000000002</v>
          </cell>
          <cell r="BB290">
            <v>18.09225</v>
          </cell>
          <cell r="BC290">
            <v>19.057500000000001</v>
          </cell>
          <cell r="BD290">
            <v>20.048999999999999</v>
          </cell>
          <cell r="BE290">
            <v>21.027000000000001</v>
          </cell>
          <cell r="BF290">
            <v>22.936</v>
          </cell>
          <cell r="BG290">
            <v>24.913499999999999</v>
          </cell>
          <cell r="BH290">
            <v>25.890499999999999</v>
          </cell>
          <cell r="BI290">
            <v>26.46</v>
          </cell>
          <cell r="BJ290">
            <v>27.37</v>
          </cell>
          <cell r="BK290">
            <v>28.332999999999998</v>
          </cell>
          <cell r="BL290">
            <v>28.274999999999999</v>
          </cell>
          <cell r="BM290">
            <v>28.245999999999999</v>
          </cell>
          <cell r="BN290">
            <v>28.216999999999999</v>
          </cell>
          <cell r="BO290">
            <v>27.616499999999998</v>
          </cell>
          <cell r="BP290">
            <v>26.62</v>
          </cell>
          <cell r="BQ290">
            <v>25.050999999999998</v>
          </cell>
          <cell r="BR290">
            <v>23.1525</v>
          </cell>
          <cell r="BS290">
            <v>20.872499999999999</v>
          </cell>
          <cell r="BT290">
            <v>19.496400000000001</v>
          </cell>
          <cell r="BU290">
            <v>18.248999999999999</v>
          </cell>
          <cell r="BV290">
            <v>18</v>
          </cell>
          <cell r="BW290">
            <v>18</v>
          </cell>
          <cell r="BX290">
            <v>18.973500000000001</v>
          </cell>
          <cell r="BY290">
            <v>20.25</v>
          </cell>
          <cell r="BZ290">
            <v>21.220500000000001</v>
          </cell>
          <cell r="CA290">
            <v>22.172499999999999</v>
          </cell>
          <cell r="CB290">
            <v>22.6</v>
          </cell>
          <cell r="CC290">
            <v>23.103000000000002</v>
          </cell>
          <cell r="CD290">
            <v>23.465</v>
          </cell>
          <cell r="CE290">
            <v>23.706375000000001</v>
          </cell>
          <cell r="CF290">
            <v>23.823499999999999</v>
          </cell>
          <cell r="CG290">
            <v>24.75</v>
          </cell>
          <cell r="CH290">
            <v>25.712699999999998</v>
          </cell>
          <cell r="CI290">
            <v>25.712699999999998</v>
          </cell>
          <cell r="CJ290">
            <v>25.712699999999998</v>
          </cell>
          <cell r="CK290">
            <v>25.65</v>
          </cell>
          <cell r="CL290">
            <v>25.2</v>
          </cell>
          <cell r="CM290">
            <v>24.653749999999999</v>
          </cell>
          <cell r="CN290">
            <v>24.653749999999999</v>
          </cell>
          <cell r="CO290">
            <v>24.598749999999999</v>
          </cell>
          <cell r="CP290">
            <v>24.447500000000002</v>
          </cell>
          <cell r="CQ290">
            <v>23.948999999999998</v>
          </cell>
          <cell r="CR290">
            <v>23.452500000000001</v>
          </cell>
          <cell r="CS290">
            <v>22.672875000000001</v>
          </cell>
          <cell r="CT290">
            <v>21.9</v>
          </cell>
          <cell r="CU290">
            <v>20.8</v>
          </cell>
          <cell r="CV290">
            <v>19.7</v>
          </cell>
          <cell r="CW290">
            <v>18.7</v>
          </cell>
          <cell r="CX290">
            <v>17.95</v>
          </cell>
          <cell r="CY290">
            <v>17.45</v>
          </cell>
          <cell r="CZ290">
            <v>16.95</v>
          </cell>
          <cell r="DA290">
            <v>16.45</v>
          </cell>
          <cell r="DB290">
            <v>15.95</v>
          </cell>
          <cell r="DC290">
            <v>15.95</v>
          </cell>
          <cell r="DD290">
            <v>15.95</v>
          </cell>
          <cell r="DE290">
            <v>15.95</v>
          </cell>
          <cell r="DF290">
            <v>24.447500000000002</v>
          </cell>
          <cell r="DG290">
            <v>23.948999999999998</v>
          </cell>
          <cell r="DH290">
            <v>23.452500000000001</v>
          </cell>
          <cell r="DI290">
            <v>22.672875000000001</v>
          </cell>
          <cell r="DJ290">
            <v>21.9</v>
          </cell>
          <cell r="DK290">
            <v>20.8</v>
          </cell>
          <cell r="DL290">
            <v>19.7</v>
          </cell>
          <cell r="DM290">
            <v>18.7</v>
          </cell>
          <cell r="DN290">
            <v>17.95</v>
          </cell>
          <cell r="DO290">
            <v>17.45</v>
          </cell>
          <cell r="DP290">
            <v>16.95</v>
          </cell>
          <cell r="DQ290">
            <v>16.45</v>
          </cell>
          <cell r="DR290">
            <v>15.95</v>
          </cell>
          <cell r="DS290">
            <v>15.95</v>
          </cell>
          <cell r="DT290">
            <v>15.95</v>
          </cell>
          <cell r="DU290">
            <v>15.95</v>
          </cell>
        </row>
        <row r="291">
          <cell r="CM291">
            <v>31.884999999999998</v>
          </cell>
          <cell r="CN291">
            <v>31.966249999999999</v>
          </cell>
          <cell r="CO291">
            <v>31.911249999999999</v>
          </cell>
          <cell r="CP291">
            <v>31.76</v>
          </cell>
          <cell r="CQ291">
            <v>31.261499999999998</v>
          </cell>
          <cell r="CR291">
            <v>30.765000000000001</v>
          </cell>
          <cell r="CS291">
            <v>29.660375000000002</v>
          </cell>
          <cell r="CT291">
            <v>28.887499999999999</v>
          </cell>
          <cell r="CU291">
            <v>27.462499999999999</v>
          </cell>
          <cell r="CV291">
            <v>26.362499999999997</v>
          </cell>
          <cell r="CW291">
            <v>23.574999999999999</v>
          </cell>
          <cell r="CX291">
            <v>22.987499999999997</v>
          </cell>
          <cell r="CY291">
            <v>22.487499999999997</v>
          </cell>
          <cell r="CZ291">
            <v>20.037499999999998</v>
          </cell>
          <cell r="DA291">
            <v>19.537499999999998</v>
          </cell>
          <cell r="DB291">
            <v>19.037499999999998</v>
          </cell>
          <cell r="DC291" t="e">
            <v>#REF!</v>
          </cell>
          <cell r="DD291" t="e">
            <v>#REF!</v>
          </cell>
          <cell r="DE291" t="e">
            <v>#REF!</v>
          </cell>
          <cell r="DF291">
            <v>31.76</v>
          </cell>
          <cell r="DG291">
            <v>31.261499999999998</v>
          </cell>
          <cell r="DH291">
            <v>30.765000000000001</v>
          </cell>
          <cell r="DI291">
            <v>29.660375000000002</v>
          </cell>
          <cell r="DJ291">
            <v>28.887499999999999</v>
          </cell>
          <cell r="DK291">
            <v>27.462499999999999</v>
          </cell>
          <cell r="DL291">
            <v>26.362499999999997</v>
          </cell>
          <cell r="DM291">
            <v>23.574999999999999</v>
          </cell>
          <cell r="DN291">
            <v>22.987499999999997</v>
          </cell>
          <cell r="DO291">
            <v>22.487499999999997</v>
          </cell>
          <cell r="DP291">
            <v>20.037499999999998</v>
          </cell>
          <cell r="DQ291">
            <v>19.537499999999998</v>
          </cell>
          <cell r="DR291">
            <v>19.037499999999998</v>
          </cell>
          <cell r="DS291" t="e">
            <v>#REF!</v>
          </cell>
          <cell r="DT291" t="e">
            <v>#REF!</v>
          </cell>
          <cell r="DU291" t="e">
            <v>#REF!</v>
          </cell>
        </row>
        <row r="292">
          <cell r="E292">
            <v>6</v>
          </cell>
          <cell r="F292" t="str">
            <v xml:space="preserve"> Spread</v>
          </cell>
          <cell r="H292">
            <v>8.2375000000000007</v>
          </cell>
          <cell r="I292">
            <v>8.3187500000000014</v>
          </cell>
          <cell r="J292">
            <v>6.3999999999999986</v>
          </cell>
          <cell r="K292">
            <v>4.8999999999999986</v>
          </cell>
          <cell r="L292">
            <v>4.2374999999999972</v>
          </cell>
          <cell r="M292">
            <v>3.2374999999999972</v>
          </cell>
          <cell r="N292">
            <v>4.7250000000000014</v>
          </cell>
          <cell r="O292">
            <v>5.7250000000000014</v>
          </cell>
          <cell r="P292">
            <v>6.7250000000000014</v>
          </cell>
          <cell r="Q292">
            <v>6.3874999999999993</v>
          </cell>
          <cell r="R292">
            <v>4.6875</v>
          </cell>
          <cell r="S292">
            <v>4.8874999999999993</v>
          </cell>
          <cell r="T292">
            <v>5.8874999999999993</v>
          </cell>
          <cell r="U292">
            <v>6.8874999999999993</v>
          </cell>
          <cell r="V292">
            <v>7.8874999999999993</v>
          </cell>
          <cell r="W292">
            <v>6.5375000000000014</v>
          </cell>
          <cell r="X292">
            <v>4.5375000000000014</v>
          </cell>
          <cell r="Y292">
            <v>3.0375000000000014</v>
          </cell>
          <cell r="Z292">
            <v>4.0481027516925003</v>
          </cell>
          <cell r="AA292">
            <v>3.804479689888602</v>
          </cell>
          <cell r="AB292">
            <v>5.1166903253986007</v>
          </cell>
          <cell r="AC292">
            <v>5.6029673509499993</v>
          </cell>
          <cell r="AD292">
            <v>6.1487087792094002</v>
          </cell>
          <cell r="AE292">
            <v>5.417020637693799</v>
          </cell>
          <cell r="AF292">
            <v>4.0702391351824012</v>
          </cell>
          <cell r="AG292">
            <v>2.8202391351824012</v>
          </cell>
          <cell r="AH292">
            <v>1.3291056999345017</v>
          </cell>
          <cell r="AI292">
            <v>0.10145774186500134</v>
          </cell>
          <cell r="AJ292">
            <v>0.13584297881630292</v>
          </cell>
          <cell r="AK292">
            <v>2.1242902380432014</v>
          </cell>
          <cell r="AL292">
            <v>1.9825000000000017</v>
          </cell>
          <cell r="AM292">
            <v>2.3125</v>
          </cell>
          <cell r="AN292">
            <v>3.9199999999999982</v>
          </cell>
          <cell r="AO292">
            <v>2.9350000000000023</v>
          </cell>
          <cell r="AP292">
            <v>3.995000000000001</v>
          </cell>
          <cell r="AQ292">
            <v>6.0225000000000009</v>
          </cell>
          <cell r="AR292">
            <v>4.8449999999999989</v>
          </cell>
          <cell r="AS292">
            <v>6.1075000000000017</v>
          </cell>
          <cell r="AT292">
            <v>6.797500000000003</v>
          </cell>
          <cell r="AU292">
            <v>5.7399999999999984</v>
          </cell>
          <cell r="AV292">
            <v>5.9375</v>
          </cell>
          <cell r="AW292">
            <v>5.6875</v>
          </cell>
          <cell r="AX292">
            <v>5.557500000000001</v>
          </cell>
          <cell r="AY292">
            <v>7.0274999999999999</v>
          </cell>
          <cell r="AZ292">
            <v>7.3775000000000013</v>
          </cell>
          <cell r="BA292">
            <v>8.4642499999999998</v>
          </cell>
          <cell r="BB292">
            <v>8.1389999999999993</v>
          </cell>
          <cell r="BC292">
            <v>9.1737499999999983</v>
          </cell>
          <cell r="BD292">
            <v>8.2635000000000005</v>
          </cell>
          <cell r="BE292">
            <v>8.285499999999999</v>
          </cell>
          <cell r="BF292">
            <v>7.3765000000000001</v>
          </cell>
          <cell r="BG292">
            <v>6.7240000000000002</v>
          </cell>
          <cell r="BH292">
            <v>6.9094999999999978</v>
          </cell>
          <cell r="BI292">
            <v>5.8524999999999991</v>
          </cell>
          <cell r="BJ292">
            <v>7.1050000000000004</v>
          </cell>
          <cell r="BK292">
            <v>6.3045000000000044</v>
          </cell>
          <cell r="BL292">
            <v>6.3625000000000043</v>
          </cell>
          <cell r="BM292">
            <v>7.3915000000000042</v>
          </cell>
          <cell r="BN292">
            <v>8.4205000000000041</v>
          </cell>
          <cell r="BO292">
            <v>7.8585000000000029</v>
          </cell>
          <cell r="BP292">
            <v>6.692499999999999</v>
          </cell>
          <cell r="BQ292">
            <v>6.2615000000000016</v>
          </cell>
          <cell r="BR292">
            <v>6.16</v>
          </cell>
          <cell r="BS292">
            <v>6.4400000000000013</v>
          </cell>
          <cell r="BT292">
            <v>5.9786000000000001</v>
          </cell>
          <cell r="BU292">
            <v>5.3072499999999998</v>
          </cell>
          <cell r="BV292">
            <v>4.71875</v>
          </cell>
          <cell r="BW292">
            <v>5.2062500000000007</v>
          </cell>
          <cell r="BX292">
            <v>6.2327499999999993</v>
          </cell>
          <cell r="BY292">
            <v>6.6312500000000014</v>
          </cell>
          <cell r="BZ292">
            <v>6.6607500000000002</v>
          </cell>
          <cell r="CA292">
            <v>6.708750000000002</v>
          </cell>
          <cell r="CB292">
            <v>6.28125</v>
          </cell>
          <cell r="CC292">
            <v>5.3719999999999999</v>
          </cell>
          <cell r="CD292">
            <v>4.5100000000000016</v>
          </cell>
          <cell r="CE292">
            <v>3.3498749999999973</v>
          </cell>
          <cell r="CF292">
            <v>2.2327499999999993</v>
          </cell>
          <cell r="CG292">
            <v>-0.19375000000000142</v>
          </cell>
          <cell r="CH292">
            <v>-1.5626999999999995</v>
          </cell>
          <cell r="CI292">
            <v>1.1935500000000019</v>
          </cell>
          <cell r="CJ292">
            <v>3.1935500000000019</v>
          </cell>
          <cell r="CK292">
            <v>5.1750000000000007</v>
          </cell>
          <cell r="CL292">
            <v>4.5687500000000014</v>
          </cell>
          <cell r="CM292">
            <v>4.115000000000002</v>
          </cell>
          <cell r="CN292">
            <v>2.0337500000000013</v>
          </cell>
          <cell r="CO292">
            <v>1.088750000000001</v>
          </cell>
          <cell r="CP292">
            <v>0.73999999999999844</v>
          </cell>
          <cell r="CQ292">
            <v>0.73850000000000193</v>
          </cell>
          <cell r="CR292">
            <v>1.2349999999999994</v>
          </cell>
          <cell r="CS292">
            <v>1.8396249999999981</v>
          </cell>
          <cell r="CT292">
            <v>2.6125000000000007</v>
          </cell>
          <cell r="CU292">
            <v>3.0374999999999979</v>
          </cell>
          <cell r="CV292">
            <v>2.1374999999999993</v>
          </cell>
          <cell r="CW292">
            <v>3.9250000000000007</v>
          </cell>
          <cell r="CX292">
            <v>4.5124999999999993</v>
          </cell>
          <cell r="CY292">
            <v>4.0124999999999993</v>
          </cell>
          <cell r="CZ292">
            <v>5.4625000000000021</v>
          </cell>
          <cell r="DA292">
            <v>4.9625000000000021</v>
          </cell>
          <cell r="DB292">
            <v>4.4625000000000021</v>
          </cell>
          <cell r="DC292" t="e">
            <v>#REF!</v>
          </cell>
          <cell r="DD292" t="e">
            <v>#REF!</v>
          </cell>
          <cell r="DE292" t="e">
            <v>#REF!</v>
          </cell>
          <cell r="DF292">
            <v>0.73999999999999844</v>
          </cell>
          <cell r="DG292">
            <v>0.73850000000000193</v>
          </cell>
          <cell r="DH292">
            <v>1.2349999999999994</v>
          </cell>
          <cell r="DI292">
            <v>1.8396249999999981</v>
          </cell>
          <cell r="DJ292">
            <v>2.6125000000000007</v>
          </cell>
          <cell r="DK292">
            <v>3.0374999999999979</v>
          </cell>
          <cell r="DL292">
            <v>2.1374999999999993</v>
          </cell>
          <cell r="DM292">
            <v>3.9250000000000007</v>
          </cell>
          <cell r="DN292">
            <v>4.5124999999999993</v>
          </cell>
          <cell r="DO292">
            <v>4.0124999999999993</v>
          </cell>
          <cell r="DP292">
            <v>5.4625000000000021</v>
          </cell>
          <cell r="DQ292">
            <v>4.9625000000000021</v>
          </cell>
          <cell r="DR292">
            <v>4.4625000000000021</v>
          </cell>
          <cell r="DS292" t="e">
            <v>#REF!</v>
          </cell>
          <cell r="DT292" t="e">
            <v>#REF!</v>
          </cell>
          <cell r="DU292" t="e">
            <v>#REF!</v>
          </cell>
        </row>
        <row r="294">
          <cell r="F294" t="str">
            <v>(1)  Pipe grade.</v>
          </cell>
        </row>
        <row r="295">
          <cell r="F295" t="str">
            <v>(2)  Assuming a conversion factor of 0.65 lbs. chlorine to produce 1.0 lbs. PVC.</v>
          </cell>
        </row>
        <row r="296">
          <cell r="F296" t="str">
            <v>(3)  Assuming a conversion factor of 2.9 lbs./gal of ethane and 0.5 lbs. ethylene, which requires 1.25 pounds of ethane per pound of ethylene, to produce 1.0 lbs. PVC.</v>
          </cell>
        </row>
        <row r="299">
          <cell r="F299" t="str">
            <v>PVC/Ethylene, Chlorine  Cost Spread</v>
          </cell>
          <cell r="BP299" t="str">
            <v>NON INTEGRATED ON ETHYLENE</v>
          </cell>
          <cell r="CE299" t="str">
            <v>NON INTEGRATED ON ETHYLENE</v>
          </cell>
          <cell r="CF299" t="str">
            <v>NON INTEGRATED ON ETHYLENE</v>
          </cell>
        </row>
        <row r="301">
          <cell r="H301">
            <v>33055</v>
          </cell>
          <cell r="I301">
            <v>33086</v>
          </cell>
          <cell r="J301">
            <v>33117</v>
          </cell>
          <cell r="K301">
            <v>33147</v>
          </cell>
          <cell r="L301">
            <v>33178</v>
          </cell>
          <cell r="M301">
            <v>33208</v>
          </cell>
          <cell r="N301">
            <v>33239</v>
          </cell>
          <cell r="O301">
            <v>33270</v>
          </cell>
          <cell r="P301">
            <v>33298</v>
          </cell>
          <cell r="Q301">
            <v>33329</v>
          </cell>
          <cell r="R301">
            <v>33359</v>
          </cell>
          <cell r="S301">
            <v>33390</v>
          </cell>
          <cell r="T301">
            <v>33420</v>
          </cell>
          <cell r="U301">
            <v>33451</v>
          </cell>
          <cell r="V301">
            <v>33482</v>
          </cell>
          <cell r="W301">
            <v>33512</v>
          </cell>
          <cell r="X301">
            <v>33543</v>
          </cell>
          <cell r="Y301">
            <v>33573</v>
          </cell>
          <cell r="Z301">
            <v>33604</v>
          </cell>
          <cell r="AA301">
            <v>33635</v>
          </cell>
          <cell r="AB301">
            <v>33664</v>
          </cell>
          <cell r="AC301">
            <v>33695</v>
          </cell>
          <cell r="AD301">
            <v>33725</v>
          </cell>
          <cell r="AE301">
            <v>33756</v>
          </cell>
          <cell r="AF301">
            <v>33786</v>
          </cell>
          <cell r="AG301">
            <v>33817</v>
          </cell>
          <cell r="AH301">
            <v>33848</v>
          </cell>
          <cell r="AI301">
            <v>33878</v>
          </cell>
          <cell r="AJ301">
            <v>33909</v>
          </cell>
          <cell r="AK301">
            <v>33939</v>
          </cell>
          <cell r="AL301">
            <v>33970</v>
          </cell>
          <cell r="AM301">
            <v>34001</v>
          </cell>
          <cell r="AN301">
            <v>34029</v>
          </cell>
          <cell r="AO301">
            <v>34060</v>
          </cell>
          <cell r="AP301">
            <v>34090</v>
          </cell>
          <cell r="AQ301">
            <v>34121</v>
          </cell>
          <cell r="AR301">
            <v>34151</v>
          </cell>
          <cell r="AS301">
            <v>34182</v>
          </cell>
          <cell r="AT301">
            <v>34213</v>
          </cell>
          <cell r="AU301">
            <v>34243</v>
          </cell>
          <cell r="AV301">
            <v>34274</v>
          </cell>
          <cell r="AW301">
            <v>34304</v>
          </cell>
          <cell r="AX301">
            <v>34335</v>
          </cell>
          <cell r="AY301">
            <v>34366</v>
          </cell>
          <cell r="AZ301">
            <v>34394</v>
          </cell>
          <cell r="BA301">
            <v>34425</v>
          </cell>
          <cell r="BB301">
            <v>34455</v>
          </cell>
          <cell r="BC301">
            <v>34486</v>
          </cell>
          <cell r="BD301">
            <v>34516</v>
          </cell>
          <cell r="BE301">
            <v>34547</v>
          </cell>
          <cell r="BF301">
            <v>34578</v>
          </cell>
          <cell r="BG301">
            <v>34608</v>
          </cell>
          <cell r="BH301">
            <v>34639</v>
          </cell>
          <cell r="BI301">
            <v>34669</v>
          </cell>
          <cell r="BJ301">
            <v>34700</v>
          </cell>
          <cell r="BK301">
            <v>34731</v>
          </cell>
          <cell r="BL301">
            <v>34759</v>
          </cell>
          <cell r="BM301">
            <v>34790</v>
          </cell>
          <cell r="BN301">
            <v>34820</v>
          </cell>
          <cell r="BO301">
            <v>34851</v>
          </cell>
          <cell r="BP301">
            <v>34881</v>
          </cell>
          <cell r="BQ301">
            <v>34912</v>
          </cell>
          <cell r="BR301">
            <v>34943</v>
          </cell>
          <cell r="BS301">
            <v>34973</v>
          </cell>
          <cell r="BT301">
            <v>35004</v>
          </cell>
          <cell r="BU301">
            <v>35034</v>
          </cell>
          <cell r="BV301">
            <v>35065</v>
          </cell>
          <cell r="BW301">
            <v>35096</v>
          </cell>
          <cell r="BX301">
            <v>35125</v>
          </cell>
          <cell r="BY301">
            <v>35156</v>
          </cell>
          <cell r="BZ301">
            <v>35186</v>
          </cell>
          <cell r="CA301">
            <v>35217</v>
          </cell>
          <cell r="CB301">
            <v>35247</v>
          </cell>
          <cell r="CC301">
            <v>35278</v>
          </cell>
          <cell r="CD301">
            <v>35309</v>
          </cell>
          <cell r="CE301">
            <v>35339</v>
          </cell>
          <cell r="CF301">
            <v>35370</v>
          </cell>
          <cell r="CG301">
            <v>35400</v>
          </cell>
          <cell r="CH301">
            <v>35431</v>
          </cell>
          <cell r="CI301">
            <v>35462</v>
          </cell>
          <cell r="CJ301">
            <v>35490</v>
          </cell>
          <cell r="CK301">
            <v>35521</v>
          </cell>
          <cell r="CL301">
            <v>35551</v>
          </cell>
          <cell r="CM301">
            <v>35582</v>
          </cell>
          <cell r="CN301">
            <v>35612</v>
          </cell>
          <cell r="CO301">
            <v>35643</v>
          </cell>
          <cell r="CP301">
            <v>35674</v>
          </cell>
          <cell r="CQ301">
            <v>35704</v>
          </cell>
          <cell r="CR301">
            <v>35735</v>
          </cell>
          <cell r="CS301">
            <v>35765</v>
          </cell>
          <cell r="CT301">
            <v>35796</v>
          </cell>
          <cell r="CU301">
            <v>35827</v>
          </cell>
          <cell r="CV301">
            <v>35855</v>
          </cell>
          <cell r="CW301">
            <v>35886</v>
          </cell>
          <cell r="CX301">
            <v>35916</v>
          </cell>
          <cell r="CY301">
            <v>35947</v>
          </cell>
          <cell r="CZ301">
            <v>35977</v>
          </cell>
          <cell r="DA301">
            <v>36008</v>
          </cell>
          <cell r="DB301">
            <v>36039</v>
          </cell>
          <cell r="DC301">
            <v>36069</v>
          </cell>
          <cell r="DD301">
            <v>36100</v>
          </cell>
          <cell r="DE301">
            <v>36130</v>
          </cell>
          <cell r="DF301">
            <v>35674</v>
          </cell>
          <cell r="DG301">
            <v>35704</v>
          </cell>
          <cell r="DH301">
            <v>35735</v>
          </cell>
          <cell r="DI301">
            <v>35765</v>
          </cell>
          <cell r="DJ301">
            <v>35796</v>
          </cell>
          <cell r="DK301">
            <v>35827</v>
          </cell>
          <cell r="DL301">
            <v>35855</v>
          </cell>
          <cell r="DM301">
            <v>35886</v>
          </cell>
          <cell r="DN301">
            <v>35916</v>
          </cell>
          <cell r="DO301">
            <v>35947</v>
          </cell>
          <cell r="DP301">
            <v>35977</v>
          </cell>
          <cell r="DQ301">
            <v>36008</v>
          </cell>
          <cell r="DR301">
            <v>36039</v>
          </cell>
          <cell r="DS301">
            <v>36069</v>
          </cell>
          <cell r="DT301">
            <v>36100</v>
          </cell>
          <cell r="DU301">
            <v>36130</v>
          </cell>
        </row>
        <row r="302">
          <cell r="E302">
            <v>1</v>
          </cell>
          <cell r="F302" t="str">
            <v>PVC price</v>
          </cell>
          <cell r="H302">
            <v>34</v>
          </cell>
          <cell r="I302">
            <v>34</v>
          </cell>
          <cell r="J302">
            <v>35</v>
          </cell>
          <cell r="K302">
            <v>35.5</v>
          </cell>
          <cell r="L302">
            <v>37</v>
          </cell>
          <cell r="M302">
            <v>36</v>
          </cell>
          <cell r="N302">
            <v>35</v>
          </cell>
          <cell r="O302">
            <v>34</v>
          </cell>
          <cell r="P302">
            <v>33</v>
          </cell>
          <cell r="Q302">
            <v>31</v>
          </cell>
          <cell r="R302">
            <v>28</v>
          </cell>
          <cell r="S302">
            <v>27</v>
          </cell>
          <cell r="T302">
            <v>26</v>
          </cell>
          <cell r="U302">
            <v>27</v>
          </cell>
          <cell r="V302">
            <v>28</v>
          </cell>
          <cell r="W302">
            <v>28</v>
          </cell>
          <cell r="X302">
            <v>27</v>
          </cell>
          <cell r="Y302">
            <v>25.5</v>
          </cell>
          <cell r="Z302">
            <v>23</v>
          </cell>
          <cell r="AA302">
            <v>22</v>
          </cell>
          <cell r="AB302">
            <v>23</v>
          </cell>
          <cell r="AC302">
            <v>23.5</v>
          </cell>
          <cell r="AD302">
            <v>24</v>
          </cell>
          <cell r="AE302">
            <v>24.25</v>
          </cell>
          <cell r="AF302">
            <v>24.25</v>
          </cell>
          <cell r="AG302">
            <v>23.5</v>
          </cell>
          <cell r="AH302">
            <v>22.75</v>
          </cell>
          <cell r="AI302">
            <v>22</v>
          </cell>
          <cell r="AJ302">
            <v>22</v>
          </cell>
          <cell r="AK302">
            <v>23.5</v>
          </cell>
          <cell r="AL302">
            <v>23</v>
          </cell>
          <cell r="AM302">
            <v>23</v>
          </cell>
          <cell r="AN302">
            <v>24.5</v>
          </cell>
          <cell r="AO302">
            <v>24.5</v>
          </cell>
          <cell r="AP302">
            <v>25.5</v>
          </cell>
          <cell r="AQ302">
            <v>27</v>
          </cell>
          <cell r="AR302">
            <v>27.5</v>
          </cell>
          <cell r="AS302">
            <v>28.5</v>
          </cell>
          <cell r="AT302">
            <v>29</v>
          </cell>
          <cell r="AU302">
            <v>29</v>
          </cell>
          <cell r="AV302">
            <v>29</v>
          </cell>
          <cell r="AW302">
            <v>28.5</v>
          </cell>
          <cell r="AX302">
            <v>28</v>
          </cell>
          <cell r="AY302">
            <v>29.25</v>
          </cell>
          <cell r="AZ302">
            <v>30</v>
          </cell>
          <cell r="BA302">
            <v>31.5</v>
          </cell>
          <cell r="BB302">
            <v>32</v>
          </cell>
          <cell r="BC302">
            <v>34</v>
          </cell>
          <cell r="BD302">
            <v>34</v>
          </cell>
          <cell r="BE302">
            <v>35</v>
          </cell>
          <cell r="BF302">
            <v>36</v>
          </cell>
          <cell r="BG302">
            <v>37</v>
          </cell>
          <cell r="BH302">
            <v>38</v>
          </cell>
          <cell r="BI302">
            <v>38</v>
          </cell>
          <cell r="BJ302">
            <v>40</v>
          </cell>
          <cell r="BK302">
            <v>40</v>
          </cell>
          <cell r="BL302">
            <v>40</v>
          </cell>
          <cell r="BM302">
            <v>41</v>
          </cell>
          <cell r="BN302">
            <v>42</v>
          </cell>
          <cell r="BO302">
            <v>41</v>
          </cell>
          <cell r="BP302">
            <v>39</v>
          </cell>
          <cell r="BQ302">
            <v>37</v>
          </cell>
          <cell r="BR302">
            <v>35</v>
          </cell>
          <cell r="BS302">
            <v>33</v>
          </cell>
          <cell r="BT302">
            <v>31</v>
          </cell>
          <cell r="BU302">
            <v>29</v>
          </cell>
          <cell r="BV302">
            <v>28</v>
          </cell>
          <cell r="BW302">
            <v>28</v>
          </cell>
          <cell r="BX302">
            <v>30</v>
          </cell>
          <cell r="BY302">
            <v>32</v>
          </cell>
          <cell r="BZ302">
            <v>33</v>
          </cell>
          <cell r="CA302">
            <v>34</v>
          </cell>
          <cell r="CB302">
            <v>34</v>
          </cell>
          <cell r="CC302">
            <v>34</v>
          </cell>
          <cell r="CD302">
            <v>33.5</v>
          </cell>
          <cell r="CE302">
            <v>32.5</v>
          </cell>
          <cell r="CF302">
            <v>31.5</v>
          </cell>
          <cell r="CG302">
            <v>30</v>
          </cell>
          <cell r="CH302">
            <v>30</v>
          </cell>
          <cell r="CI302">
            <v>33</v>
          </cell>
          <cell r="CJ302">
            <v>35</v>
          </cell>
          <cell r="CK302">
            <v>37</v>
          </cell>
          <cell r="CL302">
            <v>37</v>
          </cell>
          <cell r="CM302">
            <v>36</v>
          </cell>
          <cell r="CN302">
            <v>34</v>
          </cell>
          <cell r="CO302">
            <v>33</v>
          </cell>
          <cell r="CP302">
            <v>32.5</v>
          </cell>
          <cell r="CQ302">
            <v>32</v>
          </cell>
          <cell r="CR302">
            <v>32</v>
          </cell>
          <cell r="CS302">
            <v>31.5</v>
          </cell>
          <cell r="CT302">
            <v>31.5</v>
          </cell>
          <cell r="CU302">
            <v>30.5</v>
          </cell>
          <cell r="CV302">
            <v>28.5</v>
          </cell>
          <cell r="CW302">
            <v>27.5</v>
          </cell>
          <cell r="CX302">
            <v>27.5</v>
          </cell>
          <cell r="CY302">
            <v>26.5</v>
          </cell>
          <cell r="CZ302">
            <v>25.5</v>
          </cell>
          <cell r="DA302">
            <v>24.5</v>
          </cell>
          <cell r="DB302">
            <v>23.5</v>
          </cell>
          <cell r="DC302">
            <v>23.5</v>
          </cell>
          <cell r="DD302">
            <v>24.5</v>
          </cell>
          <cell r="DE302">
            <v>25</v>
          </cell>
          <cell r="DF302">
            <v>32.5</v>
          </cell>
          <cell r="DG302">
            <v>32</v>
          </cell>
          <cell r="DH302">
            <v>32</v>
          </cell>
          <cell r="DI302">
            <v>31.5</v>
          </cell>
          <cell r="DJ302">
            <v>31.5</v>
          </cell>
          <cell r="DK302">
            <v>30.5</v>
          </cell>
          <cell r="DL302">
            <v>28.5</v>
          </cell>
          <cell r="DM302">
            <v>27.5</v>
          </cell>
          <cell r="DN302">
            <v>27.5</v>
          </cell>
          <cell r="DO302">
            <v>26.5</v>
          </cell>
          <cell r="DP302">
            <v>25.5</v>
          </cell>
          <cell r="DQ302">
            <v>24.5</v>
          </cell>
          <cell r="DR302">
            <v>23.5</v>
          </cell>
          <cell r="DS302">
            <v>23.5</v>
          </cell>
          <cell r="DT302">
            <v>24.5</v>
          </cell>
          <cell r="DU302">
            <v>25</v>
          </cell>
        </row>
        <row r="304">
          <cell r="E304">
            <v>2</v>
          </cell>
          <cell r="F304" t="str">
            <v>Chlorine</v>
          </cell>
          <cell r="H304">
            <v>85</v>
          </cell>
          <cell r="I304">
            <v>82.5</v>
          </cell>
          <cell r="J304">
            <v>80</v>
          </cell>
          <cell r="K304">
            <v>80</v>
          </cell>
          <cell r="L304">
            <v>85</v>
          </cell>
          <cell r="M304">
            <v>85</v>
          </cell>
          <cell r="N304">
            <v>70</v>
          </cell>
          <cell r="O304">
            <v>70</v>
          </cell>
          <cell r="P304">
            <v>70</v>
          </cell>
          <cell r="Q304">
            <v>65</v>
          </cell>
          <cell r="R304">
            <v>65</v>
          </cell>
          <cell r="S304">
            <v>65</v>
          </cell>
          <cell r="T304">
            <v>65</v>
          </cell>
          <cell r="U304">
            <v>65</v>
          </cell>
          <cell r="V304">
            <v>65</v>
          </cell>
          <cell r="W304">
            <v>45</v>
          </cell>
          <cell r="X304">
            <v>45</v>
          </cell>
          <cell r="Y304">
            <v>45</v>
          </cell>
          <cell r="Z304">
            <v>45</v>
          </cell>
          <cell r="AA304">
            <v>45</v>
          </cell>
          <cell r="AB304">
            <v>50</v>
          </cell>
          <cell r="AC304">
            <v>55</v>
          </cell>
          <cell r="AD304">
            <v>55</v>
          </cell>
          <cell r="AE304">
            <v>55</v>
          </cell>
          <cell r="AF304">
            <v>70</v>
          </cell>
          <cell r="AG304">
            <v>70</v>
          </cell>
          <cell r="AH304">
            <v>70</v>
          </cell>
          <cell r="AI304">
            <v>70</v>
          </cell>
          <cell r="AJ304">
            <v>70</v>
          </cell>
          <cell r="AK304">
            <v>70</v>
          </cell>
          <cell r="AL304">
            <v>75</v>
          </cell>
          <cell r="AM304">
            <v>75</v>
          </cell>
          <cell r="AN304">
            <v>80</v>
          </cell>
          <cell r="AO304">
            <v>110</v>
          </cell>
          <cell r="AP304">
            <v>110</v>
          </cell>
          <cell r="AQ304">
            <v>95</v>
          </cell>
          <cell r="AR304">
            <v>150</v>
          </cell>
          <cell r="AS304">
            <v>145</v>
          </cell>
          <cell r="AT304">
            <v>145</v>
          </cell>
          <cell r="AU304">
            <v>180</v>
          </cell>
          <cell r="AV304">
            <v>185</v>
          </cell>
          <cell r="AW304">
            <v>185</v>
          </cell>
          <cell r="AX304">
            <v>185</v>
          </cell>
          <cell r="AY304">
            <v>185</v>
          </cell>
          <cell r="AZ304">
            <v>185</v>
          </cell>
          <cell r="BA304">
            <v>182.5</v>
          </cell>
          <cell r="BB304">
            <v>177.5</v>
          </cell>
          <cell r="BC304">
            <v>177.5</v>
          </cell>
          <cell r="BD304">
            <v>175</v>
          </cell>
          <cell r="BE304">
            <v>175</v>
          </cell>
          <cell r="BF304">
            <v>175</v>
          </cell>
          <cell r="BG304">
            <v>165</v>
          </cell>
          <cell r="BH304">
            <v>160</v>
          </cell>
          <cell r="BI304">
            <v>175</v>
          </cell>
          <cell r="BJ304">
            <v>170</v>
          </cell>
          <cell r="BK304">
            <v>165</v>
          </cell>
          <cell r="BL304">
            <v>165</v>
          </cell>
          <cell r="BM304">
            <v>165</v>
          </cell>
          <cell r="BN304">
            <v>165</v>
          </cell>
          <cell r="BO304">
            <v>170</v>
          </cell>
          <cell r="BP304">
            <v>175</v>
          </cell>
          <cell r="BQ304">
            <v>175</v>
          </cell>
          <cell r="BR304">
            <v>175</v>
          </cell>
          <cell r="BS304">
            <v>175</v>
          </cell>
          <cell r="BT304">
            <v>170</v>
          </cell>
          <cell r="BU304">
            <v>167.5</v>
          </cell>
          <cell r="BV304">
            <v>162.5</v>
          </cell>
          <cell r="BW304">
            <v>147.5</v>
          </cell>
          <cell r="BX304">
            <v>147.5</v>
          </cell>
          <cell r="BY304">
            <v>157.5</v>
          </cell>
          <cell r="BZ304">
            <v>157.5</v>
          </cell>
          <cell r="CA304">
            <v>157.5</v>
          </cell>
          <cell r="CB304">
            <v>157.5</v>
          </cell>
          <cell r="CC304">
            <v>170</v>
          </cell>
          <cell r="CD304">
            <v>170</v>
          </cell>
          <cell r="CE304">
            <v>167.5</v>
          </cell>
          <cell r="CF304">
            <v>167.5</v>
          </cell>
          <cell r="CG304">
            <v>167.5</v>
          </cell>
          <cell r="CH304">
            <v>180</v>
          </cell>
          <cell r="CI304">
            <v>187.5</v>
          </cell>
          <cell r="CJ304">
            <v>187.5</v>
          </cell>
          <cell r="CK304">
            <v>190</v>
          </cell>
          <cell r="CL304">
            <v>222.5</v>
          </cell>
          <cell r="CM304">
            <v>222.5</v>
          </cell>
          <cell r="CN304">
            <v>225</v>
          </cell>
          <cell r="CO304">
            <v>225</v>
          </cell>
          <cell r="CP304">
            <v>225</v>
          </cell>
          <cell r="CQ304">
            <v>225</v>
          </cell>
          <cell r="CR304">
            <v>225</v>
          </cell>
          <cell r="CS304">
            <v>215</v>
          </cell>
          <cell r="CT304">
            <v>215</v>
          </cell>
          <cell r="CU304">
            <v>205</v>
          </cell>
          <cell r="CV304">
            <v>205</v>
          </cell>
          <cell r="CW304">
            <v>150</v>
          </cell>
          <cell r="CX304">
            <v>155</v>
          </cell>
          <cell r="CY304">
            <v>155</v>
          </cell>
          <cell r="CZ304">
            <v>95</v>
          </cell>
          <cell r="DA304">
            <v>95</v>
          </cell>
          <cell r="DB304">
            <v>95</v>
          </cell>
          <cell r="DC304" t="e">
            <v>#REF!</v>
          </cell>
          <cell r="DD304" t="e">
            <v>#REF!</v>
          </cell>
          <cell r="DE304" t="e">
            <v>#REF!</v>
          </cell>
          <cell r="DF304">
            <v>225</v>
          </cell>
          <cell r="DG304">
            <v>225</v>
          </cell>
          <cell r="DH304">
            <v>225</v>
          </cell>
          <cell r="DI304">
            <v>215</v>
          </cell>
          <cell r="DJ304">
            <v>215</v>
          </cell>
          <cell r="DK304">
            <v>205</v>
          </cell>
          <cell r="DL304">
            <v>205</v>
          </cell>
          <cell r="DM304">
            <v>150</v>
          </cell>
          <cell r="DN304">
            <v>155</v>
          </cell>
          <cell r="DO304">
            <v>155</v>
          </cell>
          <cell r="DP304">
            <v>95</v>
          </cell>
          <cell r="DQ304">
            <v>95</v>
          </cell>
          <cell r="DR304">
            <v>95</v>
          </cell>
          <cell r="DS304" t="e">
            <v>#REF!</v>
          </cell>
          <cell r="DT304" t="e">
            <v>#REF!</v>
          </cell>
          <cell r="DU304" t="e">
            <v>#REF!</v>
          </cell>
        </row>
        <row r="305">
          <cell r="E305">
            <v>3</v>
          </cell>
          <cell r="F305" t="str">
            <v>Ethylene</v>
          </cell>
          <cell r="H305">
            <v>23</v>
          </cell>
          <cell r="I305">
            <v>23</v>
          </cell>
          <cell r="J305">
            <v>26</v>
          </cell>
          <cell r="K305">
            <v>28</v>
          </cell>
          <cell r="L305">
            <v>30</v>
          </cell>
          <cell r="M305">
            <v>30</v>
          </cell>
          <cell r="N305">
            <v>28</v>
          </cell>
          <cell r="O305">
            <v>26</v>
          </cell>
          <cell r="P305">
            <v>24</v>
          </cell>
          <cell r="Q305">
            <v>22.5</v>
          </cell>
          <cell r="R305">
            <v>21.2</v>
          </cell>
          <cell r="S305">
            <v>20</v>
          </cell>
          <cell r="T305">
            <v>18</v>
          </cell>
          <cell r="U305">
            <v>18</v>
          </cell>
          <cell r="V305">
            <v>18</v>
          </cell>
          <cell r="W305">
            <v>20</v>
          </cell>
          <cell r="X305">
            <v>21</v>
          </cell>
          <cell r="Y305">
            <v>21</v>
          </cell>
          <cell r="Z305">
            <v>17.489397248307501</v>
          </cell>
          <cell r="AA305">
            <v>16.733020310111399</v>
          </cell>
          <cell r="AB305">
            <v>16.258309674601399</v>
          </cell>
          <cell r="AC305">
            <v>16.109532649049999</v>
          </cell>
          <cell r="AD305">
            <v>16.063791220790598</v>
          </cell>
          <cell r="AE305">
            <v>17.0454793623062</v>
          </cell>
          <cell r="AF305">
            <v>17.9047608648176</v>
          </cell>
          <cell r="AG305">
            <v>18.4047608648176</v>
          </cell>
          <cell r="AH305">
            <v>19.1458943000655</v>
          </cell>
          <cell r="AI305">
            <v>19.623542258135</v>
          </cell>
          <cell r="AJ305">
            <v>19.589157021183699</v>
          </cell>
          <cell r="AK305">
            <v>19.1007097619568</v>
          </cell>
          <cell r="AL305">
            <v>18.579999999999998</v>
          </cell>
          <cell r="AM305">
            <v>18.25</v>
          </cell>
          <cell r="AN305">
            <v>17.98</v>
          </cell>
          <cell r="AO305">
            <v>17.989999999999998</v>
          </cell>
          <cell r="AP305">
            <v>17.93</v>
          </cell>
          <cell r="AQ305">
            <v>17.89</v>
          </cell>
          <cell r="AR305">
            <v>17.78</v>
          </cell>
          <cell r="AS305">
            <v>17.68</v>
          </cell>
          <cell r="AT305">
            <v>17.489999999999998</v>
          </cell>
          <cell r="AU305">
            <v>17.41</v>
          </cell>
          <cell r="AV305">
            <v>17.05</v>
          </cell>
          <cell r="AW305">
            <v>16.8</v>
          </cell>
          <cell r="AX305">
            <v>16.43</v>
          </cell>
          <cell r="AY305">
            <v>16.21</v>
          </cell>
          <cell r="AZ305">
            <v>16.61</v>
          </cell>
          <cell r="BA305">
            <v>17.104500000000002</v>
          </cell>
          <cell r="BB305">
            <v>18.09225</v>
          </cell>
          <cell r="BC305">
            <v>19.057500000000001</v>
          </cell>
          <cell r="BD305">
            <v>20.048999999999999</v>
          </cell>
          <cell r="BE305">
            <v>21.027000000000001</v>
          </cell>
          <cell r="BF305">
            <v>22.936</v>
          </cell>
          <cell r="BG305">
            <v>24.913499999999999</v>
          </cell>
          <cell r="BH305">
            <v>25.890499999999999</v>
          </cell>
          <cell r="BI305">
            <v>26.46</v>
          </cell>
          <cell r="BJ305">
            <v>27.37</v>
          </cell>
          <cell r="BK305">
            <v>28.332999999999998</v>
          </cell>
          <cell r="BL305">
            <v>28.274999999999999</v>
          </cell>
          <cell r="BM305">
            <v>28.245999999999999</v>
          </cell>
          <cell r="BN305">
            <v>28.216999999999999</v>
          </cell>
          <cell r="BO305">
            <v>27.616499999999998</v>
          </cell>
          <cell r="BP305">
            <v>26.62</v>
          </cell>
          <cell r="BQ305">
            <v>25.050999999999998</v>
          </cell>
          <cell r="BR305">
            <v>23.1525</v>
          </cell>
          <cell r="BS305">
            <v>20.872499999999999</v>
          </cell>
          <cell r="BT305">
            <v>19.496400000000001</v>
          </cell>
          <cell r="BU305">
            <v>18.248999999999999</v>
          </cell>
          <cell r="BV305">
            <v>18</v>
          </cell>
          <cell r="BW305">
            <v>18</v>
          </cell>
          <cell r="BX305">
            <v>18.973500000000001</v>
          </cell>
          <cell r="BY305">
            <v>20.25</v>
          </cell>
          <cell r="BZ305">
            <v>21.220500000000001</v>
          </cell>
          <cell r="CA305">
            <v>22.172499999999999</v>
          </cell>
          <cell r="CB305">
            <v>22.6</v>
          </cell>
          <cell r="CC305">
            <v>23.103000000000002</v>
          </cell>
          <cell r="CD305">
            <v>23.465</v>
          </cell>
          <cell r="CE305">
            <v>23.706375000000001</v>
          </cell>
          <cell r="CF305">
            <v>23.823499999999999</v>
          </cell>
          <cell r="CG305">
            <v>24.75</v>
          </cell>
          <cell r="CH305">
            <v>25.712699999999998</v>
          </cell>
          <cell r="CI305">
            <v>25.712699999999998</v>
          </cell>
          <cell r="CJ305">
            <v>25.712699999999998</v>
          </cell>
          <cell r="CK305">
            <v>25.65</v>
          </cell>
          <cell r="CL305">
            <v>25.2</v>
          </cell>
          <cell r="CM305">
            <v>24.653749999999999</v>
          </cell>
          <cell r="CN305">
            <v>24.653749999999999</v>
          </cell>
          <cell r="CO305">
            <v>24.598749999999999</v>
          </cell>
          <cell r="CP305">
            <v>24.447500000000002</v>
          </cell>
          <cell r="CQ305">
            <v>23.948999999999998</v>
          </cell>
          <cell r="CR305">
            <v>23.452500000000001</v>
          </cell>
          <cell r="CS305">
            <v>22.672875000000001</v>
          </cell>
          <cell r="CT305">
            <v>21.9</v>
          </cell>
          <cell r="CU305">
            <v>20.8</v>
          </cell>
          <cell r="CV305">
            <v>19.7</v>
          </cell>
          <cell r="CW305">
            <v>18.7</v>
          </cell>
          <cell r="CX305">
            <v>17.95</v>
          </cell>
          <cell r="CY305">
            <v>17.45</v>
          </cell>
          <cell r="CZ305">
            <v>16.95</v>
          </cell>
          <cell r="DA305">
            <v>16.45</v>
          </cell>
          <cell r="DB305">
            <v>15.95</v>
          </cell>
          <cell r="DC305">
            <v>15.95</v>
          </cell>
          <cell r="DD305">
            <v>15.95</v>
          </cell>
          <cell r="DE305">
            <v>15.95</v>
          </cell>
          <cell r="DF305">
            <v>24.447500000000002</v>
          </cell>
          <cell r="DG305">
            <v>23.948999999999998</v>
          </cell>
          <cell r="DH305">
            <v>23.452500000000001</v>
          </cell>
          <cell r="DI305">
            <v>22.672875000000001</v>
          </cell>
          <cell r="DJ305">
            <v>21.9</v>
          </cell>
          <cell r="DK305">
            <v>20.8</v>
          </cell>
          <cell r="DL305">
            <v>19.7</v>
          </cell>
          <cell r="DM305">
            <v>18.7</v>
          </cell>
          <cell r="DN305">
            <v>17.95</v>
          </cell>
          <cell r="DO305">
            <v>17.45</v>
          </cell>
          <cell r="DP305">
            <v>16.95</v>
          </cell>
          <cell r="DQ305">
            <v>16.45</v>
          </cell>
          <cell r="DR305">
            <v>15.95</v>
          </cell>
          <cell r="DS305">
            <v>15.95</v>
          </cell>
          <cell r="DT305">
            <v>15.95</v>
          </cell>
          <cell r="DU305">
            <v>15.95</v>
          </cell>
        </row>
        <row r="307">
          <cell r="E307">
            <v>4</v>
          </cell>
          <cell r="F307" t="str">
            <v>Chlorine cost</v>
          </cell>
          <cell r="H307">
            <v>2.7625000000000002</v>
          </cell>
          <cell r="I307">
            <v>2.6812499999999999</v>
          </cell>
          <cell r="J307">
            <v>2.6</v>
          </cell>
          <cell r="K307">
            <v>2.6</v>
          </cell>
          <cell r="L307">
            <v>2.7625000000000002</v>
          </cell>
          <cell r="M307">
            <v>2.7625000000000002</v>
          </cell>
          <cell r="N307">
            <v>2.2749999999999999</v>
          </cell>
          <cell r="O307">
            <v>2.2749999999999999</v>
          </cell>
          <cell r="P307">
            <v>2.2749999999999999</v>
          </cell>
          <cell r="Q307">
            <v>2.1124999999999998</v>
          </cell>
          <cell r="R307">
            <v>2.1124999999999998</v>
          </cell>
          <cell r="S307">
            <v>2.1124999999999998</v>
          </cell>
          <cell r="T307">
            <v>2.1124999999999998</v>
          </cell>
          <cell r="U307">
            <v>2.1124999999999998</v>
          </cell>
          <cell r="V307">
            <v>2.1124999999999998</v>
          </cell>
          <cell r="W307">
            <v>1.4624999999999999</v>
          </cell>
          <cell r="X307">
            <v>1.4624999999999999</v>
          </cell>
          <cell r="Y307">
            <v>1.4624999999999999</v>
          </cell>
          <cell r="Z307">
            <v>1.4624999999999999</v>
          </cell>
          <cell r="AA307">
            <v>1.4624999999999999</v>
          </cell>
          <cell r="AB307">
            <v>1.625</v>
          </cell>
          <cell r="AC307">
            <v>1.7875000000000001</v>
          </cell>
          <cell r="AD307">
            <v>1.7875000000000001</v>
          </cell>
          <cell r="AE307">
            <v>1.7875000000000001</v>
          </cell>
          <cell r="AF307">
            <v>2.2749999999999999</v>
          </cell>
          <cell r="AG307">
            <v>2.2749999999999999</v>
          </cell>
          <cell r="AH307">
            <v>2.2749999999999999</v>
          </cell>
          <cell r="AI307">
            <v>2.2749999999999999</v>
          </cell>
          <cell r="AJ307">
            <v>2.2749999999999999</v>
          </cell>
          <cell r="AK307">
            <v>2.2749999999999999</v>
          </cell>
          <cell r="AL307">
            <v>2.4375</v>
          </cell>
          <cell r="AM307">
            <v>2.4375</v>
          </cell>
          <cell r="AN307">
            <v>2.6</v>
          </cell>
          <cell r="AO307">
            <v>3.5750000000000002</v>
          </cell>
          <cell r="AP307">
            <v>3.5750000000000002</v>
          </cell>
          <cell r="AQ307">
            <v>3.0874999999999999</v>
          </cell>
          <cell r="AR307">
            <v>4.875</v>
          </cell>
          <cell r="AS307">
            <v>4.7125000000000004</v>
          </cell>
          <cell r="AT307">
            <v>4.7125000000000004</v>
          </cell>
          <cell r="AU307">
            <v>5.85</v>
          </cell>
          <cell r="AV307">
            <v>6.0125000000000002</v>
          </cell>
          <cell r="AW307">
            <v>6.0125000000000002</v>
          </cell>
          <cell r="AX307">
            <v>6.0125000000000002</v>
          </cell>
          <cell r="AY307">
            <v>6.0125000000000002</v>
          </cell>
          <cell r="AZ307">
            <v>6.0125000000000002</v>
          </cell>
          <cell r="BA307">
            <v>5.9312500000000004</v>
          </cell>
          <cell r="BB307">
            <v>5.7687499999999998</v>
          </cell>
          <cell r="BC307">
            <v>5.7687499999999998</v>
          </cell>
          <cell r="BD307">
            <v>5.6875</v>
          </cell>
          <cell r="BE307">
            <v>5.6875</v>
          </cell>
          <cell r="BF307">
            <v>5.6875</v>
          </cell>
          <cell r="BG307">
            <v>5.3624999999999998</v>
          </cell>
          <cell r="BH307">
            <v>5.2</v>
          </cell>
          <cell r="BI307">
            <v>5.6875</v>
          </cell>
          <cell r="BJ307">
            <v>5.5250000000000004</v>
          </cell>
          <cell r="BK307">
            <v>5.3624999999999998</v>
          </cell>
          <cell r="BL307">
            <v>5.3624999999999998</v>
          </cell>
          <cell r="BM307">
            <v>5.3624999999999998</v>
          </cell>
          <cell r="BN307">
            <v>5.3624999999999998</v>
          </cell>
          <cell r="BO307">
            <v>5.5250000000000004</v>
          </cell>
          <cell r="BP307">
            <v>5.6875</v>
          </cell>
          <cell r="BQ307">
            <v>5.6875</v>
          </cell>
          <cell r="BR307">
            <v>5.6875</v>
          </cell>
          <cell r="BS307">
            <v>5.6875</v>
          </cell>
          <cell r="BT307">
            <v>5.5250000000000004</v>
          </cell>
          <cell r="BU307">
            <v>5.4437499999999996</v>
          </cell>
          <cell r="BV307">
            <v>5.28125</v>
          </cell>
          <cell r="BW307">
            <v>4.7937500000000002</v>
          </cell>
          <cell r="BX307">
            <v>4.7937500000000002</v>
          </cell>
          <cell r="BY307">
            <v>5.1187500000000004</v>
          </cell>
          <cell r="BZ307">
            <v>5.1187500000000004</v>
          </cell>
          <cell r="CA307">
            <v>5.1187500000000004</v>
          </cell>
          <cell r="CB307">
            <v>5.1187500000000004</v>
          </cell>
          <cell r="CC307">
            <v>5.5250000000000004</v>
          </cell>
          <cell r="CD307">
            <v>5.5250000000000004</v>
          </cell>
          <cell r="CE307">
            <v>5.4437499999999996</v>
          </cell>
          <cell r="CF307">
            <v>5.4437499999999996</v>
          </cell>
          <cell r="CG307">
            <v>5.4437499999999996</v>
          </cell>
          <cell r="CH307">
            <v>5.85</v>
          </cell>
          <cell r="CI307">
            <v>6.09375</v>
          </cell>
          <cell r="CJ307">
            <v>6.09375</v>
          </cell>
          <cell r="CK307">
            <v>6.1749999999999998</v>
          </cell>
          <cell r="CL307">
            <v>7.2312500000000002</v>
          </cell>
          <cell r="CM307">
            <v>7.2312500000000002</v>
          </cell>
          <cell r="CN307">
            <v>7.3125</v>
          </cell>
          <cell r="CO307">
            <v>7.3125</v>
          </cell>
          <cell r="CP307">
            <v>7.3125</v>
          </cell>
          <cell r="CQ307">
            <v>7.3125</v>
          </cell>
          <cell r="CR307">
            <v>7.3125</v>
          </cell>
          <cell r="CS307">
            <v>6.9874999999999998</v>
          </cell>
          <cell r="CT307">
            <v>6.9874999999999998</v>
          </cell>
          <cell r="CU307">
            <v>6.6624999999999996</v>
          </cell>
          <cell r="CV307">
            <v>6.6624999999999996</v>
          </cell>
          <cell r="CW307">
            <v>4.875</v>
          </cell>
          <cell r="CX307">
            <v>5.0374999999999996</v>
          </cell>
          <cell r="CY307">
            <v>5.0374999999999996</v>
          </cell>
          <cell r="CZ307">
            <v>3.0874999999999999</v>
          </cell>
          <cell r="DA307">
            <v>3.0874999999999999</v>
          </cell>
          <cell r="DB307">
            <v>3.0874999999999999</v>
          </cell>
          <cell r="DC307" t="e">
            <v>#REF!</v>
          </cell>
          <cell r="DD307" t="e">
            <v>#REF!</v>
          </cell>
          <cell r="DE307" t="e">
            <v>#REF!</v>
          </cell>
          <cell r="DF307">
            <v>7.3125</v>
          </cell>
          <cell r="DG307">
            <v>7.3125</v>
          </cell>
          <cell r="DH307">
            <v>7.3125</v>
          </cell>
          <cell r="DI307">
            <v>6.9874999999999998</v>
          </cell>
          <cell r="DJ307">
            <v>6.9874999999999998</v>
          </cell>
          <cell r="DK307">
            <v>6.6624999999999996</v>
          </cell>
          <cell r="DL307">
            <v>6.6624999999999996</v>
          </cell>
          <cell r="DM307">
            <v>4.875</v>
          </cell>
          <cell r="DN307">
            <v>5.0374999999999996</v>
          </cell>
          <cell r="DO307">
            <v>5.0374999999999996</v>
          </cell>
          <cell r="DP307">
            <v>3.0874999999999999</v>
          </cell>
          <cell r="DQ307">
            <v>3.0874999999999999</v>
          </cell>
          <cell r="DR307">
            <v>3.0874999999999999</v>
          </cell>
          <cell r="DS307" t="e">
            <v>#REF!</v>
          </cell>
          <cell r="DT307" t="e">
            <v>#REF!</v>
          </cell>
          <cell r="DU307" t="e">
            <v>#REF!</v>
          </cell>
        </row>
        <row r="308">
          <cell r="E308">
            <v>5</v>
          </cell>
          <cell r="F308" t="str">
            <v>Ethylene cost</v>
          </cell>
          <cell r="H308">
            <v>11.5</v>
          </cell>
          <cell r="I308">
            <v>11.5</v>
          </cell>
          <cell r="J308">
            <v>13</v>
          </cell>
          <cell r="K308">
            <v>14</v>
          </cell>
          <cell r="L308">
            <v>15</v>
          </cell>
          <cell r="M308">
            <v>15</v>
          </cell>
          <cell r="N308">
            <v>14</v>
          </cell>
          <cell r="O308">
            <v>13</v>
          </cell>
          <cell r="P308">
            <v>12</v>
          </cell>
          <cell r="Q308">
            <v>11.25</v>
          </cell>
          <cell r="R308">
            <v>10.6</v>
          </cell>
          <cell r="S308">
            <v>10</v>
          </cell>
          <cell r="T308">
            <v>9</v>
          </cell>
          <cell r="U308">
            <v>9</v>
          </cell>
          <cell r="V308">
            <v>9</v>
          </cell>
          <cell r="W308">
            <v>10</v>
          </cell>
          <cell r="X308">
            <v>10.5</v>
          </cell>
          <cell r="Y308">
            <v>10.5</v>
          </cell>
          <cell r="Z308">
            <v>8.7446986241537505</v>
          </cell>
          <cell r="AA308">
            <v>8.3665101550556997</v>
          </cell>
          <cell r="AB308">
            <v>8.1291548373006997</v>
          </cell>
          <cell r="AC308">
            <v>8.0547663245249996</v>
          </cell>
          <cell r="AD308">
            <v>8.0318956103952992</v>
          </cell>
          <cell r="AE308">
            <v>8.5227396811530998</v>
          </cell>
          <cell r="AF308">
            <v>8.9523804324088001</v>
          </cell>
          <cell r="AG308">
            <v>9.2023804324088001</v>
          </cell>
          <cell r="AH308">
            <v>9.5729471500327499</v>
          </cell>
          <cell r="AI308">
            <v>9.8117711290675</v>
          </cell>
          <cell r="AJ308">
            <v>9.7945785105918493</v>
          </cell>
          <cell r="AK308">
            <v>9.5503548809784</v>
          </cell>
          <cell r="AL308">
            <v>9.2899999999999991</v>
          </cell>
          <cell r="AM308">
            <v>9.125</v>
          </cell>
          <cell r="AN308">
            <v>8.99</v>
          </cell>
          <cell r="AO308">
            <v>8.9949999999999992</v>
          </cell>
          <cell r="AP308">
            <v>8.9649999999999999</v>
          </cell>
          <cell r="AQ308">
            <v>8.9450000000000003</v>
          </cell>
          <cell r="AR308">
            <v>8.89</v>
          </cell>
          <cell r="AS308">
            <v>8.84</v>
          </cell>
          <cell r="AT308">
            <v>8.7449999999999992</v>
          </cell>
          <cell r="AU308">
            <v>8.7050000000000001</v>
          </cell>
          <cell r="AV308">
            <v>8.5250000000000004</v>
          </cell>
          <cell r="AW308">
            <v>8.4</v>
          </cell>
          <cell r="AX308">
            <v>8.2149999999999999</v>
          </cell>
          <cell r="AY308">
            <v>8.1050000000000004</v>
          </cell>
          <cell r="AZ308">
            <v>8.3049999999999997</v>
          </cell>
          <cell r="BA308">
            <v>8.5522500000000008</v>
          </cell>
          <cell r="BB308">
            <v>9.046125</v>
          </cell>
          <cell r="BC308">
            <v>9.5287500000000005</v>
          </cell>
          <cell r="BD308">
            <v>10.0245</v>
          </cell>
          <cell r="BE308">
            <v>10.513500000000001</v>
          </cell>
          <cell r="BF308">
            <v>11.468</v>
          </cell>
          <cell r="BG308">
            <v>12.45675</v>
          </cell>
          <cell r="BH308">
            <v>12.94525</v>
          </cell>
          <cell r="BI308">
            <v>13.23</v>
          </cell>
          <cell r="BJ308">
            <v>13.685</v>
          </cell>
          <cell r="BK308">
            <v>14.166499999999999</v>
          </cell>
          <cell r="BL308">
            <v>14.137499999999999</v>
          </cell>
          <cell r="BM308">
            <v>14.122999999999999</v>
          </cell>
          <cell r="BN308">
            <v>14.108499999999999</v>
          </cell>
          <cell r="BO308">
            <v>13.808249999999999</v>
          </cell>
          <cell r="BP308">
            <v>13.31</v>
          </cell>
          <cell r="BQ308">
            <v>12.525499999999999</v>
          </cell>
          <cell r="BR308">
            <v>11.57625</v>
          </cell>
          <cell r="BS308">
            <v>10.436249999999999</v>
          </cell>
          <cell r="BT308">
            <v>9.7482000000000006</v>
          </cell>
          <cell r="BU308">
            <v>9.1244999999999994</v>
          </cell>
          <cell r="BV308">
            <v>9</v>
          </cell>
          <cell r="BW308">
            <v>9</v>
          </cell>
          <cell r="BX308">
            <v>9.4867500000000007</v>
          </cell>
          <cell r="BY308">
            <v>10.125</v>
          </cell>
          <cell r="BZ308">
            <v>10.610250000000001</v>
          </cell>
          <cell r="CA308">
            <v>11.08625</v>
          </cell>
          <cell r="CB308">
            <v>11.3</v>
          </cell>
          <cell r="CC308">
            <v>11.551500000000001</v>
          </cell>
          <cell r="CD308">
            <v>11.7325</v>
          </cell>
          <cell r="CE308">
            <v>11.853187500000001</v>
          </cell>
          <cell r="CF308">
            <v>11.91175</v>
          </cell>
          <cell r="CG308">
            <v>12.375</v>
          </cell>
          <cell r="CH308">
            <v>12.856349999999999</v>
          </cell>
          <cell r="CI308">
            <v>12.856349999999999</v>
          </cell>
          <cell r="CJ308">
            <v>12.856349999999999</v>
          </cell>
          <cell r="CK308">
            <v>12.824999999999999</v>
          </cell>
          <cell r="CL308">
            <v>12.6</v>
          </cell>
          <cell r="CM308">
            <v>12.326874999999999</v>
          </cell>
          <cell r="CN308">
            <v>12.326874999999999</v>
          </cell>
          <cell r="CO308">
            <v>12.299375</v>
          </cell>
          <cell r="CP308">
            <v>12.223750000000001</v>
          </cell>
          <cell r="CQ308">
            <v>11.974499999999999</v>
          </cell>
          <cell r="CR308">
            <v>11.72625</v>
          </cell>
          <cell r="CS308">
            <v>11.336437500000001</v>
          </cell>
          <cell r="CT308">
            <v>10.95</v>
          </cell>
          <cell r="CU308">
            <v>10.4</v>
          </cell>
          <cell r="CV308">
            <v>9.85</v>
          </cell>
          <cell r="CW308">
            <v>9.35</v>
          </cell>
          <cell r="CX308">
            <v>8.9749999999999996</v>
          </cell>
          <cell r="CY308">
            <v>8.7249999999999996</v>
          </cell>
          <cell r="CZ308">
            <v>8.4749999999999996</v>
          </cell>
          <cell r="DA308">
            <v>8.2249999999999996</v>
          </cell>
          <cell r="DB308">
            <v>7.9749999999999996</v>
          </cell>
          <cell r="DC308">
            <v>7.9749999999999996</v>
          </cell>
          <cell r="DD308">
            <v>7.9749999999999996</v>
          </cell>
          <cell r="DE308">
            <v>7.9749999999999996</v>
          </cell>
          <cell r="DF308">
            <v>12.223750000000001</v>
          </cell>
          <cell r="DG308">
            <v>11.974499999999999</v>
          </cell>
          <cell r="DH308">
            <v>11.72625</v>
          </cell>
          <cell r="DI308">
            <v>11.336437500000001</v>
          </cell>
          <cell r="DJ308">
            <v>10.95</v>
          </cell>
          <cell r="DK308">
            <v>10.4</v>
          </cell>
          <cell r="DL308">
            <v>9.85</v>
          </cell>
          <cell r="DM308">
            <v>9.35</v>
          </cell>
          <cell r="DN308">
            <v>8.9749999999999996</v>
          </cell>
          <cell r="DO308">
            <v>8.7249999999999996</v>
          </cell>
          <cell r="DP308">
            <v>8.4749999999999996</v>
          </cell>
          <cell r="DQ308">
            <v>8.2249999999999996</v>
          </cell>
          <cell r="DR308">
            <v>7.9749999999999996</v>
          </cell>
          <cell r="DS308">
            <v>7.9749999999999996</v>
          </cell>
          <cell r="DT308">
            <v>7.9749999999999996</v>
          </cell>
          <cell r="DU308">
            <v>7.9749999999999996</v>
          </cell>
        </row>
        <row r="310">
          <cell r="E310">
            <v>6</v>
          </cell>
          <cell r="F310" t="str">
            <v xml:space="preserve"> Spread</v>
          </cell>
          <cell r="H310">
            <v>19.737500000000001</v>
          </cell>
          <cell r="I310">
            <v>19.818750000000001</v>
          </cell>
          <cell r="J310">
            <v>19.399999999999999</v>
          </cell>
          <cell r="K310">
            <v>18.899999999999999</v>
          </cell>
          <cell r="L310">
            <v>19.237499999999997</v>
          </cell>
          <cell r="M310">
            <v>18.237499999999997</v>
          </cell>
          <cell r="N310">
            <v>18.725000000000001</v>
          </cell>
          <cell r="O310">
            <v>18.725000000000001</v>
          </cell>
          <cell r="P310">
            <v>18.725000000000001</v>
          </cell>
          <cell r="Q310">
            <v>17.637499999999999</v>
          </cell>
          <cell r="R310">
            <v>15.2875</v>
          </cell>
          <cell r="S310">
            <v>14.887499999999999</v>
          </cell>
          <cell r="T310">
            <v>14.887499999999999</v>
          </cell>
          <cell r="U310">
            <v>15.887499999999999</v>
          </cell>
          <cell r="V310">
            <v>16.887499999999999</v>
          </cell>
          <cell r="W310">
            <v>16.537500000000001</v>
          </cell>
          <cell r="X310">
            <v>15.037500000000001</v>
          </cell>
          <cell r="Y310">
            <v>13.537500000000001</v>
          </cell>
          <cell r="Z310">
            <v>12.792801375846251</v>
          </cell>
          <cell r="AA310">
            <v>12.170989844944302</v>
          </cell>
          <cell r="AB310">
            <v>13.2458451626993</v>
          </cell>
          <cell r="AC310">
            <v>13.657733675474999</v>
          </cell>
          <cell r="AD310">
            <v>14.180604389604699</v>
          </cell>
          <cell r="AE310">
            <v>13.939760318846899</v>
          </cell>
          <cell r="AF310">
            <v>13.022619567591201</v>
          </cell>
          <cell r="AG310">
            <v>12.022619567591201</v>
          </cell>
          <cell r="AH310">
            <v>10.902052849967252</v>
          </cell>
          <cell r="AI310">
            <v>9.9132288709325014</v>
          </cell>
          <cell r="AJ310">
            <v>9.9304214894081522</v>
          </cell>
          <cell r="AK310">
            <v>11.674645119021601</v>
          </cell>
          <cell r="AL310">
            <v>11.272500000000001</v>
          </cell>
          <cell r="AM310">
            <v>11.4375</v>
          </cell>
          <cell r="AN310">
            <v>12.909999999999998</v>
          </cell>
          <cell r="AO310">
            <v>11.930000000000001</v>
          </cell>
          <cell r="AP310">
            <v>12.96</v>
          </cell>
          <cell r="AQ310">
            <v>14.967500000000001</v>
          </cell>
          <cell r="AR310">
            <v>13.734999999999999</v>
          </cell>
          <cell r="AS310">
            <v>14.947500000000002</v>
          </cell>
          <cell r="AT310">
            <v>15.542500000000002</v>
          </cell>
          <cell r="AU310">
            <v>14.444999999999999</v>
          </cell>
          <cell r="AV310">
            <v>14.4625</v>
          </cell>
          <cell r="AW310">
            <v>14.0875</v>
          </cell>
          <cell r="AX310">
            <v>13.772500000000001</v>
          </cell>
          <cell r="AY310">
            <v>15.1325</v>
          </cell>
          <cell r="AZ310">
            <v>15.682500000000001</v>
          </cell>
          <cell r="BA310">
            <v>17.016500000000001</v>
          </cell>
          <cell r="BB310">
            <v>17.185124999999999</v>
          </cell>
          <cell r="BC310">
            <v>18.702500000000001</v>
          </cell>
          <cell r="BD310">
            <v>18.288</v>
          </cell>
          <cell r="BE310">
            <v>18.798999999999999</v>
          </cell>
          <cell r="BF310">
            <v>18.8445</v>
          </cell>
          <cell r="BG310">
            <v>19.18075</v>
          </cell>
          <cell r="BH310">
            <v>19.854749999999996</v>
          </cell>
          <cell r="BI310">
            <v>19.0825</v>
          </cell>
          <cell r="BJ310">
            <v>20.79</v>
          </cell>
          <cell r="BK310">
            <v>20.471000000000004</v>
          </cell>
          <cell r="BL310">
            <v>20.500000000000004</v>
          </cell>
          <cell r="BM310">
            <v>21.514500000000005</v>
          </cell>
          <cell r="BN310">
            <v>22.529000000000003</v>
          </cell>
          <cell r="BO310">
            <v>21.66675</v>
          </cell>
          <cell r="BP310">
            <v>20.002499999999998</v>
          </cell>
          <cell r="BQ310">
            <v>18.786999999999999</v>
          </cell>
          <cell r="BR310">
            <v>17.736249999999998</v>
          </cell>
          <cell r="BS310">
            <v>16.876249999999999</v>
          </cell>
          <cell r="BT310">
            <v>15.726800000000001</v>
          </cell>
          <cell r="BU310">
            <v>14.431749999999999</v>
          </cell>
          <cell r="BV310">
            <v>13.71875</v>
          </cell>
          <cell r="BW310">
            <v>14.206250000000001</v>
          </cell>
          <cell r="BX310">
            <v>15.7195</v>
          </cell>
          <cell r="BY310">
            <v>16.756250000000001</v>
          </cell>
          <cell r="BZ310">
            <v>17.271000000000001</v>
          </cell>
          <cell r="CA310">
            <v>17.795000000000002</v>
          </cell>
          <cell r="CB310">
            <v>17.581250000000001</v>
          </cell>
          <cell r="CC310">
            <v>16.923500000000001</v>
          </cell>
          <cell r="CD310">
            <v>16.2425</v>
          </cell>
          <cell r="CE310">
            <v>15.203062499999998</v>
          </cell>
          <cell r="CF310">
            <v>14.144499999999999</v>
          </cell>
          <cell r="CG310">
            <v>12.181249999999999</v>
          </cell>
          <cell r="CH310">
            <v>11.29365</v>
          </cell>
          <cell r="CI310">
            <v>14.049900000000001</v>
          </cell>
          <cell r="CJ310">
            <v>16.049900000000001</v>
          </cell>
          <cell r="CK310">
            <v>18</v>
          </cell>
          <cell r="CL310">
            <v>17.168750000000003</v>
          </cell>
          <cell r="CM310">
            <v>16.441875000000003</v>
          </cell>
          <cell r="CN310">
            <v>14.360625000000001</v>
          </cell>
          <cell r="CO310">
            <v>13.388125</v>
          </cell>
          <cell r="CP310">
            <v>12.963749999999999</v>
          </cell>
          <cell r="CQ310">
            <v>12.713000000000001</v>
          </cell>
          <cell r="CR310">
            <v>12.96125</v>
          </cell>
          <cell r="CS310">
            <v>13.176062499999999</v>
          </cell>
          <cell r="CT310">
            <v>13.5625</v>
          </cell>
          <cell r="CU310">
            <v>13.437499999999998</v>
          </cell>
          <cell r="CV310">
            <v>11.987499999999999</v>
          </cell>
          <cell r="CW310">
            <v>13.275</v>
          </cell>
          <cell r="CX310">
            <v>13.487499999999999</v>
          </cell>
          <cell r="CY310">
            <v>12.737499999999999</v>
          </cell>
          <cell r="CZ310">
            <v>13.937500000000002</v>
          </cell>
          <cell r="DA310">
            <v>13.187500000000002</v>
          </cell>
          <cell r="DB310">
            <v>12.437500000000002</v>
          </cell>
          <cell r="DC310" t="e">
            <v>#REF!</v>
          </cell>
          <cell r="DD310" t="e">
            <v>#REF!</v>
          </cell>
          <cell r="DE310" t="e">
            <v>#REF!</v>
          </cell>
          <cell r="DF310">
            <v>12.963749999999999</v>
          </cell>
          <cell r="DG310">
            <v>12.713000000000001</v>
          </cell>
          <cell r="DH310">
            <v>12.96125</v>
          </cell>
          <cell r="DI310">
            <v>13.176062499999999</v>
          </cell>
          <cell r="DJ310">
            <v>13.5625</v>
          </cell>
          <cell r="DK310">
            <v>13.437499999999998</v>
          </cell>
          <cell r="DL310">
            <v>11.987499999999999</v>
          </cell>
          <cell r="DM310">
            <v>13.275</v>
          </cell>
          <cell r="DN310">
            <v>13.487499999999999</v>
          </cell>
          <cell r="DO310">
            <v>12.737499999999999</v>
          </cell>
          <cell r="DP310">
            <v>13.937500000000002</v>
          </cell>
          <cell r="DQ310">
            <v>13.187500000000002</v>
          </cell>
          <cell r="DR310">
            <v>12.437500000000002</v>
          </cell>
          <cell r="DS310" t="e">
            <v>#REF!</v>
          </cell>
          <cell r="DT310" t="e">
            <v>#REF!</v>
          </cell>
          <cell r="DU310" t="e">
            <v>#REF!</v>
          </cell>
        </row>
        <row r="312">
          <cell r="F312" t="str">
            <v>(1) Pipe Grade.</v>
          </cell>
        </row>
        <row r="313">
          <cell r="F313" t="str">
            <v>(2) Assuming a conversion factor of .65 lbs of chlorine to produce 1.0 lbs of PVC.</v>
          </cell>
        </row>
        <row r="314">
          <cell r="F314" t="str">
            <v>(3) Assuming a conversion factor of 0.5 lbs. of ethylene to produce 1.0 lbs of PVC.</v>
          </cell>
        </row>
        <row r="316">
          <cell r="F316" t="str">
            <v>VCM/Ethylene, Chlorine  Cost Spread</v>
          </cell>
          <cell r="BP316" t="str">
            <v>NON INTEGRATED ON ETHYLENE</v>
          </cell>
          <cell r="CE316" t="str">
            <v>NON INTEGRATED ON ETHYLENE</v>
          </cell>
          <cell r="CF316" t="str">
            <v>NON INTEGRATED ON ETHYLENE</v>
          </cell>
        </row>
        <row r="318">
          <cell r="H318">
            <v>33055</v>
          </cell>
          <cell r="I318">
            <v>33086</v>
          </cell>
          <cell r="J318">
            <v>33117</v>
          </cell>
          <cell r="K318">
            <v>33147</v>
          </cell>
          <cell r="L318">
            <v>33178</v>
          </cell>
          <cell r="M318">
            <v>33208</v>
          </cell>
          <cell r="N318">
            <v>33239</v>
          </cell>
          <cell r="O318">
            <v>33270</v>
          </cell>
          <cell r="P318">
            <v>33298</v>
          </cell>
          <cell r="Q318">
            <v>33329</v>
          </cell>
          <cell r="R318">
            <v>33359</v>
          </cell>
          <cell r="S318">
            <v>33390</v>
          </cell>
          <cell r="T318">
            <v>33420</v>
          </cell>
          <cell r="U318">
            <v>33451</v>
          </cell>
          <cell r="V318">
            <v>33482</v>
          </cell>
          <cell r="W318">
            <v>33512</v>
          </cell>
          <cell r="X318">
            <v>33543</v>
          </cell>
          <cell r="Y318">
            <v>33573</v>
          </cell>
          <cell r="Z318">
            <v>33604</v>
          </cell>
          <cell r="AA318">
            <v>33635</v>
          </cell>
          <cell r="AB318">
            <v>33664</v>
          </cell>
          <cell r="AC318">
            <v>33695</v>
          </cell>
          <cell r="AD318">
            <v>33725</v>
          </cell>
          <cell r="AE318">
            <v>33756</v>
          </cell>
          <cell r="AF318">
            <v>33786</v>
          </cell>
          <cell r="AG318">
            <v>33817</v>
          </cell>
          <cell r="AH318">
            <v>33848</v>
          </cell>
          <cell r="AI318">
            <v>33878</v>
          </cell>
          <cell r="AJ318">
            <v>33909</v>
          </cell>
          <cell r="AK318">
            <v>33939</v>
          </cell>
          <cell r="AL318">
            <v>33970</v>
          </cell>
          <cell r="AM318">
            <v>34001</v>
          </cell>
          <cell r="AN318">
            <v>34029</v>
          </cell>
          <cell r="AO318">
            <v>34060</v>
          </cell>
          <cell r="AP318">
            <v>34090</v>
          </cell>
          <cell r="AQ318">
            <v>34121</v>
          </cell>
          <cell r="AR318">
            <v>34151</v>
          </cell>
          <cell r="AS318">
            <v>34182</v>
          </cell>
          <cell r="AT318">
            <v>34213</v>
          </cell>
          <cell r="AU318">
            <v>34243</v>
          </cell>
          <cell r="AV318">
            <v>34274</v>
          </cell>
          <cell r="AW318">
            <v>34304</v>
          </cell>
          <cell r="AX318">
            <v>34335</v>
          </cell>
          <cell r="AY318">
            <v>34366</v>
          </cell>
          <cell r="AZ318">
            <v>34394</v>
          </cell>
          <cell r="BA318">
            <v>34425</v>
          </cell>
          <cell r="BB318">
            <v>34455</v>
          </cell>
          <cell r="BC318">
            <v>34486</v>
          </cell>
          <cell r="BD318">
            <v>34516</v>
          </cell>
          <cell r="BE318">
            <v>34547</v>
          </cell>
          <cell r="BF318">
            <v>34578</v>
          </cell>
          <cell r="BG318">
            <v>34608</v>
          </cell>
          <cell r="BH318">
            <v>34639</v>
          </cell>
          <cell r="BI318">
            <v>34669</v>
          </cell>
          <cell r="BJ318">
            <v>34700</v>
          </cell>
          <cell r="BK318">
            <v>34731</v>
          </cell>
          <cell r="BL318">
            <v>34759</v>
          </cell>
          <cell r="BM318">
            <v>34790</v>
          </cell>
          <cell r="BN318">
            <v>34820</v>
          </cell>
          <cell r="BO318">
            <v>34851</v>
          </cell>
          <cell r="BP318">
            <v>34881</v>
          </cell>
          <cell r="BQ318">
            <v>34912</v>
          </cell>
          <cell r="BR318">
            <v>34943</v>
          </cell>
          <cell r="BS318">
            <v>34973</v>
          </cell>
          <cell r="BT318">
            <v>35004</v>
          </cell>
          <cell r="BU318">
            <v>35034</v>
          </cell>
          <cell r="BV318">
            <v>35065</v>
          </cell>
          <cell r="BW318">
            <v>35096</v>
          </cell>
          <cell r="BX318">
            <v>35125</v>
          </cell>
          <cell r="BY318">
            <v>35156</v>
          </cell>
          <cell r="BZ318">
            <v>35186</v>
          </cell>
          <cell r="CA318">
            <v>35217</v>
          </cell>
          <cell r="CB318">
            <v>35247</v>
          </cell>
          <cell r="CC318">
            <v>35278</v>
          </cell>
          <cell r="CD318">
            <v>35309</v>
          </cell>
          <cell r="CE318">
            <v>35339</v>
          </cell>
          <cell r="CF318">
            <v>35370</v>
          </cell>
          <cell r="CG318">
            <v>35400</v>
          </cell>
          <cell r="CH318">
            <v>35431</v>
          </cell>
          <cell r="CI318">
            <v>35462</v>
          </cell>
          <cell r="CJ318">
            <v>35490</v>
          </cell>
          <cell r="CK318">
            <v>35521</v>
          </cell>
          <cell r="CL318">
            <v>35551</v>
          </cell>
          <cell r="CM318">
            <v>35582</v>
          </cell>
          <cell r="CN318">
            <v>35612</v>
          </cell>
          <cell r="CO318">
            <v>35643</v>
          </cell>
          <cell r="CP318">
            <v>35674</v>
          </cell>
          <cell r="CQ318">
            <v>35704</v>
          </cell>
          <cell r="CR318">
            <v>35735</v>
          </cell>
          <cell r="CS318">
            <v>35765</v>
          </cell>
          <cell r="CT318">
            <v>35796</v>
          </cell>
          <cell r="CU318">
            <v>35827</v>
          </cell>
          <cell r="CV318">
            <v>35855</v>
          </cell>
          <cell r="CW318">
            <v>35886</v>
          </cell>
          <cell r="CX318">
            <v>35916</v>
          </cell>
          <cell r="CY318">
            <v>35947</v>
          </cell>
          <cell r="CZ318">
            <v>35977</v>
          </cell>
          <cell r="DA318">
            <v>36008</v>
          </cell>
          <cell r="DB318">
            <v>36039</v>
          </cell>
          <cell r="DC318">
            <v>36069</v>
          </cell>
          <cell r="DD318">
            <v>36100</v>
          </cell>
          <cell r="DE318">
            <v>36130</v>
          </cell>
          <cell r="DF318">
            <v>35674</v>
          </cell>
          <cell r="DG318">
            <v>35704</v>
          </cell>
          <cell r="DH318">
            <v>35735</v>
          </cell>
          <cell r="DI318">
            <v>35765</v>
          </cell>
          <cell r="DJ318">
            <v>35796</v>
          </cell>
          <cell r="DK318">
            <v>35827</v>
          </cell>
          <cell r="DL318">
            <v>35855</v>
          </cell>
          <cell r="DM318">
            <v>35886</v>
          </cell>
          <cell r="DN318">
            <v>35916</v>
          </cell>
          <cell r="DO318">
            <v>35947</v>
          </cell>
          <cell r="DP318">
            <v>35977</v>
          </cell>
          <cell r="DQ318">
            <v>36008</v>
          </cell>
          <cell r="DR318">
            <v>36039</v>
          </cell>
          <cell r="DS318">
            <v>36069</v>
          </cell>
          <cell r="DT318">
            <v>36100</v>
          </cell>
          <cell r="DU318">
            <v>36130</v>
          </cell>
        </row>
        <row r="319">
          <cell r="F319" t="str">
            <v>VCM price</v>
          </cell>
          <cell r="H319">
            <v>19</v>
          </cell>
          <cell r="I319">
            <v>19</v>
          </cell>
          <cell r="J319">
            <v>20</v>
          </cell>
          <cell r="K319">
            <v>21</v>
          </cell>
          <cell r="L319">
            <v>22</v>
          </cell>
          <cell r="M319">
            <v>21</v>
          </cell>
          <cell r="N319">
            <v>19</v>
          </cell>
          <cell r="O319">
            <v>18</v>
          </cell>
          <cell r="P319">
            <v>16</v>
          </cell>
          <cell r="Q319">
            <v>16</v>
          </cell>
          <cell r="R319">
            <v>14</v>
          </cell>
          <cell r="S319">
            <v>14</v>
          </cell>
          <cell r="T319">
            <v>13.2</v>
          </cell>
          <cell r="U319">
            <v>13.5</v>
          </cell>
          <cell r="V319">
            <v>13.5</v>
          </cell>
          <cell r="W319">
            <v>14.2</v>
          </cell>
          <cell r="X319">
            <v>13.7</v>
          </cell>
          <cell r="Y319">
            <v>13.4</v>
          </cell>
          <cell r="Z319">
            <v>13</v>
          </cell>
          <cell r="AA319">
            <v>12.5</v>
          </cell>
          <cell r="AB319">
            <v>12.75</v>
          </cell>
          <cell r="AC319">
            <v>12.95</v>
          </cell>
          <cell r="AD319">
            <v>13.45</v>
          </cell>
          <cell r="AE319">
            <v>13.95</v>
          </cell>
          <cell r="AF319">
            <v>14.45</v>
          </cell>
          <cell r="AG319">
            <v>14.45</v>
          </cell>
          <cell r="AH319">
            <v>14.2</v>
          </cell>
          <cell r="AI319">
            <v>14.2</v>
          </cell>
          <cell r="AJ319">
            <v>14.45</v>
          </cell>
          <cell r="AK319">
            <v>14.45</v>
          </cell>
          <cell r="AL319">
            <v>14.95</v>
          </cell>
          <cell r="AM319">
            <v>14.95</v>
          </cell>
          <cell r="AN319">
            <v>15.45</v>
          </cell>
          <cell r="AO319">
            <v>15.7</v>
          </cell>
          <cell r="AP319">
            <v>16.2</v>
          </cell>
          <cell r="AQ319">
            <v>16.45</v>
          </cell>
          <cell r="AR319">
            <v>16.7</v>
          </cell>
          <cell r="AS319">
            <v>16.95</v>
          </cell>
          <cell r="AT319">
            <v>17.95</v>
          </cell>
          <cell r="AU319">
            <v>18.2</v>
          </cell>
          <cell r="AV319">
            <v>18.2</v>
          </cell>
          <cell r="AW319">
            <v>17.95</v>
          </cell>
          <cell r="AX319">
            <v>17.7</v>
          </cell>
          <cell r="AY319">
            <v>18.2</v>
          </cell>
          <cell r="AZ319">
            <v>18.45</v>
          </cell>
          <cell r="BA319">
            <v>19.45</v>
          </cell>
          <cell r="BB319">
            <v>19.95</v>
          </cell>
          <cell r="BC319">
            <v>20.45</v>
          </cell>
          <cell r="BD319">
            <v>21.2</v>
          </cell>
          <cell r="BE319">
            <v>22.2</v>
          </cell>
          <cell r="BF319">
            <v>22.95</v>
          </cell>
          <cell r="BG319">
            <v>23.95</v>
          </cell>
          <cell r="BH319">
            <v>24.2</v>
          </cell>
          <cell r="BI319">
            <v>24.45</v>
          </cell>
          <cell r="BJ319">
            <v>25.2</v>
          </cell>
          <cell r="BK319">
            <v>25.45</v>
          </cell>
          <cell r="BL319">
            <v>25.95</v>
          </cell>
          <cell r="BM319">
            <v>26.2</v>
          </cell>
          <cell r="BN319">
            <v>26.45</v>
          </cell>
          <cell r="BO319">
            <v>26.2</v>
          </cell>
          <cell r="BP319">
            <v>25.2</v>
          </cell>
          <cell r="BQ319">
            <v>23.45</v>
          </cell>
          <cell r="BR319">
            <v>21.95</v>
          </cell>
          <cell r="BS319">
            <v>20.45</v>
          </cell>
          <cell r="BT319">
            <v>18.95</v>
          </cell>
          <cell r="BU319">
            <v>17.45</v>
          </cell>
          <cell r="BV319">
            <v>17.25</v>
          </cell>
          <cell r="BW319">
            <v>17.25</v>
          </cell>
          <cell r="BX319">
            <v>18.25</v>
          </cell>
          <cell r="BY319">
            <v>19.5</v>
          </cell>
          <cell r="BZ319">
            <v>20.5</v>
          </cell>
          <cell r="CA319">
            <v>21.25</v>
          </cell>
          <cell r="CB319">
            <v>21.5</v>
          </cell>
          <cell r="CC319">
            <v>21.25</v>
          </cell>
          <cell r="CD319">
            <v>21.25</v>
          </cell>
          <cell r="CE319">
            <v>21</v>
          </cell>
          <cell r="CF319">
            <v>20.5</v>
          </cell>
          <cell r="CG319">
            <v>20.25</v>
          </cell>
          <cell r="CH319">
            <v>20.75</v>
          </cell>
          <cell r="CI319">
            <v>22</v>
          </cell>
          <cell r="CJ319">
            <v>22.75</v>
          </cell>
          <cell r="CK319">
            <v>23.75</v>
          </cell>
          <cell r="CL319">
            <v>23.75</v>
          </cell>
          <cell r="CM319">
            <v>23.25</v>
          </cell>
          <cell r="CN319">
            <v>22.5</v>
          </cell>
          <cell r="CO319">
            <v>22</v>
          </cell>
          <cell r="CP319">
            <v>21.75</v>
          </cell>
          <cell r="CQ319">
            <v>21.5</v>
          </cell>
          <cell r="CR319">
            <v>21.25</v>
          </cell>
          <cell r="CS319">
            <v>21</v>
          </cell>
          <cell r="CT319">
            <v>19.5</v>
          </cell>
          <cell r="CU319">
            <v>18.5</v>
          </cell>
          <cell r="CV319">
            <v>17.75</v>
          </cell>
          <cell r="CW319">
            <v>16.75</v>
          </cell>
          <cell r="CX319">
            <v>16</v>
          </cell>
          <cell r="CY319">
            <v>15.5</v>
          </cell>
          <cell r="CZ319">
            <v>14.5</v>
          </cell>
          <cell r="DA319">
            <v>13.5</v>
          </cell>
          <cell r="DB319">
            <v>12.5</v>
          </cell>
          <cell r="DC319">
            <v>12.5</v>
          </cell>
          <cell r="DD319">
            <v>13</v>
          </cell>
          <cell r="DE319">
            <v>13.5</v>
          </cell>
          <cell r="DF319">
            <v>21.75</v>
          </cell>
          <cell r="DG319">
            <v>21.5</v>
          </cell>
          <cell r="DH319">
            <v>21.25</v>
          </cell>
          <cell r="DI319">
            <v>21</v>
          </cell>
          <cell r="DJ319">
            <v>19.5</v>
          </cell>
          <cell r="DK319">
            <v>18.5</v>
          </cell>
          <cell r="DL319">
            <v>17.75</v>
          </cell>
          <cell r="DM319">
            <v>16.75</v>
          </cell>
          <cell r="DN319">
            <v>16</v>
          </cell>
          <cell r="DO319">
            <v>15.5</v>
          </cell>
          <cell r="DP319">
            <v>14.5</v>
          </cell>
          <cell r="DQ319">
            <v>13.5</v>
          </cell>
          <cell r="DR319">
            <v>12.5</v>
          </cell>
          <cell r="DS319">
            <v>12.5</v>
          </cell>
          <cell r="DT319">
            <v>13</v>
          </cell>
          <cell r="DU319">
            <v>13.5</v>
          </cell>
        </row>
        <row r="321">
          <cell r="F321" t="str">
            <v>Chlorine</v>
          </cell>
          <cell r="H321">
            <v>85</v>
          </cell>
          <cell r="I321">
            <v>82.5</v>
          </cell>
          <cell r="J321">
            <v>80</v>
          </cell>
          <cell r="K321">
            <v>80</v>
          </cell>
          <cell r="L321">
            <v>85</v>
          </cell>
          <cell r="M321">
            <v>85</v>
          </cell>
          <cell r="N321">
            <v>70</v>
          </cell>
          <cell r="O321">
            <v>70</v>
          </cell>
          <cell r="P321">
            <v>70</v>
          </cell>
          <cell r="Q321">
            <v>65</v>
          </cell>
          <cell r="R321">
            <v>65</v>
          </cell>
          <cell r="S321">
            <v>65</v>
          </cell>
          <cell r="T321">
            <v>65</v>
          </cell>
          <cell r="U321">
            <v>65</v>
          </cell>
          <cell r="V321">
            <v>65</v>
          </cell>
          <cell r="W321">
            <v>45</v>
          </cell>
          <cell r="X321">
            <v>45</v>
          </cell>
          <cell r="Y321">
            <v>45</v>
          </cell>
          <cell r="Z321">
            <v>45</v>
          </cell>
          <cell r="AA321">
            <v>45</v>
          </cell>
          <cell r="AB321">
            <v>50</v>
          </cell>
          <cell r="AC321">
            <v>55</v>
          </cell>
          <cell r="AD321">
            <v>55</v>
          </cell>
          <cell r="AE321">
            <v>55</v>
          </cell>
          <cell r="AF321">
            <v>70</v>
          </cell>
          <cell r="AG321">
            <v>70</v>
          </cell>
          <cell r="AH321">
            <v>70</v>
          </cell>
          <cell r="AI321">
            <v>70</v>
          </cell>
          <cell r="AJ321">
            <v>70</v>
          </cell>
          <cell r="AK321">
            <v>70</v>
          </cell>
          <cell r="AL321">
            <v>75</v>
          </cell>
          <cell r="AM321">
            <v>75</v>
          </cell>
          <cell r="AN321">
            <v>80</v>
          </cell>
          <cell r="AO321">
            <v>110</v>
          </cell>
          <cell r="AP321">
            <v>110</v>
          </cell>
          <cell r="AQ321">
            <v>95</v>
          </cell>
          <cell r="AR321">
            <v>150</v>
          </cell>
          <cell r="AS321">
            <v>145</v>
          </cell>
          <cell r="AT321">
            <v>145</v>
          </cell>
          <cell r="AU321">
            <v>180</v>
          </cell>
          <cell r="AV321">
            <v>185</v>
          </cell>
          <cell r="AW321">
            <v>185</v>
          </cell>
          <cell r="AX321">
            <v>185</v>
          </cell>
          <cell r="AY321">
            <v>185</v>
          </cell>
          <cell r="AZ321">
            <v>185</v>
          </cell>
          <cell r="BA321">
            <v>182.5</v>
          </cell>
          <cell r="BB321">
            <v>177.5</v>
          </cell>
          <cell r="BC321">
            <v>177.5</v>
          </cell>
          <cell r="BD321">
            <v>175</v>
          </cell>
          <cell r="BE321">
            <v>175</v>
          </cell>
          <cell r="BF321">
            <v>175</v>
          </cell>
          <cell r="BG321">
            <v>165</v>
          </cell>
          <cell r="BH321">
            <v>160</v>
          </cell>
          <cell r="BI321">
            <v>175</v>
          </cell>
          <cell r="BJ321">
            <v>170</v>
          </cell>
          <cell r="BK321">
            <v>165</v>
          </cell>
          <cell r="BL321">
            <v>165</v>
          </cell>
          <cell r="BM321">
            <v>165</v>
          </cell>
          <cell r="BN321">
            <v>165</v>
          </cell>
          <cell r="BO321">
            <v>170</v>
          </cell>
          <cell r="BP321">
            <v>175</v>
          </cell>
          <cell r="BQ321">
            <v>175</v>
          </cell>
          <cell r="BR321">
            <v>175</v>
          </cell>
          <cell r="BS321">
            <v>175</v>
          </cell>
          <cell r="BT321">
            <v>170</v>
          </cell>
          <cell r="BU321">
            <v>167.5</v>
          </cell>
          <cell r="BV321">
            <v>162.5</v>
          </cell>
          <cell r="BW321">
            <v>147.5</v>
          </cell>
          <cell r="BX321">
            <v>147.5</v>
          </cell>
          <cell r="BY321">
            <v>157.5</v>
          </cell>
          <cell r="BZ321">
            <v>157.5</v>
          </cell>
          <cell r="CA321">
            <v>157.5</v>
          </cell>
          <cell r="CB321">
            <v>157.5</v>
          </cell>
          <cell r="CC321">
            <v>170</v>
          </cell>
          <cell r="CD321">
            <v>170</v>
          </cell>
          <cell r="CE321">
            <v>167.5</v>
          </cell>
          <cell r="CF321">
            <v>167.5</v>
          </cell>
          <cell r="CG321">
            <v>167.5</v>
          </cell>
          <cell r="CH321">
            <v>180</v>
          </cell>
          <cell r="CI321">
            <v>187.5</v>
          </cell>
          <cell r="CJ321">
            <v>187.5</v>
          </cell>
          <cell r="CK321">
            <v>190</v>
          </cell>
          <cell r="CL321">
            <v>222.5</v>
          </cell>
          <cell r="CM321">
            <v>222.5</v>
          </cell>
          <cell r="CN321">
            <v>225</v>
          </cell>
          <cell r="CO321">
            <v>225</v>
          </cell>
          <cell r="CP321">
            <v>225</v>
          </cell>
          <cell r="CQ321">
            <v>225</v>
          </cell>
          <cell r="CR321">
            <v>225</v>
          </cell>
          <cell r="CS321">
            <v>215</v>
          </cell>
          <cell r="CT321">
            <v>215</v>
          </cell>
          <cell r="CU321">
            <v>205</v>
          </cell>
          <cell r="CV321">
            <v>205</v>
          </cell>
          <cell r="CW321">
            <v>150</v>
          </cell>
          <cell r="CX321">
            <v>155</v>
          </cell>
          <cell r="CY321">
            <v>155</v>
          </cell>
          <cell r="CZ321">
            <v>95</v>
          </cell>
          <cell r="DA321">
            <v>95</v>
          </cell>
          <cell r="DB321">
            <v>95</v>
          </cell>
          <cell r="DC321" t="e">
            <v>#REF!</v>
          </cell>
          <cell r="DD321" t="e">
            <v>#REF!</v>
          </cell>
          <cell r="DE321" t="e">
            <v>#REF!</v>
          </cell>
          <cell r="DF321">
            <v>225</v>
          </cell>
          <cell r="DG321">
            <v>225</v>
          </cell>
          <cell r="DH321">
            <v>225</v>
          </cell>
          <cell r="DI321">
            <v>215</v>
          </cell>
          <cell r="DJ321">
            <v>215</v>
          </cell>
          <cell r="DK321">
            <v>205</v>
          </cell>
          <cell r="DL321">
            <v>205</v>
          </cell>
          <cell r="DM321">
            <v>150</v>
          </cell>
          <cell r="DN321">
            <v>155</v>
          </cell>
          <cell r="DO321">
            <v>155</v>
          </cell>
          <cell r="DP321">
            <v>95</v>
          </cell>
          <cell r="DQ321">
            <v>95</v>
          </cell>
          <cell r="DR321">
            <v>95</v>
          </cell>
          <cell r="DS321" t="e">
            <v>#REF!</v>
          </cell>
          <cell r="DT321" t="e">
            <v>#REF!</v>
          </cell>
          <cell r="DU321" t="e">
            <v>#REF!</v>
          </cell>
        </row>
        <row r="322">
          <cell r="F322" t="str">
            <v>Ethylene</v>
          </cell>
          <cell r="H322">
            <v>23</v>
          </cell>
          <cell r="I322">
            <v>23</v>
          </cell>
          <cell r="J322">
            <v>26</v>
          </cell>
          <cell r="K322">
            <v>28</v>
          </cell>
          <cell r="L322">
            <v>30</v>
          </cell>
          <cell r="M322">
            <v>30</v>
          </cell>
          <cell r="N322">
            <v>28</v>
          </cell>
          <cell r="O322">
            <v>26</v>
          </cell>
          <cell r="P322">
            <v>24</v>
          </cell>
          <cell r="Q322">
            <v>22.5</v>
          </cell>
          <cell r="R322">
            <v>21.2</v>
          </cell>
          <cell r="S322">
            <v>20</v>
          </cell>
          <cell r="T322">
            <v>18</v>
          </cell>
          <cell r="U322">
            <v>18</v>
          </cell>
          <cell r="V322">
            <v>18</v>
          </cell>
          <cell r="W322">
            <v>20</v>
          </cell>
          <cell r="X322">
            <v>21</v>
          </cell>
          <cell r="Y322">
            <v>21</v>
          </cell>
          <cell r="Z322">
            <v>17.489397248307501</v>
          </cell>
          <cell r="AA322">
            <v>16.733020310111399</v>
          </cell>
          <cell r="AB322">
            <v>16.258309674601399</v>
          </cell>
          <cell r="AC322">
            <v>16.109532649049999</v>
          </cell>
          <cell r="AD322">
            <v>16.063791220790598</v>
          </cell>
          <cell r="AE322">
            <v>17.0454793623062</v>
          </cell>
          <cell r="AF322">
            <v>17.9047608648176</v>
          </cell>
          <cell r="AG322">
            <v>18.4047608648176</v>
          </cell>
          <cell r="AH322">
            <v>19.1458943000655</v>
          </cell>
          <cell r="AI322">
            <v>19.623542258135</v>
          </cell>
          <cell r="AJ322">
            <v>19.589157021183699</v>
          </cell>
          <cell r="AK322">
            <v>19.1007097619568</v>
          </cell>
          <cell r="AL322">
            <v>18.579999999999998</v>
          </cell>
          <cell r="AM322">
            <v>18.25</v>
          </cell>
          <cell r="AN322">
            <v>17.98</v>
          </cell>
          <cell r="AO322">
            <v>17.989999999999998</v>
          </cell>
          <cell r="AP322">
            <v>17.93</v>
          </cell>
          <cell r="AQ322">
            <v>17.89</v>
          </cell>
          <cell r="AR322">
            <v>17.78</v>
          </cell>
          <cell r="AS322">
            <v>17.68</v>
          </cell>
          <cell r="AT322">
            <v>17.489999999999998</v>
          </cell>
          <cell r="AU322">
            <v>17.41</v>
          </cell>
          <cell r="AV322">
            <v>17.05</v>
          </cell>
          <cell r="AW322">
            <v>16.8</v>
          </cell>
          <cell r="AX322">
            <v>16.43</v>
          </cell>
          <cell r="AY322">
            <v>16.21</v>
          </cell>
          <cell r="AZ322">
            <v>16.61</v>
          </cell>
          <cell r="BA322">
            <v>17.104500000000002</v>
          </cell>
          <cell r="BB322">
            <v>18.09225</v>
          </cell>
          <cell r="BC322">
            <v>19.057500000000001</v>
          </cell>
          <cell r="BD322">
            <v>20.048999999999999</v>
          </cell>
          <cell r="BE322">
            <v>21.027000000000001</v>
          </cell>
          <cell r="BF322">
            <v>22.936</v>
          </cell>
          <cell r="BG322">
            <v>24.913499999999999</v>
          </cell>
          <cell r="BH322">
            <v>25.890499999999999</v>
          </cell>
          <cell r="BI322">
            <v>26.46</v>
          </cell>
          <cell r="BJ322">
            <v>27.37</v>
          </cell>
          <cell r="BK322">
            <v>28.332999999999998</v>
          </cell>
          <cell r="BL322">
            <v>28.274999999999999</v>
          </cell>
          <cell r="BM322">
            <v>28.245999999999999</v>
          </cell>
          <cell r="BN322">
            <v>28.216999999999999</v>
          </cell>
          <cell r="BO322">
            <v>27.616499999999998</v>
          </cell>
          <cell r="BP322">
            <v>26.62</v>
          </cell>
          <cell r="BQ322">
            <v>25.050999999999998</v>
          </cell>
          <cell r="BR322">
            <v>23.1525</v>
          </cell>
          <cell r="BS322">
            <v>20.872499999999999</v>
          </cell>
          <cell r="BT322">
            <v>19.496400000000001</v>
          </cell>
          <cell r="BU322">
            <v>18.248999999999999</v>
          </cell>
          <cell r="BV322">
            <v>18</v>
          </cell>
          <cell r="BW322">
            <v>18</v>
          </cell>
          <cell r="BX322">
            <v>18.973500000000001</v>
          </cell>
          <cell r="BY322">
            <v>20.25</v>
          </cell>
          <cell r="BZ322">
            <v>21.220500000000001</v>
          </cell>
          <cell r="CA322">
            <v>22.172499999999999</v>
          </cell>
          <cell r="CB322">
            <v>22.6</v>
          </cell>
          <cell r="CC322">
            <v>23.103000000000002</v>
          </cell>
          <cell r="CD322">
            <v>23.465</v>
          </cell>
          <cell r="CE322">
            <v>23.706375000000001</v>
          </cell>
          <cell r="CF322">
            <v>23.823499999999999</v>
          </cell>
          <cell r="CG322">
            <v>24.75</v>
          </cell>
          <cell r="CH322">
            <v>25.712699999999998</v>
          </cell>
          <cell r="CI322">
            <v>25.712699999999998</v>
          </cell>
          <cell r="CJ322">
            <v>25.712699999999998</v>
          </cell>
          <cell r="CK322">
            <v>25.65</v>
          </cell>
          <cell r="CL322">
            <v>25.2</v>
          </cell>
          <cell r="CM322">
            <v>24.653749999999999</v>
          </cell>
          <cell r="CN322">
            <v>24.653749999999999</v>
          </cell>
          <cell r="CO322">
            <v>24.598749999999999</v>
          </cell>
          <cell r="CP322">
            <v>24.447500000000002</v>
          </cell>
          <cell r="CQ322">
            <v>23.948999999999998</v>
          </cell>
          <cell r="CR322">
            <v>23.452500000000001</v>
          </cell>
          <cell r="CS322">
            <v>22.672875000000001</v>
          </cell>
          <cell r="CT322">
            <v>21.9</v>
          </cell>
          <cell r="CU322">
            <v>20.8</v>
          </cell>
          <cell r="CV322">
            <v>19.7</v>
          </cell>
          <cell r="CW322">
            <v>18.7</v>
          </cell>
          <cell r="CX322">
            <v>17.95</v>
          </cell>
          <cell r="CY322">
            <v>17.45</v>
          </cell>
          <cell r="CZ322">
            <v>16.95</v>
          </cell>
          <cell r="DA322">
            <v>16.45</v>
          </cell>
          <cell r="DB322">
            <v>15.95</v>
          </cell>
          <cell r="DC322">
            <v>15.95</v>
          </cell>
          <cell r="DD322">
            <v>15.95</v>
          </cell>
          <cell r="DE322">
            <v>15.95</v>
          </cell>
          <cell r="DF322">
            <v>24.447500000000002</v>
          </cell>
          <cell r="DG322">
            <v>23.948999999999998</v>
          </cell>
          <cell r="DH322">
            <v>23.452500000000001</v>
          </cell>
          <cell r="DI322">
            <v>22.672875000000001</v>
          </cell>
          <cell r="DJ322">
            <v>21.9</v>
          </cell>
          <cell r="DK322">
            <v>20.8</v>
          </cell>
          <cell r="DL322">
            <v>19.7</v>
          </cell>
          <cell r="DM322">
            <v>18.7</v>
          </cell>
          <cell r="DN322">
            <v>17.95</v>
          </cell>
          <cell r="DO322">
            <v>17.45</v>
          </cell>
          <cell r="DP322">
            <v>16.95</v>
          </cell>
          <cell r="DQ322">
            <v>16.45</v>
          </cell>
          <cell r="DR322">
            <v>15.95</v>
          </cell>
          <cell r="DS322">
            <v>15.95</v>
          </cell>
          <cell r="DT322">
            <v>15.95</v>
          </cell>
          <cell r="DU322">
            <v>15.95</v>
          </cell>
        </row>
        <row r="324">
          <cell r="F324" t="str">
            <v>Chlorine cost</v>
          </cell>
          <cell r="H324">
            <v>2.7625000000000002</v>
          </cell>
          <cell r="I324">
            <v>2.6812499999999999</v>
          </cell>
          <cell r="J324">
            <v>2.6</v>
          </cell>
          <cell r="K324">
            <v>2.6</v>
          </cell>
          <cell r="L324">
            <v>2.7625000000000002</v>
          </cell>
          <cell r="M324">
            <v>2.7625000000000002</v>
          </cell>
          <cell r="N324">
            <v>2.2749999999999999</v>
          </cell>
          <cell r="O324">
            <v>2.2749999999999999</v>
          </cell>
          <cell r="P324">
            <v>2.2749999999999999</v>
          </cell>
          <cell r="Q324">
            <v>2.1124999999999998</v>
          </cell>
          <cell r="R324">
            <v>2.1124999999999998</v>
          </cell>
          <cell r="S324">
            <v>2.1124999999999998</v>
          </cell>
          <cell r="T324">
            <v>2.1124999999999998</v>
          </cell>
          <cell r="U324">
            <v>2.1124999999999998</v>
          </cell>
          <cell r="V324">
            <v>2.1124999999999998</v>
          </cell>
          <cell r="W324">
            <v>1.4624999999999999</v>
          </cell>
          <cell r="X324">
            <v>1.4624999999999999</v>
          </cell>
          <cell r="Y324">
            <v>1.4624999999999999</v>
          </cell>
          <cell r="Z324">
            <v>1.4624999999999999</v>
          </cell>
          <cell r="AA324">
            <v>1.4624999999999999</v>
          </cell>
          <cell r="AB324">
            <v>1.625</v>
          </cell>
          <cell r="AC324">
            <v>1.7875000000000001</v>
          </cell>
          <cell r="AD324">
            <v>1.7875000000000001</v>
          </cell>
          <cell r="AE324">
            <v>1.7875000000000001</v>
          </cell>
          <cell r="AF324">
            <v>2.2749999999999999</v>
          </cell>
          <cell r="AG324">
            <v>2.2749999999999999</v>
          </cell>
          <cell r="AH324">
            <v>2.2749999999999999</v>
          </cell>
          <cell r="AI324">
            <v>2.2749999999999999</v>
          </cell>
          <cell r="AJ324">
            <v>2.2749999999999999</v>
          </cell>
          <cell r="AK324">
            <v>2.2749999999999999</v>
          </cell>
          <cell r="AL324">
            <v>2.4375</v>
          </cell>
          <cell r="AM324">
            <v>2.4375</v>
          </cell>
          <cell r="AN324">
            <v>2.6</v>
          </cell>
          <cell r="AO324">
            <v>3.5750000000000002</v>
          </cell>
          <cell r="AP324">
            <v>3.5750000000000002</v>
          </cell>
          <cell r="AQ324">
            <v>3.0874999999999999</v>
          </cell>
          <cell r="AR324">
            <v>4.875</v>
          </cell>
          <cell r="AS324">
            <v>4.7125000000000004</v>
          </cell>
          <cell r="AT324">
            <v>4.7125000000000004</v>
          </cell>
          <cell r="AU324">
            <v>5.85</v>
          </cell>
          <cell r="AV324">
            <v>6.0125000000000002</v>
          </cell>
          <cell r="AW324">
            <v>6.0125000000000002</v>
          </cell>
          <cell r="AX324">
            <v>6.0125000000000002</v>
          </cell>
          <cell r="AY324">
            <v>6.0125000000000002</v>
          </cell>
          <cell r="AZ324">
            <v>6.0125000000000002</v>
          </cell>
          <cell r="BA324">
            <v>5.9312500000000004</v>
          </cell>
          <cell r="BB324">
            <v>5.7687499999999998</v>
          </cell>
          <cell r="BC324">
            <v>5.7687499999999998</v>
          </cell>
          <cell r="BD324">
            <v>5.6875</v>
          </cell>
          <cell r="BE324">
            <v>5.6875</v>
          </cell>
          <cell r="BF324">
            <v>5.6875</v>
          </cell>
          <cell r="BG324">
            <v>5.3624999999999998</v>
          </cell>
          <cell r="BH324">
            <v>5.2</v>
          </cell>
          <cell r="BI324">
            <v>5.6875</v>
          </cell>
          <cell r="BJ324">
            <v>5.5250000000000004</v>
          </cell>
          <cell r="BK324">
            <v>5.3624999999999998</v>
          </cell>
          <cell r="BL324">
            <v>5.3624999999999998</v>
          </cell>
          <cell r="BM324">
            <v>5.3624999999999998</v>
          </cell>
          <cell r="BN324">
            <v>5.3624999999999998</v>
          </cell>
          <cell r="BO324">
            <v>5.5250000000000004</v>
          </cell>
          <cell r="BP324">
            <v>5.6875</v>
          </cell>
          <cell r="BQ324">
            <v>5.6875</v>
          </cell>
          <cell r="BR324">
            <v>5.6875</v>
          </cell>
          <cell r="BS324">
            <v>5.6875</v>
          </cell>
          <cell r="BT324">
            <v>5.5250000000000004</v>
          </cell>
          <cell r="BU324">
            <v>5.4437499999999996</v>
          </cell>
          <cell r="BV324">
            <v>5.28125</v>
          </cell>
          <cell r="BW324">
            <v>4.7937500000000002</v>
          </cell>
          <cell r="BX324">
            <v>4.7937500000000002</v>
          </cell>
          <cell r="BY324">
            <v>5.1187500000000004</v>
          </cell>
          <cell r="BZ324">
            <v>5.1187500000000004</v>
          </cell>
          <cell r="CA324">
            <v>5.1187500000000004</v>
          </cell>
          <cell r="CB324">
            <v>5.1187500000000004</v>
          </cell>
          <cell r="CC324">
            <v>5.5250000000000004</v>
          </cell>
          <cell r="CD324">
            <v>5.5250000000000004</v>
          </cell>
          <cell r="CE324">
            <v>5.4437499999999996</v>
          </cell>
          <cell r="CF324">
            <v>5.4437499999999996</v>
          </cell>
          <cell r="CG324">
            <v>5.4437499999999996</v>
          </cell>
          <cell r="CH324">
            <v>5.85</v>
          </cell>
          <cell r="CI324">
            <v>6.09375</v>
          </cell>
          <cell r="CJ324">
            <v>6.09375</v>
          </cell>
          <cell r="CK324">
            <v>6.1749999999999998</v>
          </cell>
          <cell r="CL324">
            <v>7.2312500000000002</v>
          </cell>
          <cell r="CM324">
            <v>7.2312500000000002</v>
          </cell>
          <cell r="CN324">
            <v>7.3125</v>
          </cell>
          <cell r="CO324">
            <v>7.3125</v>
          </cell>
          <cell r="CP324">
            <v>7.3125</v>
          </cell>
          <cell r="CQ324">
            <v>7.3125</v>
          </cell>
          <cell r="CR324">
            <v>7.3125</v>
          </cell>
          <cell r="CS324">
            <v>6.9874999999999998</v>
          </cell>
          <cell r="CT324">
            <v>6.9874999999999998</v>
          </cell>
          <cell r="CU324">
            <v>6.6624999999999996</v>
          </cell>
          <cell r="CV324">
            <v>6.6624999999999996</v>
          </cell>
          <cell r="CW324">
            <v>4.875</v>
          </cell>
          <cell r="CX324">
            <v>5.0374999999999996</v>
          </cell>
          <cell r="CY324">
            <v>5.0374999999999996</v>
          </cell>
          <cell r="CZ324">
            <v>3.0874999999999999</v>
          </cell>
          <cell r="DA324">
            <v>3.0874999999999999</v>
          </cell>
          <cell r="DB324">
            <v>3.0874999999999999</v>
          </cell>
          <cell r="DC324" t="e">
            <v>#REF!</v>
          </cell>
          <cell r="DD324" t="e">
            <v>#REF!</v>
          </cell>
          <cell r="DE324" t="e">
            <v>#REF!</v>
          </cell>
          <cell r="DF324">
            <v>7.3125</v>
          </cell>
          <cell r="DG324">
            <v>7.3125</v>
          </cell>
          <cell r="DH324">
            <v>7.3125</v>
          </cell>
          <cell r="DI324">
            <v>6.9874999999999998</v>
          </cell>
          <cell r="DJ324">
            <v>6.9874999999999998</v>
          </cell>
          <cell r="DK324">
            <v>6.6624999999999996</v>
          </cell>
          <cell r="DL324">
            <v>6.6624999999999996</v>
          </cell>
          <cell r="DM324">
            <v>4.875</v>
          </cell>
          <cell r="DN324">
            <v>5.0374999999999996</v>
          </cell>
          <cell r="DO324">
            <v>5.0374999999999996</v>
          </cell>
          <cell r="DP324">
            <v>3.0874999999999999</v>
          </cell>
          <cell r="DQ324">
            <v>3.0874999999999999</v>
          </cell>
          <cell r="DR324">
            <v>3.0874999999999999</v>
          </cell>
          <cell r="DS324" t="e">
            <v>#REF!</v>
          </cell>
          <cell r="DT324" t="e">
            <v>#REF!</v>
          </cell>
          <cell r="DU324" t="e">
            <v>#REF!</v>
          </cell>
        </row>
        <row r="325">
          <cell r="F325" t="str">
            <v>Ethylene cost</v>
          </cell>
          <cell r="H325">
            <v>11.5</v>
          </cell>
          <cell r="I325">
            <v>11.5</v>
          </cell>
          <cell r="J325">
            <v>13</v>
          </cell>
          <cell r="K325">
            <v>14</v>
          </cell>
          <cell r="L325">
            <v>15</v>
          </cell>
          <cell r="M325">
            <v>15</v>
          </cell>
          <cell r="N325">
            <v>14</v>
          </cell>
          <cell r="O325">
            <v>13</v>
          </cell>
          <cell r="P325">
            <v>12</v>
          </cell>
          <cell r="Q325">
            <v>11.25</v>
          </cell>
          <cell r="R325">
            <v>10.6</v>
          </cell>
          <cell r="S325">
            <v>10</v>
          </cell>
          <cell r="T325">
            <v>9</v>
          </cell>
          <cell r="U325">
            <v>9</v>
          </cell>
          <cell r="V325">
            <v>9</v>
          </cell>
          <cell r="W325">
            <v>10</v>
          </cell>
          <cell r="X325">
            <v>10.5</v>
          </cell>
          <cell r="Y325">
            <v>10.5</v>
          </cell>
          <cell r="Z325">
            <v>8.7446986241537505</v>
          </cell>
          <cell r="AA325">
            <v>8.3665101550556997</v>
          </cell>
          <cell r="AB325">
            <v>8.1291548373006997</v>
          </cell>
          <cell r="AC325">
            <v>8.0547663245249996</v>
          </cell>
          <cell r="AD325">
            <v>8.0318956103952992</v>
          </cell>
          <cell r="AE325">
            <v>8.5227396811530998</v>
          </cell>
          <cell r="AF325">
            <v>8.9523804324088001</v>
          </cell>
          <cell r="AG325">
            <v>9.2023804324088001</v>
          </cell>
          <cell r="AH325">
            <v>9.5729471500327499</v>
          </cell>
          <cell r="AI325">
            <v>9.8117711290675</v>
          </cell>
          <cell r="AJ325">
            <v>9.7945785105918493</v>
          </cell>
          <cell r="AK325">
            <v>9.5503548809784</v>
          </cell>
          <cell r="AL325">
            <v>9.2899999999999991</v>
          </cell>
          <cell r="AM325">
            <v>9.125</v>
          </cell>
          <cell r="AN325">
            <v>8.99</v>
          </cell>
          <cell r="AO325">
            <v>8.9949999999999992</v>
          </cell>
          <cell r="AP325">
            <v>8.9649999999999999</v>
          </cell>
          <cell r="AQ325">
            <v>8.9450000000000003</v>
          </cell>
          <cell r="AR325">
            <v>8.89</v>
          </cell>
          <cell r="AS325">
            <v>8.84</v>
          </cell>
          <cell r="AT325">
            <v>8.7449999999999992</v>
          </cell>
          <cell r="AU325">
            <v>8.7050000000000001</v>
          </cell>
          <cell r="AV325">
            <v>8.5250000000000004</v>
          </cell>
          <cell r="AW325">
            <v>8.4</v>
          </cell>
          <cell r="AX325">
            <v>8.2149999999999999</v>
          </cell>
          <cell r="AY325">
            <v>8.1050000000000004</v>
          </cell>
          <cell r="AZ325">
            <v>8.3049999999999997</v>
          </cell>
          <cell r="BA325">
            <v>8.5522500000000008</v>
          </cell>
          <cell r="BB325">
            <v>9.046125</v>
          </cell>
          <cell r="BC325">
            <v>9.5287500000000005</v>
          </cell>
          <cell r="BD325">
            <v>10.0245</v>
          </cell>
          <cell r="BE325">
            <v>10.513500000000001</v>
          </cell>
          <cell r="BF325">
            <v>11.468</v>
          </cell>
          <cell r="BG325">
            <v>12.45675</v>
          </cell>
          <cell r="BH325">
            <v>12.94525</v>
          </cell>
          <cell r="BI325">
            <v>13.23</v>
          </cell>
          <cell r="BJ325">
            <v>13.685</v>
          </cell>
          <cell r="BK325">
            <v>14.166499999999999</v>
          </cell>
          <cell r="BL325">
            <v>14.137499999999999</v>
          </cell>
          <cell r="BM325">
            <v>14.122999999999999</v>
          </cell>
          <cell r="BN325">
            <v>14.108499999999999</v>
          </cell>
          <cell r="BO325">
            <v>13.808249999999999</v>
          </cell>
          <cell r="BP325">
            <v>13.31</v>
          </cell>
          <cell r="BQ325">
            <v>12.525499999999999</v>
          </cell>
          <cell r="BR325">
            <v>11.57625</v>
          </cell>
          <cell r="BS325">
            <v>10.436249999999999</v>
          </cell>
          <cell r="BT325">
            <v>9.7482000000000006</v>
          </cell>
          <cell r="BU325">
            <v>9.1244999999999994</v>
          </cell>
          <cell r="BV325">
            <v>9</v>
          </cell>
          <cell r="BW325">
            <v>9</v>
          </cell>
          <cell r="BX325">
            <v>9.4867500000000007</v>
          </cell>
          <cell r="BY325">
            <v>10.125</v>
          </cell>
          <cell r="BZ325">
            <v>10.610250000000001</v>
          </cell>
          <cell r="CA325">
            <v>11.08625</v>
          </cell>
          <cell r="CB325">
            <v>11.3</v>
          </cell>
          <cell r="CC325">
            <v>11.551500000000001</v>
          </cell>
          <cell r="CD325">
            <v>11.7325</v>
          </cell>
          <cell r="CE325">
            <v>11.853187500000001</v>
          </cell>
          <cell r="CF325">
            <v>11.91175</v>
          </cell>
          <cell r="CG325">
            <v>12.375</v>
          </cell>
          <cell r="CH325">
            <v>12.856349999999999</v>
          </cell>
          <cell r="CI325">
            <v>12.856349999999999</v>
          </cell>
          <cell r="CJ325">
            <v>12.856349999999999</v>
          </cell>
          <cell r="CK325">
            <v>12.824999999999999</v>
          </cell>
          <cell r="CL325">
            <v>12.6</v>
          </cell>
          <cell r="CM325">
            <v>12.326874999999999</v>
          </cell>
          <cell r="CN325">
            <v>12.326874999999999</v>
          </cell>
          <cell r="CO325">
            <v>12.299375</v>
          </cell>
          <cell r="CP325">
            <v>12.223750000000001</v>
          </cell>
          <cell r="CQ325">
            <v>11.974499999999999</v>
          </cell>
          <cell r="CR325">
            <v>11.72625</v>
          </cell>
          <cell r="CS325">
            <v>11.336437500000001</v>
          </cell>
          <cell r="CT325">
            <v>10.95</v>
          </cell>
          <cell r="CU325">
            <v>10.4</v>
          </cell>
          <cell r="CV325">
            <v>9.85</v>
          </cell>
          <cell r="CW325">
            <v>9.35</v>
          </cell>
          <cell r="CX325">
            <v>8.9749999999999996</v>
          </cell>
          <cell r="CY325">
            <v>8.7249999999999996</v>
          </cell>
          <cell r="CZ325">
            <v>8.4749999999999996</v>
          </cell>
          <cell r="DA325">
            <v>8.2249999999999996</v>
          </cell>
          <cell r="DB325">
            <v>7.9749999999999996</v>
          </cell>
          <cell r="DC325">
            <v>7.9749999999999996</v>
          </cell>
          <cell r="DD325">
            <v>7.9749999999999996</v>
          </cell>
          <cell r="DE325">
            <v>7.9749999999999996</v>
          </cell>
          <cell r="DF325">
            <v>12.223750000000001</v>
          </cell>
          <cell r="DG325">
            <v>11.974499999999999</v>
          </cell>
          <cell r="DH325">
            <v>11.72625</v>
          </cell>
          <cell r="DI325">
            <v>11.336437500000001</v>
          </cell>
          <cell r="DJ325">
            <v>10.95</v>
          </cell>
          <cell r="DK325">
            <v>10.4</v>
          </cell>
          <cell r="DL325">
            <v>9.85</v>
          </cell>
          <cell r="DM325">
            <v>9.35</v>
          </cell>
          <cell r="DN325">
            <v>8.9749999999999996</v>
          </cell>
          <cell r="DO325">
            <v>8.7249999999999996</v>
          </cell>
          <cell r="DP325">
            <v>8.4749999999999996</v>
          </cell>
          <cell r="DQ325">
            <v>8.2249999999999996</v>
          </cell>
          <cell r="DR325">
            <v>7.9749999999999996</v>
          </cell>
          <cell r="DS325">
            <v>7.9749999999999996</v>
          </cell>
          <cell r="DT325">
            <v>7.9749999999999996</v>
          </cell>
          <cell r="DU325">
            <v>7.9749999999999996</v>
          </cell>
        </row>
        <row r="326">
          <cell r="J326">
            <v>15.6</v>
          </cell>
          <cell r="K326">
            <v>16.600000000000001</v>
          </cell>
          <cell r="L326">
            <v>17.762499999999999</v>
          </cell>
          <cell r="M326">
            <v>17.762499999999999</v>
          </cell>
          <cell r="N326">
            <v>16.274999999999999</v>
          </cell>
          <cell r="O326">
            <v>15.275</v>
          </cell>
          <cell r="P326">
            <v>14.275</v>
          </cell>
          <cell r="Q326">
            <v>13.362500000000001</v>
          </cell>
          <cell r="R326">
            <v>12.712499999999999</v>
          </cell>
          <cell r="S326">
            <v>12.112500000000001</v>
          </cell>
          <cell r="T326">
            <v>11.112500000000001</v>
          </cell>
          <cell r="U326">
            <v>11.112500000000001</v>
          </cell>
          <cell r="V326">
            <v>11.112500000000001</v>
          </cell>
          <cell r="W326">
            <v>11.4625</v>
          </cell>
          <cell r="X326">
            <v>11.9625</v>
          </cell>
          <cell r="Y326">
            <v>11.9625</v>
          </cell>
          <cell r="Z326">
            <v>10.207198624153751</v>
          </cell>
          <cell r="AA326">
            <v>9.8290101550557001</v>
          </cell>
          <cell r="AB326">
            <v>9.7541548373006997</v>
          </cell>
          <cell r="AC326">
            <v>9.8422663245249993</v>
          </cell>
          <cell r="AD326">
            <v>9.8193956103952988</v>
          </cell>
          <cell r="AE326">
            <v>10.310239681153099</v>
          </cell>
          <cell r="AF326">
            <v>11.2273804324088</v>
          </cell>
          <cell r="AG326">
            <v>11.4773804324088</v>
          </cell>
          <cell r="AH326">
            <v>11.84794715003275</v>
          </cell>
          <cell r="AI326">
            <v>12.0867711290675</v>
          </cell>
          <cell r="AJ326">
            <v>12.06957851059185</v>
          </cell>
          <cell r="AK326">
            <v>11.8253548809784</v>
          </cell>
          <cell r="AL326">
            <v>11.727499999999999</v>
          </cell>
          <cell r="AM326">
            <v>11.5625</v>
          </cell>
          <cell r="AN326">
            <v>11.59</v>
          </cell>
          <cell r="AO326">
            <v>12.57</v>
          </cell>
          <cell r="AP326">
            <v>12.54</v>
          </cell>
          <cell r="AQ326">
            <v>12.032500000000001</v>
          </cell>
          <cell r="AR326">
            <v>13.765000000000001</v>
          </cell>
          <cell r="AS326">
            <v>13.5525</v>
          </cell>
          <cell r="AT326">
            <v>13.4575</v>
          </cell>
          <cell r="AU326">
            <v>14.555</v>
          </cell>
          <cell r="AV326">
            <v>14.537500000000001</v>
          </cell>
          <cell r="AW326">
            <v>14.412500000000001</v>
          </cell>
          <cell r="AX326">
            <v>14.227499999999999</v>
          </cell>
          <cell r="AY326">
            <v>14.1175</v>
          </cell>
          <cell r="AZ326">
            <v>14.317499999999999</v>
          </cell>
          <cell r="BA326">
            <v>14.483500000000001</v>
          </cell>
          <cell r="BB326">
            <v>14.814875000000001</v>
          </cell>
          <cell r="BC326">
            <v>15.297499999999999</v>
          </cell>
          <cell r="BD326">
            <v>15.712</v>
          </cell>
          <cell r="BE326">
            <v>16.201000000000001</v>
          </cell>
          <cell r="BF326">
            <v>17.1555</v>
          </cell>
          <cell r="BG326">
            <v>17.81925</v>
          </cell>
          <cell r="BH326">
            <v>18.145250000000001</v>
          </cell>
          <cell r="BI326">
            <v>18.9175</v>
          </cell>
          <cell r="BJ326">
            <v>19.21</v>
          </cell>
          <cell r="BK326">
            <v>19.529</v>
          </cell>
          <cell r="BL326">
            <v>19.5</v>
          </cell>
          <cell r="BM326">
            <v>19.485499999999998</v>
          </cell>
          <cell r="BN326">
            <v>19.471</v>
          </cell>
          <cell r="BO326">
            <v>19.33325</v>
          </cell>
          <cell r="BP326">
            <v>18.997500000000002</v>
          </cell>
          <cell r="BQ326">
            <v>18.213000000000001</v>
          </cell>
          <cell r="BR326">
            <v>17.263750000000002</v>
          </cell>
          <cell r="BS326">
            <v>16.123750000000001</v>
          </cell>
          <cell r="BT326">
            <v>15.273200000000001</v>
          </cell>
          <cell r="BU326">
            <v>14.568249999999999</v>
          </cell>
          <cell r="BV326">
            <v>14.28125</v>
          </cell>
          <cell r="BW326">
            <v>13.793749999999999</v>
          </cell>
          <cell r="BX326">
            <v>14.2805</v>
          </cell>
          <cell r="BY326">
            <v>15.24375</v>
          </cell>
          <cell r="BZ326">
            <v>15.729000000000001</v>
          </cell>
          <cell r="CA326">
            <v>16.204999999999998</v>
          </cell>
          <cell r="CB326">
            <v>16.418750000000003</v>
          </cell>
          <cell r="CC326">
            <v>17.076500000000003</v>
          </cell>
          <cell r="CD326">
            <v>17.2575</v>
          </cell>
          <cell r="CE326">
            <v>17.296937499999999</v>
          </cell>
          <cell r="CF326">
            <v>17.355499999999999</v>
          </cell>
          <cell r="CG326">
            <v>17.818750000000001</v>
          </cell>
          <cell r="CH326">
            <v>18.70635</v>
          </cell>
          <cell r="CI326">
            <v>18.950099999999999</v>
          </cell>
          <cell r="CJ326">
            <v>18.950099999999999</v>
          </cell>
          <cell r="CK326">
            <v>19</v>
          </cell>
          <cell r="CL326">
            <v>19.831250000000001</v>
          </cell>
          <cell r="CM326">
            <v>19.558125</v>
          </cell>
          <cell r="CN326">
            <v>19.639375000000001</v>
          </cell>
          <cell r="CO326">
            <v>19.611874999999998</v>
          </cell>
          <cell r="CP326">
            <v>19.536250000000003</v>
          </cell>
          <cell r="CQ326">
            <v>19.286999999999999</v>
          </cell>
          <cell r="CR326">
            <v>19.03875</v>
          </cell>
          <cell r="CS326">
            <v>18.3239375</v>
          </cell>
          <cell r="CT326">
            <v>17.9375</v>
          </cell>
          <cell r="CU326">
            <v>17.0625</v>
          </cell>
          <cell r="CV326">
            <v>16.512499999999999</v>
          </cell>
          <cell r="CW326">
            <v>14.225</v>
          </cell>
          <cell r="CX326">
            <v>14.012499999999999</v>
          </cell>
          <cell r="CY326">
            <v>13.762499999999999</v>
          </cell>
          <cell r="CZ326">
            <v>11.5625</v>
          </cell>
          <cell r="DA326">
            <v>11.3125</v>
          </cell>
          <cell r="DB326">
            <v>11.0625</v>
          </cell>
          <cell r="DC326" t="e">
            <v>#REF!</v>
          </cell>
          <cell r="DD326" t="e">
            <v>#REF!</v>
          </cell>
          <cell r="DE326" t="e">
            <v>#REF!</v>
          </cell>
          <cell r="DF326">
            <v>19.536250000000003</v>
          </cell>
          <cell r="DG326">
            <v>19.286999999999999</v>
          </cell>
          <cell r="DH326">
            <v>19.03875</v>
          </cell>
          <cell r="DI326">
            <v>18.3239375</v>
          </cell>
          <cell r="DJ326">
            <v>17.9375</v>
          </cell>
          <cell r="DK326">
            <v>17.0625</v>
          </cell>
          <cell r="DL326">
            <v>16.512499999999999</v>
          </cell>
          <cell r="DM326">
            <v>14.225</v>
          </cell>
          <cell r="DN326">
            <v>14.012499999999999</v>
          </cell>
          <cell r="DO326">
            <v>13.762499999999999</v>
          </cell>
          <cell r="DP326">
            <v>11.5625</v>
          </cell>
          <cell r="DQ326">
            <v>11.3125</v>
          </cell>
          <cell r="DR326">
            <v>11.0625</v>
          </cell>
          <cell r="DS326" t="e">
            <v>#REF!</v>
          </cell>
          <cell r="DT326" t="e">
            <v>#REF!</v>
          </cell>
          <cell r="DU326" t="e">
            <v>#REF!</v>
          </cell>
        </row>
        <row r="327">
          <cell r="F327" t="str">
            <v xml:space="preserve"> Spread</v>
          </cell>
          <cell r="H327">
            <v>4.7375000000000007</v>
          </cell>
          <cell r="I327">
            <v>4.8187500000000014</v>
          </cell>
          <cell r="J327">
            <v>4.3999999999999986</v>
          </cell>
          <cell r="K327">
            <v>4.3999999999999986</v>
          </cell>
          <cell r="L327">
            <v>4.2375000000000007</v>
          </cell>
          <cell r="M327">
            <v>3.2375000000000007</v>
          </cell>
          <cell r="N327">
            <v>2.7250000000000014</v>
          </cell>
          <cell r="O327">
            <v>2.7249999999999996</v>
          </cell>
          <cell r="P327">
            <v>1.7249999999999996</v>
          </cell>
          <cell r="Q327">
            <v>2.6374999999999993</v>
          </cell>
          <cell r="R327">
            <v>1.2874999999999996</v>
          </cell>
          <cell r="S327">
            <v>1.8874999999999993</v>
          </cell>
          <cell r="T327">
            <v>2.0874999999999986</v>
          </cell>
          <cell r="U327">
            <v>2.3874999999999993</v>
          </cell>
          <cell r="V327">
            <v>2.3874999999999993</v>
          </cell>
          <cell r="W327">
            <v>2.7374999999999989</v>
          </cell>
          <cell r="X327">
            <v>1.7374999999999989</v>
          </cell>
          <cell r="Y327">
            <v>1.4375</v>
          </cell>
          <cell r="Z327">
            <v>2.7928013758462491</v>
          </cell>
          <cell r="AA327">
            <v>2.6709898449442999</v>
          </cell>
          <cell r="AB327">
            <v>2.9958451626993003</v>
          </cell>
          <cell r="AC327">
            <v>3.107733675475</v>
          </cell>
          <cell r="AD327">
            <v>3.6306043896047004</v>
          </cell>
          <cell r="AE327">
            <v>3.6397603188468999</v>
          </cell>
          <cell r="AF327">
            <v>3.2226195675911988</v>
          </cell>
          <cell r="AG327">
            <v>2.9726195675911988</v>
          </cell>
          <cell r="AH327">
            <v>2.3520528499672491</v>
          </cell>
          <cell r="AI327">
            <v>2.1132288709324989</v>
          </cell>
          <cell r="AJ327">
            <v>2.3804214894081497</v>
          </cell>
          <cell r="AK327">
            <v>2.6246451190215989</v>
          </cell>
          <cell r="AL327">
            <v>3.2225000000000001</v>
          </cell>
          <cell r="AM327">
            <v>3.3874999999999993</v>
          </cell>
          <cell r="AN327">
            <v>3.8599999999999994</v>
          </cell>
          <cell r="AO327">
            <v>3.1300000000000008</v>
          </cell>
          <cell r="AP327">
            <v>3.66</v>
          </cell>
          <cell r="AQ327">
            <v>4.4174999999999986</v>
          </cell>
          <cell r="AR327">
            <v>2.9349999999999987</v>
          </cell>
          <cell r="AS327">
            <v>3.3974999999999991</v>
          </cell>
          <cell r="AT327">
            <v>4.4924999999999997</v>
          </cell>
          <cell r="AU327">
            <v>3.6449999999999996</v>
          </cell>
          <cell r="AV327">
            <v>3.6624999999999996</v>
          </cell>
          <cell r="AW327">
            <v>3.5374999999999996</v>
          </cell>
          <cell r="AX327">
            <v>3.4725000000000001</v>
          </cell>
          <cell r="AY327">
            <v>4.0824999999999996</v>
          </cell>
          <cell r="AZ327">
            <v>4.1325000000000003</v>
          </cell>
          <cell r="BA327">
            <v>4.9664999999999981</v>
          </cell>
          <cell r="BB327">
            <v>5.1351249999999986</v>
          </cell>
          <cell r="BC327">
            <v>5.1524999999999981</v>
          </cell>
          <cell r="BD327">
            <v>5.4879999999999995</v>
          </cell>
          <cell r="BE327">
            <v>5.9989999999999988</v>
          </cell>
          <cell r="BF327">
            <v>5.7944999999999993</v>
          </cell>
          <cell r="BG327">
            <v>6.130749999999999</v>
          </cell>
          <cell r="BH327">
            <v>6.0547500000000003</v>
          </cell>
          <cell r="BI327">
            <v>5.5324999999999989</v>
          </cell>
          <cell r="BJ327">
            <v>5.9899999999999967</v>
          </cell>
          <cell r="BK327">
            <v>5.9209999999999994</v>
          </cell>
          <cell r="BL327">
            <v>6.4499999999999993</v>
          </cell>
          <cell r="BM327">
            <v>6.7144999999999992</v>
          </cell>
          <cell r="BN327">
            <v>6.9789999999999992</v>
          </cell>
          <cell r="BO327">
            <v>6.8667499999999979</v>
          </cell>
          <cell r="BP327">
            <v>6.2024999999999988</v>
          </cell>
          <cell r="BQ327">
            <v>5.2370000000000001</v>
          </cell>
          <cell r="BR327">
            <v>4.6862499999999994</v>
          </cell>
          <cell r="BS327">
            <v>4.3262499999999999</v>
          </cell>
          <cell r="BT327">
            <v>3.6767999999999983</v>
          </cell>
          <cell r="BU327">
            <v>2.8817500000000003</v>
          </cell>
          <cell r="BV327">
            <v>2.96875</v>
          </cell>
          <cell r="BW327">
            <v>3.4562500000000007</v>
          </cell>
          <cell r="BX327">
            <v>3.9695</v>
          </cell>
          <cell r="BY327">
            <v>4.2562499999999996</v>
          </cell>
          <cell r="BZ327">
            <v>4.770999999999999</v>
          </cell>
          <cell r="CA327">
            <v>5.0450000000000017</v>
          </cell>
          <cell r="CB327">
            <v>5.0812500000000007</v>
          </cell>
          <cell r="CC327">
            <v>4.1734999999999989</v>
          </cell>
          <cell r="CD327">
            <v>3.9924999999999997</v>
          </cell>
          <cell r="CE327">
            <v>3.7030624999999997</v>
          </cell>
          <cell r="CF327">
            <v>3.1445000000000007</v>
          </cell>
          <cell r="CG327">
            <v>2.4312500000000004</v>
          </cell>
          <cell r="CH327">
            <v>2.0436500000000013</v>
          </cell>
          <cell r="CI327">
            <v>3.0499000000000009</v>
          </cell>
          <cell r="CJ327">
            <v>3.7999000000000009</v>
          </cell>
          <cell r="CK327">
            <v>4.75</v>
          </cell>
          <cell r="CL327">
            <v>3.9187500000000011</v>
          </cell>
          <cell r="CM327">
            <v>3.6918750000000014</v>
          </cell>
          <cell r="CN327">
            <v>2.8606250000000006</v>
          </cell>
          <cell r="CO327">
            <v>2.3881250000000005</v>
          </cell>
          <cell r="CP327">
            <v>2.2137499999999992</v>
          </cell>
          <cell r="CQ327">
            <v>2.213000000000001</v>
          </cell>
          <cell r="CR327">
            <v>2.2112499999999997</v>
          </cell>
          <cell r="CS327">
            <v>2.6760624999999987</v>
          </cell>
          <cell r="CT327">
            <v>1.5625</v>
          </cell>
          <cell r="CU327">
            <v>1.4375</v>
          </cell>
          <cell r="CV327">
            <v>1.2375000000000007</v>
          </cell>
          <cell r="CW327">
            <v>2.5250000000000004</v>
          </cell>
          <cell r="CX327">
            <v>1.9875000000000007</v>
          </cell>
          <cell r="CY327">
            <v>1.7375000000000007</v>
          </cell>
          <cell r="CZ327">
            <v>2.9375</v>
          </cell>
          <cell r="DA327">
            <v>2.1875</v>
          </cell>
          <cell r="DB327">
            <v>1.4375</v>
          </cell>
          <cell r="DC327" t="e">
            <v>#REF!</v>
          </cell>
          <cell r="DD327" t="e">
            <v>#REF!</v>
          </cell>
          <cell r="DE327" t="e">
            <v>#REF!</v>
          </cell>
          <cell r="DF327">
            <v>2.2137499999999992</v>
          </cell>
          <cell r="DG327">
            <v>2.213000000000001</v>
          </cell>
          <cell r="DH327">
            <v>2.2112499999999997</v>
          </cell>
          <cell r="DI327">
            <v>2.6760624999999987</v>
          </cell>
          <cell r="DJ327">
            <v>1.5625</v>
          </cell>
          <cell r="DK327">
            <v>1.4375</v>
          </cell>
          <cell r="DL327">
            <v>1.2375000000000007</v>
          </cell>
          <cell r="DM327">
            <v>2.5250000000000004</v>
          </cell>
          <cell r="DN327">
            <v>1.9875000000000007</v>
          </cell>
          <cell r="DO327">
            <v>1.7375000000000007</v>
          </cell>
          <cell r="DP327">
            <v>2.9375</v>
          </cell>
          <cell r="DQ327">
            <v>2.1875</v>
          </cell>
          <cell r="DR327">
            <v>1.4375</v>
          </cell>
          <cell r="DS327" t="e">
            <v>#REF!</v>
          </cell>
          <cell r="DT327" t="e">
            <v>#REF!</v>
          </cell>
          <cell r="DU327" t="e">
            <v>#REF!</v>
          </cell>
        </row>
        <row r="331">
          <cell r="F331" t="str">
            <v>VAM/Ethylene, Methanol  Cost Spread</v>
          </cell>
          <cell r="BP331" t="str">
            <v>NON INTEGRATED ON ETHYLENE</v>
          </cell>
          <cell r="CE331" t="str">
            <v>NON INTEGRATED ON ETHYLENE</v>
          </cell>
          <cell r="CF331" t="str">
            <v>NON INTEGRATED ON ETHYLENE</v>
          </cell>
        </row>
        <row r="333">
          <cell r="H333">
            <v>33055</v>
          </cell>
          <cell r="I333">
            <v>33086</v>
          </cell>
          <cell r="J333">
            <v>33117</v>
          </cell>
          <cell r="K333">
            <v>33147</v>
          </cell>
          <cell r="L333">
            <v>33178</v>
          </cell>
          <cell r="M333">
            <v>33208</v>
          </cell>
          <cell r="N333">
            <v>33239</v>
          </cell>
          <cell r="O333">
            <v>33270</v>
          </cell>
          <cell r="P333">
            <v>33298</v>
          </cell>
          <cell r="Q333">
            <v>33329</v>
          </cell>
          <cell r="R333">
            <v>33359</v>
          </cell>
          <cell r="S333">
            <v>33390</v>
          </cell>
          <cell r="T333">
            <v>33420</v>
          </cell>
          <cell r="U333">
            <v>33451</v>
          </cell>
          <cell r="V333">
            <v>33482</v>
          </cell>
          <cell r="W333">
            <v>33512</v>
          </cell>
          <cell r="X333">
            <v>33543</v>
          </cell>
          <cell r="Y333">
            <v>33573</v>
          </cell>
          <cell r="Z333">
            <v>33604</v>
          </cell>
          <cell r="AA333">
            <v>33635</v>
          </cell>
          <cell r="AB333">
            <v>33664</v>
          </cell>
          <cell r="AC333">
            <v>33695</v>
          </cell>
          <cell r="AD333">
            <v>33725</v>
          </cell>
          <cell r="AE333">
            <v>33756</v>
          </cell>
          <cell r="AF333">
            <v>33786</v>
          </cell>
          <cell r="AG333">
            <v>33817</v>
          </cell>
          <cell r="AH333">
            <v>33848</v>
          </cell>
          <cell r="AI333">
            <v>33878</v>
          </cell>
          <cell r="AJ333">
            <v>33909</v>
          </cell>
          <cell r="AK333">
            <v>33939</v>
          </cell>
          <cell r="AL333">
            <v>33970</v>
          </cell>
          <cell r="AM333">
            <v>34001</v>
          </cell>
          <cell r="AN333">
            <v>34029</v>
          </cell>
          <cell r="AO333">
            <v>34060</v>
          </cell>
          <cell r="AP333">
            <v>34090</v>
          </cell>
          <cell r="AQ333">
            <v>34121</v>
          </cell>
          <cell r="AR333">
            <v>34151</v>
          </cell>
          <cell r="AS333">
            <v>34182</v>
          </cell>
          <cell r="AT333">
            <v>34213</v>
          </cell>
          <cell r="AU333">
            <v>34243</v>
          </cell>
          <cell r="AV333">
            <v>34274</v>
          </cell>
          <cell r="AW333">
            <v>34304</v>
          </cell>
          <cell r="AX333">
            <v>34335</v>
          </cell>
          <cell r="AY333">
            <v>34366</v>
          </cell>
          <cell r="AZ333">
            <v>34394</v>
          </cell>
          <cell r="BA333">
            <v>34425</v>
          </cell>
          <cell r="BB333">
            <v>34455</v>
          </cell>
          <cell r="BC333">
            <v>34486</v>
          </cell>
          <cell r="BD333">
            <v>34516</v>
          </cell>
          <cell r="BE333">
            <v>34547</v>
          </cell>
          <cell r="BF333">
            <v>34578</v>
          </cell>
          <cell r="BG333">
            <v>34608</v>
          </cell>
          <cell r="BH333">
            <v>34639</v>
          </cell>
          <cell r="BI333">
            <v>34669</v>
          </cell>
          <cell r="BJ333">
            <v>34700</v>
          </cell>
          <cell r="BK333">
            <v>34731</v>
          </cell>
          <cell r="BL333">
            <v>34759</v>
          </cell>
          <cell r="BM333">
            <v>34790</v>
          </cell>
          <cell r="BN333">
            <v>34820</v>
          </cell>
          <cell r="BO333">
            <v>34851</v>
          </cell>
          <cell r="BP333">
            <v>34881</v>
          </cell>
          <cell r="BQ333">
            <v>34912</v>
          </cell>
          <cell r="BR333">
            <v>34943</v>
          </cell>
          <cell r="BS333">
            <v>34973</v>
          </cell>
          <cell r="BT333">
            <v>35004</v>
          </cell>
          <cell r="BU333">
            <v>35034</v>
          </cell>
          <cell r="BV333">
            <v>35065</v>
          </cell>
          <cell r="BW333">
            <v>35096</v>
          </cell>
          <cell r="BX333">
            <v>35125</v>
          </cell>
          <cell r="BY333">
            <v>35156</v>
          </cell>
          <cell r="BZ333">
            <v>35186</v>
          </cell>
          <cell r="CA333">
            <v>35217</v>
          </cell>
          <cell r="CB333">
            <v>35247</v>
          </cell>
          <cell r="CC333">
            <v>35278</v>
          </cell>
          <cell r="CD333">
            <v>35309</v>
          </cell>
          <cell r="CE333">
            <v>35339</v>
          </cell>
          <cell r="CF333">
            <v>35370</v>
          </cell>
          <cell r="CG333">
            <v>35400</v>
          </cell>
          <cell r="CH333">
            <v>35431</v>
          </cell>
          <cell r="CI333">
            <v>35462</v>
          </cell>
          <cell r="CJ333">
            <v>35490</v>
          </cell>
          <cell r="CK333">
            <v>35521</v>
          </cell>
          <cell r="CL333">
            <v>35551</v>
          </cell>
          <cell r="CM333">
            <v>35582</v>
          </cell>
          <cell r="CN333">
            <v>35612</v>
          </cell>
          <cell r="CO333">
            <v>35643</v>
          </cell>
          <cell r="CP333">
            <v>35674</v>
          </cell>
          <cell r="CQ333">
            <v>35704</v>
          </cell>
          <cell r="CR333">
            <v>35735</v>
          </cell>
          <cell r="CS333">
            <v>35765</v>
          </cell>
          <cell r="CT333">
            <v>35796</v>
          </cell>
          <cell r="CU333">
            <v>35827</v>
          </cell>
          <cell r="CV333">
            <v>35855</v>
          </cell>
          <cell r="CW333">
            <v>35886</v>
          </cell>
          <cell r="CX333">
            <v>35916</v>
          </cell>
          <cell r="CY333">
            <v>35947</v>
          </cell>
          <cell r="CZ333">
            <v>35977</v>
          </cell>
          <cell r="DA333">
            <v>36008</v>
          </cell>
          <cell r="DB333">
            <v>36039</v>
          </cell>
          <cell r="DC333">
            <v>36069</v>
          </cell>
          <cell r="DD333">
            <v>36100</v>
          </cell>
          <cell r="DE333">
            <v>36130</v>
          </cell>
          <cell r="DF333">
            <v>35674</v>
          </cell>
          <cell r="DG333">
            <v>35704</v>
          </cell>
          <cell r="DH333">
            <v>35735</v>
          </cell>
          <cell r="DI333">
            <v>35765</v>
          </cell>
          <cell r="DJ333">
            <v>35796</v>
          </cell>
          <cell r="DK333">
            <v>35827</v>
          </cell>
          <cell r="DL333">
            <v>35855</v>
          </cell>
          <cell r="DM333">
            <v>35886</v>
          </cell>
          <cell r="DN333">
            <v>35916</v>
          </cell>
          <cell r="DO333">
            <v>35947</v>
          </cell>
          <cell r="DP333">
            <v>35977</v>
          </cell>
          <cell r="DQ333">
            <v>36008</v>
          </cell>
          <cell r="DR333">
            <v>36039</v>
          </cell>
          <cell r="DS333">
            <v>36069</v>
          </cell>
          <cell r="DT333">
            <v>36100</v>
          </cell>
          <cell r="DU333">
            <v>36130</v>
          </cell>
        </row>
        <row r="334">
          <cell r="F334" t="str">
            <v>VAM price</v>
          </cell>
          <cell r="H334">
            <v>32</v>
          </cell>
          <cell r="I334">
            <v>32</v>
          </cell>
          <cell r="J334">
            <v>32</v>
          </cell>
          <cell r="K334">
            <v>34.5</v>
          </cell>
          <cell r="L334">
            <v>36.5</v>
          </cell>
          <cell r="M334">
            <v>36.5</v>
          </cell>
          <cell r="N334">
            <v>36.5</v>
          </cell>
          <cell r="O334">
            <v>36.5</v>
          </cell>
          <cell r="P334">
            <v>36.5</v>
          </cell>
          <cell r="Q334">
            <v>34.5</v>
          </cell>
          <cell r="R334">
            <v>34.5</v>
          </cell>
          <cell r="S334">
            <v>34.5</v>
          </cell>
          <cell r="T334">
            <v>33</v>
          </cell>
          <cell r="U334">
            <v>32</v>
          </cell>
          <cell r="V334">
            <v>32</v>
          </cell>
          <cell r="W334">
            <v>32</v>
          </cell>
          <cell r="X334">
            <v>32</v>
          </cell>
          <cell r="Y334">
            <v>32</v>
          </cell>
          <cell r="Z334">
            <v>33</v>
          </cell>
          <cell r="AA334">
            <v>32</v>
          </cell>
          <cell r="AB334">
            <v>31</v>
          </cell>
          <cell r="AC334">
            <v>31</v>
          </cell>
          <cell r="AD334">
            <v>31</v>
          </cell>
          <cell r="AE334">
            <v>30</v>
          </cell>
          <cell r="AF334">
            <v>30</v>
          </cell>
          <cell r="AG334">
            <v>30</v>
          </cell>
          <cell r="AH334">
            <v>30</v>
          </cell>
          <cell r="AI334">
            <v>30</v>
          </cell>
          <cell r="AJ334">
            <v>30</v>
          </cell>
          <cell r="AK334">
            <v>30</v>
          </cell>
          <cell r="AL334">
            <v>31</v>
          </cell>
          <cell r="AM334">
            <v>31</v>
          </cell>
          <cell r="AN334">
            <v>31</v>
          </cell>
          <cell r="AO334">
            <v>30.5</v>
          </cell>
          <cell r="AP334">
            <v>30.5</v>
          </cell>
          <cell r="AQ334">
            <v>30.5</v>
          </cell>
          <cell r="AR334">
            <v>30.5</v>
          </cell>
          <cell r="AS334">
            <v>31.5</v>
          </cell>
          <cell r="AT334">
            <v>31.5</v>
          </cell>
          <cell r="AU334">
            <v>31.5</v>
          </cell>
          <cell r="AV334">
            <v>31.5</v>
          </cell>
          <cell r="AW334">
            <v>31.5</v>
          </cell>
          <cell r="AX334">
            <v>31.5</v>
          </cell>
          <cell r="AY334">
            <v>31.5</v>
          </cell>
          <cell r="AZ334">
            <v>31.5</v>
          </cell>
          <cell r="BA334">
            <v>31.5</v>
          </cell>
          <cell r="BB334">
            <v>31.5</v>
          </cell>
          <cell r="BC334">
            <v>31.5</v>
          </cell>
          <cell r="BD334">
            <v>32.5</v>
          </cell>
          <cell r="BE334">
            <v>33</v>
          </cell>
          <cell r="BF334">
            <v>33.5</v>
          </cell>
          <cell r="BG334">
            <v>34.5</v>
          </cell>
          <cell r="BH334">
            <v>35</v>
          </cell>
          <cell r="BI334">
            <v>36.5</v>
          </cell>
          <cell r="BJ334">
            <v>38</v>
          </cell>
          <cell r="BK334">
            <v>39</v>
          </cell>
          <cell r="BL334">
            <v>39.5</v>
          </cell>
          <cell r="BM334">
            <v>40.5</v>
          </cell>
          <cell r="BN334">
            <v>41.5</v>
          </cell>
          <cell r="BO334">
            <v>41.5</v>
          </cell>
          <cell r="BP334">
            <v>41.5</v>
          </cell>
          <cell r="BQ334">
            <v>41.5</v>
          </cell>
          <cell r="BR334">
            <v>41.5</v>
          </cell>
          <cell r="BS334">
            <v>40</v>
          </cell>
          <cell r="BT334">
            <v>40</v>
          </cell>
          <cell r="BU334">
            <v>39.5</v>
          </cell>
          <cell r="BV334">
            <v>38.5</v>
          </cell>
          <cell r="BW334">
            <v>38</v>
          </cell>
          <cell r="BX334">
            <v>36</v>
          </cell>
          <cell r="BY334">
            <v>34</v>
          </cell>
          <cell r="BZ334">
            <v>31</v>
          </cell>
          <cell r="CA334">
            <v>30</v>
          </cell>
          <cell r="CB334">
            <v>32</v>
          </cell>
          <cell r="CC334">
            <v>32</v>
          </cell>
          <cell r="CD334">
            <v>32</v>
          </cell>
          <cell r="CE334">
            <v>32</v>
          </cell>
          <cell r="CF334">
            <v>32</v>
          </cell>
          <cell r="CG334">
            <v>32</v>
          </cell>
          <cell r="CH334">
            <v>33</v>
          </cell>
          <cell r="CI334">
            <v>33</v>
          </cell>
          <cell r="CJ334">
            <v>33</v>
          </cell>
          <cell r="CK334">
            <v>34</v>
          </cell>
          <cell r="CL334">
            <v>34</v>
          </cell>
          <cell r="CM334">
            <v>34</v>
          </cell>
          <cell r="CN334">
            <v>33</v>
          </cell>
          <cell r="CO334">
            <v>33</v>
          </cell>
          <cell r="CP334">
            <v>33</v>
          </cell>
          <cell r="CQ334">
            <v>33</v>
          </cell>
          <cell r="CR334">
            <v>33</v>
          </cell>
          <cell r="CS334">
            <v>33</v>
          </cell>
          <cell r="CT334">
            <v>33</v>
          </cell>
          <cell r="CU334">
            <v>33</v>
          </cell>
          <cell r="CV334">
            <v>33</v>
          </cell>
          <cell r="CW334">
            <v>33</v>
          </cell>
          <cell r="CX334">
            <v>32</v>
          </cell>
          <cell r="CY334">
            <v>32</v>
          </cell>
          <cell r="CZ334">
            <v>32</v>
          </cell>
          <cell r="DA334">
            <v>32</v>
          </cell>
          <cell r="DB334">
            <v>32</v>
          </cell>
          <cell r="DC334">
            <v>32</v>
          </cell>
          <cell r="DD334">
            <v>31</v>
          </cell>
          <cell r="DE334">
            <v>31</v>
          </cell>
          <cell r="DF334">
            <v>33</v>
          </cell>
          <cell r="DG334">
            <v>33</v>
          </cell>
          <cell r="DH334">
            <v>33</v>
          </cell>
          <cell r="DI334">
            <v>33</v>
          </cell>
          <cell r="DJ334">
            <v>33</v>
          </cell>
          <cell r="DK334">
            <v>33</v>
          </cell>
          <cell r="DL334">
            <v>33</v>
          </cell>
          <cell r="DM334">
            <v>33</v>
          </cell>
          <cell r="DN334">
            <v>32</v>
          </cell>
          <cell r="DO334">
            <v>32</v>
          </cell>
          <cell r="DP334">
            <v>32</v>
          </cell>
          <cell r="DQ334">
            <v>32</v>
          </cell>
          <cell r="DR334">
            <v>32</v>
          </cell>
          <cell r="DS334">
            <v>32</v>
          </cell>
          <cell r="DT334">
            <v>31</v>
          </cell>
          <cell r="DU334">
            <v>31</v>
          </cell>
        </row>
        <row r="336">
          <cell r="F336" t="str">
            <v>Methanol</v>
          </cell>
          <cell r="H336">
            <v>34</v>
          </cell>
          <cell r="I336">
            <v>32</v>
          </cell>
          <cell r="J336">
            <v>33</v>
          </cell>
          <cell r="K336">
            <v>38</v>
          </cell>
          <cell r="L336">
            <v>48</v>
          </cell>
          <cell r="M336">
            <v>55</v>
          </cell>
          <cell r="N336">
            <v>58</v>
          </cell>
          <cell r="O336">
            <v>58</v>
          </cell>
          <cell r="P336">
            <v>61</v>
          </cell>
          <cell r="Q336">
            <v>59</v>
          </cell>
          <cell r="R336">
            <v>54</v>
          </cell>
          <cell r="S336">
            <v>48</v>
          </cell>
          <cell r="T336">
            <v>47</v>
          </cell>
          <cell r="U336">
            <v>42</v>
          </cell>
          <cell r="V336">
            <v>42</v>
          </cell>
          <cell r="W336">
            <v>43.5</v>
          </cell>
          <cell r="X336">
            <v>45</v>
          </cell>
          <cell r="Y336">
            <v>46.5</v>
          </cell>
          <cell r="Z336">
            <v>45.5</v>
          </cell>
          <cell r="AA336">
            <v>43.5</v>
          </cell>
          <cell r="AB336">
            <v>43.5</v>
          </cell>
          <cell r="AC336">
            <v>43.5</v>
          </cell>
          <cell r="AD336">
            <v>43</v>
          </cell>
          <cell r="AE336">
            <v>41</v>
          </cell>
          <cell r="AF336">
            <v>39</v>
          </cell>
          <cell r="AG336">
            <v>37</v>
          </cell>
          <cell r="AH336">
            <v>40.5</v>
          </cell>
          <cell r="AI336">
            <v>44</v>
          </cell>
          <cell r="AJ336">
            <v>45</v>
          </cell>
          <cell r="AK336">
            <v>45</v>
          </cell>
          <cell r="AL336">
            <v>45</v>
          </cell>
          <cell r="AM336">
            <v>44</v>
          </cell>
          <cell r="AN336">
            <v>43</v>
          </cell>
          <cell r="AO336">
            <v>43</v>
          </cell>
          <cell r="AP336">
            <v>45</v>
          </cell>
          <cell r="AQ336">
            <v>47</v>
          </cell>
          <cell r="AR336">
            <v>47</v>
          </cell>
          <cell r="AS336">
            <v>48</v>
          </cell>
          <cell r="AT336">
            <v>48</v>
          </cell>
          <cell r="AU336">
            <v>48</v>
          </cell>
          <cell r="AV336">
            <v>51</v>
          </cell>
          <cell r="AW336">
            <v>53</v>
          </cell>
          <cell r="AX336">
            <v>53</v>
          </cell>
          <cell r="AY336">
            <v>55</v>
          </cell>
          <cell r="AZ336">
            <v>58</v>
          </cell>
          <cell r="BA336">
            <v>62</v>
          </cell>
          <cell r="BB336">
            <v>66</v>
          </cell>
          <cell r="BC336">
            <v>72</v>
          </cell>
          <cell r="BD336">
            <v>82</v>
          </cell>
          <cell r="BE336">
            <v>102</v>
          </cell>
          <cell r="BF336">
            <v>120</v>
          </cell>
          <cell r="BG336">
            <v>130</v>
          </cell>
          <cell r="BH336">
            <v>150</v>
          </cell>
          <cell r="BI336">
            <v>155</v>
          </cell>
          <cell r="BJ336">
            <v>155</v>
          </cell>
          <cell r="BK336">
            <v>155</v>
          </cell>
          <cell r="BL336">
            <v>90</v>
          </cell>
          <cell r="BM336">
            <v>55</v>
          </cell>
          <cell r="BN336">
            <v>50</v>
          </cell>
          <cell r="BO336">
            <v>45</v>
          </cell>
          <cell r="BP336">
            <v>45</v>
          </cell>
          <cell r="BQ336">
            <v>43</v>
          </cell>
          <cell r="BR336">
            <v>42</v>
          </cell>
          <cell r="BS336">
            <v>42</v>
          </cell>
          <cell r="BT336">
            <v>42</v>
          </cell>
          <cell r="BU336">
            <v>42</v>
          </cell>
          <cell r="BV336">
            <v>39.6875</v>
          </cell>
          <cell r="BW336">
            <v>41.875</v>
          </cell>
          <cell r="BX336">
            <v>37.96875</v>
          </cell>
          <cell r="BY336">
            <v>38.4375</v>
          </cell>
          <cell r="BZ336">
            <v>40</v>
          </cell>
          <cell r="CA336">
            <v>41.875</v>
          </cell>
          <cell r="CB336">
            <v>46.25</v>
          </cell>
          <cell r="CC336">
            <v>47.96875</v>
          </cell>
          <cell r="CD336">
            <v>47.5</v>
          </cell>
          <cell r="CE336">
            <v>47.65625</v>
          </cell>
          <cell r="CF336">
            <v>48.125</v>
          </cell>
          <cell r="CG336">
            <v>50</v>
          </cell>
          <cell r="CH336">
            <v>54.375</v>
          </cell>
          <cell r="CI336">
            <v>58.4375</v>
          </cell>
          <cell r="CJ336">
            <v>59.21875</v>
          </cell>
          <cell r="CK336">
            <v>59.21875</v>
          </cell>
          <cell r="CL336">
            <v>58.90625</v>
          </cell>
          <cell r="CM336">
            <v>58.90625</v>
          </cell>
          <cell r="CN336">
            <v>58.90625</v>
          </cell>
          <cell r="CO336">
            <v>59.0625</v>
          </cell>
          <cell r="CP336">
            <v>58.90625</v>
          </cell>
          <cell r="CQ336">
            <v>58.59375</v>
          </cell>
          <cell r="CR336">
            <v>58.4375</v>
          </cell>
          <cell r="CS336">
            <v>58.125</v>
          </cell>
          <cell r="CT336">
            <v>56.5625</v>
          </cell>
          <cell r="CU336">
            <v>45.625</v>
          </cell>
          <cell r="CV336">
            <v>54</v>
          </cell>
          <cell r="CW336">
            <v>47</v>
          </cell>
          <cell r="CX336">
            <v>47</v>
          </cell>
          <cell r="CY336">
            <v>47</v>
          </cell>
          <cell r="CZ336">
            <v>43</v>
          </cell>
          <cell r="DA336">
            <v>43</v>
          </cell>
          <cell r="DB336">
            <v>43</v>
          </cell>
          <cell r="DC336">
            <v>33</v>
          </cell>
          <cell r="DD336">
            <v>33</v>
          </cell>
          <cell r="DE336">
            <v>33</v>
          </cell>
          <cell r="DF336">
            <v>58.90625</v>
          </cell>
          <cell r="DG336">
            <v>58.59375</v>
          </cell>
          <cell r="DH336">
            <v>58.4375</v>
          </cell>
          <cell r="DI336">
            <v>58.125</v>
          </cell>
          <cell r="DJ336">
            <v>56.5625</v>
          </cell>
          <cell r="DK336">
            <v>45.625</v>
          </cell>
          <cell r="DL336">
            <v>54</v>
          </cell>
          <cell r="DM336">
            <v>47</v>
          </cell>
          <cell r="DN336">
            <v>47</v>
          </cell>
          <cell r="DO336">
            <v>47</v>
          </cell>
          <cell r="DP336">
            <v>43</v>
          </cell>
          <cell r="DQ336">
            <v>43</v>
          </cell>
          <cell r="DR336">
            <v>43</v>
          </cell>
          <cell r="DS336">
            <v>33</v>
          </cell>
          <cell r="DT336">
            <v>33</v>
          </cell>
          <cell r="DU336">
            <v>33</v>
          </cell>
        </row>
        <row r="337">
          <cell r="F337" t="str">
            <v>Ethylene</v>
          </cell>
          <cell r="H337">
            <v>23</v>
          </cell>
          <cell r="I337">
            <v>23</v>
          </cell>
          <cell r="J337">
            <v>26</v>
          </cell>
          <cell r="K337">
            <v>28</v>
          </cell>
          <cell r="L337">
            <v>30</v>
          </cell>
          <cell r="M337">
            <v>30</v>
          </cell>
          <cell r="N337">
            <v>28</v>
          </cell>
          <cell r="O337">
            <v>26</v>
          </cell>
          <cell r="P337">
            <v>24</v>
          </cell>
          <cell r="Q337">
            <v>22.5</v>
          </cell>
          <cell r="R337">
            <v>21.2</v>
          </cell>
          <cell r="S337">
            <v>20</v>
          </cell>
          <cell r="T337">
            <v>18</v>
          </cell>
          <cell r="U337">
            <v>18</v>
          </cell>
          <cell r="V337">
            <v>18</v>
          </cell>
          <cell r="W337">
            <v>20</v>
          </cell>
          <cell r="X337">
            <v>21</v>
          </cell>
          <cell r="Y337">
            <v>21</v>
          </cell>
          <cell r="Z337">
            <v>17.489397248307501</v>
          </cell>
          <cell r="AA337">
            <v>16.733020310111399</v>
          </cell>
          <cell r="AB337">
            <v>16.258309674601399</v>
          </cell>
          <cell r="AC337">
            <v>16.109532649049999</v>
          </cell>
          <cell r="AD337">
            <v>16.063791220790598</v>
          </cell>
          <cell r="AE337">
            <v>17.0454793623062</v>
          </cell>
          <cell r="AF337">
            <v>17.9047608648176</v>
          </cell>
          <cell r="AG337">
            <v>18.4047608648176</v>
          </cell>
          <cell r="AH337">
            <v>19.1458943000655</v>
          </cell>
          <cell r="AI337">
            <v>19.623542258135</v>
          </cell>
          <cell r="AJ337">
            <v>19.589157021183699</v>
          </cell>
          <cell r="AK337">
            <v>19.1007097619568</v>
          </cell>
          <cell r="AL337">
            <v>18.579999999999998</v>
          </cell>
          <cell r="AM337">
            <v>18.25</v>
          </cell>
          <cell r="AN337">
            <v>17.98</v>
          </cell>
          <cell r="AO337">
            <v>17.989999999999998</v>
          </cell>
          <cell r="AP337">
            <v>17.93</v>
          </cell>
          <cell r="AQ337">
            <v>17.89</v>
          </cell>
          <cell r="AR337">
            <v>17.78</v>
          </cell>
          <cell r="AS337">
            <v>17.68</v>
          </cell>
          <cell r="AT337">
            <v>17.489999999999998</v>
          </cell>
          <cell r="AU337">
            <v>17.41</v>
          </cell>
          <cell r="AV337">
            <v>17.05</v>
          </cell>
          <cell r="AW337">
            <v>16.8</v>
          </cell>
          <cell r="AX337">
            <v>16.43</v>
          </cell>
          <cell r="AY337">
            <v>16.21</v>
          </cell>
          <cell r="AZ337">
            <v>16.61</v>
          </cell>
          <cell r="BA337">
            <v>17.104500000000002</v>
          </cell>
          <cell r="BB337">
            <v>18.09225</v>
          </cell>
          <cell r="BC337">
            <v>19.057500000000001</v>
          </cell>
          <cell r="BD337">
            <v>20.048999999999999</v>
          </cell>
          <cell r="BE337">
            <v>21.027000000000001</v>
          </cell>
          <cell r="BF337">
            <v>22.936</v>
          </cell>
          <cell r="BG337">
            <v>24.913499999999999</v>
          </cell>
          <cell r="BH337">
            <v>25.890499999999999</v>
          </cell>
          <cell r="BI337">
            <v>26.46</v>
          </cell>
          <cell r="BJ337">
            <v>27.37</v>
          </cell>
          <cell r="BK337">
            <v>28.332999999999998</v>
          </cell>
          <cell r="BL337">
            <v>28.274999999999999</v>
          </cell>
          <cell r="BM337">
            <v>28.245999999999999</v>
          </cell>
          <cell r="BN337">
            <v>28.216999999999999</v>
          </cell>
          <cell r="BO337">
            <v>27.616499999999998</v>
          </cell>
          <cell r="BP337">
            <v>26.62</v>
          </cell>
          <cell r="BQ337">
            <v>25.050999999999998</v>
          </cell>
          <cell r="BR337">
            <v>23.1525</v>
          </cell>
          <cell r="BS337">
            <v>20.872499999999999</v>
          </cell>
          <cell r="BT337">
            <v>19.496400000000001</v>
          </cell>
          <cell r="BU337">
            <v>18.248999999999999</v>
          </cell>
          <cell r="BV337">
            <v>18</v>
          </cell>
          <cell r="BW337">
            <v>18</v>
          </cell>
          <cell r="BX337">
            <v>18.973500000000001</v>
          </cell>
          <cell r="BY337">
            <v>20.25</v>
          </cell>
          <cell r="BZ337">
            <v>21.220500000000001</v>
          </cell>
          <cell r="CA337">
            <v>22.172499999999999</v>
          </cell>
          <cell r="CB337">
            <v>22.6</v>
          </cell>
          <cell r="CC337">
            <v>23.103000000000002</v>
          </cell>
          <cell r="CD337">
            <v>23.465</v>
          </cell>
          <cell r="CE337">
            <v>23.706375000000001</v>
          </cell>
          <cell r="CF337">
            <v>23.823499999999999</v>
          </cell>
          <cell r="CG337">
            <v>24.75</v>
          </cell>
          <cell r="CH337">
            <v>25.712699999999998</v>
          </cell>
          <cell r="CI337">
            <v>25.712699999999998</v>
          </cell>
          <cell r="CJ337">
            <v>25.712699999999998</v>
          </cell>
          <cell r="CK337">
            <v>25.65</v>
          </cell>
          <cell r="CL337">
            <v>25.2</v>
          </cell>
          <cell r="CM337">
            <v>24.653749999999999</v>
          </cell>
          <cell r="CN337">
            <v>24.653749999999999</v>
          </cell>
          <cell r="CO337">
            <v>24.598749999999999</v>
          </cell>
          <cell r="CP337">
            <v>24.447500000000002</v>
          </cell>
          <cell r="CQ337">
            <v>23.948999999999998</v>
          </cell>
          <cell r="CR337">
            <v>23.452500000000001</v>
          </cell>
          <cell r="CS337">
            <v>22.672875000000001</v>
          </cell>
          <cell r="CT337">
            <v>21.9</v>
          </cell>
          <cell r="CU337">
            <v>20.8</v>
          </cell>
          <cell r="CV337">
            <v>19.7</v>
          </cell>
          <cell r="CW337">
            <v>18.7</v>
          </cell>
          <cell r="CX337">
            <v>17.95</v>
          </cell>
          <cell r="CY337">
            <v>17.45</v>
          </cell>
          <cell r="CZ337">
            <v>16.95</v>
          </cell>
          <cell r="DA337">
            <v>16.45</v>
          </cell>
          <cell r="DB337">
            <v>15.95</v>
          </cell>
          <cell r="DC337">
            <v>15.95</v>
          </cell>
          <cell r="DD337">
            <v>15.95</v>
          </cell>
          <cell r="DE337">
            <v>15.95</v>
          </cell>
          <cell r="DF337">
            <v>24.447500000000002</v>
          </cell>
          <cell r="DG337">
            <v>23.948999999999998</v>
          </cell>
          <cell r="DH337">
            <v>23.452500000000001</v>
          </cell>
          <cell r="DI337">
            <v>22.672875000000001</v>
          </cell>
          <cell r="DJ337">
            <v>21.9</v>
          </cell>
          <cell r="DK337">
            <v>20.8</v>
          </cell>
          <cell r="DL337">
            <v>19.7</v>
          </cell>
          <cell r="DM337">
            <v>18.7</v>
          </cell>
          <cell r="DN337">
            <v>17.95</v>
          </cell>
          <cell r="DO337">
            <v>17.45</v>
          </cell>
          <cell r="DP337">
            <v>16.95</v>
          </cell>
          <cell r="DQ337">
            <v>16.45</v>
          </cell>
          <cell r="DR337">
            <v>15.95</v>
          </cell>
          <cell r="DS337">
            <v>15.95</v>
          </cell>
          <cell r="DT337">
            <v>15.95</v>
          </cell>
          <cell r="DU337">
            <v>15.95</v>
          </cell>
        </row>
        <row r="339">
          <cell r="F339" t="str">
            <v>Methanol cost</v>
          </cell>
          <cell r="H339">
            <v>1.9040000000000001</v>
          </cell>
          <cell r="I339">
            <v>1.792</v>
          </cell>
          <cell r="J339">
            <v>1.8480000000000001</v>
          </cell>
          <cell r="K339">
            <v>2.1280000000000001</v>
          </cell>
          <cell r="L339">
            <v>2.6880000000000002</v>
          </cell>
          <cell r="M339">
            <v>3.08</v>
          </cell>
          <cell r="N339">
            <v>3.2480000000000002</v>
          </cell>
          <cell r="O339">
            <v>3.2480000000000002</v>
          </cell>
          <cell r="P339">
            <v>3.4159999999999999</v>
          </cell>
          <cell r="Q339">
            <v>3.3040000000000003</v>
          </cell>
          <cell r="R339">
            <v>3.024</v>
          </cell>
          <cell r="S339">
            <v>2.6880000000000002</v>
          </cell>
          <cell r="T339">
            <v>2.6320000000000001</v>
          </cell>
          <cell r="U339">
            <v>2.3519999999999999</v>
          </cell>
          <cell r="V339">
            <v>2.3519999999999999</v>
          </cell>
          <cell r="W339">
            <v>2.4359999999999999</v>
          </cell>
          <cell r="X339">
            <v>2.52</v>
          </cell>
          <cell r="Y339">
            <v>2.6040000000000001</v>
          </cell>
          <cell r="Z339">
            <v>2.548</v>
          </cell>
          <cell r="AA339">
            <v>2.4359999999999999</v>
          </cell>
          <cell r="AB339">
            <v>2.4359999999999999</v>
          </cell>
          <cell r="AC339">
            <v>2.4359999999999999</v>
          </cell>
          <cell r="AD339">
            <v>2.4079999999999999</v>
          </cell>
          <cell r="AE339">
            <v>2.2960000000000003</v>
          </cell>
          <cell r="AF339">
            <v>2.1840000000000002</v>
          </cell>
          <cell r="AG339">
            <v>2.0720000000000001</v>
          </cell>
          <cell r="AH339">
            <v>2.2680000000000002</v>
          </cell>
          <cell r="AI339">
            <v>2.464</v>
          </cell>
          <cell r="AJ339">
            <v>2.52</v>
          </cell>
          <cell r="AK339">
            <v>2.52</v>
          </cell>
          <cell r="AL339">
            <v>2.52</v>
          </cell>
          <cell r="AM339">
            <v>2.464</v>
          </cell>
          <cell r="AN339">
            <v>2.4079999999999999</v>
          </cell>
          <cell r="AO339">
            <v>2.4079999999999999</v>
          </cell>
          <cell r="AP339">
            <v>2.52</v>
          </cell>
          <cell r="AQ339">
            <v>2.6320000000000001</v>
          </cell>
          <cell r="AR339">
            <v>2.6320000000000001</v>
          </cell>
          <cell r="AS339">
            <v>2.6880000000000002</v>
          </cell>
          <cell r="AT339">
            <v>2.6880000000000002</v>
          </cell>
          <cell r="AU339">
            <v>2.6880000000000002</v>
          </cell>
          <cell r="AV339">
            <v>2.8559999999999999</v>
          </cell>
          <cell r="AW339">
            <v>2.968</v>
          </cell>
          <cell r="AX339">
            <v>2.968</v>
          </cell>
          <cell r="AY339">
            <v>3.08</v>
          </cell>
          <cell r="AZ339">
            <v>3.2480000000000002</v>
          </cell>
          <cell r="BA339">
            <v>3.472</v>
          </cell>
          <cell r="BB339">
            <v>3.6960000000000002</v>
          </cell>
          <cell r="BC339">
            <v>4.032</v>
          </cell>
          <cell r="BD339">
            <v>4.5920000000000005</v>
          </cell>
          <cell r="BE339">
            <v>5.7119999999999997</v>
          </cell>
          <cell r="BF339">
            <v>6.72</v>
          </cell>
          <cell r="BG339">
            <v>7.28</v>
          </cell>
          <cell r="BH339">
            <v>8.4</v>
          </cell>
          <cell r="BI339">
            <v>8.68</v>
          </cell>
          <cell r="BJ339">
            <v>8.68</v>
          </cell>
          <cell r="BK339">
            <v>8.68</v>
          </cell>
          <cell r="BL339">
            <v>5.04</v>
          </cell>
          <cell r="BM339">
            <v>3.08</v>
          </cell>
          <cell r="BN339">
            <v>2.8000000000000003</v>
          </cell>
          <cell r="BO339">
            <v>2.52</v>
          </cell>
          <cell r="BP339">
            <v>2.52</v>
          </cell>
          <cell r="BQ339">
            <v>2.4079999999999999</v>
          </cell>
          <cell r="BR339">
            <v>2.3519999999999999</v>
          </cell>
          <cell r="BS339">
            <v>2.3519999999999999</v>
          </cell>
          <cell r="BT339">
            <v>2.3519999999999999</v>
          </cell>
          <cell r="BU339">
            <v>2.3519999999999999</v>
          </cell>
          <cell r="BV339">
            <v>2.2225000000000001</v>
          </cell>
          <cell r="BW339">
            <v>2.3450000000000002</v>
          </cell>
          <cell r="BX339">
            <v>2.1262500000000002</v>
          </cell>
          <cell r="BY339">
            <v>2.1524999999999999</v>
          </cell>
          <cell r="BZ339">
            <v>2.2400000000000002</v>
          </cell>
          <cell r="CA339">
            <v>2.3450000000000002</v>
          </cell>
          <cell r="CB339">
            <v>2.59</v>
          </cell>
          <cell r="CC339">
            <v>2.6862500000000002</v>
          </cell>
          <cell r="CD339">
            <v>2.66</v>
          </cell>
          <cell r="CE339">
            <v>2.6687500000000002</v>
          </cell>
          <cell r="CF339">
            <v>2.6949999999999998</v>
          </cell>
          <cell r="CG339">
            <v>2.8000000000000003</v>
          </cell>
          <cell r="CH339">
            <v>3.0449999999999999</v>
          </cell>
          <cell r="CI339">
            <v>3.2725</v>
          </cell>
          <cell r="CJ339">
            <v>3.3162500000000001</v>
          </cell>
          <cell r="CK339">
            <v>3.3162500000000001</v>
          </cell>
          <cell r="CL339">
            <v>3.2987500000000001</v>
          </cell>
          <cell r="CM339">
            <v>3.2987500000000001</v>
          </cell>
          <cell r="CN339">
            <v>3.2987500000000001</v>
          </cell>
          <cell r="CO339">
            <v>3.3075000000000001</v>
          </cell>
          <cell r="CP339">
            <v>3.2987500000000001</v>
          </cell>
          <cell r="CQ339">
            <v>3.28125</v>
          </cell>
          <cell r="CR339">
            <v>3.2725</v>
          </cell>
          <cell r="CS339">
            <v>3.2549999999999999</v>
          </cell>
          <cell r="CT339">
            <v>3.1675</v>
          </cell>
          <cell r="CU339">
            <v>2.5550000000000002</v>
          </cell>
          <cell r="CV339">
            <v>3.024</v>
          </cell>
          <cell r="CW339">
            <v>2.6320000000000001</v>
          </cell>
          <cell r="CX339">
            <v>2.6320000000000001</v>
          </cell>
          <cell r="CY339">
            <v>2.6320000000000001</v>
          </cell>
          <cell r="CZ339">
            <v>2.4079999999999999</v>
          </cell>
          <cell r="DA339">
            <v>2.4079999999999999</v>
          </cell>
          <cell r="DB339">
            <v>2.4079999999999999</v>
          </cell>
          <cell r="DC339">
            <v>1.8480000000000001</v>
          </cell>
          <cell r="DD339">
            <v>1.8480000000000001</v>
          </cell>
          <cell r="DE339">
            <v>1.8480000000000001</v>
          </cell>
          <cell r="DF339">
            <v>3.2987500000000001</v>
          </cell>
          <cell r="DG339">
            <v>3.28125</v>
          </cell>
          <cell r="DH339">
            <v>3.2725</v>
          </cell>
          <cell r="DI339">
            <v>3.2549999999999999</v>
          </cell>
          <cell r="DJ339">
            <v>3.1675</v>
          </cell>
          <cell r="DK339">
            <v>2.5550000000000002</v>
          </cell>
          <cell r="DL339">
            <v>3.024</v>
          </cell>
          <cell r="DM339">
            <v>2.6320000000000001</v>
          </cell>
          <cell r="DN339">
            <v>2.6320000000000001</v>
          </cell>
          <cell r="DO339">
            <v>2.6320000000000001</v>
          </cell>
          <cell r="DP339">
            <v>2.4079999999999999</v>
          </cell>
          <cell r="DQ339">
            <v>2.4079999999999999</v>
          </cell>
          <cell r="DR339">
            <v>2.4079999999999999</v>
          </cell>
          <cell r="DS339">
            <v>1.8480000000000001</v>
          </cell>
          <cell r="DT339">
            <v>1.8480000000000001</v>
          </cell>
          <cell r="DU339">
            <v>1.8480000000000001</v>
          </cell>
        </row>
        <row r="340">
          <cell r="F340" t="str">
            <v>Ethylene cost</v>
          </cell>
          <cell r="H340">
            <v>7.82</v>
          </cell>
          <cell r="I340">
            <v>7.82</v>
          </cell>
          <cell r="J340">
            <v>8.84</v>
          </cell>
          <cell r="K340">
            <v>9.5200000000000014</v>
          </cell>
          <cell r="L340">
            <v>10.200000000000001</v>
          </cell>
          <cell r="M340">
            <v>10.200000000000001</v>
          </cell>
          <cell r="N340">
            <v>9.5200000000000014</v>
          </cell>
          <cell r="O340">
            <v>8.84</v>
          </cell>
          <cell r="P340">
            <v>8.16</v>
          </cell>
          <cell r="Q340">
            <v>7.65</v>
          </cell>
          <cell r="R340">
            <v>7.2080000000000002</v>
          </cell>
          <cell r="S340">
            <v>6.8000000000000007</v>
          </cell>
          <cell r="T340">
            <v>6.12</v>
          </cell>
          <cell r="U340">
            <v>6.12</v>
          </cell>
          <cell r="V340">
            <v>6.12</v>
          </cell>
          <cell r="W340">
            <v>6.8000000000000007</v>
          </cell>
          <cell r="X340">
            <v>7.1400000000000006</v>
          </cell>
          <cell r="Y340">
            <v>7.1400000000000006</v>
          </cell>
          <cell r="Z340">
            <v>5.9463950644245509</v>
          </cell>
          <cell r="AA340">
            <v>5.6892269054378763</v>
          </cell>
          <cell r="AB340">
            <v>5.5278252893644764</v>
          </cell>
          <cell r="AC340">
            <v>5.4772411006770003</v>
          </cell>
          <cell r="AD340">
            <v>5.4616890150688038</v>
          </cell>
          <cell r="AE340">
            <v>5.795462983184108</v>
          </cell>
          <cell r="AF340">
            <v>6.0876186940379844</v>
          </cell>
          <cell r="AG340">
            <v>6.2576186940379843</v>
          </cell>
          <cell r="AH340">
            <v>6.5096040620222704</v>
          </cell>
          <cell r="AI340">
            <v>6.6720043677659007</v>
          </cell>
          <cell r="AJ340">
            <v>6.660313387202458</v>
          </cell>
          <cell r="AK340">
            <v>6.4942413190653125</v>
          </cell>
          <cell r="AL340">
            <v>6.3171999999999997</v>
          </cell>
          <cell r="AM340">
            <v>6.2050000000000001</v>
          </cell>
          <cell r="AN340">
            <v>6.1132000000000009</v>
          </cell>
          <cell r="AO340">
            <v>6.1166</v>
          </cell>
          <cell r="AP340">
            <v>6.0962000000000005</v>
          </cell>
          <cell r="AQ340">
            <v>6.0826000000000002</v>
          </cell>
          <cell r="AR340">
            <v>6.0452000000000012</v>
          </cell>
          <cell r="AS340">
            <v>6.0112000000000005</v>
          </cell>
          <cell r="AT340">
            <v>5.9466000000000001</v>
          </cell>
          <cell r="AU340">
            <v>5.9194000000000004</v>
          </cell>
          <cell r="AV340">
            <v>5.7970000000000006</v>
          </cell>
          <cell r="AW340">
            <v>5.7120000000000006</v>
          </cell>
          <cell r="AX340">
            <v>5.5862000000000007</v>
          </cell>
          <cell r="AY340">
            <v>5.511400000000001</v>
          </cell>
          <cell r="AZ340">
            <v>5.6474000000000002</v>
          </cell>
          <cell r="BA340">
            <v>5.8155300000000008</v>
          </cell>
          <cell r="BB340">
            <v>6.1513650000000002</v>
          </cell>
          <cell r="BC340">
            <v>6.4795500000000006</v>
          </cell>
          <cell r="BD340">
            <v>6.8166600000000006</v>
          </cell>
          <cell r="BE340">
            <v>7.1491800000000012</v>
          </cell>
          <cell r="BF340">
            <v>7.7982400000000007</v>
          </cell>
          <cell r="BG340">
            <v>8.4705899999999996</v>
          </cell>
          <cell r="BH340">
            <v>8.8027700000000006</v>
          </cell>
          <cell r="BI340">
            <v>8.9964000000000013</v>
          </cell>
          <cell r="BJ340">
            <v>9.3058000000000014</v>
          </cell>
          <cell r="BK340">
            <v>9.6332199999999997</v>
          </cell>
          <cell r="BL340">
            <v>9.6135000000000002</v>
          </cell>
          <cell r="BM340">
            <v>9.6036400000000004</v>
          </cell>
          <cell r="BN340">
            <v>9.5937800000000006</v>
          </cell>
          <cell r="BO340">
            <v>9.3896099999999993</v>
          </cell>
          <cell r="BP340">
            <v>9.0508000000000006</v>
          </cell>
          <cell r="BQ340">
            <v>8.5173400000000008</v>
          </cell>
          <cell r="BR340">
            <v>7.8718500000000002</v>
          </cell>
          <cell r="BS340">
            <v>7.0966500000000003</v>
          </cell>
          <cell r="BT340">
            <v>6.6287760000000011</v>
          </cell>
          <cell r="BU340">
            <v>6.2046599999999996</v>
          </cell>
          <cell r="BV340">
            <v>6.12</v>
          </cell>
          <cell r="BW340">
            <v>6.12</v>
          </cell>
          <cell r="BX340">
            <v>6.4509900000000009</v>
          </cell>
          <cell r="BY340">
            <v>6.8850000000000007</v>
          </cell>
          <cell r="BZ340">
            <v>7.214970000000001</v>
          </cell>
          <cell r="CA340">
            <v>7.5386500000000005</v>
          </cell>
          <cell r="CB340">
            <v>7.6840000000000011</v>
          </cell>
          <cell r="CC340">
            <v>7.8550200000000014</v>
          </cell>
          <cell r="CD340">
            <v>7.9781000000000004</v>
          </cell>
          <cell r="CE340">
            <v>8.0601675000000004</v>
          </cell>
          <cell r="CF340">
            <v>8.09999</v>
          </cell>
          <cell r="CG340">
            <v>8.4150000000000009</v>
          </cell>
          <cell r="CH340">
            <v>8.7423179999999991</v>
          </cell>
          <cell r="CI340">
            <v>8.7423179999999991</v>
          </cell>
          <cell r="CJ340">
            <v>8.7423179999999991</v>
          </cell>
          <cell r="CK340">
            <v>8.7210000000000001</v>
          </cell>
          <cell r="CL340">
            <v>8.5679999999999996</v>
          </cell>
          <cell r="CM340">
            <v>8.3822749999999999</v>
          </cell>
          <cell r="CN340">
            <v>8.3822749999999999</v>
          </cell>
          <cell r="CO340">
            <v>8.3635750000000009</v>
          </cell>
          <cell r="CP340">
            <v>8.3121500000000008</v>
          </cell>
          <cell r="CQ340">
            <v>8.1426599999999993</v>
          </cell>
          <cell r="CR340">
            <v>7.9738500000000005</v>
          </cell>
          <cell r="CS340">
            <v>7.7087775000000009</v>
          </cell>
          <cell r="CT340">
            <v>7.4459999999999997</v>
          </cell>
          <cell r="CU340">
            <v>7.072000000000001</v>
          </cell>
          <cell r="CV340">
            <v>6.6980000000000004</v>
          </cell>
          <cell r="CW340">
            <v>6.3580000000000005</v>
          </cell>
          <cell r="CX340">
            <v>6.1029999999999998</v>
          </cell>
          <cell r="CY340">
            <v>5.9329999999999998</v>
          </cell>
          <cell r="CZ340">
            <v>5.7629999999999999</v>
          </cell>
          <cell r="DA340">
            <v>5.593</v>
          </cell>
          <cell r="DB340">
            <v>5.423</v>
          </cell>
          <cell r="DC340">
            <v>5.423</v>
          </cell>
          <cell r="DD340">
            <v>5.423</v>
          </cell>
          <cell r="DE340">
            <v>5.423</v>
          </cell>
          <cell r="DF340">
            <v>8.3121500000000008</v>
          </cell>
          <cell r="DG340">
            <v>8.1426599999999993</v>
          </cell>
          <cell r="DH340">
            <v>7.9738500000000005</v>
          </cell>
          <cell r="DI340">
            <v>7.7087775000000009</v>
          </cell>
          <cell r="DJ340">
            <v>7.4459999999999997</v>
          </cell>
          <cell r="DK340">
            <v>7.072000000000001</v>
          </cell>
          <cell r="DL340">
            <v>6.6980000000000004</v>
          </cell>
          <cell r="DM340">
            <v>6.3580000000000005</v>
          </cell>
          <cell r="DN340">
            <v>6.1029999999999998</v>
          </cell>
          <cell r="DO340">
            <v>5.9329999999999998</v>
          </cell>
          <cell r="DP340">
            <v>5.7629999999999999</v>
          </cell>
          <cell r="DQ340">
            <v>5.593</v>
          </cell>
          <cell r="DR340">
            <v>5.423</v>
          </cell>
          <cell r="DS340">
            <v>5.423</v>
          </cell>
          <cell r="DT340">
            <v>5.423</v>
          </cell>
          <cell r="DU340">
            <v>5.423</v>
          </cell>
        </row>
        <row r="342">
          <cell r="F342" t="str">
            <v xml:space="preserve"> Spread</v>
          </cell>
          <cell r="H342">
            <v>22.276</v>
          </cell>
          <cell r="I342">
            <v>22.387999999999998</v>
          </cell>
          <cell r="J342">
            <v>21.312000000000001</v>
          </cell>
          <cell r="K342">
            <v>22.851999999999997</v>
          </cell>
          <cell r="L342">
            <v>23.611999999999995</v>
          </cell>
          <cell r="M342">
            <v>23.22</v>
          </cell>
          <cell r="N342">
            <v>23.731999999999999</v>
          </cell>
          <cell r="O342">
            <v>24.412000000000003</v>
          </cell>
          <cell r="P342">
            <v>24.924000000000003</v>
          </cell>
          <cell r="Q342">
            <v>23.545999999999999</v>
          </cell>
          <cell r="R342">
            <v>24.268000000000001</v>
          </cell>
          <cell r="S342">
            <v>25.012</v>
          </cell>
          <cell r="T342">
            <v>24.247999999999998</v>
          </cell>
          <cell r="U342">
            <v>23.527999999999999</v>
          </cell>
          <cell r="V342">
            <v>23.527999999999999</v>
          </cell>
          <cell r="W342">
            <v>22.763999999999999</v>
          </cell>
          <cell r="X342">
            <v>22.34</v>
          </cell>
          <cell r="Y342">
            <v>22.256</v>
          </cell>
          <cell r="Z342">
            <v>24.505604935575448</v>
          </cell>
          <cell r="AA342">
            <v>23.874773094562123</v>
          </cell>
          <cell r="AB342">
            <v>23.036174710635525</v>
          </cell>
          <cell r="AC342">
            <v>23.086758899323002</v>
          </cell>
          <cell r="AD342">
            <v>23.130310984931196</v>
          </cell>
          <cell r="AE342">
            <v>21.908537016815892</v>
          </cell>
          <cell r="AF342">
            <v>21.728381305962014</v>
          </cell>
          <cell r="AG342">
            <v>21.670381305962017</v>
          </cell>
          <cell r="AH342">
            <v>21.22239593797773</v>
          </cell>
          <cell r="AI342">
            <v>20.863995632234101</v>
          </cell>
          <cell r="AJ342">
            <v>20.819686612797543</v>
          </cell>
          <cell r="AK342">
            <v>20.985758680934687</v>
          </cell>
          <cell r="AL342">
            <v>22.162800000000001</v>
          </cell>
          <cell r="AM342">
            <v>22.331000000000003</v>
          </cell>
          <cell r="AN342">
            <v>22.4788</v>
          </cell>
          <cell r="AO342">
            <v>21.9754</v>
          </cell>
          <cell r="AP342">
            <v>21.883800000000001</v>
          </cell>
          <cell r="AQ342">
            <v>21.785399999999999</v>
          </cell>
          <cell r="AR342">
            <v>21.822799999999997</v>
          </cell>
          <cell r="AS342">
            <v>22.800800000000002</v>
          </cell>
          <cell r="AT342">
            <v>22.865400000000001</v>
          </cell>
          <cell r="AU342">
            <v>22.892600000000002</v>
          </cell>
          <cell r="AV342">
            <v>22.846999999999998</v>
          </cell>
          <cell r="AW342">
            <v>22.82</v>
          </cell>
          <cell r="AX342">
            <v>22.945799999999998</v>
          </cell>
          <cell r="AY342">
            <v>22.9086</v>
          </cell>
          <cell r="AZ342">
            <v>22.604599999999998</v>
          </cell>
          <cell r="BA342">
            <v>22.212469999999996</v>
          </cell>
          <cell r="BB342">
            <v>21.652634999999997</v>
          </cell>
          <cell r="BC342">
            <v>20.98845</v>
          </cell>
          <cell r="BD342">
            <v>21.091340000000002</v>
          </cell>
          <cell r="BE342">
            <v>20.138819999999999</v>
          </cell>
          <cell r="BF342">
            <v>18.981760000000001</v>
          </cell>
          <cell r="BG342">
            <v>18.749409999999997</v>
          </cell>
          <cell r="BH342">
            <v>17.797229999999999</v>
          </cell>
          <cell r="BI342">
            <v>18.823599999999999</v>
          </cell>
          <cell r="BJ342">
            <v>20.014199999999999</v>
          </cell>
          <cell r="BK342">
            <v>20.686779999999999</v>
          </cell>
          <cell r="BL342">
            <v>24.846499999999999</v>
          </cell>
          <cell r="BM342">
            <v>27.816360000000003</v>
          </cell>
          <cell r="BN342">
            <v>29.10622</v>
          </cell>
          <cell r="BO342">
            <v>29.590389999999999</v>
          </cell>
          <cell r="BP342">
            <v>29.929199999999994</v>
          </cell>
          <cell r="BQ342">
            <v>30.574659999999998</v>
          </cell>
          <cell r="BR342">
            <v>31.276150000000001</v>
          </cell>
          <cell r="BS342">
            <v>30.551350000000003</v>
          </cell>
          <cell r="BT342">
            <v>31.019224000000001</v>
          </cell>
          <cell r="BU342">
            <v>30.943340000000003</v>
          </cell>
          <cell r="BV342">
            <v>30.157500000000002</v>
          </cell>
          <cell r="BW342">
            <v>29.535</v>
          </cell>
          <cell r="BX342">
            <v>27.42276</v>
          </cell>
          <cell r="BY342">
            <v>24.962499999999999</v>
          </cell>
          <cell r="BZ342">
            <v>21.545029999999997</v>
          </cell>
          <cell r="CA342">
            <v>20.116350000000001</v>
          </cell>
          <cell r="CB342">
            <v>21.725999999999999</v>
          </cell>
          <cell r="CC342">
            <v>21.458729999999996</v>
          </cell>
          <cell r="CD342">
            <v>21.361899999999999</v>
          </cell>
          <cell r="CE342">
            <v>21.271082499999999</v>
          </cell>
          <cell r="CF342">
            <v>21.205010000000001</v>
          </cell>
          <cell r="CG342">
            <v>20.784999999999997</v>
          </cell>
          <cell r="CH342">
            <v>21.212682000000001</v>
          </cell>
          <cell r="CI342">
            <v>20.985182000000002</v>
          </cell>
          <cell r="CJ342">
            <v>20.941431999999999</v>
          </cell>
          <cell r="CK342">
            <v>21.96275</v>
          </cell>
          <cell r="CL342">
            <v>22.133250000000004</v>
          </cell>
          <cell r="CM342">
            <v>22.318975000000002</v>
          </cell>
          <cell r="CN342">
            <v>21.318975000000002</v>
          </cell>
          <cell r="CO342">
            <v>21.328924999999998</v>
          </cell>
          <cell r="CP342">
            <v>21.389099999999999</v>
          </cell>
          <cell r="CQ342">
            <v>21.576090000000001</v>
          </cell>
          <cell r="CR342">
            <v>21.75365</v>
          </cell>
          <cell r="CS342">
            <v>22.036222500000001</v>
          </cell>
          <cell r="CT342">
            <v>22.386499999999998</v>
          </cell>
          <cell r="CU342">
            <v>23.372999999999998</v>
          </cell>
          <cell r="CV342">
            <v>23.277999999999999</v>
          </cell>
          <cell r="CW342">
            <v>24.009999999999998</v>
          </cell>
          <cell r="CX342">
            <v>23.265000000000001</v>
          </cell>
          <cell r="CY342">
            <v>23.434999999999999</v>
          </cell>
          <cell r="CZ342">
            <v>23.829000000000001</v>
          </cell>
          <cell r="DA342">
            <v>23.998999999999999</v>
          </cell>
          <cell r="DB342">
            <v>24.168999999999997</v>
          </cell>
          <cell r="DC342">
            <v>24.728999999999999</v>
          </cell>
          <cell r="DD342">
            <v>23.728999999999999</v>
          </cell>
          <cell r="DE342">
            <v>23.728999999999999</v>
          </cell>
          <cell r="DF342">
            <v>21.389099999999999</v>
          </cell>
          <cell r="DG342">
            <v>21.576090000000001</v>
          </cell>
          <cell r="DH342">
            <v>21.75365</v>
          </cell>
          <cell r="DI342">
            <v>22.036222500000001</v>
          </cell>
          <cell r="DJ342">
            <v>22.386499999999998</v>
          </cell>
          <cell r="DK342">
            <v>23.372999999999998</v>
          </cell>
          <cell r="DL342">
            <v>23.277999999999999</v>
          </cell>
          <cell r="DM342">
            <v>24.009999999999998</v>
          </cell>
          <cell r="DN342">
            <v>23.265000000000001</v>
          </cell>
          <cell r="DO342">
            <v>23.434999999999999</v>
          </cell>
          <cell r="DP342">
            <v>23.829000000000001</v>
          </cell>
          <cell r="DQ342">
            <v>23.998999999999999</v>
          </cell>
          <cell r="DR342">
            <v>24.168999999999997</v>
          </cell>
          <cell r="DS342">
            <v>24.728999999999999</v>
          </cell>
          <cell r="DT342">
            <v>23.728999999999999</v>
          </cell>
          <cell r="DU342">
            <v>23.728999999999999</v>
          </cell>
        </row>
        <row r="344">
          <cell r="F344" t="str">
            <v>Note: Coefficients as in D-boy,  sav  -&gt; later recalculate</v>
          </cell>
        </row>
        <row r="346">
          <cell r="F346" t="str">
            <v>ECU Cost Spread</v>
          </cell>
        </row>
        <row r="348">
          <cell r="H348">
            <v>33055</v>
          </cell>
          <cell r="I348">
            <v>33086</v>
          </cell>
          <cell r="J348">
            <v>33117</v>
          </cell>
          <cell r="K348">
            <v>33147</v>
          </cell>
          <cell r="L348">
            <v>33178</v>
          </cell>
          <cell r="M348">
            <v>33208</v>
          </cell>
          <cell r="N348">
            <v>33239</v>
          </cell>
          <cell r="O348">
            <v>33270</v>
          </cell>
          <cell r="P348">
            <v>33298</v>
          </cell>
          <cell r="Q348">
            <v>33329</v>
          </cell>
          <cell r="R348">
            <v>33359</v>
          </cell>
          <cell r="S348">
            <v>33390</v>
          </cell>
          <cell r="T348">
            <v>33420</v>
          </cell>
          <cell r="U348">
            <v>33451</v>
          </cell>
          <cell r="V348">
            <v>33482</v>
          </cell>
          <cell r="W348">
            <v>33512</v>
          </cell>
          <cell r="X348">
            <v>33543</v>
          </cell>
          <cell r="Y348">
            <v>33573</v>
          </cell>
          <cell r="Z348">
            <v>33604</v>
          </cell>
          <cell r="AA348">
            <v>33635</v>
          </cell>
          <cell r="AB348">
            <v>33664</v>
          </cell>
          <cell r="AC348">
            <v>33695</v>
          </cell>
          <cell r="AD348">
            <v>33725</v>
          </cell>
          <cell r="AE348">
            <v>33756</v>
          </cell>
          <cell r="AF348">
            <v>33786</v>
          </cell>
          <cell r="AG348">
            <v>33817</v>
          </cell>
          <cell r="AH348">
            <v>33848</v>
          </cell>
          <cell r="AI348">
            <v>33878</v>
          </cell>
          <cell r="AJ348">
            <v>33909</v>
          </cell>
          <cell r="AK348">
            <v>33939</v>
          </cell>
          <cell r="AL348">
            <v>33970</v>
          </cell>
          <cell r="AM348">
            <v>34001</v>
          </cell>
          <cell r="AN348">
            <v>34029</v>
          </cell>
          <cell r="AO348">
            <v>34060</v>
          </cell>
          <cell r="AP348">
            <v>34090</v>
          </cell>
          <cell r="AQ348">
            <v>34121</v>
          </cell>
          <cell r="AR348">
            <v>34151</v>
          </cell>
          <cell r="AS348">
            <v>34182</v>
          </cell>
          <cell r="AT348">
            <v>34213</v>
          </cell>
          <cell r="AU348">
            <v>34243</v>
          </cell>
          <cell r="AV348">
            <v>34274</v>
          </cell>
          <cell r="AW348">
            <v>34304</v>
          </cell>
          <cell r="AX348">
            <v>34335</v>
          </cell>
          <cell r="AY348">
            <v>34366</v>
          </cell>
          <cell r="AZ348">
            <v>34394</v>
          </cell>
          <cell r="BA348">
            <v>34425</v>
          </cell>
          <cell r="BB348">
            <v>34455</v>
          </cell>
          <cell r="BC348">
            <v>34486</v>
          </cell>
          <cell r="BD348">
            <v>34516</v>
          </cell>
          <cell r="BE348">
            <v>34547</v>
          </cell>
          <cell r="BF348">
            <v>34578</v>
          </cell>
          <cell r="BG348">
            <v>34608</v>
          </cell>
          <cell r="BH348">
            <v>34639</v>
          </cell>
          <cell r="BI348">
            <v>34669</v>
          </cell>
          <cell r="BJ348">
            <v>34700</v>
          </cell>
          <cell r="BK348">
            <v>34731</v>
          </cell>
          <cell r="BL348">
            <v>34759</v>
          </cell>
          <cell r="BM348">
            <v>34790</v>
          </cell>
          <cell r="BN348">
            <v>34820</v>
          </cell>
          <cell r="BO348">
            <v>34851</v>
          </cell>
          <cell r="BP348">
            <v>34881</v>
          </cell>
          <cell r="BQ348">
            <v>34912</v>
          </cell>
          <cell r="BR348">
            <v>34943</v>
          </cell>
          <cell r="BS348">
            <v>34973</v>
          </cell>
          <cell r="BT348">
            <v>35004</v>
          </cell>
          <cell r="BU348">
            <v>35034</v>
          </cell>
          <cell r="BV348">
            <v>35065</v>
          </cell>
          <cell r="BW348">
            <v>35096</v>
          </cell>
          <cell r="BX348">
            <v>35125</v>
          </cell>
          <cell r="BY348">
            <v>35156</v>
          </cell>
          <cell r="BZ348">
            <v>35186</v>
          </cell>
          <cell r="CA348">
            <v>35217</v>
          </cell>
          <cell r="CB348">
            <v>35247</v>
          </cell>
          <cell r="CC348">
            <v>35278</v>
          </cell>
          <cell r="CD348">
            <v>35309</v>
          </cell>
          <cell r="CE348">
            <v>35339</v>
          </cell>
          <cell r="CF348">
            <v>35370</v>
          </cell>
          <cell r="CG348">
            <v>35400</v>
          </cell>
          <cell r="CH348">
            <v>35431</v>
          </cell>
          <cell r="CI348">
            <v>35462</v>
          </cell>
          <cell r="CJ348">
            <v>35490</v>
          </cell>
          <cell r="CK348">
            <v>35521</v>
          </cell>
          <cell r="CL348">
            <v>35551</v>
          </cell>
          <cell r="CM348">
            <v>35582</v>
          </cell>
          <cell r="CN348">
            <v>35612</v>
          </cell>
          <cell r="CO348">
            <v>35643</v>
          </cell>
          <cell r="CP348">
            <v>35674</v>
          </cell>
          <cell r="CQ348">
            <v>35704</v>
          </cell>
          <cell r="CR348">
            <v>35735</v>
          </cell>
          <cell r="CS348">
            <v>35765</v>
          </cell>
          <cell r="CT348">
            <v>35796</v>
          </cell>
          <cell r="CU348">
            <v>35827</v>
          </cell>
          <cell r="CV348">
            <v>35855</v>
          </cell>
          <cell r="CW348">
            <v>35886</v>
          </cell>
          <cell r="CX348">
            <v>35916</v>
          </cell>
          <cell r="CY348">
            <v>35947</v>
          </cell>
          <cell r="CZ348">
            <v>35977</v>
          </cell>
          <cell r="DA348">
            <v>36008</v>
          </cell>
          <cell r="DB348">
            <v>36039</v>
          </cell>
          <cell r="DC348">
            <v>36069</v>
          </cell>
          <cell r="DD348">
            <v>36100</v>
          </cell>
          <cell r="DE348">
            <v>36130</v>
          </cell>
          <cell r="DF348">
            <v>35674</v>
          </cell>
          <cell r="DG348">
            <v>35704</v>
          </cell>
          <cell r="DH348">
            <v>35735</v>
          </cell>
          <cell r="DI348">
            <v>35765</v>
          </cell>
          <cell r="DJ348">
            <v>35796</v>
          </cell>
          <cell r="DK348">
            <v>35827</v>
          </cell>
          <cell r="DL348">
            <v>35855</v>
          </cell>
          <cell r="DM348">
            <v>35886</v>
          </cell>
          <cell r="DN348">
            <v>35916</v>
          </cell>
          <cell r="DO348">
            <v>35947</v>
          </cell>
          <cell r="DP348">
            <v>35977</v>
          </cell>
          <cell r="DQ348">
            <v>36008</v>
          </cell>
          <cell r="DR348">
            <v>36039</v>
          </cell>
          <cell r="DS348">
            <v>36069</v>
          </cell>
          <cell r="DT348">
            <v>36100</v>
          </cell>
          <cell r="DU348">
            <v>36130</v>
          </cell>
        </row>
        <row r="349">
          <cell r="F349" t="str">
            <v>ECU price</v>
          </cell>
          <cell r="H349">
            <v>382</v>
          </cell>
          <cell r="I349">
            <v>379.5</v>
          </cell>
          <cell r="J349">
            <v>377</v>
          </cell>
          <cell r="K349">
            <v>377</v>
          </cell>
          <cell r="L349">
            <v>382</v>
          </cell>
          <cell r="M349">
            <v>382</v>
          </cell>
          <cell r="N349">
            <v>367</v>
          </cell>
          <cell r="O349">
            <v>367</v>
          </cell>
          <cell r="P349">
            <v>367</v>
          </cell>
          <cell r="Q349">
            <v>378.5</v>
          </cell>
          <cell r="R349">
            <v>378.5</v>
          </cell>
          <cell r="S349">
            <v>378.5</v>
          </cell>
          <cell r="T349">
            <v>362</v>
          </cell>
          <cell r="U349">
            <v>356.5</v>
          </cell>
          <cell r="V349">
            <v>351</v>
          </cell>
          <cell r="W349">
            <v>331</v>
          </cell>
          <cell r="X349">
            <v>331</v>
          </cell>
          <cell r="Y349">
            <v>331</v>
          </cell>
          <cell r="Z349">
            <v>320</v>
          </cell>
          <cell r="AA349">
            <v>314.5</v>
          </cell>
          <cell r="AB349">
            <v>314</v>
          </cell>
          <cell r="AC349">
            <v>319</v>
          </cell>
          <cell r="AD349">
            <v>324.5</v>
          </cell>
          <cell r="AE349">
            <v>330</v>
          </cell>
          <cell r="AF349">
            <v>312</v>
          </cell>
          <cell r="AG349">
            <v>312</v>
          </cell>
          <cell r="AH349">
            <v>312</v>
          </cell>
          <cell r="AI349">
            <v>290</v>
          </cell>
          <cell r="AJ349">
            <v>290</v>
          </cell>
          <cell r="AK349">
            <v>290</v>
          </cell>
          <cell r="AL349">
            <v>251</v>
          </cell>
          <cell r="AM349">
            <v>251</v>
          </cell>
          <cell r="AN349">
            <v>256</v>
          </cell>
          <cell r="AO349">
            <v>214.5</v>
          </cell>
          <cell r="AP349">
            <v>214.5</v>
          </cell>
          <cell r="AQ349">
            <v>199.5</v>
          </cell>
          <cell r="AR349">
            <v>238</v>
          </cell>
          <cell r="AS349">
            <v>222</v>
          </cell>
          <cell r="AT349">
            <v>211</v>
          </cell>
          <cell r="AU349">
            <v>235</v>
          </cell>
          <cell r="AV349">
            <v>234.5</v>
          </cell>
          <cell r="AW349">
            <v>218</v>
          </cell>
          <cell r="AX349">
            <v>218</v>
          </cell>
          <cell r="AY349">
            <v>218</v>
          </cell>
          <cell r="AZ349">
            <v>218</v>
          </cell>
          <cell r="BA349">
            <v>232</v>
          </cell>
          <cell r="BB349">
            <v>293</v>
          </cell>
          <cell r="BC349">
            <v>293</v>
          </cell>
          <cell r="BD349">
            <v>356.5</v>
          </cell>
          <cell r="BE349">
            <v>356.5</v>
          </cell>
          <cell r="BF349">
            <v>400.5</v>
          </cell>
          <cell r="BG349">
            <v>390.5</v>
          </cell>
          <cell r="BH349">
            <v>413</v>
          </cell>
          <cell r="BI349">
            <v>428</v>
          </cell>
          <cell r="BJ349">
            <v>445</v>
          </cell>
          <cell r="BK349">
            <v>440</v>
          </cell>
          <cell r="BL349">
            <v>440</v>
          </cell>
          <cell r="BM349">
            <v>440</v>
          </cell>
          <cell r="BN349">
            <v>440</v>
          </cell>
          <cell r="BO349">
            <v>445</v>
          </cell>
          <cell r="BP349">
            <v>433.5</v>
          </cell>
          <cell r="BQ349">
            <v>433.5</v>
          </cell>
          <cell r="BR349">
            <v>433.5</v>
          </cell>
          <cell r="BS349">
            <v>444.5</v>
          </cell>
          <cell r="BT349">
            <v>439.5</v>
          </cell>
          <cell r="BU349">
            <v>437</v>
          </cell>
          <cell r="BV349">
            <v>424.3</v>
          </cell>
          <cell r="BW349">
            <v>409.3</v>
          </cell>
          <cell r="BX349">
            <v>409.3</v>
          </cell>
          <cell r="BY349">
            <v>399.5</v>
          </cell>
          <cell r="BZ349">
            <v>383</v>
          </cell>
          <cell r="CA349">
            <v>383</v>
          </cell>
          <cell r="CB349">
            <v>366.5</v>
          </cell>
          <cell r="CC349">
            <v>368</v>
          </cell>
          <cell r="CD349">
            <v>351.5</v>
          </cell>
          <cell r="CE349">
            <v>349</v>
          </cell>
          <cell r="CF349">
            <v>338</v>
          </cell>
          <cell r="CG349">
            <v>321.5</v>
          </cell>
          <cell r="CH349">
            <v>341</v>
          </cell>
          <cell r="CI349">
            <v>341</v>
          </cell>
          <cell r="CJ349">
            <v>341</v>
          </cell>
          <cell r="CK349">
            <v>340</v>
          </cell>
          <cell r="CL349">
            <v>424.3</v>
          </cell>
          <cell r="CM349">
            <v>409.3</v>
          </cell>
          <cell r="CN349">
            <v>409.3</v>
          </cell>
          <cell r="CO349">
            <v>399.5</v>
          </cell>
          <cell r="CP349">
            <v>383</v>
          </cell>
          <cell r="CQ349">
            <v>383</v>
          </cell>
          <cell r="CR349">
            <v>366.5</v>
          </cell>
          <cell r="CS349">
            <v>368</v>
          </cell>
          <cell r="CT349">
            <v>351.5</v>
          </cell>
          <cell r="CU349">
            <v>349</v>
          </cell>
          <cell r="CV349">
            <v>338</v>
          </cell>
          <cell r="CW349">
            <v>321.5</v>
          </cell>
          <cell r="CX349">
            <v>341</v>
          </cell>
          <cell r="CY349">
            <v>341</v>
          </cell>
          <cell r="CZ349">
            <v>341</v>
          </cell>
          <cell r="DA349">
            <v>340</v>
          </cell>
        </row>
        <row r="351">
          <cell r="F351" t="str">
            <v>Electricity</v>
          </cell>
          <cell r="H351">
            <v>27.64</v>
          </cell>
          <cell r="I351">
            <v>37.94</v>
          </cell>
          <cell r="J351">
            <v>45.62</v>
          </cell>
          <cell r="K351">
            <v>52.13</v>
          </cell>
          <cell r="L351">
            <v>47.21</v>
          </cell>
          <cell r="M351">
            <v>39.880000000000003</v>
          </cell>
          <cell r="N351">
            <v>35.94</v>
          </cell>
          <cell r="O351">
            <v>29.79</v>
          </cell>
          <cell r="P351">
            <v>32.35</v>
          </cell>
          <cell r="Q351">
            <v>32.22</v>
          </cell>
          <cell r="R351">
            <v>33.159999999999997</v>
          </cell>
          <cell r="S351">
            <v>27.3</v>
          </cell>
          <cell r="T351">
            <v>27.82</v>
          </cell>
          <cell r="U351">
            <v>31.38</v>
          </cell>
          <cell r="V351">
            <v>37.35</v>
          </cell>
          <cell r="W351">
            <v>42.87</v>
          </cell>
          <cell r="X351">
            <v>42.94</v>
          </cell>
          <cell r="Y351">
            <v>32.58</v>
          </cell>
          <cell r="Z351">
            <v>27.3</v>
          </cell>
          <cell r="AA351">
            <v>28.61</v>
          </cell>
          <cell r="AB351">
            <v>28.84</v>
          </cell>
          <cell r="AC351">
            <v>28.9</v>
          </cell>
          <cell r="AD351">
            <v>30.94</v>
          </cell>
          <cell r="AE351">
            <v>33.72</v>
          </cell>
          <cell r="AF351">
            <v>33.65</v>
          </cell>
          <cell r="AG351">
            <v>35.229999999999997</v>
          </cell>
          <cell r="AH351">
            <v>37.36</v>
          </cell>
          <cell r="AI351">
            <v>35.36</v>
          </cell>
          <cell r="AJ351">
            <v>32.68</v>
          </cell>
          <cell r="AK351">
            <v>30.98</v>
          </cell>
          <cell r="AL351">
            <v>33.33</v>
          </cell>
          <cell r="AM351">
            <v>32.79</v>
          </cell>
          <cell r="AN351">
            <v>33.97</v>
          </cell>
          <cell r="AO351">
            <v>34.32</v>
          </cell>
          <cell r="AP351">
            <v>32.64</v>
          </cell>
          <cell r="AQ351">
            <v>32.56</v>
          </cell>
          <cell r="AR351">
            <v>31.21</v>
          </cell>
          <cell r="AS351">
            <v>30.3</v>
          </cell>
          <cell r="AT351">
            <v>29.73</v>
          </cell>
          <cell r="AU351">
            <v>29.17</v>
          </cell>
          <cell r="AV351">
            <v>27.41</v>
          </cell>
          <cell r="AW351">
            <v>24.49</v>
          </cell>
          <cell r="AX351">
            <v>26.11</v>
          </cell>
          <cell r="AY351">
            <v>28.84</v>
          </cell>
          <cell r="AZ351">
            <v>28.24</v>
          </cell>
          <cell r="BA351">
            <v>28.66</v>
          </cell>
          <cell r="BB351">
            <v>29.46</v>
          </cell>
          <cell r="BC351">
            <v>28.66</v>
          </cell>
          <cell r="BD351">
            <v>29.08</v>
          </cell>
          <cell r="BE351">
            <v>29.78</v>
          </cell>
          <cell r="BF351">
            <v>29.81</v>
          </cell>
          <cell r="BG351">
            <v>32.229999999999997</v>
          </cell>
          <cell r="BH351">
            <v>34.299999999999997</v>
          </cell>
          <cell r="BI351">
            <v>33.299999999999997</v>
          </cell>
          <cell r="BJ351">
            <v>32.56</v>
          </cell>
          <cell r="BK351">
            <v>31.42</v>
          </cell>
          <cell r="BL351">
            <v>32.57</v>
          </cell>
          <cell r="BM351">
            <v>32.11</v>
          </cell>
          <cell r="BN351">
            <v>32.53</v>
          </cell>
          <cell r="BO351">
            <v>31.66</v>
          </cell>
          <cell r="BP351">
            <v>30.7</v>
          </cell>
          <cell r="BQ351">
            <v>31.16</v>
          </cell>
          <cell r="BR351">
            <v>31.19</v>
          </cell>
          <cell r="BS351">
            <v>30.78</v>
          </cell>
          <cell r="BT351">
            <v>30.85</v>
          </cell>
          <cell r="BU351">
            <v>35.11</v>
          </cell>
          <cell r="BV351">
            <v>35.24</v>
          </cell>
          <cell r="BW351">
            <v>37.909999999999997</v>
          </cell>
          <cell r="BX351">
            <v>36.67</v>
          </cell>
          <cell r="BY351">
            <v>35.32</v>
          </cell>
          <cell r="BZ351">
            <v>34.700000000000003</v>
          </cell>
          <cell r="CA351">
            <v>34.630000000000003</v>
          </cell>
          <cell r="CB351">
            <v>35.46</v>
          </cell>
          <cell r="CC351">
            <v>38.11</v>
          </cell>
          <cell r="CD351">
            <v>46.37</v>
          </cell>
          <cell r="CE351">
            <v>51.09</v>
          </cell>
          <cell r="CF351">
            <v>58.48</v>
          </cell>
          <cell r="CG351">
            <v>60.52</v>
          </cell>
          <cell r="CH351">
            <v>46.82</v>
          </cell>
          <cell r="CI351">
            <v>38.450000000000003</v>
          </cell>
          <cell r="CJ351">
            <v>38.24</v>
          </cell>
          <cell r="CK351">
            <v>34.69</v>
          </cell>
          <cell r="CL351">
            <v>35.24</v>
          </cell>
          <cell r="CM351">
            <v>37.909999999999997</v>
          </cell>
          <cell r="CN351">
            <v>36.67</v>
          </cell>
          <cell r="CO351">
            <v>35.32</v>
          </cell>
          <cell r="CP351">
            <v>34.700000000000003</v>
          </cell>
          <cell r="CQ351">
            <v>34.630000000000003</v>
          </cell>
          <cell r="CR351">
            <v>35.46</v>
          </cell>
          <cell r="CS351">
            <v>38.11</v>
          </cell>
          <cell r="CT351">
            <v>46.37</v>
          </cell>
          <cell r="CU351">
            <v>51.09</v>
          </cell>
          <cell r="CV351">
            <v>58.48</v>
          </cell>
          <cell r="CW351">
            <v>60.52</v>
          </cell>
          <cell r="CX351">
            <v>46.82</v>
          </cell>
          <cell r="CY351">
            <v>38.450000000000003</v>
          </cell>
          <cell r="CZ351">
            <v>38.24</v>
          </cell>
          <cell r="DA351">
            <v>34.69</v>
          </cell>
        </row>
        <row r="352">
          <cell r="F352" t="str">
            <v>Electrical cost</v>
          </cell>
          <cell r="H352">
            <v>829.2</v>
          </cell>
          <cell r="I352">
            <v>1138.1999999999998</v>
          </cell>
          <cell r="J352">
            <v>1368.6</v>
          </cell>
          <cell r="K352">
            <v>1563.9</v>
          </cell>
          <cell r="L352">
            <v>1416.3</v>
          </cell>
          <cell r="M352">
            <v>1196.4000000000001</v>
          </cell>
          <cell r="N352">
            <v>1078.1999999999998</v>
          </cell>
          <cell r="O352">
            <v>893.69999999999993</v>
          </cell>
          <cell r="P352">
            <v>970.5</v>
          </cell>
          <cell r="Q352">
            <v>966.59999999999991</v>
          </cell>
          <cell r="R352">
            <v>994.8</v>
          </cell>
          <cell r="S352">
            <v>819</v>
          </cell>
          <cell r="T352">
            <v>834.6</v>
          </cell>
          <cell r="U352">
            <v>941.4</v>
          </cell>
          <cell r="V352">
            <v>1120.5</v>
          </cell>
          <cell r="W352">
            <v>1286.0999999999999</v>
          </cell>
          <cell r="X352">
            <v>1288.1999999999998</v>
          </cell>
          <cell r="Y352">
            <v>977.4</v>
          </cell>
          <cell r="Z352">
            <v>819</v>
          </cell>
          <cell r="AA352">
            <v>858.3</v>
          </cell>
          <cell r="AB352">
            <v>865.2</v>
          </cell>
          <cell r="AC352">
            <v>867</v>
          </cell>
          <cell r="AD352">
            <v>928.2</v>
          </cell>
          <cell r="AE352">
            <v>1011.5999999999999</v>
          </cell>
          <cell r="AF352">
            <v>1009.5</v>
          </cell>
          <cell r="AG352">
            <v>1056.8999999999999</v>
          </cell>
          <cell r="AH352">
            <v>1120.8</v>
          </cell>
          <cell r="AI352">
            <v>1060.8</v>
          </cell>
          <cell r="AJ352">
            <v>980.4</v>
          </cell>
          <cell r="AK352">
            <v>929.4</v>
          </cell>
          <cell r="AL352">
            <v>999.9</v>
          </cell>
          <cell r="AM352">
            <v>983.69999999999993</v>
          </cell>
          <cell r="AN352">
            <v>1019.0999999999999</v>
          </cell>
          <cell r="AO352">
            <v>1029.5999999999999</v>
          </cell>
          <cell r="AP352">
            <v>979.2</v>
          </cell>
          <cell r="AQ352">
            <v>976.80000000000007</v>
          </cell>
          <cell r="AR352">
            <v>936.30000000000007</v>
          </cell>
          <cell r="AS352">
            <v>909</v>
          </cell>
          <cell r="AT352">
            <v>891.9</v>
          </cell>
          <cell r="AU352">
            <v>875.1</v>
          </cell>
          <cell r="AV352">
            <v>822.3</v>
          </cell>
          <cell r="AW352">
            <v>734.69999999999993</v>
          </cell>
          <cell r="AX352">
            <v>783.3</v>
          </cell>
          <cell r="AY352">
            <v>865.2</v>
          </cell>
          <cell r="AZ352">
            <v>847.19999999999993</v>
          </cell>
          <cell r="BA352">
            <v>859.8</v>
          </cell>
          <cell r="BB352">
            <v>883.80000000000007</v>
          </cell>
          <cell r="BC352">
            <v>859.8</v>
          </cell>
          <cell r="BD352">
            <v>872.4</v>
          </cell>
          <cell r="BE352">
            <v>893.40000000000009</v>
          </cell>
          <cell r="BF352">
            <v>894.3</v>
          </cell>
          <cell r="BG352">
            <v>966.89999999999986</v>
          </cell>
          <cell r="BH352">
            <v>1029</v>
          </cell>
          <cell r="BI352">
            <v>998.99999999999989</v>
          </cell>
          <cell r="BJ352">
            <v>976.80000000000007</v>
          </cell>
          <cell r="BK352">
            <v>942.6</v>
          </cell>
          <cell r="BL352">
            <v>977.1</v>
          </cell>
          <cell r="BM352">
            <v>963.3</v>
          </cell>
          <cell r="BN352">
            <v>975.90000000000009</v>
          </cell>
          <cell r="BO352">
            <v>949.8</v>
          </cell>
          <cell r="BP352">
            <v>921</v>
          </cell>
          <cell r="BQ352">
            <v>934.8</v>
          </cell>
          <cell r="BR352">
            <v>935.7</v>
          </cell>
          <cell r="BS352">
            <v>923.40000000000009</v>
          </cell>
          <cell r="BT352">
            <v>925.5</v>
          </cell>
          <cell r="BU352">
            <v>1053.3</v>
          </cell>
          <cell r="BV352">
            <v>1057.2</v>
          </cell>
          <cell r="BW352">
            <v>1137.3</v>
          </cell>
          <cell r="BX352">
            <v>1100.1000000000001</v>
          </cell>
          <cell r="BY352">
            <v>1059.5999999999999</v>
          </cell>
          <cell r="BZ352">
            <v>1041</v>
          </cell>
          <cell r="CA352">
            <v>1038.9000000000001</v>
          </cell>
          <cell r="CB352">
            <v>1063.8</v>
          </cell>
          <cell r="CC352">
            <v>1143.3</v>
          </cell>
          <cell r="CD352">
            <v>1391.1</v>
          </cell>
          <cell r="CE352">
            <v>1532.7</v>
          </cell>
          <cell r="CF352">
            <v>1754.3999999999999</v>
          </cell>
          <cell r="CG352">
            <v>1815.6000000000001</v>
          </cell>
          <cell r="CH352">
            <v>1404.6</v>
          </cell>
          <cell r="CI352">
            <v>1153.5</v>
          </cell>
          <cell r="CJ352">
            <v>1147.2</v>
          </cell>
          <cell r="CK352">
            <v>1040.6999999999998</v>
          </cell>
          <cell r="CL352">
            <v>1057.2</v>
          </cell>
          <cell r="CM352">
            <v>1137.3</v>
          </cell>
          <cell r="CN352">
            <v>1100.1000000000001</v>
          </cell>
          <cell r="CO352">
            <v>1059.5999999999999</v>
          </cell>
          <cell r="CP352">
            <v>1041</v>
          </cell>
          <cell r="CQ352">
            <v>1038.9000000000001</v>
          </cell>
          <cell r="CR352">
            <v>1063.8</v>
          </cell>
          <cell r="CS352">
            <v>1143.3</v>
          </cell>
          <cell r="CT352">
            <v>1391.1</v>
          </cell>
          <cell r="CU352">
            <v>1532.7</v>
          </cell>
          <cell r="CV352">
            <v>1754.3999999999999</v>
          </cell>
          <cell r="CW352">
            <v>1815.6000000000001</v>
          </cell>
          <cell r="CX352">
            <v>1404.6</v>
          </cell>
          <cell r="CY352">
            <v>1153.5</v>
          </cell>
          <cell r="CZ352">
            <v>1147.2</v>
          </cell>
          <cell r="DA352">
            <v>1040.6999999999998</v>
          </cell>
        </row>
        <row r="354">
          <cell r="F354" t="str">
            <v>Spread</v>
          </cell>
          <cell r="H354">
            <v>-447.20000000000005</v>
          </cell>
          <cell r="I354">
            <v>-758.69999999999982</v>
          </cell>
          <cell r="J354">
            <v>-991.59999999999991</v>
          </cell>
          <cell r="K354">
            <v>-1186.9000000000001</v>
          </cell>
          <cell r="L354">
            <v>-1034.3</v>
          </cell>
          <cell r="M354">
            <v>-814.40000000000009</v>
          </cell>
          <cell r="N354">
            <v>-711.19999999999982</v>
          </cell>
          <cell r="O354">
            <v>-526.69999999999993</v>
          </cell>
          <cell r="P354">
            <v>-603.5</v>
          </cell>
          <cell r="Q354">
            <v>-588.09999999999991</v>
          </cell>
          <cell r="R354">
            <v>-616.29999999999995</v>
          </cell>
          <cell r="S354">
            <v>-440.5</v>
          </cell>
          <cell r="T354">
            <v>-472.6</v>
          </cell>
          <cell r="U354">
            <v>-584.9</v>
          </cell>
          <cell r="V354">
            <v>-769.5</v>
          </cell>
          <cell r="W354">
            <v>-955.09999999999991</v>
          </cell>
          <cell r="X354">
            <v>-957.19999999999982</v>
          </cell>
          <cell r="Y354">
            <v>-646.4</v>
          </cell>
          <cell r="Z354">
            <v>-499</v>
          </cell>
          <cell r="AA354">
            <v>-543.79999999999995</v>
          </cell>
          <cell r="AB354">
            <v>-551.20000000000005</v>
          </cell>
          <cell r="AC354">
            <v>-548</v>
          </cell>
          <cell r="AD354">
            <v>-603.70000000000005</v>
          </cell>
          <cell r="AE354">
            <v>-681.59999999999991</v>
          </cell>
          <cell r="AF354">
            <v>-697.5</v>
          </cell>
          <cell r="AG354">
            <v>-744.89999999999986</v>
          </cell>
          <cell r="AH354">
            <v>-808.8</v>
          </cell>
          <cell r="AI354">
            <v>-770.8</v>
          </cell>
          <cell r="AJ354">
            <v>-690.4</v>
          </cell>
          <cell r="AK354">
            <v>-639.4</v>
          </cell>
          <cell r="AL354">
            <v>-748.9</v>
          </cell>
          <cell r="AM354">
            <v>-732.69999999999993</v>
          </cell>
          <cell r="AN354">
            <v>-763.09999999999991</v>
          </cell>
          <cell r="AO354">
            <v>-815.09999999999991</v>
          </cell>
          <cell r="AP354">
            <v>-764.7</v>
          </cell>
          <cell r="AQ354">
            <v>-777.30000000000007</v>
          </cell>
          <cell r="AR354">
            <v>-698.30000000000007</v>
          </cell>
          <cell r="AS354">
            <v>-687</v>
          </cell>
          <cell r="AT354">
            <v>-680.9</v>
          </cell>
          <cell r="AU354">
            <v>-640.1</v>
          </cell>
          <cell r="AV354">
            <v>-587.79999999999995</v>
          </cell>
          <cell r="AW354">
            <v>-516.69999999999993</v>
          </cell>
          <cell r="AX354">
            <v>-565.29999999999995</v>
          </cell>
          <cell r="AY354">
            <v>-647.20000000000005</v>
          </cell>
          <cell r="AZ354">
            <v>-629.19999999999993</v>
          </cell>
          <cell r="BA354">
            <v>-627.79999999999995</v>
          </cell>
          <cell r="BB354">
            <v>-590.80000000000007</v>
          </cell>
          <cell r="BC354">
            <v>-566.79999999999995</v>
          </cell>
          <cell r="BD354">
            <v>-515.9</v>
          </cell>
          <cell r="BE354">
            <v>-536.90000000000009</v>
          </cell>
          <cell r="BF354">
            <v>-493.79999999999995</v>
          </cell>
          <cell r="BG354">
            <v>-576.39999999999986</v>
          </cell>
          <cell r="BH354">
            <v>-616</v>
          </cell>
          <cell r="BI354">
            <v>-570.99999999999989</v>
          </cell>
          <cell r="BJ354">
            <v>-531.80000000000007</v>
          </cell>
          <cell r="BK354">
            <v>-502.6</v>
          </cell>
          <cell r="BL354">
            <v>-537.1</v>
          </cell>
          <cell r="BM354">
            <v>-523.29999999999995</v>
          </cell>
          <cell r="BN354">
            <v>-535.90000000000009</v>
          </cell>
          <cell r="BO354">
            <v>-504.79999999999995</v>
          </cell>
          <cell r="BP354">
            <v>-487.5</v>
          </cell>
          <cell r="BQ354">
            <v>-501.29999999999995</v>
          </cell>
          <cell r="BR354">
            <v>-502.20000000000005</v>
          </cell>
          <cell r="BS354">
            <v>-478.90000000000009</v>
          </cell>
          <cell r="BT354">
            <v>-486</v>
          </cell>
          <cell r="BU354">
            <v>-616.29999999999995</v>
          </cell>
          <cell r="BV354">
            <v>-632.90000000000009</v>
          </cell>
          <cell r="BW354">
            <v>-728</v>
          </cell>
          <cell r="BX354">
            <v>-690.80000000000018</v>
          </cell>
          <cell r="BY354">
            <v>-660.09999999999991</v>
          </cell>
          <cell r="BZ354">
            <v>-658</v>
          </cell>
          <cell r="CA354">
            <v>-655.90000000000009</v>
          </cell>
          <cell r="CB354">
            <v>-697.3</v>
          </cell>
          <cell r="CC354">
            <v>-775.3</v>
          </cell>
          <cell r="CD354">
            <v>-1039.5999999999999</v>
          </cell>
          <cell r="CE354">
            <v>-1183.7</v>
          </cell>
          <cell r="CF354">
            <v>-1416.3999999999999</v>
          </cell>
          <cell r="CG354">
            <v>-1494.1000000000001</v>
          </cell>
          <cell r="CH354">
            <v>-1063.5999999999999</v>
          </cell>
          <cell r="CI354">
            <v>-812.5</v>
          </cell>
          <cell r="CJ354">
            <v>-806.2</v>
          </cell>
          <cell r="CK354">
            <v>-700.69999999999982</v>
          </cell>
          <cell r="CL354">
            <v>-632.90000000000009</v>
          </cell>
          <cell r="CM354">
            <v>-728</v>
          </cell>
          <cell r="CN354">
            <v>-690.80000000000018</v>
          </cell>
          <cell r="CO354">
            <v>-660.09999999999991</v>
          </cell>
          <cell r="CP354">
            <v>-658</v>
          </cell>
          <cell r="CQ354">
            <v>-655.90000000000009</v>
          </cell>
          <cell r="CR354">
            <v>-697.3</v>
          </cell>
          <cell r="CS354">
            <v>-775.3</v>
          </cell>
          <cell r="CT354">
            <v>-1039.5999999999999</v>
          </cell>
          <cell r="CU354">
            <v>-1183.7</v>
          </cell>
          <cell r="CV354">
            <v>-1416.3999999999999</v>
          </cell>
          <cell r="CW354">
            <v>-1494.1000000000001</v>
          </cell>
          <cell r="CX354">
            <v>-1063.5999999999999</v>
          </cell>
          <cell r="CY354">
            <v>-812.5</v>
          </cell>
          <cell r="CZ354">
            <v>-806.2</v>
          </cell>
          <cell r="DA354">
            <v>-700.69999999999982</v>
          </cell>
        </row>
        <row r="357">
          <cell r="F357" t="str">
            <v>(1) Source: Monthly Energy Review, DOE.</v>
          </cell>
        </row>
        <row r="359">
          <cell r="F359" t="str">
            <v>TiO2 Prices</v>
          </cell>
        </row>
        <row r="361">
          <cell r="H361">
            <v>33055</v>
          </cell>
          <cell r="I361">
            <v>33086</v>
          </cell>
          <cell r="J361">
            <v>33117</v>
          </cell>
          <cell r="K361">
            <v>33147</v>
          </cell>
          <cell r="L361">
            <v>33178</v>
          </cell>
          <cell r="M361">
            <v>33208</v>
          </cell>
          <cell r="N361">
            <v>33239</v>
          </cell>
          <cell r="O361">
            <v>33270</v>
          </cell>
          <cell r="P361">
            <v>33298</v>
          </cell>
          <cell r="Q361">
            <v>33329</v>
          </cell>
          <cell r="R361">
            <v>33359</v>
          </cell>
          <cell r="S361">
            <v>33390</v>
          </cell>
          <cell r="T361">
            <v>33420</v>
          </cell>
          <cell r="U361">
            <v>33451</v>
          </cell>
          <cell r="V361">
            <v>33482</v>
          </cell>
          <cell r="W361">
            <v>33512</v>
          </cell>
          <cell r="X361">
            <v>33543</v>
          </cell>
          <cell r="Y361">
            <v>33573</v>
          </cell>
          <cell r="Z361">
            <v>33604</v>
          </cell>
          <cell r="AA361">
            <v>33635</v>
          </cell>
          <cell r="AB361">
            <v>33664</v>
          </cell>
          <cell r="AC361">
            <v>33695</v>
          </cell>
          <cell r="AD361">
            <v>33725</v>
          </cell>
          <cell r="AE361">
            <v>33756</v>
          </cell>
          <cell r="AF361">
            <v>33786</v>
          </cell>
          <cell r="AG361">
            <v>33817</v>
          </cell>
          <cell r="AH361">
            <v>33848</v>
          </cell>
          <cell r="AI361">
            <v>33878</v>
          </cell>
          <cell r="AJ361">
            <v>33909</v>
          </cell>
          <cell r="AK361">
            <v>33939</v>
          </cell>
          <cell r="AL361">
            <v>33970</v>
          </cell>
          <cell r="AM361">
            <v>34001</v>
          </cell>
          <cell r="AN361">
            <v>34029</v>
          </cell>
          <cell r="AO361">
            <v>34060</v>
          </cell>
          <cell r="AP361">
            <v>34090</v>
          </cell>
          <cell r="AQ361">
            <v>34121</v>
          </cell>
          <cell r="AR361">
            <v>34151</v>
          </cell>
          <cell r="AS361">
            <v>34182</v>
          </cell>
          <cell r="AT361">
            <v>34213</v>
          </cell>
          <cell r="AU361">
            <v>34243</v>
          </cell>
          <cell r="AV361">
            <v>34274</v>
          </cell>
          <cell r="AW361">
            <v>34304</v>
          </cell>
          <cell r="AX361">
            <v>34335</v>
          </cell>
          <cell r="AY361">
            <v>34366</v>
          </cell>
          <cell r="AZ361">
            <v>34394</v>
          </cell>
          <cell r="BA361">
            <v>34425</v>
          </cell>
          <cell r="BB361">
            <v>34455</v>
          </cell>
          <cell r="BC361">
            <v>34486</v>
          </cell>
          <cell r="BD361">
            <v>34516</v>
          </cell>
          <cell r="BE361">
            <v>34547</v>
          </cell>
          <cell r="BF361">
            <v>34578</v>
          </cell>
          <cell r="BG361">
            <v>34608</v>
          </cell>
          <cell r="BH361">
            <v>34639</v>
          </cell>
          <cell r="BI361">
            <v>34669</v>
          </cell>
          <cell r="BJ361">
            <v>34700</v>
          </cell>
          <cell r="BK361">
            <v>34731</v>
          </cell>
          <cell r="BL361">
            <v>34759</v>
          </cell>
          <cell r="BM361">
            <v>34790</v>
          </cell>
          <cell r="BN361">
            <v>34820</v>
          </cell>
          <cell r="BO361">
            <v>34851</v>
          </cell>
          <cell r="BP361">
            <v>34881</v>
          </cell>
          <cell r="BQ361">
            <v>34912</v>
          </cell>
          <cell r="BR361">
            <v>34943</v>
          </cell>
          <cell r="BS361">
            <v>34973</v>
          </cell>
          <cell r="BT361">
            <v>35004</v>
          </cell>
          <cell r="BU361">
            <v>35034</v>
          </cell>
          <cell r="BV361">
            <v>35065</v>
          </cell>
          <cell r="BW361">
            <v>35096</v>
          </cell>
          <cell r="BX361">
            <v>35125</v>
          </cell>
          <cell r="BY361">
            <v>35156</v>
          </cell>
          <cell r="BZ361">
            <v>35186</v>
          </cell>
          <cell r="CA361">
            <v>35217</v>
          </cell>
          <cell r="CB361">
            <v>35247</v>
          </cell>
          <cell r="CC361">
            <v>35278</v>
          </cell>
          <cell r="CD361">
            <v>35309</v>
          </cell>
          <cell r="CE361">
            <v>35339</v>
          </cell>
          <cell r="CF361">
            <v>35370</v>
          </cell>
          <cell r="CG361">
            <v>35400</v>
          </cell>
          <cell r="CH361">
            <v>35431</v>
          </cell>
          <cell r="CI361">
            <v>35462</v>
          </cell>
          <cell r="CJ361">
            <v>35490</v>
          </cell>
          <cell r="CK361">
            <v>35521</v>
          </cell>
          <cell r="CL361">
            <v>35551</v>
          </cell>
          <cell r="CM361">
            <v>35582</v>
          </cell>
          <cell r="CN361">
            <v>35612</v>
          </cell>
          <cell r="CO361">
            <v>35643</v>
          </cell>
          <cell r="CP361">
            <v>35674</v>
          </cell>
          <cell r="CQ361">
            <v>35704</v>
          </cell>
          <cell r="CR361">
            <v>35735</v>
          </cell>
          <cell r="CS361">
            <v>35765</v>
          </cell>
          <cell r="CT361">
            <v>35796</v>
          </cell>
          <cell r="CU361">
            <v>35827</v>
          </cell>
          <cell r="CV361">
            <v>35855</v>
          </cell>
          <cell r="CW361">
            <v>35886</v>
          </cell>
          <cell r="CX361">
            <v>35916</v>
          </cell>
          <cell r="CY361">
            <v>35947</v>
          </cell>
          <cell r="CZ361">
            <v>35977</v>
          </cell>
          <cell r="DA361">
            <v>36008</v>
          </cell>
          <cell r="DB361">
            <v>36039</v>
          </cell>
          <cell r="DC361">
            <v>36069</v>
          </cell>
          <cell r="DD361">
            <v>36100</v>
          </cell>
          <cell r="DE361">
            <v>36130</v>
          </cell>
          <cell r="DF361">
            <v>35674</v>
          </cell>
          <cell r="DG361">
            <v>35704</v>
          </cell>
          <cell r="DH361">
            <v>35735</v>
          </cell>
          <cell r="DI361">
            <v>35765</v>
          </cell>
          <cell r="DJ361">
            <v>35796</v>
          </cell>
          <cell r="DK361">
            <v>35827</v>
          </cell>
          <cell r="DL361">
            <v>35855</v>
          </cell>
          <cell r="DM361">
            <v>35886</v>
          </cell>
          <cell r="DN361">
            <v>35916</v>
          </cell>
          <cell r="DO361">
            <v>35947</v>
          </cell>
          <cell r="DP361">
            <v>35977</v>
          </cell>
          <cell r="DQ361">
            <v>36008</v>
          </cell>
          <cell r="DR361">
            <v>36039</v>
          </cell>
          <cell r="DS361">
            <v>36069</v>
          </cell>
          <cell r="DT361">
            <v>36100</v>
          </cell>
          <cell r="DU361">
            <v>36130</v>
          </cell>
        </row>
        <row r="363">
          <cell r="F363" t="str">
            <v>TiO2 price</v>
          </cell>
          <cell r="H363">
            <v>0</v>
          </cell>
          <cell r="I363">
            <v>0</v>
          </cell>
          <cell r="J363">
            <v>0</v>
          </cell>
          <cell r="K363">
            <v>90.8</v>
          </cell>
          <cell r="L363">
            <v>90.8</v>
          </cell>
          <cell r="M363">
            <v>90.8</v>
          </cell>
          <cell r="N363">
            <v>94.1</v>
          </cell>
          <cell r="O363">
            <v>94.1</v>
          </cell>
          <cell r="P363">
            <v>94.1</v>
          </cell>
          <cell r="Q363">
            <v>90.5</v>
          </cell>
          <cell r="R363">
            <v>90.5</v>
          </cell>
          <cell r="S363">
            <v>90.5</v>
          </cell>
          <cell r="T363">
            <v>89</v>
          </cell>
          <cell r="U363">
            <v>89</v>
          </cell>
          <cell r="V363">
            <v>89</v>
          </cell>
          <cell r="W363">
            <v>87.4</v>
          </cell>
          <cell r="X363">
            <v>87.4</v>
          </cell>
          <cell r="Y363">
            <v>87.4</v>
          </cell>
          <cell r="Z363">
            <v>84.6</v>
          </cell>
          <cell r="AA363">
            <v>84.6</v>
          </cell>
          <cell r="AB363">
            <v>84.6</v>
          </cell>
          <cell r="AC363">
            <v>82.7</v>
          </cell>
          <cell r="AD363">
            <v>82.7</v>
          </cell>
          <cell r="AE363">
            <v>82.7</v>
          </cell>
          <cell r="AF363">
            <v>81.400000000000006</v>
          </cell>
          <cell r="AG363">
            <v>81.400000000000006</v>
          </cell>
          <cell r="AH363">
            <v>81.400000000000006</v>
          </cell>
          <cell r="AI363">
            <v>82.1</v>
          </cell>
          <cell r="AJ363">
            <v>82.1</v>
          </cell>
          <cell r="AK363">
            <v>82.1</v>
          </cell>
          <cell r="AL363">
            <v>82.3</v>
          </cell>
          <cell r="AM363">
            <v>82.3</v>
          </cell>
          <cell r="AN363">
            <v>82.3</v>
          </cell>
          <cell r="AO363">
            <v>79.7</v>
          </cell>
          <cell r="AP363">
            <v>79.7</v>
          </cell>
          <cell r="AQ363">
            <v>79.7</v>
          </cell>
          <cell r="AR363">
            <v>79.099999999999994</v>
          </cell>
          <cell r="AS363">
            <v>79.099999999999994</v>
          </cell>
          <cell r="AT363">
            <v>79.099999999999994</v>
          </cell>
          <cell r="AU363">
            <v>79</v>
          </cell>
          <cell r="AV363">
            <v>79</v>
          </cell>
          <cell r="AW363">
            <v>79</v>
          </cell>
          <cell r="AX363">
            <v>80.5</v>
          </cell>
          <cell r="AY363">
            <v>80.5</v>
          </cell>
          <cell r="AZ363">
            <v>80.5</v>
          </cell>
          <cell r="BA363">
            <v>81.599999999999994</v>
          </cell>
          <cell r="BB363">
            <v>81.599999999999994</v>
          </cell>
          <cell r="BC363">
            <v>81.599999999999994</v>
          </cell>
          <cell r="BD363">
            <v>83.5</v>
          </cell>
          <cell r="BE363">
            <v>83.5</v>
          </cell>
          <cell r="BF363">
            <v>83.5</v>
          </cell>
          <cell r="BG363">
            <v>84.1</v>
          </cell>
          <cell r="BH363">
            <v>84.1</v>
          </cell>
          <cell r="BI363">
            <v>84.1</v>
          </cell>
          <cell r="BJ363">
            <v>82</v>
          </cell>
          <cell r="BK363">
            <v>83</v>
          </cell>
          <cell r="BL363">
            <v>88</v>
          </cell>
          <cell r="BM363">
            <v>87</v>
          </cell>
          <cell r="BN363">
            <v>94</v>
          </cell>
          <cell r="BO363">
            <v>94</v>
          </cell>
          <cell r="BP363">
            <v>95</v>
          </cell>
          <cell r="BQ363">
            <v>95</v>
          </cell>
          <cell r="BR363">
            <v>95</v>
          </cell>
          <cell r="BS363">
            <v>95</v>
          </cell>
          <cell r="BT363">
            <v>95</v>
          </cell>
          <cell r="BU363">
            <v>95</v>
          </cell>
          <cell r="BV363">
            <v>95</v>
          </cell>
          <cell r="BW363">
            <v>94</v>
          </cell>
          <cell r="BX363">
            <v>90</v>
          </cell>
          <cell r="BY363">
            <v>87.2</v>
          </cell>
          <cell r="BZ363">
            <v>87.2</v>
          </cell>
          <cell r="CA363">
            <v>87.2</v>
          </cell>
          <cell r="CB363">
            <v>82.6</v>
          </cell>
          <cell r="CC363">
            <v>82.6</v>
          </cell>
          <cell r="CD363">
            <v>82.6</v>
          </cell>
          <cell r="CE363">
            <v>80.5</v>
          </cell>
          <cell r="CF363">
            <v>80.5</v>
          </cell>
          <cell r="CG363">
            <v>80.5</v>
          </cell>
          <cell r="CH363">
            <v>77.5</v>
          </cell>
          <cell r="CI363">
            <v>77.5</v>
          </cell>
          <cell r="CJ363">
            <v>77.5</v>
          </cell>
          <cell r="CK363">
            <v>78.900000000000006</v>
          </cell>
          <cell r="CL363">
            <v>78.900000000000006</v>
          </cell>
          <cell r="CM363">
            <v>78.900000000000006</v>
          </cell>
          <cell r="CN363">
            <v>79.400000000000006</v>
          </cell>
          <cell r="CO363">
            <v>79.400000000000006</v>
          </cell>
          <cell r="CP363">
            <v>79.400000000000006</v>
          </cell>
          <cell r="CQ363">
            <v>82</v>
          </cell>
          <cell r="CR363">
            <v>82</v>
          </cell>
          <cell r="CS363">
            <v>83</v>
          </cell>
          <cell r="CT363">
            <v>83</v>
          </cell>
          <cell r="CU363">
            <v>84</v>
          </cell>
          <cell r="CV363">
            <v>86</v>
          </cell>
          <cell r="CW363">
            <v>87.5</v>
          </cell>
          <cell r="CX363">
            <v>88.2</v>
          </cell>
          <cell r="CY363">
            <v>89.2</v>
          </cell>
          <cell r="CZ363">
            <v>89</v>
          </cell>
          <cell r="DA363">
            <v>90</v>
          </cell>
          <cell r="DB363">
            <v>90</v>
          </cell>
          <cell r="DC363">
            <v>90.5</v>
          </cell>
          <cell r="DD363">
            <v>91</v>
          </cell>
          <cell r="DE363">
            <v>92</v>
          </cell>
          <cell r="DF363">
            <v>79.400000000000006</v>
          </cell>
          <cell r="DG363">
            <v>82</v>
          </cell>
          <cell r="DH363">
            <v>82</v>
          </cell>
          <cell r="DI363">
            <v>83</v>
          </cell>
          <cell r="DJ363">
            <v>83</v>
          </cell>
          <cell r="DK363">
            <v>84</v>
          </cell>
          <cell r="DL363">
            <v>86</v>
          </cell>
          <cell r="DM363">
            <v>87.5</v>
          </cell>
          <cell r="DN363">
            <v>88.2</v>
          </cell>
          <cell r="DO363">
            <v>89.2</v>
          </cell>
          <cell r="DP363">
            <v>89</v>
          </cell>
          <cell r="DQ363">
            <v>90</v>
          </cell>
          <cell r="DR363">
            <v>90</v>
          </cell>
          <cell r="DS363">
            <v>90.5</v>
          </cell>
          <cell r="DT363">
            <v>91</v>
          </cell>
          <cell r="DU363">
            <v>92</v>
          </cell>
        </row>
        <row r="367">
          <cell r="F367" t="str">
            <v>PTA Cost Spread</v>
          </cell>
        </row>
        <row r="369">
          <cell r="H369">
            <v>33055</v>
          </cell>
          <cell r="I369">
            <v>33086</v>
          </cell>
          <cell r="J369">
            <v>33117</v>
          </cell>
          <cell r="K369">
            <v>33147</v>
          </cell>
          <cell r="L369">
            <v>33178</v>
          </cell>
          <cell r="M369">
            <v>33208</v>
          </cell>
          <cell r="N369">
            <v>33239</v>
          </cell>
          <cell r="O369">
            <v>33270</v>
          </cell>
          <cell r="P369">
            <v>33298</v>
          </cell>
          <cell r="Q369">
            <v>33329</v>
          </cell>
          <cell r="R369">
            <v>33359</v>
          </cell>
          <cell r="S369">
            <v>33390</v>
          </cell>
          <cell r="T369">
            <v>33420</v>
          </cell>
          <cell r="U369">
            <v>33451</v>
          </cell>
          <cell r="V369">
            <v>33482</v>
          </cell>
          <cell r="W369">
            <v>33512</v>
          </cell>
          <cell r="X369">
            <v>33543</v>
          </cell>
          <cell r="Y369">
            <v>33573</v>
          </cell>
          <cell r="Z369">
            <v>33604</v>
          </cell>
          <cell r="AA369">
            <v>33635</v>
          </cell>
          <cell r="AB369">
            <v>33664</v>
          </cell>
          <cell r="AC369">
            <v>33695</v>
          </cell>
          <cell r="AD369">
            <v>33725</v>
          </cell>
          <cell r="AE369">
            <v>33756</v>
          </cell>
          <cell r="AF369">
            <v>33786</v>
          </cell>
          <cell r="AG369">
            <v>33817</v>
          </cell>
          <cell r="AH369">
            <v>33848</v>
          </cell>
          <cell r="AI369">
            <v>33878</v>
          </cell>
          <cell r="AJ369">
            <v>33909</v>
          </cell>
          <cell r="AK369">
            <v>33939</v>
          </cell>
          <cell r="AL369">
            <v>33970</v>
          </cell>
          <cell r="AM369">
            <v>34001</v>
          </cell>
          <cell r="AN369">
            <v>34029</v>
          </cell>
          <cell r="AO369">
            <v>34060</v>
          </cell>
          <cell r="AP369">
            <v>34090</v>
          </cell>
          <cell r="AQ369">
            <v>34121</v>
          </cell>
          <cell r="AR369">
            <v>34151</v>
          </cell>
          <cell r="AS369">
            <v>34182</v>
          </cell>
          <cell r="AT369">
            <v>34213</v>
          </cell>
          <cell r="AU369">
            <v>34243</v>
          </cell>
          <cell r="AV369">
            <v>34274</v>
          </cell>
          <cell r="AW369">
            <v>34304</v>
          </cell>
          <cell r="AX369">
            <v>34335</v>
          </cell>
          <cell r="AY369">
            <v>34366</v>
          </cell>
          <cell r="AZ369">
            <v>34394</v>
          </cell>
          <cell r="BA369">
            <v>34425</v>
          </cell>
          <cell r="BB369">
            <v>34455</v>
          </cell>
          <cell r="BC369">
            <v>34486</v>
          </cell>
          <cell r="BD369">
            <v>34516</v>
          </cell>
          <cell r="BE369">
            <v>34547</v>
          </cell>
          <cell r="BF369">
            <v>34578</v>
          </cell>
          <cell r="BG369">
            <v>34608</v>
          </cell>
          <cell r="BH369">
            <v>34639</v>
          </cell>
          <cell r="BI369">
            <v>34669</v>
          </cell>
          <cell r="BJ369">
            <v>34700</v>
          </cell>
          <cell r="BK369">
            <v>34731</v>
          </cell>
          <cell r="BL369">
            <v>34759</v>
          </cell>
          <cell r="BM369">
            <v>34790</v>
          </cell>
          <cell r="BN369">
            <v>34820</v>
          </cell>
          <cell r="BO369">
            <v>34851</v>
          </cell>
          <cell r="BP369">
            <v>34881</v>
          </cell>
          <cell r="BQ369">
            <v>34912</v>
          </cell>
          <cell r="BR369">
            <v>34943</v>
          </cell>
          <cell r="BS369">
            <v>34973</v>
          </cell>
          <cell r="BT369">
            <v>35004</v>
          </cell>
          <cell r="BU369">
            <v>35034</v>
          </cell>
          <cell r="BV369">
            <v>35065</v>
          </cell>
          <cell r="BW369">
            <v>35096</v>
          </cell>
          <cell r="BX369">
            <v>35125</v>
          </cell>
          <cell r="BY369">
            <v>35156</v>
          </cell>
          <cell r="BZ369">
            <v>35186</v>
          </cell>
          <cell r="CA369">
            <v>35217</v>
          </cell>
          <cell r="CB369">
            <v>35247</v>
          </cell>
          <cell r="CC369">
            <v>35278</v>
          </cell>
          <cell r="CD369">
            <v>35309</v>
          </cell>
          <cell r="CE369">
            <v>35339</v>
          </cell>
          <cell r="CF369">
            <v>35370</v>
          </cell>
          <cell r="CG369">
            <v>35400</v>
          </cell>
          <cell r="CH369">
            <v>35431</v>
          </cell>
          <cell r="CI369">
            <v>35462</v>
          </cell>
          <cell r="CJ369">
            <v>35490</v>
          </cell>
          <cell r="CK369">
            <v>35521</v>
          </cell>
          <cell r="CL369">
            <v>35551</v>
          </cell>
          <cell r="CM369">
            <v>35582</v>
          </cell>
          <cell r="CN369">
            <v>35612</v>
          </cell>
          <cell r="CO369">
            <v>35643</v>
          </cell>
          <cell r="CP369">
            <v>35674</v>
          </cell>
          <cell r="CQ369">
            <v>35704</v>
          </cell>
          <cell r="CR369">
            <v>35735</v>
          </cell>
          <cell r="CS369">
            <v>35765</v>
          </cell>
          <cell r="CT369">
            <v>35796</v>
          </cell>
          <cell r="CU369">
            <v>35827</v>
          </cell>
          <cell r="CV369">
            <v>35855</v>
          </cell>
          <cell r="CW369">
            <v>35886</v>
          </cell>
          <cell r="CX369">
            <v>35916</v>
          </cell>
          <cell r="CY369">
            <v>35947</v>
          </cell>
          <cell r="CZ369">
            <v>35977</v>
          </cell>
          <cell r="DA369">
            <v>36008</v>
          </cell>
          <cell r="DB369">
            <v>36039</v>
          </cell>
          <cell r="DC369">
            <v>36069</v>
          </cell>
          <cell r="DD369">
            <v>36100</v>
          </cell>
          <cell r="DE369">
            <v>36130</v>
          </cell>
          <cell r="DF369">
            <v>35674</v>
          </cell>
          <cell r="DG369">
            <v>35704</v>
          </cell>
          <cell r="DH369">
            <v>35735</v>
          </cell>
          <cell r="DI369">
            <v>35765</v>
          </cell>
          <cell r="DJ369">
            <v>35796</v>
          </cell>
          <cell r="DK369">
            <v>35827</v>
          </cell>
          <cell r="DL369">
            <v>35855</v>
          </cell>
          <cell r="DM369">
            <v>35886</v>
          </cell>
          <cell r="DN369">
            <v>35916</v>
          </cell>
          <cell r="DO369">
            <v>35947</v>
          </cell>
          <cell r="DP369">
            <v>35977</v>
          </cell>
          <cell r="DQ369">
            <v>36008</v>
          </cell>
          <cell r="DR369">
            <v>36039</v>
          </cell>
          <cell r="DS369">
            <v>36069</v>
          </cell>
          <cell r="DT369">
            <v>36100</v>
          </cell>
          <cell r="DU369">
            <v>36130</v>
          </cell>
        </row>
        <row r="370">
          <cell r="F370" t="str">
            <v>PTA price</v>
          </cell>
          <cell r="H370">
            <v>26.72</v>
          </cell>
          <cell r="I370">
            <v>26.72</v>
          </cell>
          <cell r="J370">
            <v>26.72</v>
          </cell>
          <cell r="K370">
            <v>31.71</v>
          </cell>
          <cell r="L370">
            <v>31.71</v>
          </cell>
          <cell r="M370">
            <v>31.71</v>
          </cell>
          <cell r="N370">
            <v>30.05</v>
          </cell>
          <cell r="O370">
            <v>30.05</v>
          </cell>
          <cell r="P370">
            <v>28.38</v>
          </cell>
          <cell r="Q370">
            <v>26.67</v>
          </cell>
          <cell r="R370">
            <v>26.67</v>
          </cell>
          <cell r="S370">
            <v>26.67</v>
          </cell>
          <cell r="T370">
            <v>26.08</v>
          </cell>
          <cell r="U370">
            <v>26.08</v>
          </cell>
          <cell r="V370">
            <v>26.08</v>
          </cell>
          <cell r="W370">
            <v>25.97</v>
          </cell>
          <cell r="X370">
            <v>25.97</v>
          </cell>
          <cell r="Y370">
            <v>25.97</v>
          </cell>
          <cell r="Z370">
            <v>26.18</v>
          </cell>
          <cell r="AA370">
            <v>26.01</v>
          </cell>
          <cell r="AB370">
            <v>26.01</v>
          </cell>
          <cell r="AC370">
            <v>26.68</v>
          </cell>
          <cell r="AD370">
            <v>26.68</v>
          </cell>
          <cell r="AE370">
            <v>26.68</v>
          </cell>
          <cell r="AF370">
            <v>27.24</v>
          </cell>
          <cell r="AG370">
            <v>27.24</v>
          </cell>
          <cell r="AH370">
            <v>27.24</v>
          </cell>
          <cell r="AI370">
            <v>26.8</v>
          </cell>
          <cell r="AJ370">
            <v>26.8</v>
          </cell>
          <cell r="AK370">
            <v>26.8</v>
          </cell>
          <cell r="AL370">
            <v>26.82</v>
          </cell>
          <cell r="AM370">
            <v>26.82</v>
          </cell>
          <cell r="AN370">
            <v>26.82</v>
          </cell>
          <cell r="AO370">
            <v>27.07</v>
          </cell>
          <cell r="AP370">
            <v>27.07</v>
          </cell>
          <cell r="AQ370">
            <v>27.07</v>
          </cell>
          <cell r="AR370">
            <v>27.25</v>
          </cell>
          <cell r="AS370">
            <v>27.25</v>
          </cell>
          <cell r="AT370">
            <v>27.25</v>
          </cell>
          <cell r="AU370">
            <v>27.16</v>
          </cell>
          <cell r="AV370">
            <v>27.16</v>
          </cell>
          <cell r="AW370">
            <v>27.16</v>
          </cell>
          <cell r="AX370">
            <v>27.78</v>
          </cell>
          <cell r="AY370">
            <v>27.78</v>
          </cell>
          <cell r="AZ370">
            <v>27.78</v>
          </cell>
          <cell r="BA370">
            <v>27.8</v>
          </cell>
          <cell r="BB370">
            <v>27.8</v>
          </cell>
          <cell r="BC370">
            <v>27.8</v>
          </cell>
          <cell r="BD370">
            <v>28.95</v>
          </cell>
          <cell r="BE370">
            <v>28.95</v>
          </cell>
          <cell r="BF370">
            <v>28.95</v>
          </cell>
          <cell r="BG370">
            <v>31.73</v>
          </cell>
          <cell r="BH370">
            <v>31.73</v>
          </cell>
          <cell r="BI370">
            <v>31.73</v>
          </cell>
          <cell r="BJ370">
            <v>32.770000000000003</v>
          </cell>
          <cell r="BK370">
            <v>32.770000000000003</v>
          </cell>
          <cell r="BL370">
            <v>32.770000000000003</v>
          </cell>
          <cell r="BM370">
            <v>37.049999999999997</v>
          </cell>
          <cell r="BN370">
            <v>37.049999999999997</v>
          </cell>
          <cell r="BO370">
            <v>37.049999999999997</v>
          </cell>
          <cell r="BP370">
            <v>40.020000000000003</v>
          </cell>
          <cell r="BQ370">
            <v>40.020000000000003</v>
          </cell>
          <cell r="BR370">
            <v>40.020000000000003</v>
          </cell>
          <cell r="BS370">
            <v>40.700000000000003</v>
          </cell>
          <cell r="BT370">
            <v>40.700000000000003</v>
          </cell>
          <cell r="BU370">
            <v>40.700000000000003</v>
          </cell>
          <cell r="BV370">
            <v>40.82</v>
          </cell>
          <cell r="BW370">
            <v>36.76</v>
          </cell>
          <cell r="BX370">
            <v>40.82</v>
          </cell>
          <cell r="BY370">
            <v>36.76</v>
          </cell>
          <cell r="BZ370">
            <v>36.76</v>
          </cell>
          <cell r="CA370">
            <v>36.76</v>
          </cell>
          <cell r="CB370">
            <v>28.35</v>
          </cell>
          <cell r="CC370">
            <v>28.35</v>
          </cell>
          <cell r="CD370">
            <v>26.44</v>
          </cell>
          <cell r="CE370">
            <v>26.94</v>
          </cell>
          <cell r="CF370">
            <v>26.93</v>
          </cell>
          <cell r="CG370">
            <v>26.95</v>
          </cell>
          <cell r="CH370">
            <v>27.82</v>
          </cell>
          <cell r="CI370">
            <v>27.82</v>
          </cell>
          <cell r="CJ370">
            <v>27.82</v>
          </cell>
          <cell r="CK370">
            <v>28.3</v>
          </cell>
          <cell r="CL370">
            <v>28.3</v>
          </cell>
          <cell r="CM370">
            <v>28.3</v>
          </cell>
          <cell r="CN370">
            <v>28.63</v>
          </cell>
          <cell r="CO370">
            <v>28.63</v>
          </cell>
          <cell r="CP370">
            <v>28.63</v>
          </cell>
          <cell r="CQ370">
            <v>27.94</v>
          </cell>
          <cell r="CR370">
            <v>27.94</v>
          </cell>
          <cell r="CS370">
            <v>27.94</v>
          </cell>
          <cell r="CT370">
            <v>25.86</v>
          </cell>
          <cell r="CU370">
            <v>25.86</v>
          </cell>
          <cell r="CV370">
            <v>25.86</v>
          </cell>
          <cell r="CW370">
            <v>23.8</v>
          </cell>
          <cell r="CX370">
            <v>23.8</v>
          </cell>
          <cell r="CY370">
            <v>23.8</v>
          </cell>
          <cell r="CZ370">
            <v>23.69</v>
          </cell>
          <cell r="DA370">
            <v>23.69</v>
          </cell>
          <cell r="DB370">
            <v>23.69</v>
          </cell>
          <cell r="DC370">
            <v>22.9</v>
          </cell>
          <cell r="DD370">
            <v>22.9</v>
          </cell>
          <cell r="DE370">
            <v>22.9</v>
          </cell>
          <cell r="DF370">
            <v>28.63</v>
          </cell>
          <cell r="DG370">
            <v>27.94</v>
          </cell>
          <cell r="DH370">
            <v>27.94</v>
          </cell>
          <cell r="DI370">
            <v>27.94</v>
          </cell>
          <cell r="DJ370">
            <v>25.86</v>
          </cell>
          <cell r="DK370">
            <v>25.86</v>
          </cell>
          <cell r="DL370">
            <v>25.86</v>
          </cell>
          <cell r="DM370">
            <v>23.8</v>
          </cell>
          <cell r="DN370">
            <v>23.8</v>
          </cell>
          <cell r="DO370">
            <v>23.8</v>
          </cell>
          <cell r="DP370">
            <v>23.69</v>
          </cell>
          <cell r="DQ370">
            <v>23.69</v>
          </cell>
          <cell r="DR370">
            <v>23.69</v>
          </cell>
          <cell r="DS370">
            <v>22.9</v>
          </cell>
          <cell r="DT370">
            <v>22.9</v>
          </cell>
          <cell r="DU370">
            <v>22.9</v>
          </cell>
        </row>
        <row r="372">
          <cell r="F372" t="str">
            <v>PTA Cash Cost</v>
          </cell>
          <cell r="H372">
            <v>20.385949630827788</v>
          </cell>
          <cell r="I372">
            <v>20.392399831383738</v>
          </cell>
          <cell r="J372">
            <v>20.431101034719415</v>
          </cell>
          <cell r="K372">
            <v>24.59300544695024</v>
          </cell>
          <cell r="L372">
            <v>24.72200945806917</v>
          </cell>
          <cell r="M372">
            <v>24.773611062516743</v>
          </cell>
          <cell r="N372">
            <v>22.851606345410357</v>
          </cell>
          <cell r="O372">
            <v>22.595539648458399</v>
          </cell>
          <cell r="P372">
            <v>22.524587442342991</v>
          </cell>
          <cell r="Q372">
            <v>19.734589594947181</v>
          </cell>
          <cell r="R372">
            <v>19.701540148496857</v>
          </cell>
          <cell r="S372">
            <v>19.646228112449833</v>
          </cell>
          <cell r="T372">
            <v>19.156284075617013</v>
          </cell>
          <cell r="U372">
            <v>19.233686482288373</v>
          </cell>
          <cell r="V372">
            <v>19.369140693963249</v>
          </cell>
          <cell r="W372">
            <v>19.537323401160094</v>
          </cell>
          <cell r="X372">
            <v>19.601825406719559</v>
          </cell>
          <cell r="Y372">
            <v>19.634076409499293</v>
          </cell>
          <cell r="Z372">
            <v>19.168265315135766</v>
          </cell>
          <cell r="AA372">
            <v>19.026360902904944</v>
          </cell>
          <cell r="AB372">
            <v>19.065062106240621</v>
          </cell>
          <cell r="AC372">
            <v>20.05033744538477</v>
          </cell>
          <cell r="AD372">
            <v>20.134190052612077</v>
          </cell>
          <cell r="AE372">
            <v>20.172891255947754</v>
          </cell>
          <cell r="AF372">
            <v>20.582037236745549</v>
          </cell>
          <cell r="AG372">
            <v>20.743292250644213</v>
          </cell>
          <cell r="AH372">
            <v>20.898097063986931</v>
          </cell>
          <cell r="AI372">
            <v>20.39094896522678</v>
          </cell>
          <cell r="AJ372">
            <v>20.307096357999477</v>
          </cell>
          <cell r="AK372">
            <v>20.274845355219743</v>
          </cell>
          <cell r="AL372">
            <v>20.014943375663929</v>
          </cell>
          <cell r="AM372">
            <v>19.943991169548514</v>
          </cell>
          <cell r="AN372">
            <v>20.176198389562593</v>
          </cell>
          <cell r="AO372">
            <v>20.590197683575138</v>
          </cell>
          <cell r="AP372">
            <v>20.525695678015673</v>
          </cell>
          <cell r="AQ372">
            <v>20.428942669676474</v>
          </cell>
          <cell r="AR372">
            <v>20.683489051586161</v>
          </cell>
          <cell r="AS372">
            <v>20.683489051586161</v>
          </cell>
          <cell r="AT372">
            <v>20.876995068264556</v>
          </cell>
          <cell r="AU372">
            <v>20.710886741151135</v>
          </cell>
          <cell r="AV372">
            <v>20.807639749490331</v>
          </cell>
          <cell r="AW372">
            <v>20.839890752270065</v>
          </cell>
          <cell r="AX372">
            <v>21.604843086594702</v>
          </cell>
          <cell r="AY372">
            <v>21.811249504384993</v>
          </cell>
          <cell r="AZ372">
            <v>21.553241482147133</v>
          </cell>
          <cell r="BA372">
            <v>21.504833652381944</v>
          </cell>
          <cell r="BB372">
            <v>21.433881446266529</v>
          </cell>
          <cell r="BC372">
            <v>21.388730042374902</v>
          </cell>
          <cell r="BD372">
            <v>22.620878734719614</v>
          </cell>
          <cell r="BE372">
            <v>22.485424523044735</v>
          </cell>
          <cell r="BF372">
            <v>22.453173520265004</v>
          </cell>
          <cell r="BG372">
            <v>25.063818201490783</v>
          </cell>
          <cell r="BH372">
            <v>25.289575220948908</v>
          </cell>
          <cell r="BI372">
            <v>25.192822212609713</v>
          </cell>
          <cell r="BJ372">
            <v>26.508939349522336</v>
          </cell>
          <cell r="BK372">
            <v>26.51999448849736</v>
          </cell>
          <cell r="BL372">
            <v>26.627830273659029</v>
          </cell>
          <cell r="BM372">
            <v>31.058442762983013</v>
          </cell>
          <cell r="BN372">
            <v>31.069581022956942</v>
          </cell>
          <cell r="BO372">
            <v>31.080747128580814</v>
          </cell>
          <cell r="BP372">
            <v>33.675188141129539</v>
          </cell>
          <cell r="BQ372">
            <v>33.63480854262211</v>
          </cell>
          <cell r="BR372">
            <v>33.781512815251986</v>
          </cell>
          <cell r="BS372">
            <v>34.462791001359378</v>
          </cell>
          <cell r="BT372">
            <v>34.551499789603383</v>
          </cell>
          <cell r="BU372">
            <v>34.724089451028632</v>
          </cell>
          <cell r="BV372">
            <v>34.736271579177753</v>
          </cell>
          <cell r="BW372">
            <v>35.201047567860996</v>
          </cell>
          <cell r="BX372">
            <v>34.916596738444511</v>
          </cell>
          <cell r="BY372">
            <v>30.577302290571428</v>
          </cell>
          <cell r="BZ372">
            <v>30.411398816092291</v>
          </cell>
          <cell r="CA372">
            <v>30.539008159510743</v>
          </cell>
          <cell r="CB372">
            <v>22.272295665594882</v>
          </cell>
          <cell r="CC372">
            <v>21.996825074844566</v>
          </cell>
          <cell r="CD372">
            <v>21.837487002436259</v>
          </cell>
          <cell r="CE372">
            <v>20.110016648716105</v>
          </cell>
          <cell r="CF372">
            <v>20.386125147497324</v>
          </cell>
          <cell r="CG372">
            <v>21.13957761310856</v>
          </cell>
          <cell r="CH372">
            <v>21.271163953770749</v>
          </cell>
          <cell r="CI372">
            <v>21.041044963338376</v>
          </cell>
          <cell r="CJ372">
            <v>20.804393397684727</v>
          </cell>
          <cell r="CK372">
            <v>21.496240295927542</v>
          </cell>
          <cell r="CL372">
            <v>21.541474802518195</v>
          </cell>
          <cell r="CM372">
            <v>21.629221255948238</v>
          </cell>
          <cell r="CN372">
            <v>22.288165137177977</v>
          </cell>
          <cell r="CO372">
            <v>22.294605789238997</v>
          </cell>
          <cell r="CP372">
            <v>22.386831155264662</v>
          </cell>
          <cell r="CQ372">
            <v>21.85493133697317</v>
          </cell>
          <cell r="CR372">
            <v>21.901531657541074</v>
          </cell>
          <cell r="CS372">
            <v>21.734656727203351</v>
          </cell>
          <cell r="CT372">
            <v>20.443345327065085</v>
          </cell>
          <cell r="CU372">
            <v>20.439542645004668</v>
          </cell>
          <cell r="CV372">
            <v>20.45071171686649</v>
          </cell>
          <cell r="CW372">
            <v>20.41296489374767</v>
          </cell>
          <cell r="CX372">
            <v>20.387292317604089</v>
          </cell>
          <cell r="CY372">
            <v>20.351704975270724</v>
          </cell>
          <cell r="CZ372">
            <v>19.721958323245474</v>
          </cell>
          <cell r="DA372">
            <v>19.762373460433711</v>
          </cell>
          <cell r="DB372">
            <v>19.802828943508537</v>
          </cell>
          <cell r="DC372">
            <v>19.843324893507603</v>
          </cell>
          <cell r="DD372">
            <v>19.878884056266077</v>
          </cell>
          <cell r="DE372">
            <v>19.84478349915717</v>
          </cell>
          <cell r="DF372">
            <v>19.859679415356243</v>
          </cell>
          <cell r="DG372">
            <v>19.85387149740259</v>
          </cell>
          <cell r="DH372">
            <v>19.855570720378424</v>
          </cell>
          <cell r="DI372">
            <v>20.236350191691461</v>
          </cell>
          <cell r="DJ372">
            <v>20.238131939897372</v>
          </cell>
          <cell r="DK372">
            <v>20.234977760927183</v>
          </cell>
          <cell r="DL372">
            <v>20.921487163672452</v>
          </cell>
          <cell r="DM372">
            <v>20.959905832629126</v>
          </cell>
          <cell r="DN372">
            <v>20.995877636348226</v>
          </cell>
          <cell r="DO372">
            <v>21.699524264299942</v>
          </cell>
          <cell r="DP372">
            <v>21.689113136583913</v>
          </cell>
          <cell r="DQ372">
            <v>21.676255521163561</v>
          </cell>
          <cell r="DR372">
            <v>19.802828943508537</v>
          </cell>
          <cell r="DS372">
            <v>19.843324893507603</v>
          </cell>
          <cell r="DT372">
            <v>19.878884056266077</v>
          </cell>
          <cell r="DU372">
            <v>19.84478349915717</v>
          </cell>
          <cell r="DV372">
            <v>19.859679415356243</v>
          </cell>
          <cell r="DW372">
            <v>19.85387149740259</v>
          </cell>
          <cell r="DX372">
            <v>19.855570720378424</v>
          </cell>
          <cell r="DY372">
            <v>20.236350191691461</v>
          </cell>
          <cell r="DZ372">
            <v>20.238131939897372</v>
          </cell>
          <cell r="EA372">
            <v>20.234977760927183</v>
          </cell>
          <cell r="EB372">
            <v>20.921487163672452</v>
          </cell>
          <cell r="EC372">
            <v>20.959905832629126</v>
          </cell>
          <cell r="ED372">
            <v>20.995877636348226</v>
          </cell>
          <cell r="EE372">
            <v>21.699524264299942</v>
          </cell>
          <cell r="EF372">
            <v>21.689113136583913</v>
          </cell>
          <cell r="EG372">
            <v>21.676255521163561</v>
          </cell>
        </row>
        <row r="374">
          <cell r="F374" t="str">
            <v>Spread</v>
          </cell>
          <cell r="H374">
            <v>6.3340503691722105</v>
          </cell>
          <cell r="I374">
            <v>6.3276001686162608</v>
          </cell>
          <cell r="J374">
            <v>6.288898965280584</v>
          </cell>
          <cell r="K374">
            <v>7.1169945530497607</v>
          </cell>
          <cell r="L374">
            <v>6.9879905419308308</v>
          </cell>
          <cell r="M374">
            <v>6.9363889374832581</v>
          </cell>
          <cell r="N374">
            <v>7.1983936545896441</v>
          </cell>
          <cell r="O374">
            <v>7.4544603515416021</v>
          </cell>
          <cell r="P374">
            <v>5.855412557657008</v>
          </cell>
          <cell r="Q374">
            <v>6.9354104050528207</v>
          </cell>
          <cell r="R374">
            <v>6.9684598515031446</v>
          </cell>
          <cell r="S374">
            <v>7.0237718875501685</v>
          </cell>
          <cell r="T374">
            <v>6.9237159243829858</v>
          </cell>
          <cell r="U374">
            <v>6.846313517711625</v>
          </cell>
          <cell r="V374">
            <v>6.710859306036749</v>
          </cell>
          <cell r="W374">
            <v>6.4326765988399046</v>
          </cell>
          <cell r="X374">
            <v>6.3681745932804397</v>
          </cell>
          <cell r="Y374">
            <v>6.3359235905007054</v>
          </cell>
          <cell r="Z374">
            <v>7.0117346848642335</v>
          </cell>
          <cell r="AA374">
            <v>6.9836390970950575</v>
          </cell>
          <cell r="AB374">
            <v>6.9449378937593806</v>
          </cell>
          <cell r="AC374">
            <v>6.6296625546152299</v>
          </cell>
          <cell r="AD374">
            <v>6.545809947387923</v>
          </cell>
          <cell r="AE374">
            <v>6.5071087440522462</v>
          </cell>
          <cell r="AF374">
            <v>6.6579627632544494</v>
          </cell>
          <cell r="AG374">
            <v>6.4967077493557852</v>
          </cell>
          <cell r="AH374">
            <v>6.3419029360130672</v>
          </cell>
          <cell r="AI374">
            <v>6.4090510347732206</v>
          </cell>
          <cell r="AJ374">
            <v>6.4929036420005239</v>
          </cell>
          <cell r="AK374">
            <v>6.5251546447802582</v>
          </cell>
          <cell r="AL374">
            <v>6.8050566243360713</v>
          </cell>
          <cell r="AM374">
            <v>6.8760088304514859</v>
          </cell>
          <cell r="AN374">
            <v>6.6438016104374071</v>
          </cell>
          <cell r="AO374">
            <v>6.4798023164248626</v>
          </cell>
          <cell r="AP374">
            <v>6.5443043219843275</v>
          </cell>
          <cell r="AQ374">
            <v>6.6410573303235267</v>
          </cell>
          <cell r="AR374">
            <v>6.5665109484138391</v>
          </cell>
          <cell r="AS374">
            <v>6.5665109484138391</v>
          </cell>
          <cell r="AT374">
            <v>6.3730049317354442</v>
          </cell>
          <cell r="AU374">
            <v>6.4491132588488647</v>
          </cell>
          <cell r="AV374">
            <v>6.352360250509669</v>
          </cell>
          <cell r="AW374">
            <v>6.3201092477299348</v>
          </cell>
          <cell r="AX374">
            <v>6.1751569134052993</v>
          </cell>
          <cell r="AY374">
            <v>5.9687504956150086</v>
          </cell>
          <cell r="AZ374">
            <v>6.2267585178528684</v>
          </cell>
          <cell r="BA374">
            <v>6.295166347618057</v>
          </cell>
          <cell r="BB374">
            <v>6.3661185537334717</v>
          </cell>
          <cell r="BC374">
            <v>6.4112699576250982</v>
          </cell>
          <cell r="BD374">
            <v>6.329121265280385</v>
          </cell>
          <cell r="BE374">
            <v>6.4645754769552646</v>
          </cell>
          <cell r="BF374">
            <v>6.4968264797349953</v>
          </cell>
          <cell r="BG374">
            <v>6.6661817985092178</v>
          </cell>
          <cell r="BH374">
            <v>6.4404247790510922</v>
          </cell>
          <cell r="BI374">
            <v>6.5371777873902879</v>
          </cell>
          <cell r="BJ374">
            <v>6.2610606504776669</v>
          </cell>
          <cell r="BK374">
            <v>6.2500055115026427</v>
          </cell>
          <cell r="BL374">
            <v>6.142169726340974</v>
          </cell>
          <cell r="BM374">
            <v>5.9915572370169841</v>
          </cell>
          <cell r="BN374">
            <v>5.9804189770430547</v>
          </cell>
          <cell r="BO374">
            <v>5.969252871419183</v>
          </cell>
          <cell r="BP374">
            <v>6.3448118588704645</v>
          </cell>
          <cell r="BQ374">
            <v>6.3851914573778927</v>
          </cell>
          <cell r="BR374">
            <v>6.238487184748017</v>
          </cell>
          <cell r="BS374">
            <v>6.2372089986406252</v>
          </cell>
          <cell r="BT374">
            <v>6.1485002103966195</v>
          </cell>
          <cell r="BU374">
            <v>5.9759105489713704</v>
          </cell>
          <cell r="BV374">
            <v>6.0837284208222471</v>
          </cell>
          <cell r="BW374">
            <v>1.5589524321390016</v>
          </cell>
          <cell r="BX374">
            <v>5.9034032615554892</v>
          </cell>
          <cell r="BY374">
            <v>6.1826977094285702</v>
          </cell>
          <cell r="BZ374">
            <v>6.3486011839077072</v>
          </cell>
          <cell r="CA374">
            <v>6.2209918404892548</v>
          </cell>
          <cell r="CB374">
            <v>6.0777043344051194</v>
          </cell>
          <cell r="CC374">
            <v>6.3531749251554359</v>
          </cell>
          <cell r="CD374">
            <v>4.6025129975637427</v>
          </cell>
          <cell r="CE374">
            <v>6.8299833512838966</v>
          </cell>
          <cell r="CF374">
            <v>6.5438748525026753</v>
          </cell>
          <cell r="CG374">
            <v>5.8104223868914389</v>
          </cell>
          <cell r="CH374">
            <v>6.5488360462292512</v>
          </cell>
          <cell r="CI374">
            <v>6.7789550366616247</v>
          </cell>
          <cell r="CJ374">
            <v>7.0156066023152732</v>
          </cell>
          <cell r="CK374">
            <v>6.8037597040724584</v>
          </cell>
          <cell r="CL374">
            <v>6.7585251974818057</v>
          </cell>
          <cell r="CM374">
            <v>6.6707787440517627</v>
          </cell>
          <cell r="CN374">
            <v>6.3418348628220222</v>
          </cell>
          <cell r="CO374">
            <v>6.3353942107610024</v>
          </cell>
          <cell r="CP374">
            <v>6.2431688447353366</v>
          </cell>
          <cell r="CQ374">
            <v>6.0850686630268314</v>
          </cell>
          <cell r="CR374">
            <v>6.0384683424589269</v>
          </cell>
          <cell r="CS374">
            <v>6.2053432727966502</v>
          </cell>
          <cell r="CT374">
            <v>5.4166546729349143</v>
          </cell>
          <cell r="CU374">
            <v>5.4204573549953317</v>
          </cell>
          <cell r="CV374">
            <v>5.4092882831335096</v>
          </cell>
          <cell r="CW374">
            <v>3.3870351062523305</v>
          </cell>
          <cell r="CX374">
            <v>3.4127076823959115</v>
          </cell>
          <cell r="CY374">
            <v>3.4482950247292763</v>
          </cell>
          <cell r="CZ374">
            <v>3.9680416767545275</v>
          </cell>
          <cell r="DA374">
            <v>3.9276265395662904</v>
          </cell>
          <cell r="DB374">
            <v>3.8871710564914643</v>
          </cell>
          <cell r="DC374">
            <v>3.0566751064923956</v>
          </cell>
          <cell r="DD374">
            <v>3.0211159437339212</v>
          </cell>
          <cell r="DE374">
            <v>3.0552165008428283</v>
          </cell>
          <cell r="DF374">
            <v>6.2431688447353366</v>
          </cell>
          <cell r="DG374">
            <v>6.0850686630268314</v>
          </cell>
          <cell r="DH374">
            <v>6.0384683424589269</v>
          </cell>
          <cell r="DI374">
            <v>6.2053432727966502</v>
          </cell>
          <cell r="DJ374">
            <v>5.4166546729349143</v>
          </cell>
          <cell r="DK374">
            <v>5.4204573549953317</v>
          </cell>
          <cell r="DL374">
            <v>5.4092882831335096</v>
          </cell>
          <cell r="DM374">
            <v>3.3870351062523305</v>
          </cell>
          <cell r="DN374">
            <v>3.4127076823959115</v>
          </cell>
          <cell r="DO374">
            <v>3.4482950247292763</v>
          </cell>
          <cell r="DP374">
            <v>3.9680416767545275</v>
          </cell>
          <cell r="DQ374">
            <v>3.9276265395662904</v>
          </cell>
          <cell r="DR374">
            <v>3.8871710564914643</v>
          </cell>
          <cell r="DS374">
            <v>3.0566751064923956</v>
          </cell>
          <cell r="DT374">
            <v>3.0211159437339212</v>
          </cell>
          <cell r="DU374">
            <v>3.0552165008428283</v>
          </cell>
        </row>
        <row r="377">
          <cell r="F377" t="str">
            <v>(1) Source: Monthly Energy Review, DOE.</v>
          </cell>
          <cell r="H377">
            <v>1</v>
          </cell>
          <cell r="I377">
            <v>2</v>
          </cell>
          <cell r="J377">
            <v>3</v>
          </cell>
          <cell r="K377">
            <v>4</v>
          </cell>
          <cell r="L377">
            <v>5</v>
          </cell>
          <cell r="M377">
            <v>6</v>
          </cell>
          <cell r="N377">
            <v>7</v>
          </cell>
          <cell r="O377">
            <v>8</v>
          </cell>
          <cell r="P377">
            <v>9</v>
          </cell>
          <cell r="Q377">
            <v>10</v>
          </cell>
          <cell r="R377">
            <v>11</v>
          </cell>
          <cell r="S377">
            <v>12</v>
          </cell>
          <cell r="T377">
            <v>13</v>
          </cell>
          <cell r="U377">
            <v>14</v>
          </cell>
          <cell r="V377">
            <v>15</v>
          </cell>
          <cell r="W377">
            <v>16</v>
          </cell>
          <cell r="X377">
            <v>17</v>
          </cell>
          <cell r="Y377">
            <v>18</v>
          </cell>
          <cell r="Z377">
            <v>19</v>
          </cell>
          <cell r="AA377">
            <v>20</v>
          </cell>
          <cell r="AB377">
            <v>21</v>
          </cell>
          <cell r="AC377">
            <v>22</v>
          </cell>
          <cell r="AD377">
            <v>23</v>
          </cell>
          <cell r="AE377">
            <v>24</v>
          </cell>
          <cell r="AF377">
            <v>25</v>
          </cell>
          <cell r="AG377">
            <v>26</v>
          </cell>
          <cell r="AH377">
            <v>27</v>
          </cell>
          <cell r="AI377">
            <v>28</v>
          </cell>
          <cell r="AJ377">
            <v>29</v>
          </cell>
          <cell r="AK377">
            <v>30</v>
          </cell>
          <cell r="AL377">
            <v>31</v>
          </cell>
          <cell r="AM377">
            <v>32</v>
          </cell>
          <cell r="AN377">
            <v>33</v>
          </cell>
          <cell r="AO377">
            <v>34</v>
          </cell>
          <cell r="AP377">
            <v>35</v>
          </cell>
          <cell r="AQ377">
            <v>36</v>
          </cell>
          <cell r="AR377">
            <v>37</v>
          </cell>
          <cell r="AS377">
            <v>38</v>
          </cell>
          <cell r="AT377">
            <v>39</v>
          </cell>
          <cell r="AU377">
            <v>40</v>
          </cell>
          <cell r="AV377">
            <v>41</v>
          </cell>
          <cell r="AW377">
            <v>42</v>
          </cell>
          <cell r="AX377">
            <v>43</v>
          </cell>
          <cell r="AY377">
            <v>44</v>
          </cell>
          <cell r="AZ377">
            <v>45</v>
          </cell>
          <cell r="BA377">
            <v>46</v>
          </cell>
          <cell r="BB377">
            <v>47</v>
          </cell>
          <cell r="BC377">
            <v>48</v>
          </cell>
          <cell r="BD377">
            <v>49</v>
          </cell>
          <cell r="BE377">
            <v>50</v>
          </cell>
          <cell r="BF377">
            <v>51</v>
          </cell>
          <cell r="BG377">
            <v>52</v>
          </cell>
          <cell r="BH377">
            <v>53</v>
          </cell>
          <cell r="BI377">
            <v>54</v>
          </cell>
          <cell r="BJ377">
            <v>55</v>
          </cell>
          <cell r="BK377">
            <v>56</v>
          </cell>
          <cell r="BL377">
            <v>57</v>
          </cell>
          <cell r="BM377">
            <v>58</v>
          </cell>
          <cell r="BN377">
            <v>59</v>
          </cell>
          <cell r="BO377">
            <v>60</v>
          </cell>
          <cell r="BP377">
            <v>61</v>
          </cell>
          <cell r="BQ377">
            <v>62</v>
          </cell>
          <cell r="BR377">
            <v>63</v>
          </cell>
          <cell r="BS377">
            <v>64</v>
          </cell>
          <cell r="BT377">
            <v>65</v>
          </cell>
          <cell r="BU377">
            <v>66</v>
          </cell>
          <cell r="BV377">
            <v>67</v>
          </cell>
          <cell r="BW377">
            <v>68</v>
          </cell>
          <cell r="BX377">
            <v>69</v>
          </cell>
          <cell r="BY377">
            <v>70</v>
          </cell>
          <cell r="BZ377">
            <v>71</v>
          </cell>
          <cell r="CA377">
            <v>72</v>
          </cell>
          <cell r="CB377">
            <v>73</v>
          </cell>
          <cell r="CC377">
            <v>74</v>
          </cell>
          <cell r="CD377">
            <v>75</v>
          </cell>
          <cell r="CE377">
            <v>76</v>
          </cell>
          <cell r="CF377">
            <v>77</v>
          </cell>
          <cell r="CG377">
            <v>78</v>
          </cell>
          <cell r="CH377">
            <v>79</v>
          </cell>
          <cell r="CI377">
            <v>80</v>
          </cell>
          <cell r="CJ377">
            <v>81</v>
          </cell>
          <cell r="CK377">
            <v>82</v>
          </cell>
          <cell r="CL377">
            <v>83</v>
          </cell>
          <cell r="CM377">
            <v>84</v>
          </cell>
          <cell r="CN377">
            <v>85</v>
          </cell>
          <cell r="CO377">
            <v>86</v>
          </cell>
          <cell r="CP377">
            <v>87</v>
          </cell>
          <cell r="CQ377">
            <v>88</v>
          </cell>
          <cell r="CR377">
            <v>89</v>
          </cell>
          <cell r="CS377">
            <v>90</v>
          </cell>
          <cell r="CT377">
            <v>91</v>
          </cell>
          <cell r="CU377">
            <v>92</v>
          </cell>
          <cell r="CV377">
            <v>93</v>
          </cell>
          <cell r="CW377">
            <v>6.3666667013541725</v>
          </cell>
          <cell r="CX377">
            <v>79</v>
          </cell>
          <cell r="CY377">
            <v>80</v>
          </cell>
          <cell r="CZ377">
            <v>81</v>
          </cell>
          <cell r="DA377">
            <v>82</v>
          </cell>
          <cell r="DB377">
            <v>83</v>
          </cell>
          <cell r="DC377">
            <v>84</v>
          </cell>
          <cell r="DD377">
            <v>85</v>
          </cell>
          <cell r="DE377">
            <v>86</v>
          </cell>
          <cell r="DF377">
            <v>87</v>
          </cell>
          <cell r="DG377">
            <v>88</v>
          </cell>
          <cell r="DH377">
            <v>89</v>
          </cell>
          <cell r="DI377">
            <v>90</v>
          </cell>
          <cell r="DJ377">
            <v>91</v>
          </cell>
          <cell r="DK377">
            <v>92</v>
          </cell>
          <cell r="DL377">
            <v>93</v>
          </cell>
          <cell r="DM377">
            <v>6.3666667013541725</v>
          </cell>
        </row>
        <row r="380">
          <cell r="F380" t="str">
            <v>Cost Spreads for Major Chemicals</v>
          </cell>
        </row>
        <row r="384">
          <cell r="X384">
            <v>33543</v>
          </cell>
          <cell r="Y384">
            <v>33573</v>
          </cell>
          <cell r="Z384">
            <v>33604</v>
          </cell>
          <cell r="AA384">
            <v>33635</v>
          </cell>
          <cell r="AB384">
            <v>33664</v>
          </cell>
          <cell r="AC384">
            <v>33695</v>
          </cell>
          <cell r="AD384">
            <v>33725</v>
          </cell>
          <cell r="AE384">
            <v>33756</v>
          </cell>
          <cell r="AF384">
            <v>33786</v>
          </cell>
          <cell r="AG384">
            <v>33817</v>
          </cell>
          <cell r="AH384">
            <v>33848</v>
          </cell>
          <cell r="AI384">
            <v>33878</v>
          </cell>
          <cell r="AJ384">
            <v>33909</v>
          </cell>
          <cell r="AK384">
            <v>33939</v>
          </cell>
          <cell r="AL384">
            <v>33970</v>
          </cell>
          <cell r="AM384">
            <v>34001</v>
          </cell>
          <cell r="AN384">
            <v>34029</v>
          </cell>
          <cell r="AO384">
            <v>34060</v>
          </cell>
          <cell r="AP384">
            <v>34090</v>
          </cell>
          <cell r="AQ384">
            <v>34121</v>
          </cell>
          <cell r="AR384">
            <v>34151</v>
          </cell>
          <cell r="AS384">
            <v>34182</v>
          </cell>
          <cell r="AT384">
            <v>34213</v>
          </cell>
          <cell r="AU384">
            <v>34243</v>
          </cell>
          <cell r="AV384">
            <v>34274</v>
          </cell>
          <cell r="AW384">
            <v>34304</v>
          </cell>
          <cell r="AX384">
            <v>34335</v>
          </cell>
          <cell r="AY384">
            <v>34366</v>
          </cell>
          <cell r="AZ384">
            <v>34394</v>
          </cell>
          <cell r="BA384">
            <v>34425</v>
          </cell>
          <cell r="BB384">
            <v>34455</v>
          </cell>
          <cell r="BC384">
            <v>34486</v>
          </cell>
          <cell r="BD384">
            <v>34516</v>
          </cell>
          <cell r="BE384">
            <v>34547</v>
          </cell>
          <cell r="BF384">
            <v>34578</v>
          </cell>
          <cell r="BG384">
            <v>34608</v>
          </cell>
          <cell r="BH384">
            <v>34639</v>
          </cell>
          <cell r="BI384">
            <v>34669</v>
          </cell>
          <cell r="BJ384">
            <v>34700</v>
          </cell>
          <cell r="BK384">
            <v>34731</v>
          </cell>
          <cell r="BL384">
            <v>34759</v>
          </cell>
          <cell r="BM384">
            <v>34790</v>
          </cell>
          <cell r="BN384">
            <v>34820</v>
          </cell>
          <cell r="BO384">
            <v>34851</v>
          </cell>
          <cell r="BP384">
            <v>34881</v>
          </cell>
          <cell r="BQ384">
            <v>34912</v>
          </cell>
          <cell r="BR384">
            <v>34943</v>
          </cell>
          <cell r="BS384">
            <v>34973</v>
          </cell>
          <cell r="BT384">
            <v>35004</v>
          </cell>
          <cell r="BU384">
            <v>35034</v>
          </cell>
          <cell r="BV384">
            <v>35065</v>
          </cell>
          <cell r="BW384">
            <v>35096</v>
          </cell>
          <cell r="BX384">
            <v>35125</v>
          </cell>
          <cell r="BY384">
            <v>35156</v>
          </cell>
          <cell r="BZ384">
            <v>35186</v>
          </cell>
          <cell r="CA384">
            <v>35217</v>
          </cell>
          <cell r="CB384">
            <v>35247</v>
          </cell>
          <cell r="CC384">
            <v>35278</v>
          </cell>
          <cell r="CD384">
            <v>35309</v>
          </cell>
          <cell r="CE384">
            <v>35339</v>
          </cell>
          <cell r="CF384">
            <v>35370</v>
          </cell>
          <cell r="CG384">
            <v>35400</v>
          </cell>
          <cell r="CH384">
            <v>35431</v>
          </cell>
          <cell r="CI384">
            <v>35462</v>
          </cell>
          <cell r="CJ384">
            <v>35490</v>
          </cell>
          <cell r="CK384">
            <v>35521</v>
          </cell>
          <cell r="CL384">
            <v>35551</v>
          </cell>
          <cell r="CM384">
            <v>35582</v>
          </cell>
          <cell r="CN384">
            <v>35612</v>
          </cell>
          <cell r="CO384">
            <v>35643</v>
          </cell>
          <cell r="CP384">
            <v>35674</v>
          </cell>
          <cell r="CQ384">
            <v>35704</v>
          </cell>
          <cell r="CR384">
            <v>35735</v>
          </cell>
          <cell r="CS384">
            <v>35765</v>
          </cell>
          <cell r="CT384">
            <v>35796</v>
          </cell>
          <cell r="CU384">
            <v>35827</v>
          </cell>
          <cell r="CV384">
            <v>35855</v>
          </cell>
          <cell r="CW384">
            <v>35886</v>
          </cell>
          <cell r="CX384">
            <v>35916</v>
          </cell>
          <cell r="CY384">
            <v>35947</v>
          </cell>
          <cell r="CZ384">
            <v>35977</v>
          </cell>
          <cell r="DA384">
            <v>36008</v>
          </cell>
          <cell r="DB384">
            <v>36039</v>
          </cell>
          <cell r="DC384">
            <v>36069</v>
          </cell>
          <cell r="DD384">
            <v>36100</v>
          </cell>
          <cell r="DE384">
            <v>36130</v>
          </cell>
          <cell r="DF384">
            <v>35674</v>
          </cell>
          <cell r="DG384">
            <v>35704</v>
          </cell>
          <cell r="DH384">
            <v>35735</v>
          </cell>
          <cell r="DI384">
            <v>35765</v>
          </cell>
          <cell r="DJ384">
            <v>35796</v>
          </cell>
          <cell r="DK384">
            <v>35827</v>
          </cell>
          <cell r="DL384">
            <v>35855</v>
          </cell>
          <cell r="DM384">
            <v>35886</v>
          </cell>
          <cell r="DN384">
            <v>35916</v>
          </cell>
          <cell r="DO384">
            <v>35947</v>
          </cell>
          <cell r="DP384">
            <v>35977</v>
          </cell>
          <cell r="DQ384">
            <v>36008</v>
          </cell>
          <cell r="DR384">
            <v>36039</v>
          </cell>
          <cell r="DS384">
            <v>36069</v>
          </cell>
          <cell r="DT384">
            <v>36100</v>
          </cell>
          <cell r="DU384">
            <v>36130</v>
          </cell>
        </row>
        <row r="387">
          <cell r="X387">
            <v>8.5053100000000015</v>
          </cell>
          <cell r="Y387">
            <v>11.59989</v>
          </cell>
          <cell r="Z387">
            <v>9.9555172483075012</v>
          </cell>
          <cell r="AA387">
            <v>8.431960310111398</v>
          </cell>
          <cell r="AB387">
            <v>7.6900296746013996</v>
          </cell>
          <cell r="AC387">
            <v>7.9722526490500005</v>
          </cell>
          <cell r="AD387">
            <v>7.0515812207905988</v>
          </cell>
          <cell r="AE387">
            <v>6.4083993623062003</v>
          </cell>
          <cell r="AF387">
            <v>7.2288908648176005</v>
          </cell>
          <cell r="AG387">
            <v>7.0048108648176015</v>
          </cell>
          <cell r="AH387">
            <v>7.6425043000655002</v>
          </cell>
          <cell r="AI387">
            <v>8.8442322581349995</v>
          </cell>
          <cell r="AJ387">
            <v>9.0253470211836984</v>
          </cell>
          <cell r="AK387">
            <v>10.2221097619568</v>
          </cell>
          <cell r="AL387">
            <v>8.5807999999999982</v>
          </cell>
          <cell r="AM387">
            <v>7.9706499999999991</v>
          </cell>
          <cell r="AN387">
            <v>7.7351300000000016</v>
          </cell>
          <cell r="AO387">
            <v>7.7623699999999989</v>
          </cell>
          <cell r="AP387">
            <v>8.5083400000000005</v>
          </cell>
          <cell r="AQ387">
            <v>8.6321200000000005</v>
          </cell>
          <cell r="AR387">
            <v>9.1427600000000009</v>
          </cell>
          <cell r="AS387">
            <v>9.5297900000000002</v>
          </cell>
          <cell r="AT387">
            <v>9.6328699999999987</v>
          </cell>
          <cell r="AU387">
            <v>9.9968000000000004</v>
          </cell>
          <cell r="AV387">
            <v>10.029010000000001</v>
          </cell>
          <cell r="AW387">
            <v>9.464380000000002</v>
          </cell>
          <cell r="AX387">
            <v>8.5211499999999987</v>
          </cell>
          <cell r="AY387">
            <v>7.9089399999999994</v>
          </cell>
          <cell r="AZ387">
            <v>8.5890900000000006</v>
          </cell>
          <cell r="BA387">
            <v>9.3120200000000022</v>
          </cell>
          <cell r="BB387">
            <v>9.6489600000000006</v>
          </cell>
          <cell r="BC387">
            <v>10.984870000000001</v>
          </cell>
          <cell r="BD387">
            <v>12.200489999999999</v>
          </cell>
          <cell r="BE387">
            <v>13.044880000000001</v>
          </cell>
          <cell r="BF387">
            <v>15.02284</v>
          </cell>
          <cell r="BG387">
            <v>16.396940000000001</v>
          </cell>
          <cell r="BH387">
            <v>17.339459999999999</v>
          </cell>
          <cell r="BI387">
            <v>9.5297900000000002</v>
          </cell>
          <cell r="BJ387">
            <v>20.40504</v>
          </cell>
          <cell r="BK387">
            <v>9.9968000000000004</v>
          </cell>
          <cell r="BL387">
            <v>10.029010000000001</v>
          </cell>
          <cell r="BM387">
            <v>9.464380000000002</v>
          </cell>
          <cell r="BN387">
            <v>8.5211499999999987</v>
          </cell>
          <cell r="BO387">
            <v>7.9089399999999994</v>
          </cell>
          <cell r="BP387">
            <v>8.5890900000000006</v>
          </cell>
          <cell r="BQ387">
            <v>9.3120200000000022</v>
          </cell>
          <cell r="BR387">
            <v>9.6489600000000006</v>
          </cell>
          <cell r="BS387">
            <v>10.984870000000001</v>
          </cell>
          <cell r="BT387">
            <v>12.200489999999999</v>
          </cell>
          <cell r="BU387">
            <v>13.044880000000001</v>
          </cell>
          <cell r="BV387">
            <v>15.02284</v>
          </cell>
          <cell r="BW387">
            <v>16.396940000000001</v>
          </cell>
          <cell r="BX387">
            <v>17.339459999999999</v>
          </cell>
          <cell r="BY387">
            <v>20.40504</v>
          </cell>
          <cell r="BZ387">
            <v>20.40504</v>
          </cell>
        </row>
        <row r="389">
          <cell r="X389">
            <v>10.288043775649797</v>
          </cell>
          <cell r="Y389">
            <v>10.198043775649797</v>
          </cell>
          <cell r="Z389">
            <v>10.608344733242133</v>
          </cell>
          <cell r="AA389">
            <v>10.213419972640219</v>
          </cell>
          <cell r="AB389">
            <v>9.6283447332421321</v>
          </cell>
          <cell r="AC389">
            <v>9.5832694938440479</v>
          </cell>
          <cell r="AD389">
            <v>9.6981942544459638</v>
          </cell>
          <cell r="AE389">
            <v>10.728194254445965</v>
          </cell>
          <cell r="AF389">
            <v>10.798043775649795</v>
          </cell>
          <cell r="AG389">
            <v>11.458194254445962</v>
          </cell>
          <cell r="AH389">
            <v>11.498344733242133</v>
          </cell>
          <cell r="AI389">
            <v>11.758645690834472</v>
          </cell>
          <cell r="AJ389">
            <v>11.018495212038305</v>
          </cell>
          <cell r="AK389">
            <v>10.488495212038304</v>
          </cell>
          <cell r="AL389">
            <v>10.368495212038303</v>
          </cell>
          <cell r="AM389">
            <v>10.053419972640219</v>
          </cell>
          <cell r="AN389">
            <v>9.708344733242134</v>
          </cell>
          <cell r="AO389">
            <v>10.713419972640219</v>
          </cell>
          <cell r="AP389">
            <v>11.788495212038304</v>
          </cell>
          <cell r="AQ389">
            <v>11.768495212038305</v>
          </cell>
          <cell r="AR389">
            <v>11.843570451436385</v>
          </cell>
          <cell r="AS389">
            <v>11.763570451436387</v>
          </cell>
          <cell r="AT389">
            <v>11.673570451436387</v>
          </cell>
          <cell r="AU389">
            <v>11.538645690834473</v>
          </cell>
          <cell r="AV389">
            <v>11.388645690834474</v>
          </cell>
          <cell r="AW389">
            <v>10.853720930232557</v>
          </cell>
          <cell r="AX389">
            <v>10.563720930232558</v>
          </cell>
          <cell r="AY389">
            <v>10.673720930232557</v>
          </cell>
          <cell r="AZ389">
            <v>11.153570451436387</v>
          </cell>
          <cell r="BA389">
            <v>11.283419972640219</v>
          </cell>
          <cell r="BB389">
            <v>12.018344733242133</v>
          </cell>
          <cell r="BC389">
            <v>12.858495212038305</v>
          </cell>
          <cell r="BD389">
            <v>13.888495212038302</v>
          </cell>
          <cell r="BE389">
            <v>14.593269493844049</v>
          </cell>
          <cell r="BF389">
            <v>14.737742818057459</v>
          </cell>
          <cell r="BG389">
            <v>16.668043775649796</v>
          </cell>
          <cell r="BH389">
            <v>19.038495212038306</v>
          </cell>
          <cell r="BI389">
            <v>11.763570451436387</v>
          </cell>
          <cell r="BJ389">
            <v>11.673570451436387</v>
          </cell>
          <cell r="BK389">
            <v>11.538645690834473</v>
          </cell>
          <cell r="BL389">
            <v>11.388645690834474</v>
          </cell>
          <cell r="BM389">
            <v>10.853720930232557</v>
          </cell>
          <cell r="BN389">
            <v>10.563720930232558</v>
          </cell>
          <cell r="BO389">
            <v>10.673720930232557</v>
          </cell>
          <cell r="BP389">
            <v>11.153570451436387</v>
          </cell>
          <cell r="BQ389">
            <v>11.283419972640219</v>
          </cell>
          <cell r="BR389">
            <v>12.018344733242133</v>
          </cell>
          <cell r="BS389">
            <v>12.858495212038305</v>
          </cell>
          <cell r="BT389">
            <v>13.888495212038302</v>
          </cell>
          <cell r="BU389">
            <v>14.593269493844049</v>
          </cell>
          <cell r="BV389">
            <v>14.737742818057459</v>
          </cell>
          <cell r="BW389">
            <v>16.668043775649796</v>
          </cell>
          <cell r="BX389">
            <v>19.038495212038306</v>
          </cell>
        </row>
        <row r="396">
          <cell r="X396">
            <v>16.549999999999997</v>
          </cell>
          <cell r="Y396">
            <v>16.549999999999997</v>
          </cell>
          <cell r="Z396">
            <v>15.95</v>
          </cell>
          <cell r="AA396">
            <v>16.549999999999997</v>
          </cell>
          <cell r="AB396">
            <v>16.049999999999997</v>
          </cell>
          <cell r="AC396">
            <v>16.049999999999997</v>
          </cell>
          <cell r="AD396">
            <v>15.5</v>
          </cell>
          <cell r="AE396">
            <v>16.224999999999998</v>
          </cell>
          <cell r="AF396">
            <v>15.95</v>
          </cell>
          <cell r="AG396">
            <v>15.724999999999998</v>
          </cell>
          <cell r="AH396">
            <v>15</v>
          </cell>
          <cell r="AI396">
            <v>14.549999999999999</v>
          </cell>
          <cell r="AJ396">
            <v>12.599999999999998</v>
          </cell>
          <cell r="AK396">
            <v>12.374999999999998</v>
          </cell>
          <cell r="AL396">
            <v>11.874999999999998</v>
          </cell>
          <cell r="AM396">
            <v>11.374999999999998</v>
          </cell>
          <cell r="AN396">
            <v>10.874999999999998</v>
          </cell>
          <cell r="AO396">
            <v>10.599999999999998</v>
          </cell>
          <cell r="AP396">
            <v>10.324999999999999</v>
          </cell>
          <cell r="AQ396">
            <v>10.824999999999999</v>
          </cell>
          <cell r="AR396">
            <v>11.324999999999999</v>
          </cell>
          <cell r="AS396">
            <v>11.874999999999998</v>
          </cell>
          <cell r="AT396">
            <v>12.149999999999999</v>
          </cell>
          <cell r="AU396">
            <v>12.424999999999999</v>
          </cell>
          <cell r="AV396">
            <v>12.7</v>
          </cell>
          <cell r="AW396">
            <v>12.975</v>
          </cell>
          <cell r="AX396">
            <v>12.975</v>
          </cell>
          <cell r="AY396">
            <v>12.975</v>
          </cell>
          <cell r="AZ396">
            <v>12.424999999999999</v>
          </cell>
          <cell r="BA396">
            <v>14.374999999999998</v>
          </cell>
          <cell r="BB396">
            <v>14.324999999999999</v>
          </cell>
          <cell r="BC396">
            <v>14.224999999999998</v>
          </cell>
          <cell r="BD396">
            <v>14.674999999999997</v>
          </cell>
          <cell r="BE396">
            <v>14.574999999999999</v>
          </cell>
          <cell r="BF396">
            <v>14.474999999999998</v>
          </cell>
          <cell r="BG396">
            <v>15.375</v>
          </cell>
          <cell r="BH396">
            <v>16.274999999999999</v>
          </cell>
          <cell r="BI396">
            <v>11.874999999999998</v>
          </cell>
          <cell r="BJ396">
            <v>12.149999999999999</v>
          </cell>
          <cell r="BK396">
            <v>12.424999999999999</v>
          </cell>
          <cell r="BL396">
            <v>12.7</v>
          </cell>
          <cell r="BM396">
            <v>12.975</v>
          </cell>
          <cell r="BN396">
            <v>12.975</v>
          </cell>
          <cell r="BO396">
            <v>12.975</v>
          </cell>
          <cell r="BP396">
            <v>12.424999999999999</v>
          </cell>
          <cell r="BQ396">
            <v>14.374999999999998</v>
          </cell>
          <cell r="BR396">
            <v>14.324999999999999</v>
          </cell>
          <cell r="BS396">
            <v>14.224999999999998</v>
          </cell>
          <cell r="BT396">
            <v>14.674999999999997</v>
          </cell>
          <cell r="BU396">
            <v>14.574999999999999</v>
          </cell>
          <cell r="BV396">
            <v>14.474999999999998</v>
          </cell>
          <cell r="BW396">
            <v>15.375</v>
          </cell>
          <cell r="BX396">
            <v>16.274999999999999</v>
          </cell>
        </row>
        <row r="399">
          <cell r="X399">
            <v>45.320839999999997</v>
          </cell>
          <cell r="Y399">
            <v>45.320839999999997</v>
          </cell>
          <cell r="Z399">
            <v>42.019549999999995</v>
          </cell>
          <cell r="AA399">
            <v>42.019549999999995</v>
          </cell>
          <cell r="AB399">
            <v>42.019549999999995</v>
          </cell>
          <cell r="AC399">
            <v>42.726799999999997</v>
          </cell>
          <cell r="AD399">
            <v>42.726799999999997</v>
          </cell>
          <cell r="AE399">
            <v>42.726799999999997</v>
          </cell>
          <cell r="AF399">
            <v>45.439699999999995</v>
          </cell>
          <cell r="AG399">
            <v>45.439699999999995</v>
          </cell>
          <cell r="AH399">
            <v>45.439699999999995</v>
          </cell>
          <cell r="AI399">
            <v>45.418899999999994</v>
          </cell>
          <cell r="AJ399">
            <v>45.418899999999994</v>
          </cell>
          <cell r="AK399">
            <v>45.418899999999994</v>
          </cell>
          <cell r="AL399">
            <v>45.928899999999999</v>
          </cell>
          <cell r="AM399">
            <v>45.928899999999999</v>
          </cell>
          <cell r="AN399">
            <v>45.928899999999999</v>
          </cell>
          <cell r="AO399">
            <v>46.321800000000003</v>
          </cell>
          <cell r="AP399">
            <v>46.321800000000003</v>
          </cell>
          <cell r="AQ399">
            <v>46.321800000000003</v>
          </cell>
          <cell r="AR399">
            <v>44.358249999999998</v>
          </cell>
          <cell r="AS399">
            <v>44.358249999999998</v>
          </cell>
          <cell r="AT399">
            <v>44.358249999999998</v>
          </cell>
          <cell r="AU399">
            <v>42.858249999999998</v>
          </cell>
          <cell r="AV399">
            <v>42.858249999999998</v>
          </cell>
          <cell r="AW399">
            <v>42.858249999999998</v>
          </cell>
          <cell r="AX399">
            <v>41.96405</v>
          </cell>
          <cell r="AY399">
            <v>41.96405</v>
          </cell>
          <cell r="AZ399">
            <v>41.96405</v>
          </cell>
          <cell r="BA399">
            <v>43.46405</v>
          </cell>
          <cell r="BB399">
            <v>43.46405</v>
          </cell>
          <cell r="BC399">
            <v>43.46405</v>
          </cell>
          <cell r="BD399">
            <v>41.779200000000003</v>
          </cell>
          <cell r="BE399">
            <v>41.779200000000003</v>
          </cell>
          <cell r="BF399">
            <v>41.779200000000003</v>
          </cell>
          <cell r="BG399">
            <v>41.782399999999996</v>
          </cell>
          <cell r="BH399">
            <v>41.782399999999996</v>
          </cell>
          <cell r="BI399">
            <v>44.358249999999998</v>
          </cell>
          <cell r="BJ399">
            <v>44.358249999999998</v>
          </cell>
          <cell r="BK399">
            <v>42.858249999999998</v>
          </cell>
          <cell r="BL399">
            <v>42.858249999999998</v>
          </cell>
          <cell r="BM399">
            <v>42.858249999999998</v>
          </cell>
          <cell r="BN399">
            <v>41.96405</v>
          </cell>
          <cell r="BO399">
            <v>41.96405</v>
          </cell>
          <cell r="BP399">
            <v>41.96405</v>
          </cell>
          <cell r="BQ399">
            <v>43.46405</v>
          </cell>
          <cell r="BR399">
            <v>43.46405</v>
          </cell>
          <cell r="BS399">
            <v>43.46405</v>
          </cell>
          <cell r="BT399">
            <v>41.779200000000003</v>
          </cell>
          <cell r="BU399">
            <v>41.779200000000003</v>
          </cell>
          <cell r="BV399">
            <v>41.779200000000003</v>
          </cell>
          <cell r="BW399">
            <v>41.782399999999996</v>
          </cell>
          <cell r="BX399">
            <v>41.782399999999996</v>
          </cell>
        </row>
        <row r="405">
          <cell r="X405">
            <v>-957.19999999999982</v>
          </cell>
          <cell r="Y405">
            <v>-646.4</v>
          </cell>
          <cell r="Z405">
            <v>-499</v>
          </cell>
          <cell r="AA405">
            <v>-543.79999999999995</v>
          </cell>
          <cell r="AB405">
            <v>-551.20000000000005</v>
          </cell>
          <cell r="AC405">
            <v>-548</v>
          </cell>
          <cell r="AD405">
            <v>-603.70000000000005</v>
          </cell>
          <cell r="AE405">
            <v>-681.59999999999991</v>
          </cell>
          <cell r="AF405">
            <v>-697.5</v>
          </cell>
          <cell r="AG405">
            <v>-744.89999999999986</v>
          </cell>
          <cell r="AH405">
            <v>-808.8</v>
          </cell>
          <cell r="AI405">
            <v>-770.8</v>
          </cell>
          <cell r="AJ405">
            <v>-690.4</v>
          </cell>
          <cell r="AK405">
            <v>-639.4</v>
          </cell>
          <cell r="AL405">
            <v>-748.9</v>
          </cell>
          <cell r="AM405">
            <v>-732.69999999999993</v>
          </cell>
          <cell r="AN405">
            <v>-763.09999999999991</v>
          </cell>
          <cell r="AO405">
            <v>-815.09999999999991</v>
          </cell>
          <cell r="AP405">
            <v>-764.7</v>
          </cell>
          <cell r="AQ405">
            <v>-777.30000000000007</v>
          </cell>
          <cell r="AR405">
            <v>-698.30000000000007</v>
          </cell>
          <cell r="AS405">
            <v>-687</v>
          </cell>
          <cell r="AT405">
            <v>-680.9</v>
          </cell>
          <cell r="AU405">
            <v>-640.1</v>
          </cell>
          <cell r="AV405">
            <v>-587.79999999999995</v>
          </cell>
          <cell r="AW405">
            <v>-516.69999999999993</v>
          </cell>
          <cell r="AX405">
            <v>-565.29999999999995</v>
          </cell>
          <cell r="AY405">
            <v>-647.20000000000005</v>
          </cell>
          <cell r="AZ405">
            <v>-629.19999999999993</v>
          </cell>
          <cell r="BA405">
            <v>-627.79999999999995</v>
          </cell>
          <cell r="BB405">
            <v>-590.80000000000007</v>
          </cell>
          <cell r="BC405">
            <v>-566.79999999999995</v>
          </cell>
          <cell r="BD405">
            <v>-515.9</v>
          </cell>
          <cell r="BE405">
            <v>-536.90000000000009</v>
          </cell>
          <cell r="BF405">
            <v>-493.79999999999995</v>
          </cell>
          <cell r="BG405">
            <v>-576.39999999999986</v>
          </cell>
          <cell r="BH405">
            <v>-616</v>
          </cell>
          <cell r="BI405">
            <v>-687</v>
          </cell>
          <cell r="BJ405">
            <v>-680.9</v>
          </cell>
          <cell r="BK405">
            <v>-640.1</v>
          </cell>
          <cell r="BL405">
            <v>-587.79999999999995</v>
          </cell>
          <cell r="BM405">
            <v>-516.69999999999993</v>
          </cell>
          <cell r="BN405">
            <v>-565.29999999999995</v>
          </cell>
          <cell r="BO405">
            <v>-647.20000000000005</v>
          </cell>
          <cell r="BP405">
            <v>-629.19999999999993</v>
          </cell>
          <cell r="BQ405">
            <v>-627.79999999999995</v>
          </cell>
          <cell r="BR405">
            <v>-590.80000000000007</v>
          </cell>
          <cell r="BS405">
            <v>-566.79999999999995</v>
          </cell>
          <cell r="BT405">
            <v>-515.9</v>
          </cell>
          <cell r="BU405">
            <v>-536.90000000000009</v>
          </cell>
          <cell r="BV405">
            <v>-493.79999999999995</v>
          </cell>
          <cell r="BW405">
            <v>-576.39999999999986</v>
          </cell>
          <cell r="BX405">
            <v>-616</v>
          </cell>
        </row>
        <row r="406">
          <cell r="X406">
            <v>26.5</v>
          </cell>
          <cell r="Y406">
            <v>27.5</v>
          </cell>
          <cell r="Z406">
            <v>31.1</v>
          </cell>
          <cell r="AA406">
            <v>31.3</v>
          </cell>
          <cell r="AB406">
            <v>30.7</v>
          </cell>
          <cell r="AC406">
            <v>28.9</v>
          </cell>
          <cell r="AD406">
            <v>27.1</v>
          </cell>
          <cell r="AE406">
            <v>24.5</v>
          </cell>
          <cell r="AF406">
            <v>22.2</v>
          </cell>
          <cell r="AG406">
            <v>17.7</v>
          </cell>
          <cell r="AH406">
            <v>18.8</v>
          </cell>
          <cell r="AI406">
            <v>20.2</v>
          </cell>
          <cell r="AJ406">
            <v>20.699999999999996</v>
          </cell>
          <cell r="AK406">
            <v>21.4</v>
          </cell>
          <cell r="AL406">
            <v>24.1</v>
          </cell>
          <cell r="AM406">
            <v>26.5</v>
          </cell>
          <cell r="AN406">
            <v>21.9</v>
          </cell>
          <cell r="AO406">
            <v>19.600000000000001</v>
          </cell>
          <cell r="AP406">
            <v>16.600000000000001</v>
          </cell>
          <cell r="AQ406">
            <v>24.3</v>
          </cell>
          <cell r="AR406">
            <v>26.2</v>
          </cell>
          <cell r="AS406">
            <v>25.7</v>
          </cell>
          <cell r="AT406">
            <v>23.299999999999997</v>
          </cell>
          <cell r="AU406">
            <v>26.1</v>
          </cell>
          <cell r="AV406">
            <v>28.9</v>
          </cell>
          <cell r="AW406">
            <v>27.8</v>
          </cell>
          <cell r="AX406">
            <v>31.5</v>
          </cell>
          <cell r="AY406">
            <v>31.2</v>
          </cell>
          <cell r="AZ406">
            <v>34</v>
          </cell>
          <cell r="BA406">
            <v>41.4</v>
          </cell>
          <cell r="BB406">
            <v>44.5</v>
          </cell>
          <cell r="BC406">
            <v>53.5</v>
          </cell>
          <cell r="BD406">
            <v>61.6</v>
          </cell>
          <cell r="BE406">
            <v>83.2</v>
          </cell>
          <cell r="BF406">
            <v>104</v>
          </cell>
          <cell r="BG406">
            <v>115.2</v>
          </cell>
          <cell r="BH406">
            <v>132.19999999999999</v>
          </cell>
          <cell r="BI406">
            <v>25.7</v>
          </cell>
          <cell r="BJ406">
            <v>23.299999999999997</v>
          </cell>
          <cell r="BK406">
            <v>26.1</v>
          </cell>
          <cell r="BL406">
            <v>28.9</v>
          </cell>
          <cell r="BM406">
            <v>27.8</v>
          </cell>
          <cell r="BN406">
            <v>31.5</v>
          </cell>
          <cell r="BO406">
            <v>31.2</v>
          </cell>
          <cell r="BP406">
            <v>34</v>
          </cell>
          <cell r="BQ406">
            <v>41.4</v>
          </cell>
          <cell r="BR406">
            <v>44.5</v>
          </cell>
          <cell r="BS406">
            <v>53.5</v>
          </cell>
          <cell r="BT406">
            <v>61.6</v>
          </cell>
          <cell r="BU406">
            <v>83.2</v>
          </cell>
          <cell r="BV406">
            <v>104</v>
          </cell>
          <cell r="BW406">
            <v>115.2</v>
          </cell>
          <cell r="BX406">
            <v>132.19999999999999</v>
          </cell>
        </row>
        <row r="409">
          <cell r="BJ409">
            <v>6.7</v>
          </cell>
          <cell r="BK409">
            <v>6.7</v>
          </cell>
          <cell r="BL409">
            <v>6.7</v>
          </cell>
          <cell r="BM409">
            <v>6.7</v>
          </cell>
          <cell r="BN409">
            <v>6.7</v>
          </cell>
          <cell r="BO409">
            <v>6.8</v>
          </cell>
          <cell r="BP409">
            <v>6.8</v>
          </cell>
          <cell r="BQ409">
            <v>6.8</v>
          </cell>
          <cell r="BR409">
            <v>7.03</v>
          </cell>
          <cell r="BS409">
            <v>6.65</v>
          </cell>
          <cell r="BT409">
            <v>7.05</v>
          </cell>
          <cell r="BU409">
            <v>7.05</v>
          </cell>
          <cell r="BV409">
            <v>6.88</v>
          </cell>
          <cell r="BW409">
            <v>7.45</v>
          </cell>
          <cell r="BX409">
            <v>6.85</v>
          </cell>
          <cell r="BY409">
            <v>6.85</v>
          </cell>
          <cell r="BZ409">
            <v>6.85</v>
          </cell>
          <cell r="CA409">
            <v>6.85</v>
          </cell>
          <cell r="CB409">
            <v>6.85</v>
          </cell>
          <cell r="CC409">
            <v>6.85</v>
          </cell>
          <cell r="CD409">
            <v>6.85</v>
          </cell>
          <cell r="CE409">
            <v>6.85</v>
          </cell>
          <cell r="CF409">
            <v>6.85</v>
          </cell>
          <cell r="CG409">
            <v>6.85</v>
          </cell>
          <cell r="CH409">
            <v>6.85</v>
          </cell>
          <cell r="CI409">
            <v>6.85</v>
          </cell>
          <cell r="CJ409">
            <v>6.85</v>
          </cell>
          <cell r="CK409">
            <v>7.05</v>
          </cell>
          <cell r="CL409">
            <v>6.88</v>
          </cell>
          <cell r="CM409">
            <v>7.45</v>
          </cell>
          <cell r="CN409">
            <v>6.85</v>
          </cell>
          <cell r="CO409">
            <v>6.85</v>
          </cell>
          <cell r="CP409">
            <v>6.85</v>
          </cell>
          <cell r="CQ409">
            <v>6.85</v>
          </cell>
          <cell r="CR409">
            <v>6.85</v>
          </cell>
          <cell r="CS409">
            <v>6.85</v>
          </cell>
          <cell r="CT409">
            <v>6.85</v>
          </cell>
          <cell r="CU409">
            <v>6.85</v>
          </cell>
          <cell r="CV409">
            <v>6.85</v>
          </cell>
          <cell r="CW409">
            <v>6.85</v>
          </cell>
          <cell r="CX409">
            <v>6.85</v>
          </cell>
          <cell r="CY409">
            <v>6.85</v>
          </cell>
          <cell r="CZ409">
            <v>6.85</v>
          </cell>
        </row>
        <row r="411">
          <cell r="X411">
            <v>33543</v>
          </cell>
          <cell r="Y411">
            <v>33573</v>
          </cell>
          <cell r="Z411">
            <v>33604</v>
          </cell>
          <cell r="AA411">
            <v>33635</v>
          </cell>
          <cell r="AB411">
            <v>33664</v>
          </cell>
          <cell r="AC411">
            <v>33695</v>
          </cell>
          <cell r="AD411">
            <v>33725</v>
          </cell>
          <cell r="AE411">
            <v>33756</v>
          </cell>
          <cell r="AF411">
            <v>33786</v>
          </cell>
          <cell r="AG411">
            <v>33817</v>
          </cell>
          <cell r="AH411">
            <v>33848</v>
          </cell>
          <cell r="AI411">
            <v>33878</v>
          </cell>
          <cell r="AJ411">
            <v>33909</v>
          </cell>
          <cell r="AK411">
            <v>33939</v>
          </cell>
          <cell r="AL411">
            <v>33970</v>
          </cell>
          <cell r="AM411">
            <v>34001</v>
          </cell>
          <cell r="AN411">
            <v>34029</v>
          </cell>
          <cell r="AO411">
            <v>34060</v>
          </cell>
          <cell r="AP411">
            <v>34090</v>
          </cell>
          <cell r="AQ411">
            <v>34121</v>
          </cell>
          <cell r="AR411">
            <v>34151</v>
          </cell>
          <cell r="AS411">
            <v>34182</v>
          </cell>
          <cell r="AT411">
            <v>34213</v>
          </cell>
          <cell r="AU411">
            <v>34243</v>
          </cell>
          <cell r="AV411">
            <v>34274</v>
          </cell>
          <cell r="AW411">
            <v>34304</v>
          </cell>
          <cell r="AX411">
            <v>34335</v>
          </cell>
          <cell r="AY411">
            <v>34366</v>
          </cell>
          <cell r="AZ411">
            <v>34394</v>
          </cell>
          <cell r="BA411">
            <v>34425</v>
          </cell>
          <cell r="BB411">
            <v>34455</v>
          </cell>
          <cell r="BC411">
            <v>34486</v>
          </cell>
          <cell r="BD411">
            <v>34516</v>
          </cell>
          <cell r="BE411">
            <v>34547</v>
          </cell>
          <cell r="BF411">
            <v>34578</v>
          </cell>
          <cell r="BG411">
            <v>34608</v>
          </cell>
          <cell r="BH411">
            <v>34639</v>
          </cell>
          <cell r="BI411">
            <v>34669</v>
          </cell>
          <cell r="BJ411">
            <v>34700</v>
          </cell>
          <cell r="BK411">
            <v>34731</v>
          </cell>
          <cell r="BL411">
            <v>34759</v>
          </cell>
          <cell r="BM411">
            <v>34790</v>
          </cell>
          <cell r="BN411">
            <v>34820</v>
          </cell>
          <cell r="BO411">
            <v>34851</v>
          </cell>
          <cell r="BP411">
            <v>34881</v>
          </cell>
          <cell r="BQ411">
            <v>34912</v>
          </cell>
          <cell r="BR411">
            <v>34943</v>
          </cell>
          <cell r="BS411">
            <v>34973</v>
          </cell>
          <cell r="BT411">
            <v>35004</v>
          </cell>
          <cell r="BU411">
            <v>35034</v>
          </cell>
          <cell r="BV411">
            <v>35065</v>
          </cell>
          <cell r="BW411">
            <v>35096</v>
          </cell>
          <cell r="BX411">
            <v>35125</v>
          </cell>
          <cell r="BY411">
            <v>35156</v>
          </cell>
          <cell r="BZ411">
            <v>35186</v>
          </cell>
          <cell r="CA411">
            <v>35217</v>
          </cell>
          <cell r="CB411">
            <v>35247</v>
          </cell>
          <cell r="CC411">
            <v>35278</v>
          </cell>
          <cell r="CD411">
            <v>35309</v>
          </cell>
          <cell r="CE411">
            <v>35339</v>
          </cell>
          <cell r="CF411">
            <v>35370</v>
          </cell>
          <cell r="CG411">
            <v>35400</v>
          </cell>
          <cell r="CH411">
            <v>35431</v>
          </cell>
          <cell r="CI411">
            <v>35462</v>
          </cell>
          <cell r="CJ411">
            <v>35490</v>
          </cell>
          <cell r="CK411">
            <v>35521</v>
          </cell>
          <cell r="CL411">
            <v>35551</v>
          </cell>
          <cell r="CM411">
            <v>35582</v>
          </cell>
          <cell r="CN411">
            <v>35125</v>
          </cell>
          <cell r="CO411">
            <v>35156</v>
          </cell>
          <cell r="CP411">
            <v>35186</v>
          </cell>
          <cell r="CQ411">
            <v>35217</v>
          </cell>
          <cell r="CR411">
            <v>35247</v>
          </cell>
          <cell r="CS411">
            <v>35278</v>
          </cell>
          <cell r="CT411">
            <v>35309</v>
          </cell>
          <cell r="CU411">
            <v>35339</v>
          </cell>
          <cell r="CV411">
            <v>35370</v>
          </cell>
          <cell r="CW411">
            <v>35400</v>
          </cell>
          <cell r="CX411">
            <v>35431</v>
          </cell>
          <cell r="CY411">
            <v>35462</v>
          </cell>
          <cell r="CZ411">
            <v>35490</v>
          </cell>
          <cell r="DA411">
            <v>35521</v>
          </cell>
          <cell r="DB411">
            <v>35551</v>
          </cell>
          <cell r="DC411">
            <v>35582</v>
          </cell>
        </row>
        <row r="413">
          <cell r="BJ413">
            <v>215</v>
          </cell>
          <cell r="BK413">
            <v>215</v>
          </cell>
          <cell r="BL413">
            <v>215</v>
          </cell>
          <cell r="BM413">
            <v>215</v>
          </cell>
          <cell r="BN413">
            <v>217.5</v>
          </cell>
          <cell r="BO413">
            <v>217.5</v>
          </cell>
          <cell r="BP413">
            <v>217.5</v>
          </cell>
          <cell r="BQ413">
            <v>217.5</v>
          </cell>
          <cell r="BR413">
            <v>217.5</v>
          </cell>
          <cell r="BS413">
            <v>217.5</v>
          </cell>
          <cell r="BT413">
            <v>217.5</v>
          </cell>
          <cell r="BU413">
            <v>217.5</v>
          </cell>
          <cell r="BV413">
            <v>217.5</v>
          </cell>
          <cell r="BW413">
            <v>217.5</v>
          </cell>
          <cell r="BX413">
            <v>217.5</v>
          </cell>
          <cell r="BY413">
            <v>217.5</v>
          </cell>
          <cell r="BZ413">
            <v>217.5</v>
          </cell>
          <cell r="CA413">
            <v>217.5</v>
          </cell>
          <cell r="CB413">
            <v>217.5</v>
          </cell>
          <cell r="CC413">
            <v>217.5</v>
          </cell>
          <cell r="CD413">
            <v>217.5</v>
          </cell>
          <cell r="CE413">
            <v>217.5</v>
          </cell>
          <cell r="CF413">
            <v>217.5</v>
          </cell>
          <cell r="CG413">
            <v>217.5</v>
          </cell>
          <cell r="CH413">
            <v>217.5</v>
          </cell>
          <cell r="CI413">
            <v>217.5</v>
          </cell>
          <cell r="CJ413">
            <v>217.5</v>
          </cell>
          <cell r="CK413">
            <v>217.5</v>
          </cell>
          <cell r="CL413">
            <v>217.5</v>
          </cell>
          <cell r="CM413">
            <v>217.5</v>
          </cell>
          <cell r="CN413">
            <v>217.5</v>
          </cell>
          <cell r="CO413">
            <v>217.5</v>
          </cell>
          <cell r="CP413">
            <v>217.5</v>
          </cell>
          <cell r="CQ413">
            <v>217.5</v>
          </cell>
          <cell r="CR413">
            <v>217.5</v>
          </cell>
          <cell r="CS413">
            <v>217.5</v>
          </cell>
          <cell r="CT413">
            <v>217.5</v>
          </cell>
          <cell r="CU413">
            <v>217.5</v>
          </cell>
          <cell r="CV413">
            <v>217.5</v>
          </cell>
          <cell r="CW413">
            <v>217.5</v>
          </cell>
          <cell r="CX413">
            <v>217.5</v>
          </cell>
          <cell r="CY413">
            <v>217.5</v>
          </cell>
          <cell r="CZ413">
            <v>217.5</v>
          </cell>
        </row>
        <row r="414">
          <cell r="BJ414">
            <v>92.5</v>
          </cell>
          <cell r="BK414">
            <v>92.5</v>
          </cell>
          <cell r="BL414">
            <v>92.5</v>
          </cell>
          <cell r="BM414">
            <v>92.5</v>
          </cell>
          <cell r="BN414">
            <v>92.5</v>
          </cell>
          <cell r="BO414">
            <v>92.5</v>
          </cell>
          <cell r="BP414">
            <v>92.5</v>
          </cell>
          <cell r="BQ414">
            <v>92.5</v>
          </cell>
          <cell r="BR414">
            <v>92.5</v>
          </cell>
          <cell r="BS414">
            <v>96.5</v>
          </cell>
          <cell r="BT414">
            <v>96.5</v>
          </cell>
          <cell r="BU414">
            <v>94.5</v>
          </cell>
          <cell r="BV414">
            <v>94.5</v>
          </cell>
          <cell r="BW414">
            <v>94.5</v>
          </cell>
          <cell r="BX414">
            <v>94.5</v>
          </cell>
          <cell r="BY414">
            <v>94.5</v>
          </cell>
          <cell r="BZ414">
            <v>94.5</v>
          </cell>
          <cell r="CA414">
            <v>94.5</v>
          </cell>
          <cell r="CB414">
            <v>95.5</v>
          </cell>
          <cell r="CC414">
            <v>95.5</v>
          </cell>
          <cell r="CD414">
            <v>95.5</v>
          </cell>
          <cell r="CE414">
            <v>95.5</v>
          </cell>
          <cell r="CF414">
            <v>95.5</v>
          </cell>
          <cell r="CG414">
            <v>95.5</v>
          </cell>
          <cell r="CH414">
            <v>95.5</v>
          </cell>
          <cell r="CI414">
            <v>95.5</v>
          </cell>
          <cell r="CJ414">
            <v>95.5</v>
          </cell>
          <cell r="CK414">
            <v>94.5</v>
          </cell>
          <cell r="CL414">
            <v>94.5</v>
          </cell>
          <cell r="CM414">
            <v>94.5</v>
          </cell>
          <cell r="CN414">
            <v>94.5</v>
          </cell>
          <cell r="CO414">
            <v>94.5</v>
          </cell>
          <cell r="CP414">
            <v>94.5</v>
          </cell>
          <cell r="CQ414">
            <v>94.5</v>
          </cell>
          <cell r="CR414">
            <v>95.5</v>
          </cell>
          <cell r="CS414">
            <v>95.5</v>
          </cell>
          <cell r="CT414">
            <v>95.5</v>
          </cell>
          <cell r="CU414">
            <v>95.5</v>
          </cell>
          <cell r="CV414">
            <v>95.5</v>
          </cell>
          <cell r="CW414">
            <v>95.5</v>
          </cell>
          <cell r="CX414">
            <v>95.5</v>
          </cell>
          <cell r="CY414">
            <v>95.5</v>
          </cell>
          <cell r="CZ414">
            <v>95.5</v>
          </cell>
        </row>
        <row r="415">
          <cell r="BJ415">
            <v>212.5</v>
          </cell>
          <cell r="BK415">
            <v>212.5</v>
          </cell>
          <cell r="BL415">
            <v>212.5</v>
          </cell>
          <cell r="BM415">
            <v>212.5</v>
          </cell>
          <cell r="BN415">
            <v>212.5</v>
          </cell>
          <cell r="BO415">
            <v>212.5</v>
          </cell>
          <cell r="BP415">
            <v>212.5</v>
          </cell>
          <cell r="BQ415">
            <v>212.5</v>
          </cell>
          <cell r="BR415">
            <v>212.5</v>
          </cell>
          <cell r="BS415">
            <v>212.5</v>
          </cell>
          <cell r="BT415">
            <v>212.5</v>
          </cell>
          <cell r="BU415">
            <v>212.5</v>
          </cell>
          <cell r="BV415">
            <v>205</v>
          </cell>
          <cell r="BW415">
            <v>205</v>
          </cell>
          <cell r="BX415">
            <v>205</v>
          </cell>
          <cell r="BY415">
            <v>205</v>
          </cell>
          <cell r="BZ415">
            <v>205</v>
          </cell>
          <cell r="CA415">
            <v>205</v>
          </cell>
          <cell r="CB415">
            <v>205</v>
          </cell>
          <cell r="CC415">
            <v>205</v>
          </cell>
          <cell r="CD415">
            <v>205</v>
          </cell>
          <cell r="CE415">
            <v>205</v>
          </cell>
          <cell r="CF415">
            <v>205</v>
          </cell>
          <cell r="CG415">
            <v>205</v>
          </cell>
          <cell r="CH415">
            <v>205</v>
          </cell>
          <cell r="CI415">
            <v>205</v>
          </cell>
          <cell r="CJ415">
            <v>205</v>
          </cell>
          <cell r="CK415">
            <v>212.5</v>
          </cell>
          <cell r="CL415">
            <v>205</v>
          </cell>
          <cell r="CM415">
            <v>205</v>
          </cell>
          <cell r="CN415">
            <v>205</v>
          </cell>
          <cell r="CO415">
            <v>205</v>
          </cell>
          <cell r="CP415">
            <v>205</v>
          </cell>
          <cell r="CQ415">
            <v>205</v>
          </cell>
          <cell r="CR415">
            <v>205</v>
          </cell>
          <cell r="CS415">
            <v>205</v>
          </cell>
          <cell r="CT415">
            <v>205</v>
          </cell>
          <cell r="CU415">
            <v>205</v>
          </cell>
          <cell r="CV415">
            <v>205</v>
          </cell>
          <cell r="CW415">
            <v>205</v>
          </cell>
          <cell r="CX415">
            <v>205</v>
          </cell>
          <cell r="CY415">
            <v>205</v>
          </cell>
          <cell r="CZ415">
            <v>205</v>
          </cell>
        </row>
        <row r="417">
          <cell r="BJ417">
            <v>200.97990000000001</v>
          </cell>
          <cell r="BK417">
            <v>200.97990000000001</v>
          </cell>
          <cell r="BL417">
            <v>200.97990000000001</v>
          </cell>
          <cell r="BM417">
            <v>200.97990000000001</v>
          </cell>
          <cell r="BN417">
            <v>200.97990000000001</v>
          </cell>
          <cell r="BO417">
            <v>203.97960000000003</v>
          </cell>
          <cell r="BP417">
            <v>203.97960000000003</v>
          </cell>
          <cell r="BQ417">
            <v>203.97960000000003</v>
          </cell>
          <cell r="BR417">
            <v>210.87891000000002</v>
          </cell>
          <cell r="BS417">
            <v>199.48005000000001</v>
          </cell>
          <cell r="BT417">
            <v>211.47884999999999</v>
          </cell>
          <cell r="BU417">
            <v>211.47884999999999</v>
          </cell>
          <cell r="BV417">
            <v>206.37935999999999</v>
          </cell>
          <cell r="BW417">
            <v>223.47765000000001</v>
          </cell>
          <cell r="BX417">
            <v>205.47945000000004</v>
          </cell>
          <cell r="BY417">
            <v>205.47945000000004</v>
          </cell>
          <cell r="BZ417">
            <v>205.47945000000004</v>
          </cell>
          <cell r="CA417">
            <v>205.47945000000004</v>
          </cell>
          <cell r="CB417">
            <v>205.47945000000004</v>
          </cell>
          <cell r="CC417">
            <v>205.47945000000004</v>
          </cell>
          <cell r="CD417">
            <v>205.47945000000004</v>
          </cell>
          <cell r="CE417">
            <v>205.47945000000004</v>
          </cell>
          <cell r="CF417">
            <v>205.47945000000004</v>
          </cell>
          <cell r="CG417">
            <v>205.47945000000004</v>
          </cell>
          <cell r="CH417">
            <v>205.47945000000004</v>
          </cell>
          <cell r="CI417">
            <v>205.47945000000004</v>
          </cell>
          <cell r="CJ417">
            <v>205.47945000000004</v>
          </cell>
          <cell r="CK417">
            <v>211.47884999999999</v>
          </cell>
          <cell r="CL417">
            <v>206.37935999999999</v>
          </cell>
          <cell r="CM417">
            <v>223.47765000000001</v>
          </cell>
          <cell r="CN417">
            <v>205.47945000000004</v>
          </cell>
          <cell r="CO417">
            <v>205.47945000000004</v>
          </cell>
          <cell r="CP417">
            <v>205.47945000000004</v>
          </cell>
          <cell r="CQ417">
            <v>205.47945000000004</v>
          </cell>
          <cell r="CR417">
            <v>205.47945000000004</v>
          </cell>
          <cell r="CS417">
            <v>205.47945000000004</v>
          </cell>
          <cell r="CT417">
            <v>205.47945000000004</v>
          </cell>
          <cell r="CU417">
            <v>205.47945000000004</v>
          </cell>
          <cell r="CV417">
            <v>205.47945000000004</v>
          </cell>
          <cell r="CW417">
            <v>205.47945000000004</v>
          </cell>
          <cell r="CX417">
            <v>205.47945000000004</v>
          </cell>
          <cell r="CY417">
            <v>205.47945000000004</v>
          </cell>
          <cell r="CZ417">
            <v>205.47945000000004</v>
          </cell>
        </row>
        <row r="418">
          <cell r="BJ418">
            <v>134</v>
          </cell>
          <cell r="BK418">
            <v>136.5</v>
          </cell>
          <cell r="BL418">
            <v>138.5</v>
          </cell>
          <cell r="BM418">
            <v>145.5</v>
          </cell>
          <cell r="BN418">
            <v>144</v>
          </cell>
          <cell r="BO418">
            <v>134</v>
          </cell>
          <cell r="BP418">
            <v>134</v>
          </cell>
          <cell r="BQ418">
            <v>131</v>
          </cell>
          <cell r="BR418">
            <v>128.5</v>
          </cell>
          <cell r="BS418">
            <v>128.5</v>
          </cell>
          <cell r="BT418">
            <v>131</v>
          </cell>
          <cell r="BU418">
            <v>131</v>
          </cell>
          <cell r="BV418">
            <v>131</v>
          </cell>
          <cell r="BW418">
            <v>129.5</v>
          </cell>
          <cell r="BX418">
            <v>129.5</v>
          </cell>
          <cell r="BY418">
            <v>129.5</v>
          </cell>
          <cell r="BZ418">
            <v>129.5</v>
          </cell>
          <cell r="CA418">
            <v>129.5</v>
          </cell>
          <cell r="CB418">
            <v>129.5</v>
          </cell>
          <cell r="CC418">
            <v>129.5</v>
          </cell>
          <cell r="CD418">
            <v>129.5</v>
          </cell>
          <cell r="CE418">
            <v>130.5</v>
          </cell>
          <cell r="CF418">
            <v>131.5</v>
          </cell>
          <cell r="CG418">
            <v>132.5</v>
          </cell>
          <cell r="CH418">
            <v>133.5</v>
          </cell>
          <cell r="CI418">
            <v>134.5</v>
          </cell>
          <cell r="CJ418">
            <v>135.5</v>
          </cell>
          <cell r="CK418">
            <v>131</v>
          </cell>
          <cell r="CL418">
            <v>131</v>
          </cell>
          <cell r="CM418">
            <v>129.5</v>
          </cell>
          <cell r="CN418">
            <v>129.5</v>
          </cell>
          <cell r="CO418">
            <v>129.5</v>
          </cell>
          <cell r="CP418">
            <v>129.5</v>
          </cell>
          <cell r="CQ418">
            <v>129.5</v>
          </cell>
          <cell r="CR418">
            <v>129.5</v>
          </cell>
          <cell r="CS418">
            <v>129.5</v>
          </cell>
          <cell r="CT418">
            <v>129.5</v>
          </cell>
          <cell r="CU418">
            <v>130.5</v>
          </cell>
          <cell r="CV418">
            <v>131.5</v>
          </cell>
          <cell r="CW418">
            <v>132.5</v>
          </cell>
          <cell r="CX418">
            <v>133.5</v>
          </cell>
          <cell r="CY418">
            <v>134.5</v>
          </cell>
          <cell r="CZ418">
            <v>135.5</v>
          </cell>
        </row>
        <row r="424">
          <cell r="BJ424">
            <v>1.0975775413176363</v>
          </cell>
          <cell r="BK424">
            <v>0.94407969209870946</v>
          </cell>
          <cell r="BL424">
            <v>0.95834276658365392</v>
          </cell>
          <cell r="BM424">
            <v>0.98958569164591348</v>
          </cell>
          <cell r="BN424">
            <v>1.0113199003848765</v>
          </cell>
          <cell r="BO424">
            <v>0.93253339370613531</v>
          </cell>
          <cell r="BP424">
            <v>0.84967172288883852</v>
          </cell>
          <cell r="BQ424">
            <v>0.82522073805750507</v>
          </cell>
          <cell r="BR424">
            <v>0.8802354539280054</v>
          </cell>
          <cell r="BS424">
            <v>0.9990944079692099</v>
          </cell>
          <cell r="BT424">
            <v>1.0004527960153951</v>
          </cell>
          <cell r="BU424">
            <v>1.1349332125877292</v>
          </cell>
          <cell r="BV424">
            <v>1.1369707946570069</v>
          </cell>
          <cell r="BW424">
            <v>1.3230699569843785</v>
          </cell>
          <cell r="BX424">
            <v>1.5689381933438986</v>
          </cell>
          <cell r="BY424">
            <v>1.5886348200135838</v>
          </cell>
          <cell r="BZ424">
            <v>1.4161195381480642</v>
          </cell>
          <cell r="CA424">
            <v>1.3794430609010639</v>
          </cell>
          <cell r="CB424">
            <v>1.5594294770206021</v>
          </cell>
          <cell r="CC424">
            <v>1.6694589087616027</v>
          </cell>
          <cell r="CD424">
            <v>1.9071768168440115</v>
          </cell>
          <cell r="CE424">
            <v>2.0572786959474754</v>
          </cell>
          <cell r="CF424">
            <v>2.2189268734435137</v>
          </cell>
          <cell r="CG424">
            <v>2.261716096898347</v>
          </cell>
          <cell r="CH424">
            <v>2.2046637989585691</v>
          </cell>
          <cell r="CI424">
            <v>1.4405705229793977</v>
          </cell>
          <cell r="CJ424">
            <v>1.3556712700928231</v>
          </cell>
          <cell r="CK424">
            <v>1.1349332125877292</v>
          </cell>
          <cell r="CL424">
            <v>1.1369707946570069</v>
          </cell>
          <cell r="CM424">
            <v>1.3230699569843785</v>
          </cell>
          <cell r="CN424">
            <v>1.5689381933438986</v>
          </cell>
          <cell r="CO424">
            <v>1.5886348200135838</v>
          </cell>
          <cell r="CP424">
            <v>1.4161195381480642</v>
          </cell>
          <cell r="CQ424">
            <v>1.3794430609010639</v>
          </cell>
          <cell r="CR424">
            <v>1.5594294770206021</v>
          </cell>
          <cell r="CS424">
            <v>1.6694589087616027</v>
          </cell>
          <cell r="CT424">
            <v>1.9071768168440115</v>
          </cell>
          <cell r="CU424">
            <v>2.0572786959474754</v>
          </cell>
          <cell r="CV424">
            <v>2.2189268734435137</v>
          </cell>
          <cell r="CW424">
            <v>2.261716096898347</v>
          </cell>
          <cell r="CX424">
            <v>2.2046637989585691</v>
          </cell>
          <cell r="CY424">
            <v>1.4405705229793977</v>
          </cell>
          <cell r="CZ424">
            <v>1.3556712700928231</v>
          </cell>
        </row>
        <row r="426">
          <cell r="BJ426">
            <v>1.0117037804246505</v>
          </cell>
          <cell r="BK426">
            <v>0.97628171931641639</v>
          </cell>
          <cell r="BL426">
            <v>1.0120145002589331</v>
          </cell>
          <cell r="BM426">
            <v>0.99772138788192644</v>
          </cell>
          <cell r="BN426">
            <v>1.0107716209218023</v>
          </cell>
          <cell r="BO426">
            <v>0.98373899533920239</v>
          </cell>
          <cell r="BP426">
            <v>0.95390989124805792</v>
          </cell>
          <cell r="BQ426">
            <v>0.96820300362506473</v>
          </cell>
          <cell r="BR426">
            <v>0.96913516312791304</v>
          </cell>
          <cell r="BS426">
            <v>0.95639564992232007</v>
          </cell>
          <cell r="BT426">
            <v>0.95857068876229934</v>
          </cell>
          <cell r="BU426">
            <v>1.0909373381667531</v>
          </cell>
          <cell r="BV426">
            <v>1.0949766960124288</v>
          </cell>
          <cell r="BW426">
            <v>1.1779388917659244</v>
          </cell>
          <cell r="BX426">
            <v>1.1394096323148628</v>
          </cell>
          <cell r="BY426">
            <v>1.0974624546866907</v>
          </cell>
          <cell r="BZ426">
            <v>1.0781978249611599</v>
          </cell>
          <cell r="CA426">
            <v>1.0760227861211806</v>
          </cell>
          <cell r="CB426">
            <v>1.1018125323666494</v>
          </cell>
          <cell r="CC426">
            <v>1.1841532884515793</v>
          </cell>
          <cell r="CD426">
            <v>1.440807871569135</v>
          </cell>
          <cell r="CE426">
            <v>1.5874676333505955</v>
          </cell>
          <cell r="CF426">
            <v>1.8170895908855513</v>
          </cell>
          <cell r="CG426">
            <v>1.8804764370792335</v>
          </cell>
          <cell r="CH426">
            <v>1.4547902641118593</v>
          </cell>
          <cell r="CI426">
            <v>1.1947177628171932</v>
          </cell>
          <cell r="CJ426">
            <v>1.1881926462972552</v>
          </cell>
          <cell r="CK426">
            <v>1.0909373381667531</v>
          </cell>
          <cell r="CL426">
            <v>1.0949766960124288</v>
          </cell>
          <cell r="CM426">
            <v>1.1779388917659244</v>
          </cell>
          <cell r="CN426">
            <v>1.1394096323148628</v>
          </cell>
          <cell r="CO426">
            <v>1.0974624546866907</v>
          </cell>
          <cell r="CP426">
            <v>1.0781978249611599</v>
          </cell>
          <cell r="CQ426">
            <v>1.0760227861211806</v>
          </cell>
          <cell r="CR426">
            <v>1.1018125323666494</v>
          </cell>
          <cell r="CS426">
            <v>1.1841532884515793</v>
          </cell>
          <cell r="CT426">
            <v>1.440807871569135</v>
          </cell>
          <cell r="CU426">
            <v>1.5874676333505955</v>
          </cell>
          <cell r="CV426">
            <v>1.8170895908855513</v>
          </cell>
          <cell r="CW426">
            <v>1.8804764370792335</v>
          </cell>
          <cell r="CX426">
            <v>1.4547902641118593</v>
          </cell>
          <cell r="CY426">
            <v>1.1947177628171932</v>
          </cell>
          <cell r="CZ426">
            <v>1.1881926462972552</v>
          </cell>
        </row>
        <row r="428">
          <cell r="BJ428">
            <v>0.98276723276723288</v>
          </cell>
          <cell r="BK428">
            <v>0.99575424575424576</v>
          </cell>
          <cell r="BL428">
            <v>1.0214785214785214</v>
          </cell>
          <cell r="BM428">
            <v>1.0529470529470528</v>
          </cell>
          <cell r="BN428">
            <v>1.1033966033966034</v>
          </cell>
          <cell r="BO428">
            <v>1.0571928071928072</v>
          </cell>
          <cell r="BP428">
            <v>0.94280719280719283</v>
          </cell>
          <cell r="BQ428">
            <v>0.95504495504495512</v>
          </cell>
          <cell r="BR428">
            <v>1.0239760239760241</v>
          </cell>
          <cell r="BS428">
            <v>1.0202297702297702</v>
          </cell>
          <cell r="BT428">
            <v>0.98876123876123889</v>
          </cell>
          <cell r="BU428">
            <v>1.0072427572427571</v>
          </cell>
          <cell r="BV428">
            <v>1.0849150849150848</v>
          </cell>
          <cell r="BW428">
            <v>1.1823176823176824</v>
          </cell>
          <cell r="BX428">
            <v>1.1446053946053947</v>
          </cell>
          <cell r="BY428">
            <v>1.2342657342657344</v>
          </cell>
          <cell r="BZ428">
            <v>1.1555944055944056</v>
          </cell>
          <cell r="CA428">
            <v>1.1208791208791209</v>
          </cell>
          <cell r="CB428">
            <v>1.1505994005994007</v>
          </cell>
          <cell r="CC428">
            <v>1.198051948051948</v>
          </cell>
          <cell r="CD428">
            <v>1.3296703296703298</v>
          </cell>
          <cell r="CE428">
            <v>1.3951048951048952</v>
          </cell>
          <cell r="CF428">
            <v>1.4837662337662336</v>
          </cell>
          <cell r="CG428">
            <v>1.5204795204795205</v>
          </cell>
          <cell r="CH428">
            <v>1.5404595404595405</v>
          </cell>
          <cell r="CI428">
            <v>1.3469030969030968</v>
          </cell>
          <cell r="CJ428">
            <v>1.2382617382617382</v>
          </cell>
          <cell r="CK428">
            <v>1.0072427572427571</v>
          </cell>
          <cell r="CL428">
            <v>1.0849150849150848</v>
          </cell>
          <cell r="CM428">
            <v>1.1823176823176824</v>
          </cell>
          <cell r="CN428">
            <v>1.1446053946053947</v>
          </cell>
          <cell r="CO428">
            <v>1.2342657342657344</v>
          </cell>
          <cell r="CP428">
            <v>1.1555944055944056</v>
          </cell>
          <cell r="CQ428">
            <v>1.1208791208791209</v>
          </cell>
          <cell r="CR428">
            <v>1.1505994005994007</v>
          </cell>
          <cell r="CS428">
            <v>1.198051948051948</v>
          </cell>
          <cell r="CT428">
            <v>1.3296703296703298</v>
          </cell>
          <cell r="CU428">
            <v>1.3951048951048952</v>
          </cell>
          <cell r="CV428">
            <v>1.4837662337662336</v>
          </cell>
          <cell r="CW428">
            <v>1.5204795204795205</v>
          </cell>
          <cell r="CX428">
            <v>1.5404595404595405</v>
          </cell>
          <cell r="CY428">
            <v>1.3469030969030968</v>
          </cell>
          <cell r="CZ428">
            <v>1.2382617382617382</v>
          </cell>
        </row>
        <row r="435">
          <cell r="X435">
            <v>33543</v>
          </cell>
          <cell r="Y435">
            <v>33573</v>
          </cell>
          <cell r="Z435">
            <v>33604</v>
          </cell>
          <cell r="AA435">
            <v>33635</v>
          </cell>
          <cell r="AB435">
            <v>33664</v>
          </cell>
          <cell r="AC435">
            <v>33695</v>
          </cell>
          <cell r="AD435">
            <v>33725</v>
          </cell>
          <cell r="AE435">
            <v>33756</v>
          </cell>
          <cell r="AF435">
            <v>33786</v>
          </cell>
          <cell r="AG435">
            <v>33817</v>
          </cell>
          <cell r="AH435">
            <v>33848</v>
          </cell>
          <cell r="AI435">
            <v>33878</v>
          </cell>
          <cell r="AJ435">
            <v>33909</v>
          </cell>
          <cell r="AK435">
            <v>33939</v>
          </cell>
          <cell r="AL435">
            <v>33970</v>
          </cell>
          <cell r="AM435">
            <v>34001</v>
          </cell>
          <cell r="AN435">
            <v>34029</v>
          </cell>
          <cell r="AO435">
            <v>34060</v>
          </cell>
          <cell r="AP435">
            <v>34090</v>
          </cell>
          <cell r="AQ435">
            <v>34121</v>
          </cell>
          <cell r="AR435">
            <v>34151</v>
          </cell>
          <cell r="AS435">
            <v>34182</v>
          </cell>
          <cell r="AT435">
            <v>34213</v>
          </cell>
          <cell r="AU435">
            <v>34243</v>
          </cell>
          <cell r="AV435">
            <v>34274</v>
          </cell>
          <cell r="AW435">
            <v>34304</v>
          </cell>
          <cell r="AX435">
            <v>34335</v>
          </cell>
          <cell r="AY435">
            <v>34366</v>
          </cell>
          <cell r="AZ435">
            <v>34394</v>
          </cell>
          <cell r="BA435">
            <v>34425</v>
          </cell>
          <cell r="BB435">
            <v>34455</v>
          </cell>
          <cell r="BC435">
            <v>34486</v>
          </cell>
          <cell r="BD435">
            <v>34516</v>
          </cell>
          <cell r="BE435">
            <v>34547</v>
          </cell>
          <cell r="BF435">
            <v>34578</v>
          </cell>
          <cell r="BG435">
            <v>34608</v>
          </cell>
          <cell r="BH435">
            <v>34639</v>
          </cell>
          <cell r="BI435">
            <v>34669</v>
          </cell>
          <cell r="BJ435">
            <v>34700</v>
          </cell>
          <cell r="BK435">
            <v>34731</v>
          </cell>
          <cell r="BL435">
            <v>34759</v>
          </cell>
          <cell r="BM435">
            <v>34790</v>
          </cell>
          <cell r="BN435">
            <v>34820</v>
          </cell>
          <cell r="BO435">
            <v>34851</v>
          </cell>
          <cell r="BP435">
            <v>34881</v>
          </cell>
          <cell r="BQ435">
            <v>34912</v>
          </cell>
          <cell r="BR435">
            <v>34943</v>
          </cell>
          <cell r="BS435">
            <v>34973</v>
          </cell>
          <cell r="BT435">
            <v>35004</v>
          </cell>
          <cell r="BU435">
            <v>35034</v>
          </cell>
          <cell r="BV435">
            <v>35065</v>
          </cell>
          <cell r="BW435">
            <v>35096</v>
          </cell>
          <cell r="BX435">
            <v>35125</v>
          </cell>
          <cell r="BY435">
            <v>35156</v>
          </cell>
          <cell r="BZ435">
            <v>35186</v>
          </cell>
          <cell r="CA435">
            <v>35217</v>
          </cell>
          <cell r="CB435">
            <v>35247</v>
          </cell>
          <cell r="CC435">
            <v>35278</v>
          </cell>
          <cell r="CD435">
            <v>35309</v>
          </cell>
          <cell r="CE435">
            <v>35339</v>
          </cell>
          <cell r="CF435">
            <v>35370</v>
          </cell>
          <cell r="CG435">
            <v>35400</v>
          </cell>
          <cell r="CH435">
            <v>35431</v>
          </cell>
          <cell r="CI435">
            <v>35462</v>
          </cell>
          <cell r="CJ435">
            <v>35490</v>
          </cell>
          <cell r="CK435">
            <v>35521</v>
          </cell>
          <cell r="CL435">
            <v>0</v>
          </cell>
          <cell r="CM435">
            <v>0</v>
          </cell>
          <cell r="CN435">
            <v>0</v>
          </cell>
          <cell r="CO435">
            <v>0</v>
          </cell>
          <cell r="CP435">
            <v>0</v>
          </cell>
          <cell r="CQ435">
            <v>0</v>
          </cell>
          <cell r="CR435">
            <v>0</v>
          </cell>
          <cell r="CS435">
            <v>0</v>
          </cell>
          <cell r="CT435">
            <v>0</v>
          </cell>
          <cell r="CU435">
            <v>0</v>
          </cell>
          <cell r="CV435">
            <v>0</v>
          </cell>
          <cell r="CW435">
            <v>0</v>
          </cell>
          <cell r="CX435">
            <v>0</v>
          </cell>
          <cell r="CY435">
            <v>0</v>
          </cell>
          <cell r="CZ435">
            <v>0</v>
          </cell>
          <cell r="DA435">
            <v>0</v>
          </cell>
          <cell r="DB435">
            <v>0</v>
          </cell>
          <cell r="DC435">
            <v>0</v>
          </cell>
          <cell r="DD435">
            <v>0</v>
          </cell>
          <cell r="DE435">
            <v>0</v>
          </cell>
          <cell r="DF435">
            <v>0</v>
          </cell>
          <cell r="DG435">
            <v>0</v>
          </cell>
          <cell r="DH435">
            <v>0</v>
          </cell>
          <cell r="DI435">
            <v>0</v>
          </cell>
          <cell r="DJ435">
            <v>0</v>
          </cell>
          <cell r="DK435">
            <v>0</v>
          </cell>
          <cell r="DL435">
            <v>0</v>
          </cell>
          <cell r="DM435">
            <v>0</v>
          </cell>
          <cell r="DN435">
            <v>0</v>
          </cell>
          <cell r="DO435">
            <v>0</v>
          </cell>
          <cell r="DP435">
            <v>0</v>
          </cell>
          <cell r="DQ435">
            <v>0</v>
          </cell>
          <cell r="DR435">
            <v>0</v>
          </cell>
          <cell r="DS435">
            <v>0</v>
          </cell>
          <cell r="DT435">
            <v>0</v>
          </cell>
          <cell r="DU435">
            <v>0</v>
          </cell>
        </row>
        <row r="436">
          <cell r="X436">
            <v>25.6</v>
          </cell>
          <cell r="Y436">
            <v>25.6</v>
          </cell>
          <cell r="Z436">
            <v>26.8</v>
          </cell>
          <cell r="AA436">
            <v>26.8</v>
          </cell>
          <cell r="AB436">
            <v>26.8</v>
          </cell>
          <cell r="AC436">
            <v>27.7</v>
          </cell>
          <cell r="AD436">
            <v>27.7</v>
          </cell>
          <cell r="AE436">
            <v>27.7</v>
          </cell>
          <cell r="AF436">
            <v>30</v>
          </cell>
          <cell r="AG436">
            <v>30</v>
          </cell>
          <cell r="AH436">
            <v>30</v>
          </cell>
          <cell r="AI436">
            <v>28.3</v>
          </cell>
          <cell r="AJ436">
            <v>28.3</v>
          </cell>
          <cell r="AK436">
            <v>27.9</v>
          </cell>
          <cell r="AL436">
            <v>27.2</v>
          </cell>
          <cell r="AM436">
            <v>27.2</v>
          </cell>
          <cell r="AN436">
            <v>27.2</v>
          </cell>
          <cell r="AO436">
            <v>27.4</v>
          </cell>
          <cell r="AP436">
            <v>27.4</v>
          </cell>
          <cell r="AQ436">
            <v>27.4</v>
          </cell>
          <cell r="AR436">
            <v>27</v>
          </cell>
          <cell r="AS436">
            <v>27</v>
          </cell>
          <cell r="AT436">
            <v>24.3</v>
          </cell>
          <cell r="AU436">
            <v>23.4</v>
          </cell>
          <cell r="AV436">
            <v>22.7</v>
          </cell>
          <cell r="AW436">
            <v>22</v>
          </cell>
          <cell r="AX436">
            <v>21.5</v>
          </cell>
          <cell r="AY436">
            <v>21.5</v>
          </cell>
          <cell r="AZ436">
            <v>23</v>
          </cell>
          <cell r="BA436">
            <v>25.6</v>
          </cell>
          <cell r="BB436">
            <v>27.9</v>
          </cell>
          <cell r="BC436">
            <v>31.3</v>
          </cell>
          <cell r="BD436">
            <v>31.3</v>
          </cell>
          <cell r="BE436">
            <v>31.3</v>
          </cell>
          <cell r="BF436">
            <v>35.299999999999997</v>
          </cell>
          <cell r="BG436">
            <v>38.1</v>
          </cell>
          <cell r="BH436">
            <v>47.2</v>
          </cell>
          <cell r="BI436">
            <v>52</v>
          </cell>
          <cell r="BJ436">
            <v>56</v>
          </cell>
          <cell r="BK436">
            <v>58.5</v>
          </cell>
          <cell r="BL436">
            <v>58.5</v>
          </cell>
          <cell r="BM436">
            <v>67</v>
          </cell>
          <cell r="BN436">
            <v>67</v>
          </cell>
          <cell r="BO436">
            <v>67</v>
          </cell>
          <cell r="BP436">
            <v>67</v>
          </cell>
          <cell r="BQ436">
            <v>64.900000000000006</v>
          </cell>
          <cell r="BR436">
            <v>62</v>
          </cell>
          <cell r="BS436">
            <v>48</v>
          </cell>
          <cell r="BT436">
            <v>45</v>
          </cell>
          <cell r="BU436">
            <v>40</v>
          </cell>
          <cell r="BV436">
            <v>38</v>
          </cell>
          <cell r="BW436">
            <v>37</v>
          </cell>
          <cell r="BX436">
            <v>36</v>
          </cell>
          <cell r="BY436">
            <v>36</v>
          </cell>
          <cell r="BZ436">
            <v>36</v>
          </cell>
          <cell r="CA436">
            <v>37</v>
          </cell>
          <cell r="CB436">
            <v>38</v>
          </cell>
          <cell r="CC436">
            <v>39</v>
          </cell>
          <cell r="CD436">
            <v>40</v>
          </cell>
          <cell r="CE436">
            <v>40.25</v>
          </cell>
          <cell r="CF436">
            <v>40.25</v>
          </cell>
          <cell r="CG436">
            <v>40.5</v>
          </cell>
          <cell r="CH436">
            <v>41.5</v>
          </cell>
          <cell r="CI436">
            <v>42.5</v>
          </cell>
          <cell r="CJ436">
            <v>43.5</v>
          </cell>
          <cell r="CK436">
            <v>44</v>
          </cell>
          <cell r="CL436">
            <v>38</v>
          </cell>
          <cell r="CM436">
            <v>37</v>
          </cell>
          <cell r="CN436">
            <v>36</v>
          </cell>
          <cell r="CO436">
            <v>36</v>
          </cell>
          <cell r="CP436">
            <v>36</v>
          </cell>
          <cell r="CQ436">
            <v>37</v>
          </cell>
          <cell r="CR436">
            <v>38</v>
          </cell>
          <cell r="CS436">
            <v>39</v>
          </cell>
          <cell r="CT436">
            <v>40</v>
          </cell>
          <cell r="CU436">
            <v>40.25</v>
          </cell>
          <cell r="CV436">
            <v>40.25</v>
          </cell>
          <cell r="CW436">
            <v>40.5</v>
          </cell>
          <cell r="CX436">
            <v>41.5</v>
          </cell>
          <cell r="CY436">
            <v>42.5</v>
          </cell>
          <cell r="CZ436">
            <v>43.5</v>
          </cell>
          <cell r="DA436">
            <v>44</v>
          </cell>
        </row>
        <row r="438">
          <cell r="X438">
            <v>14.5</v>
          </cell>
          <cell r="Y438">
            <v>14.5</v>
          </cell>
          <cell r="Z438">
            <v>15.5</v>
          </cell>
          <cell r="AA438">
            <v>14.5</v>
          </cell>
          <cell r="AB438">
            <v>14.5</v>
          </cell>
          <cell r="AC438">
            <v>14.5</v>
          </cell>
          <cell r="AD438">
            <v>15</v>
          </cell>
          <cell r="AE438">
            <v>15.25</v>
          </cell>
          <cell r="AF438">
            <v>15.5</v>
          </cell>
          <cell r="AG438">
            <v>15.25</v>
          </cell>
          <cell r="AH438">
            <v>15</v>
          </cell>
          <cell r="AI438">
            <v>14.5</v>
          </cell>
          <cell r="AJ438">
            <v>14</v>
          </cell>
          <cell r="AK438">
            <v>13.75</v>
          </cell>
          <cell r="AL438">
            <v>13.75</v>
          </cell>
          <cell r="AM438">
            <v>13.75</v>
          </cell>
          <cell r="AN438">
            <v>13.75</v>
          </cell>
          <cell r="AO438">
            <v>14</v>
          </cell>
          <cell r="AP438">
            <v>14.25</v>
          </cell>
          <cell r="AQ438">
            <v>14.25</v>
          </cell>
          <cell r="AR438">
            <v>14.25</v>
          </cell>
          <cell r="AS438">
            <v>13.75</v>
          </cell>
          <cell r="AT438">
            <v>13.5</v>
          </cell>
          <cell r="AU438">
            <v>13.25</v>
          </cell>
          <cell r="AV438">
            <v>13</v>
          </cell>
          <cell r="AW438">
            <v>12.75</v>
          </cell>
          <cell r="AX438">
            <v>12.75</v>
          </cell>
          <cell r="AY438">
            <v>12.75</v>
          </cell>
          <cell r="AZ438">
            <v>13.25</v>
          </cell>
          <cell r="BA438">
            <v>13.75</v>
          </cell>
          <cell r="BB438">
            <v>14.25</v>
          </cell>
          <cell r="BC438">
            <v>15.25</v>
          </cell>
          <cell r="BD438">
            <v>15.75</v>
          </cell>
          <cell r="BE438">
            <v>16.75</v>
          </cell>
          <cell r="BF438">
            <v>17.75</v>
          </cell>
          <cell r="BG438">
            <v>18.75</v>
          </cell>
          <cell r="BH438">
            <v>19.75</v>
          </cell>
          <cell r="BI438">
            <v>20.75</v>
          </cell>
          <cell r="BJ438">
            <v>21.75</v>
          </cell>
          <cell r="BK438">
            <v>22.75</v>
          </cell>
          <cell r="BL438">
            <v>23.75</v>
          </cell>
          <cell r="BM438">
            <v>24.75</v>
          </cell>
          <cell r="BN438">
            <v>24.75</v>
          </cell>
          <cell r="BO438">
            <v>24.75</v>
          </cell>
          <cell r="BP438">
            <v>24.75</v>
          </cell>
          <cell r="BQ438">
            <v>23.75</v>
          </cell>
          <cell r="BR438">
            <v>21.75</v>
          </cell>
          <cell r="BS438">
            <v>20.25</v>
          </cell>
          <cell r="BT438">
            <v>18.75</v>
          </cell>
          <cell r="BU438">
            <v>17.75</v>
          </cell>
          <cell r="BV438">
            <v>16.75</v>
          </cell>
          <cell r="BW438">
            <v>16.75</v>
          </cell>
          <cell r="BX438">
            <v>16.75</v>
          </cell>
          <cell r="BY438">
            <v>17.75</v>
          </cell>
          <cell r="BZ438">
            <v>18.75</v>
          </cell>
          <cell r="CA438">
            <v>19.25</v>
          </cell>
          <cell r="CB438">
            <v>19.25</v>
          </cell>
          <cell r="CC438">
            <v>19.75</v>
          </cell>
          <cell r="CD438">
            <v>19.75</v>
          </cell>
          <cell r="CE438">
            <v>19.75</v>
          </cell>
          <cell r="CF438">
            <v>19.75</v>
          </cell>
          <cell r="CG438">
            <v>20.25</v>
          </cell>
          <cell r="CH438">
            <v>20.75</v>
          </cell>
          <cell r="CI438">
            <v>21.25</v>
          </cell>
          <cell r="CJ438">
            <v>21.25</v>
          </cell>
          <cell r="CK438">
            <v>21.25</v>
          </cell>
          <cell r="CL438">
            <v>16.75</v>
          </cell>
          <cell r="CM438">
            <v>16.75</v>
          </cell>
          <cell r="CN438">
            <v>16.75</v>
          </cell>
          <cell r="CO438">
            <v>17.75</v>
          </cell>
          <cell r="CP438">
            <v>18.75</v>
          </cell>
          <cell r="CQ438">
            <v>19.25</v>
          </cell>
          <cell r="CR438">
            <v>19.25</v>
          </cell>
          <cell r="CS438">
            <v>19.75</v>
          </cell>
          <cell r="CT438">
            <v>19.75</v>
          </cell>
          <cell r="CU438">
            <v>19.75</v>
          </cell>
          <cell r="CV438">
            <v>19.75</v>
          </cell>
          <cell r="CW438">
            <v>20.25</v>
          </cell>
          <cell r="CX438">
            <v>20.75</v>
          </cell>
          <cell r="CY438">
            <v>21.25</v>
          </cell>
          <cell r="CZ438">
            <v>21.25</v>
          </cell>
          <cell r="DA438">
            <v>21.25</v>
          </cell>
        </row>
        <row r="439">
          <cell r="X439">
            <v>15.225000000000001</v>
          </cell>
          <cell r="Y439">
            <v>15.225000000000001</v>
          </cell>
          <cell r="Z439">
            <v>16.275000000000002</v>
          </cell>
          <cell r="AA439">
            <v>15.225000000000001</v>
          </cell>
          <cell r="AB439">
            <v>15.225000000000001</v>
          </cell>
          <cell r="AC439">
            <v>15.225000000000001</v>
          </cell>
          <cell r="AD439">
            <v>15.75</v>
          </cell>
          <cell r="AE439">
            <v>16.012499999999999</v>
          </cell>
          <cell r="AF439">
            <v>16.275000000000002</v>
          </cell>
          <cell r="AG439">
            <v>16.012499999999999</v>
          </cell>
          <cell r="AH439">
            <v>15.75</v>
          </cell>
          <cell r="AI439">
            <v>15.225000000000001</v>
          </cell>
          <cell r="AJ439">
            <v>14.700000000000001</v>
          </cell>
          <cell r="AK439">
            <v>14.4375</v>
          </cell>
          <cell r="AL439">
            <v>14.4375</v>
          </cell>
          <cell r="AM439">
            <v>14.4375</v>
          </cell>
          <cell r="AN439">
            <v>14.4375</v>
          </cell>
          <cell r="AO439">
            <v>14.700000000000001</v>
          </cell>
          <cell r="AP439">
            <v>14.9625</v>
          </cell>
          <cell r="AQ439">
            <v>14.9625</v>
          </cell>
          <cell r="AR439">
            <v>14.9625</v>
          </cell>
          <cell r="AS439">
            <v>14.4375</v>
          </cell>
          <cell r="AT439">
            <v>14.175000000000001</v>
          </cell>
          <cell r="AU439">
            <v>13.912500000000001</v>
          </cell>
          <cell r="AV439">
            <v>13.65</v>
          </cell>
          <cell r="AW439">
            <v>13.387500000000001</v>
          </cell>
          <cell r="AX439">
            <v>13.387500000000001</v>
          </cell>
          <cell r="AY439">
            <v>13.387500000000001</v>
          </cell>
          <cell r="AZ439">
            <v>13.912500000000001</v>
          </cell>
          <cell r="BA439">
            <v>14.4375</v>
          </cell>
          <cell r="BB439">
            <v>14.9625</v>
          </cell>
          <cell r="BC439">
            <v>16.012499999999999</v>
          </cell>
          <cell r="BD439">
            <v>16.537500000000001</v>
          </cell>
          <cell r="BE439">
            <v>17.587500000000002</v>
          </cell>
          <cell r="BF439">
            <v>18.637499999999999</v>
          </cell>
          <cell r="BG439">
            <v>19.6875</v>
          </cell>
          <cell r="BH439">
            <v>20.737500000000001</v>
          </cell>
          <cell r="BI439">
            <v>21.787500000000001</v>
          </cell>
          <cell r="BJ439">
            <v>22.837500000000002</v>
          </cell>
          <cell r="BK439">
            <v>23.887499999999999</v>
          </cell>
          <cell r="BL439">
            <v>24.9375</v>
          </cell>
          <cell r="BM439">
            <v>25.987500000000001</v>
          </cell>
          <cell r="BN439">
            <v>25.987500000000001</v>
          </cell>
          <cell r="BO439">
            <v>25.987500000000001</v>
          </cell>
          <cell r="BP439">
            <v>25.987500000000001</v>
          </cell>
          <cell r="BQ439">
            <v>24.9375</v>
          </cell>
          <cell r="BR439">
            <v>22.837500000000002</v>
          </cell>
          <cell r="BS439">
            <v>21.262499999999999</v>
          </cell>
          <cell r="BT439">
            <v>19.6875</v>
          </cell>
          <cell r="BU439">
            <v>18.637499999999999</v>
          </cell>
          <cell r="BV439">
            <v>17.587500000000002</v>
          </cell>
          <cell r="BW439">
            <v>17.587500000000002</v>
          </cell>
          <cell r="BX439">
            <v>17.587500000000002</v>
          </cell>
          <cell r="BY439">
            <v>18.637499999999999</v>
          </cell>
          <cell r="BZ439">
            <v>19.6875</v>
          </cell>
          <cell r="CA439">
            <v>20.212500000000002</v>
          </cell>
          <cell r="CB439">
            <v>20.212500000000002</v>
          </cell>
          <cell r="CC439">
            <v>20.737500000000001</v>
          </cell>
          <cell r="CD439">
            <v>20.737500000000001</v>
          </cell>
          <cell r="CE439">
            <v>20.737500000000001</v>
          </cell>
          <cell r="CF439">
            <v>20.737500000000001</v>
          </cell>
          <cell r="CG439">
            <v>21.262499999999999</v>
          </cell>
          <cell r="CH439">
            <v>21.787500000000001</v>
          </cell>
          <cell r="CI439">
            <v>22.3125</v>
          </cell>
          <cell r="CJ439">
            <v>22.3125</v>
          </cell>
          <cell r="CK439">
            <v>22.3125</v>
          </cell>
          <cell r="CL439">
            <v>17.587500000000002</v>
          </cell>
          <cell r="CM439">
            <v>17.587500000000002</v>
          </cell>
          <cell r="CN439">
            <v>17.587500000000002</v>
          </cell>
          <cell r="CO439">
            <v>18.637499999999999</v>
          </cell>
          <cell r="CP439">
            <v>19.6875</v>
          </cell>
          <cell r="CQ439">
            <v>20.212500000000002</v>
          </cell>
          <cell r="CR439">
            <v>20.212500000000002</v>
          </cell>
          <cell r="CS439">
            <v>20.737500000000001</v>
          </cell>
          <cell r="CT439">
            <v>20.737500000000001</v>
          </cell>
          <cell r="CU439">
            <v>20.737500000000001</v>
          </cell>
          <cell r="CV439">
            <v>20.737500000000001</v>
          </cell>
          <cell r="CW439">
            <v>21.262499999999999</v>
          </cell>
          <cell r="CX439">
            <v>21.787500000000001</v>
          </cell>
          <cell r="CY439">
            <v>22.3125</v>
          </cell>
          <cell r="CZ439">
            <v>22.3125</v>
          </cell>
          <cell r="DA439">
            <v>22.3125</v>
          </cell>
        </row>
        <row r="441">
          <cell r="X441">
            <v>10.375</v>
          </cell>
          <cell r="Y441">
            <v>10.375</v>
          </cell>
          <cell r="Z441">
            <v>10.524999999999999</v>
          </cell>
          <cell r="AA441">
            <v>11.574999999999999</v>
          </cell>
          <cell r="AB441">
            <v>11.574999999999999</v>
          </cell>
          <cell r="AC441">
            <v>12.474999999999998</v>
          </cell>
          <cell r="AD441">
            <v>11.95</v>
          </cell>
          <cell r="AE441">
            <v>11.6875</v>
          </cell>
          <cell r="AF441">
            <v>13.724999999999998</v>
          </cell>
          <cell r="AG441">
            <v>13.987500000000001</v>
          </cell>
          <cell r="AH441">
            <v>14.25</v>
          </cell>
          <cell r="AI441">
            <v>13.074999999999999</v>
          </cell>
          <cell r="AJ441">
            <v>13.6</v>
          </cell>
          <cell r="AK441">
            <v>13.462499999999999</v>
          </cell>
          <cell r="AL441">
            <v>12.762499999999999</v>
          </cell>
          <cell r="AM441">
            <v>12.762499999999999</v>
          </cell>
          <cell r="AN441">
            <v>12.762499999999999</v>
          </cell>
          <cell r="AO441">
            <v>12.699999999999998</v>
          </cell>
          <cell r="AP441">
            <v>12.437499999999998</v>
          </cell>
          <cell r="AQ441">
            <v>12.437499999999998</v>
          </cell>
          <cell r="AR441">
            <v>12.0375</v>
          </cell>
          <cell r="AS441">
            <v>12.5625</v>
          </cell>
          <cell r="AT441">
            <v>10.125</v>
          </cell>
          <cell r="AU441">
            <v>9.4874999999999972</v>
          </cell>
          <cell r="AV441">
            <v>9.0499999999999989</v>
          </cell>
          <cell r="AW441">
            <v>8.6124999999999989</v>
          </cell>
          <cell r="AX441">
            <v>8.1124999999999989</v>
          </cell>
          <cell r="AY441">
            <v>8.1124999999999989</v>
          </cell>
          <cell r="AZ441">
            <v>9.0874999999999986</v>
          </cell>
          <cell r="BA441">
            <v>11.162500000000001</v>
          </cell>
          <cell r="BB441">
            <v>12.937499999999998</v>
          </cell>
          <cell r="BC441">
            <v>15.287500000000001</v>
          </cell>
          <cell r="BD441">
            <v>14.762499999999999</v>
          </cell>
          <cell r="BE441">
            <v>13.712499999999999</v>
          </cell>
          <cell r="BF441">
            <v>16.662499999999998</v>
          </cell>
          <cell r="BG441">
            <v>18.412500000000001</v>
          </cell>
          <cell r="BH441">
            <v>26.462500000000002</v>
          </cell>
          <cell r="BI441">
            <v>30.212499999999999</v>
          </cell>
          <cell r="BJ441">
            <v>33.162499999999994</v>
          </cell>
          <cell r="BK441">
            <v>34.612499999999997</v>
          </cell>
          <cell r="BL441">
            <v>33.5625</v>
          </cell>
          <cell r="BM441">
            <v>41.012500000000003</v>
          </cell>
          <cell r="BN441">
            <v>41.012500000000003</v>
          </cell>
          <cell r="BO441">
            <v>41.012500000000003</v>
          </cell>
          <cell r="BP441">
            <v>41.012500000000003</v>
          </cell>
          <cell r="BQ441">
            <v>39.962500000000006</v>
          </cell>
          <cell r="BR441">
            <v>39.162499999999994</v>
          </cell>
          <cell r="BS441">
            <v>26.737500000000001</v>
          </cell>
          <cell r="BT441">
            <v>25.3125</v>
          </cell>
          <cell r="BU441">
            <v>21.362500000000001</v>
          </cell>
          <cell r="BV441">
            <v>20.412499999999998</v>
          </cell>
          <cell r="BW441">
            <v>19.412499999999998</v>
          </cell>
          <cell r="BX441">
            <v>18.412499999999998</v>
          </cell>
          <cell r="BY441">
            <v>17.362500000000001</v>
          </cell>
          <cell r="BZ441">
            <v>16.3125</v>
          </cell>
          <cell r="CA441">
            <v>16.787499999999998</v>
          </cell>
          <cell r="CB441">
            <v>17.787499999999998</v>
          </cell>
          <cell r="CC441">
            <v>18.262499999999999</v>
          </cell>
          <cell r="CD441">
            <v>19.262499999999999</v>
          </cell>
          <cell r="CE441">
            <v>19.512499999999999</v>
          </cell>
          <cell r="CF441">
            <v>19.512499999999999</v>
          </cell>
          <cell r="CG441">
            <v>19.237500000000001</v>
          </cell>
          <cell r="CH441">
            <v>19.712499999999999</v>
          </cell>
          <cell r="CI441">
            <v>20.1875</v>
          </cell>
          <cell r="CJ441">
            <v>21.1875</v>
          </cell>
          <cell r="CK441">
            <v>21.6875</v>
          </cell>
          <cell r="CL441">
            <v>20.412499999999998</v>
          </cell>
          <cell r="CM441">
            <v>19.412499999999998</v>
          </cell>
          <cell r="CN441">
            <v>18.412499999999998</v>
          </cell>
          <cell r="CO441">
            <v>17.362500000000001</v>
          </cell>
          <cell r="CP441">
            <v>16.3125</v>
          </cell>
          <cell r="CQ441">
            <v>16.787499999999998</v>
          </cell>
          <cell r="CR441">
            <v>17.787499999999998</v>
          </cell>
          <cell r="CS441">
            <v>18.262499999999999</v>
          </cell>
          <cell r="CT441">
            <v>19.262499999999999</v>
          </cell>
          <cell r="CU441">
            <v>19.512499999999999</v>
          </cell>
          <cell r="CV441">
            <v>19.512499999999999</v>
          </cell>
          <cell r="CW441">
            <v>19.237500000000001</v>
          </cell>
          <cell r="CX441">
            <v>19.712499999999999</v>
          </cell>
          <cell r="CY441">
            <v>20.1875</v>
          </cell>
          <cell r="CZ441">
            <v>21.1875</v>
          </cell>
          <cell r="DA441">
            <v>21.6875</v>
          </cell>
        </row>
        <row r="447">
          <cell r="X447">
            <v>33543</v>
          </cell>
          <cell r="Y447">
            <v>33573</v>
          </cell>
          <cell r="Z447">
            <v>33604</v>
          </cell>
          <cell r="AA447">
            <v>33635</v>
          </cell>
          <cell r="AB447">
            <v>33664</v>
          </cell>
          <cell r="AC447">
            <v>33695</v>
          </cell>
          <cell r="AD447">
            <v>33725</v>
          </cell>
          <cell r="AE447">
            <v>33756</v>
          </cell>
          <cell r="AF447">
            <v>33786</v>
          </cell>
          <cell r="AG447">
            <v>33817</v>
          </cell>
          <cell r="AH447">
            <v>33848</v>
          </cell>
          <cell r="AI447">
            <v>33878</v>
          </cell>
          <cell r="AJ447">
            <v>33909</v>
          </cell>
          <cell r="AK447">
            <v>33939</v>
          </cell>
          <cell r="AL447">
            <v>33970</v>
          </cell>
          <cell r="AM447">
            <v>34001</v>
          </cell>
          <cell r="AN447">
            <v>34029</v>
          </cell>
          <cell r="AO447">
            <v>34060</v>
          </cell>
          <cell r="AP447">
            <v>34090</v>
          </cell>
          <cell r="AQ447">
            <v>34121</v>
          </cell>
          <cell r="AR447">
            <v>34151</v>
          </cell>
          <cell r="AS447">
            <v>34182</v>
          </cell>
          <cell r="AT447">
            <v>34213</v>
          </cell>
          <cell r="AU447">
            <v>34243</v>
          </cell>
          <cell r="AV447">
            <v>34274</v>
          </cell>
          <cell r="AW447">
            <v>34304</v>
          </cell>
          <cell r="AX447">
            <v>34335</v>
          </cell>
          <cell r="AY447">
            <v>34366</v>
          </cell>
          <cell r="AZ447">
            <v>34394</v>
          </cell>
          <cell r="BA447">
            <v>34425</v>
          </cell>
          <cell r="BB447">
            <v>34455</v>
          </cell>
          <cell r="BC447">
            <v>34486</v>
          </cell>
          <cell r="BD447">
            <v>34516</v>
          </cell>
          <cell r="BE447">
            <v>34547</v>
          </cell>
          <cell r="BF447">
            <v>34578</v>
          </cell>
          <cell r="BG447">
            <v>34608</v>
          </cell>
          <cell r="BH447">
            <v>34639</v>
          </cell>
          <cell r="BI447">
            <v>34669</v>
          </cell>
          <cell r="BJ447">
            <v>34700</v>
          </cell>
          <cell r="BK447">
            <v>34731</v>
          </cell>
          <cell r="BL447">
            <v>34759</v>
          </cell>
          <cell r="BM447">
            <v>34790</v>
          </cell>
          <cell r="BN447">
            <v>34820</v>
          </cell>
          <cell r="BO447">
            <v>34851</v>
          </cell>
          <cell r="BP447">
            <v>34881</v>
          </cell>
          <cell r="BQ447">
            <v>34912</v>
          </cell>
          <cell r="BR447">
            <v>34943</v>
          </cell>
          <cell r="BS447">
            <v>34973</v>
          </cell>
          <cell r="BT447">
            <v>35004</v>
          </cell>
          <cell r="BU447">
            <v>35034</v>
          </cell>
          <cell r="BV447">
            <v>35065</v>
          </cell>
          <cell r="BW447">
            <v>35096</v>
          </cell>
          <cell r="BX447">
            <v>35125</v>
          </cell>
          <cell r="BY447">
            <v>35156</v>
          </cell>
          <cell r="BZ447">
            <v>35186</v>
          </cell>
          <cell r="CA447">
            <v>35217</v>
          </cell>
          <cell r="CB447">
            <v>35247</v>
          </cell>
          <cell r="CC447">
            <v>35278</v>
          </cell>
          <cell r="CD447">
            <v>35309</v>
          </cell>
          <cell r="CE447">
            <v>35339</v>
          </cell>
          <cell r="CF447">
            <v>35370</v>
          </cell>
          <cell r="CG447">
            <v>35400</v>
          </cell>
          <cell r="CH447">
            <v>35431</v>
          </cell>
          <cell r="CI447">
            <v>35462</v>
          </cell>
          <cell r="CJ447">
            <v>35490</v>
          </cell>
          <cell r="CK447">
            <v>35521</v>
          </cell>
          <cell r="CL447">
            <v>35551</v>
          </cell>
          <cell r="CM447">
            <v>35582</v>
          </cell>
          <cell r="CN447">
            <v>35612</v>
          </cell>
          <cell r="CO447">
            <v>35643</v>
          </cell>
          <cell r="CP447">
            <v>35674</v>
          </cell>
          <cell r="CQ447">
            <v>35704</v>
          </cell>
          <cell r="CR447">
            <v>35735</v>
          </cell>
          <cell r="CS447">
            <v>35765</v>
          </cell>
          <cell r="CT447">
            <v>35796</v>
          </cell>
          <cell r="CU447">
            <v>35827</v>
          </cell>
          <cell r="CV447">
            <v>35855</v>
          </cell>
          <cell r="CW447">
            <v>35886</v>
          </cell>
          <cell r="CX447">
            <v>35916</v>
          </cell>
          <cell r="CY447">
            <v>35947</v>
          </cell>
          <cell r="CZ447">
            <v>35977</v>
          </cell>
          <cell r="DA447">
            <v>36008</v>
          </cell>
          <cell r="DB447">
            <v>36039</v>
          </cell>
          <cell r="DC447">
            <v>36069</v>
          </cell>
          <cell r="DD447">
            <v>36100</v>
          </cell>
          <cell r="DE447">
            <v>36130</v>
          </cell>
          <cell r="DF447">
            <v>35674</v>
          </cell>
          <cell r="DG447">
            <v>35704</v>
          </cell>
          <cell r="DH447">
            <v>35735</v>
          </cell>
          <cell r="DI447">
            <v>35765</v>
          </cell>
          <cell r="DJ447">
            <v>35796</v>
          </cell>
          <cell r="DK447">
            <v>35827</v>
          </cell>
          <cell r="DL447">
            <v>35855</v>
          </cell>
          <cell r="DM447">
            <v>35886</v>
          </cell>
          <cell r="DN447">
            <v>35916</v>
          </cell>
          <cell r="DO447">
            <v>35947</v>
          </cell>
          <cell r="DP447">
            <v>35977</v>
          </cell>
          <cell r="DQ447">
            <v>36008</v>
          </cell>
          <cell r="DR447">
            <v>36039</v>
          </cell>
          <cell r="DS447">
            <v>36069</v>
          </cell>
          <cell r="DT447">
            <v>36100</v>
          </cell>
          <cell r="DU447">
            <v>36130</v>
          </cell>
        </row>
        <row r="458">
          <cell r="X458">
            <v>33543</v>
          </cell>
          <cell r="Y458">
            <v>33573</v>
          </cell>
          <cell r="Z458">
            <v>33604</v>
          </cell>
          <cell r="AA458">
            <v>33635</v>
          </cell>
          <cell r="AB458">
            <v>33664</v>
          </cell>
          <cell r="AC458">
            <v>33695</v>
          </cell>
          <cell r="AD458">
            <v>33725</v>
          </cell>
          <cell r="AE458">
            <v>33756</v>
          </cell>
          <cell r="AF458">
            <v>33786</v>
          </cell>
          <cell r="AG458">
            <v>33817</v>
          </cell>
          <cell r="AH458">
            <v>33848</v>
          </cell>
          <cell r="AI458">
            <v>33878</v>
          </cell>
          <cell r="AJ458">
            <v>33909</v>
          </cell>
          <cell r="AK458">
            <v>33939</v>
          </cell>
          <cell r="AL458">
            <v>33970</v>
          </cell>
          <cell r="AM458">
            <v>34001</v>
          </cell>
          <cell r="AN458">
            <v>34029</v>
          </cell>
          <cell r="AO458">
            <v>34060</v>
          </cell>
          <cell r="AP458">
            <v>34090</v>
          </cell>
          <cell r="AQ458">
            <v>34121</v>
          </cell>
          <cell r="AR458">
            <v>34151</v>
          </cell>
          <cell r="AS458">
            <v>34182</v>
          </cell>
          <cell r="AT458">
            <v>34213</v>
          </cell>
          <cell r="AU458">
            <v>34243</v>
          </cell>
          <cell r="AV458">
            <v>34274</v>
          </cell>
          <cell r="AW458">
            <v>34304</v>
          </cell>
          <cell r="AX458">
            <v>34335</v>
          </cell>
          <cell r="AY458">
            <v>34366</v>
          </cell>
          <cell r="AZ458">
            <v>34394</v>
          </cell>
          <cell r="BA458">
            <v>34425</v>
          </cell>
          <cell r="BB458">
            <v>34455</v>
          </cell>
          <cell r="BC458">
            <v>34486</v>
          </cell>
          <cell r="BD458">
            <v>34516</v>
          </cell>
          <cell r="BE458">
            <v>34547</v>
          </cell>
          <cell r="BF458">
            <v>34578</v>
          </cell>
          <cell r="BG458">
            <v>34608</v>
          </cell>
          <cell r="BH458">
            <v>34639</v>
          </cell>
          <cell r="BI458">
            <v>34669</v>
          </cell>
          <cell r="BJ458">
            <v>34700</v>
          </cell>
          <cell r="BK458">
            <v>34731</v>
          </cell>
          <cell r="BL458">
            <v>34759</v>
          </cell>
          <cell r="BM458">
            <v>34790</v>
          </cell>
          <cell r="BN458">
            <v>34820</v>
          </cell>
          <cell r="BO458">
            <v>34851</v>
          </cell>
          <cell r="BP458">
            <v>34881</v>
          </cell>
          <cell r="BQ458">
            <v>34912</v>
          </cell>
          <cell r="BR458">
            <v>34943</v>
          </cell>
          <cell r="BS458">
            <v>34973</v>
          </cell>
          <cell r="BT458">
            <v>35004</v>
          </cell>
          <cell r="BU458">
            <v>35034</v>
          </cell>
          <cell r="BV458">
            <v>35065</v>
          </cell>
          <cell r="BW458">
            <v>35096</v>
          </cell>
          <cell r="BX458">
            <v>35125</v>
          </cell>
          <cell r="BY458">
            <v>35156</v>
          </cell>
          <cell r="BZ458">
            <v>35186</v>
          </cell>
          <cell r="CA458">
            <v>35217</v>
          </cell>
          <cell r="CB458">
            <v>35247</v>
          </cell>
          <cell r="CC458">
            <v>35278</v>
          </cell>
          <cell r="CD458">
            <v>35309</v>
          </cell>
          <cell r="CE458">
            <v>35339</v>
          </cell>
          <cell r="CF458">
            <v>35370</v>
          </cell>
          <cell r="CG458">
            <v>35400</v>
          </cell>
          <cell r="CH458">
            <v>35431</v>
          </cell>
          <cell r="CI458">
            <v>35462</v>
          </cell>
          <cell r="CJ458">
            <v>35490</v>
          </cell>
          <cell r="CK458">
            <v>35521</v>
          </cell>
          <cell r="CL458">
            <v>35551</v>
          </cell>
          <cell r="CM458">
            <v>35582</v>
          </cell>
          <cell r="CN458">
            <v>35612</v>
          </cell>
          <cell r="CO458">
            <v>35643</v>
          </cell>
          <cell r="CP458">
            <v>35674</v>
          </cell>
          <cell r="CQ458">
            <v>35704</v>
          </cell>
          <cell r="CR458">
            <v>35735</v>
          </cell>
          <cell r="CS458">
            <v>35765</v>
          </cell>
          <cell r="CT458">
            <v>35796</v>
          </cell>
          <cell r="CU458">
            <v>35827</v>
          </cell>
          <cell r="CV458">
            <v>35855</v>
          </cell>
          <cell r="CW458">
            <v>35886</v>
          </cell>
          <cell r="CX458">
            <v>35916</v>
          </cell>
          <cell r="CY458">
            <v>35947</v>
          </cell>
          <cell r="CZ458">
            <v>35977</v>
          </cell>
          <cell r="DA458">
            <v>36008</v>
          </cell>
          <cell r="DB458">
            <v>36039</v>
          </cell>
          <cell r="DC458">
            <v>36069</v>
          </cell>
          <cell r="DD458">
            <v>36100</v>
          </cell>
          <cell r="DE458">
            <v>36130</v>
          </cell>
          <cell r="DF458">
            <v>35674</v>
          </cell>
          <cell r="DG458">
            <v>35704</v>
          </cell>
          <cell r="DH458">
            <v>35735</v>
          </cell>
          <cell r="DI458">
            <v>35765</v>
          </cell>
          <cell r="DJ458">
            <v>35796</v>
          </cell>
          <cell r="DK458">
            <v>35827</v>
          </cell>
          <cell r="DL458">
            <v>35855</v>
          </cell>
          <cell r="DM458">
            <v>35886</v>
          </cell>
          <cell r="DN458">
            <v>35916</v>
          </cell>
          <cell r="DO458">
            <v>35947</v>
          </cell>
          <cell r="DP458">
            <v>35977</v>
          </cell>
          <cell r="DQ458">
            <v>36008</v>
          </cell>
          <cell r="DR458">
            <v>36039</v>
          </cell>
          <cell r="DS458">
            <v>36069</v>
          </cell>
          <cell r="DT458">
            <v>36100</v>
          </cell>
          <cell r="DU458">
            <v>36130</v>
          </cell>
        </row>
        <row r="459">
          <cell r="X459">
            <v>27</v>
          </cell>
          <cell r="Y459">
            <v>25.5</v>
          </cell>
          <cell r="Z459">
            <v>23</v>
          </cell>
          <cell r="AA459">
            <v>22</v>
          </cell>
          <cell r="AB459">
            <v>23</v>
          </cell>
          <cell r="AC459">
            <v>23.5</v>
          </cell>
          <cell r="AD459">
            <v>24</v>
          </cell>
          <cell r="AE459">
            <v>24.25</v>
          </cell>
          <cell r="AF459">
            <v>24.25</v>
          </cell>
          <cell r="AG459">
            <v>23.5</v>
          </cell>
          <cell r="AH459">
            <v>22.75</v>
          </cell>
          <cell r="AI459">
            <v>22</v>
          </cell>
          <cell r="AJ459">
            <v>22</v>
          </cell>
          <cell r="AK459">
            <v>23.5</v>
          </cell>
          <cell r="AL459">
            <v>23</v>
          </cell>
          <cell r="AM459">
            <v>23</v>
          </cell>
          <cell r="AN459">
            <v>24.5</v>
          </cell>
          <cell r="AO459">
            <v>24.5</v>
          </cell>
          <cell r="AP459">
            <v>25.5</v>
          </cell>
          <cell r="AQ459">
            <v>27</v>
          </cell>
          <cell r="AR459">
            <v>27.5</v>
          </cell>
          <cell r="AS459">
            <v>28.5</v>
          </cell>
          <cell r="AT459">
            <v>29</v>
          </cell>
          <cell r="AU459">
            <v>29</v>
          </cell>
          <cell r="AV459">
            <v>29</v>
          </cell>
          <cell r="AW459">
            <v>28.5</v>
          </cell>
          <cell r="AX459">
            <v>22.75</v>
          </cell>
          <cell r="AY459">
            <v>22</v>
          </cell>
          <cell r="AZ459">
            <v>22</v>
          </cell>
          <cell r="BA459">
            <v>23.5</v>
          </cell>
          <cell r="BB459">
            <v>23</v>
          </cell>
          <cell r="BC459">
            <v>23</v>
          </cell>
          <cell r="BD459">
            <v>24.5</v>
          </cell>
          <cell r="BE459">
            <v>24.5</v>
          </cell>
          <cell r="BF459">
            <v>25.5</v>
          </cell>
          <cell r="BG459">
            <v>27</v>
          </cell>
          <cell r="BH459">
            <v>27.5</v>
          </cell>
          <cell r="BI459">
            <v>28.5</v>
          </cell>
          <cell r="BJ459">
            <v>0</v>
          </cell>
          <cell r="BK459">
            <v>0</v>
          </cell>
          <cell r="BL459">
            <v>0</v>
          </cell>
          <cell r="BM459">
            <v>0</v>
          </cell>
          <cell r="BN459">
            <v>0</v>
          </cell>
          <cell r="BO459">
            <v>0</v>
          </cell>
          <cell r="BP459">
            <v>0</v>
          </cell>
          <cell r="BQ459">
            <v>0</v>
          </cell>
          <cell r="BR459">
            <v>0</v>
          </cell>
          <cell r="BS459">
            <v>0</v>
          </cell>
          <cell r="BT459">
            <v>0</v>
          </cell>
          <cell r="BU459">
            <v>0</v>
          </cell>
          <cell r="BV459">
            <v>0</v>
          </cell>
          <cell r="BW459">
            <v>0</v>
          </cell>
          <cell r="BX459">
            <v>0</v>
          </cell>
          <cell r="BY459">
            <v>0</v>
          </cell>
          <cell r="BZ459">
            <v>0</v>
          </cell>
          <cell r="CA459">
            <v>0</v>
          </cell>
          <cell r="CB459">
            <v>0</v>
          </cell>
          <cell r="CC459">
            <v>0</v>
          </cell>
          <cell r="CD459">
            <v>0</v>
          </cell>
          <cell r="CE459">
            <v>0</v>
          </cell>
          <cell r="CF459">
            <v>0</v>
          </cell>
          <cell r="CG459">
            <v>0</v>
          </cell>
          <cell r="CH459">
            <v>0</v>
          </cell>
          <cell r="CI459">
            <v>0</v>
          </cell>
          <cell r="CJ459">
            <v>0</v>
          </cell>
          <cell r="CK459">
            <v>0</v>
          </cell>
          <cell r="CL459">
            <v>0</v>
          </cell>
          <cell r="CM459">
            <v>0</v>
          </cell>
          <cell r="CN459">
            <v>0</v>
          </cell>
          <cell r="CO459">
            <v>0</v>
          </cell>
          <cell r="CP459">
            <v>0</v>
          </cell>
          <cell r="CQ459">
            <v>0</v>
          </cell>
          <cell r="CR459">
            <v>0</v>
          </cell>
          <cell r="CS459">
            <v>0</v>
          </cell>
          <cell r="CT459">
            <v>0</v>
          </cell>
          <cell r="CU459">
            <v>0</v>
          </cell>
          <cell r="CV459">
            <v>0</v>
          </cell>
          <cell r="CW459">
            <v>0</v>
          </cell>
          <cell r="CX459">
            <v>0</v>
          </cell>
          <cell r="CY459">
            <v>0</v>
          </cell>
          <cell r="CZ459">
            <v>0</v>
          </cell>
          <cell r="DA459">
            <v>0</v>
          </cell>
        </row>
        <row r="464">
          <cell r="X464">
            <v>27</v>
          </cell>
          <cell r="Y464">
            <v>25.5</v>
          </cell>
          <cell r="Z464">
            <v>23</v>
          </cell>
          <cell r="AA464">
            <v>22</v>
          </cell>
          <cell r="AB464">
            <v>23</v>
          </cell>
          <cell r="AC464">
            <v>23.5</v>
          </cell>
          <cell r="AD464">
            <v>24</v>
          </cell>
          <cell r="AE464">
            <v>24.25</v>
          </cell>
          <cell r="AF464">
            <v>24.25</v>
          </cell>
          <cell r="AG464">
            <v>23.5</v>
          </cell>
          <cell r="AH464">
            <v>22.75</v>
          </cell>
          <cell r="AI464">
            <v>22</v>
          </cell>
          <cell r="AJ464">
            <v>22</v>
          </cell>
          <cell r="AK464">
            <v>23.5</v>
          </cell>
          <cell r="AL464">
            <v>23</v>
          </cell>
          <cell r="AM464">
            <v>23</v>
          </cell>
          <cell r="AN464">
            <v>24.5</v>
          </cell>
          <cell r="AO464">
            <v>24.5</v>
          </cell>
          <cell r="AP464">
            <v>25.5</v>
          </cell>
          <cell r="AQ464">
            <v>27</v>
          </cell>
          <cell r="AR464">
            <v>27.5</v>
          </cell>
          <cell r="AS464">
            <v>28.5</v>
          </cell>
          <cell r="AT464">
            <v>29</v>
          </cell>
          <cell r="AU464">
            <v>29</v>
          </cell>
          <cell r="AV464">
            <v>29</v>
          </cell>
          <cell r="AW464">
            <v>28.5</v>
          </cell>
          <cell r="AX464">
            <v>22.75</v>
          </cell>
          <cell r="AY464">
            <v>22</v>
          </cell>
          <cell r="AZ464">
            <v>22</v>
          </cell>
          <cell r="BA464">
            <v>23.5</v>
          </cell>
          <cell r="BB464">
            <v>23</v>
          </cell>
          <cell r="BC464">
            <v>23</v>
          </cell>
          <cell r="BD464">
            <v>24.5</v>
          </cell>
          <cell r="BE464">
            <v>24.5</v>
          </cell>
          <cell r="BF464">
            <v>25.5</v>
          </cell>
          <cell r="BG464">
            <v>27</v>
          </cell>
          <cell r="BH464">
            <v>27.5</v>
          </cell>
          <cell r="BI464">
            <v>28.5</v>
          </cell>
          <cell r="BJ464">
            <v>0</v>
          </cell>
          <cell r="BK464">
            <v>0</v>
          </cell>
          <cell r="BL464">
            <v>0</v>
          </cell>
          <cell r="BM464">
            <v>0</v>
          </cell>
          <cell r="BN464">
            <v>0</v>
          </cell>
          <cell r="BO464">
            <v>0</v>
          </cell>
          <cell r="BP464">
            <v>0</v>
          </cell>
          <cell r="BQ464">
            <v>0</v>
          </cell>
          <cell r="BR464">
            <v>0</v>
          </cell>
          <cell r="BS464">
            <v>0</v>
          </cell>
          <cell r="BT464">
            <v>0</v>
          </cell>
          <cell r="BU464">
            <v>0</v>
          </cell>
          <cell r="BV464">
            <v>0</v>
          </cell>
          <cell r="BW464">
            <v>0</v>
          </cell>
          <cell r="BX464">
            <v>0</v>
          </cell>
          <cell r="BY464">
            <v>0</v>
          </cell>
          <cell r="BZ464">
            <v>0</v>
          </cell>
          <cell r="CA464">
            <v>0</v>
          </cell>
          <cell r="CB464">
            <v>0</v>
          </cell>
          <cell r="CC464">
            <v>0</v>
          </cell>
          <cell r="CD464">
            <v>0</v>
          </cell>
          <cell r="CE464">
            <v>0</v>
          </cell>
          <cell r="CF464">
            <v>0</v>
          </cell>
          <cell r="CG464">
            <v>0</v>
          </cell>
          <cell r="CH464">
            <v>0</v>
          </cell>
          <cell r="CI464">
            <v>0</v>
          </cell>
          <cell r="CJ464">
            <v>0</v>
          </cell>
          <cell r="CK464">
            <v>0</v>
          </cell>
          <cell r="CL464">
            <v>0</v>
          </cell>
          <cell r="CM464">
            <v>0</v>
          </cell>
          <cell r="CN464">
            <v>0</v>
          </cell>
          <cell r="CO464">
            <v>0</v>
          </cell>
          <cell r="CP464">
            <v>0</v>
          </cell>
          <cell r="CQ464">
            <v>0</v>
          </cell>
          <cell r="CR464">
            <v>0</v>
          </cell>
          <cell r="CS464">
            <v>0</v>
          </cell>
          <cell r="CT464">
            <v>0</v>
          </cell>
          <cell r="CU464">
            <v>0</v>
          </cell>
          <cell r="CV464">
            <v>0</v>
          </cell>
          <cell r="CW464">
            <v>0</v>
          </cell>
          <cell r="CX464">
            <v>0</v>
          </cell>
          <cell r="CY464">
            <v>0</v>
          </cell>
          <cell r="CZ464">
            <v>0</v>
          </cell>
          <cell r="DA464">
            <v>0</v>
          </cell>
        </row>
        <row r="471">
          <cell r="X471">
            <v>33543</v>
          </cell>
          <cell r="Y471">
            <v>33573</v>
          </cell>
          <cell r="Z471">
            <v>33604</v>
          </cell>
          <cell r="AA471">
            <v>33635</v>
          </cell>
          <cell r="AB471">
            <v>33664</v>
          </cell>
          <cell r="AC471">
            <v>33695</v>
          </cell>
          <cell r="AD471">
            <v>33725</v>
          </cell>
          <cell r="AE471">
            <v>33756</v>
          </cell>
          <cell r="AF471">
            <v>33786</v>
          </cell>
          <cell r="AG471">
            <v>33817</v>
          </cell>
          <cell r="AH471">
            <v>33848</v>
          </cell>
          <cell r="AI471">
            <v>33878</v>
          </cell>
          <cell r="AJ471">
            <v>33909</v>
          </cell>
          <cell r="AK471">
            <v>33939</v>
          </cell>
          <cell r="AL471">
            <v>33970</v>
          </cell>
          <cell r="AM471">
            <v>34001</v>
          </cell>
          <cell r="AN471">
            <v>34029</v>
          </cell>
          <cell r="AO471">
            <v>34060</v>
          </cell>
          <cell r="AP471">
            <v>34090</v>
          </cell>
          <cell r="AQ471">
            <v>34121</v>
          </cell>
          <cell r="AR471">
            <v>34151</v>
          </cell>
          <cell r="AS471">
            <v>34182</v>
          </cell>
          <cell r="AT471">
            <v>34213</v>
          </cell>
          <cell r="AU471">
            <v>34243</v>
          </cell>
          <cell r="AV471">
            <v>34274</v>
          </cell>
          <cell r="AW471">
            <v>34304</v>
          </cell>
          <cell r="AX471">
            <v>34335</v>
          </cell>
          <cell r="AY471">
            <v>34366</v>
          </cell>
          <cell r="AZ471">
            <v>34394</v>
          </cell>
          <cell r="BA471">
            <v>34425</v>
          </cell>
          <cell r="BB471">
            <v>34455</v>
          </cell>
          <cell r="BC471">
            <v>34486</v>
          </cell>
          <cell r="BD471">
            <v>34516</v>
          </cell>
          <cell r="BE471">
            <v>34547</v>
          </cell>
          <cell r="BF471">
            <v>34578</v>
          </cell>
          <cell r="BG471">
            <v>34608</v>
          </cell>
          <cell r="BH471">
            <v>34639</v>
          </cell>
          <cell r="BI471">
            <v>34669</v>
          </cell>
          <cell r="BJ471">
            <v>34700</v>
          </cell>
          <cell r="BK471">
            <v>34731</v>
          </cell>
          <cell r="BL471">
            <v>34759</v>
          </cell>
          <cell r="BM471">
            <v>34790</v>
          </cell>
          <cell r="BN471">
            <v>34820</v>
          </cell>
          <cell r="BO471">
            <v>34851</v>
          </cell>
          <cell r="BP471">
            <v>34881</v>
          </cell>
          <cell r="BQ471">
            <v>34912</v>
          </cell>
          <cell r="BR471">
            <v>34943</v>
          </cell>
          <cell r="BS471">
            <v>34973</v>
          </cell>
          <cell r="BT471">
            <v>35004</v>
          </cell>
          <cell r="BU471">
            <v>35034</v>
          </cell>
          <cell r="BV471">
            <v>35065</v>
          </cell>
          <cell r="BW471">
            <v>35096</v>
          </cell>
          <cell r="BX471">
            <v>35125</v>
          </cell>
          <cell r="BY471">
            <v>35156</v>
          </cell>
          <cell r="BZ471">
            <v>35186</v>
          </cell>
          <cell r="CA471">
            <v>35217</v>
          </cell>
          <cell r="CB471">
            <v>35247</v>
          </cell>
          <cell r="CC471">
            <v>35278</v>
          </cell>
          <cell r="CD471">
            <v>35309</v>
          </cell>
          <cell r="CE471">
            <v>35339</v>
          </cell>
          <cell r="CF471">
            <v>35370</v>
          </cell>
          <cell r="CG471">
            <v>35400</v>
          </cell>
          <cell r="CH471">
            <v>35431</v>
          </cell>
          <cell r="CI471">
            <v>35462</v>
          </cell>
          <cell r="CJ471">
            <v>35490</v>
          </cell>
          <cell r="CK471">
            <v>35521</v>
          </cell>
          <cell r="CL471">
            <v>35551</v>
          </cell>
          <cell r="CM471">
            <v>35582</v>
          </cell>
          <cell r="CN471">
            <v>35612</v>
          </cell>
          <cell r="CO471">
            <v>35643</v>
          </cell>
          <cell r="CP471">
            <v>35674</v>
          </cell>
          <cell r="CQ471">
            <v>35704</v>
          </cell>
          <cell r="CR471">
            <v>35735</v>
          </cell>
          <cell r="CS471">
            <v>35765</v>
          </cell>
          <cell r="CT471">
            <v>35796</v>
          </cell>
          <cell r="CU471">
            <v>35827</v>
          </cell>
          <cell r="CV471">
            <v>35855</v>
          </cell>
          <cell r="CW471">
            <v>35886</v>
          </cell>
          <cell r="CX471">
            <v>35916</v>
          </cell>
          <cell r="CY471">
            <v>35947</v>
          </cell>
          <cell r="CZ471">
            <v>35977</v>
          </cell>
          <cell r="DA471">
            <v>36008</v>
          </cell>
          <cell r="DB471">
            <v>36039</v>
          </cell>
          <cell r="DC471">
            <v>36069</v>
          </cell>
          <cell r="DD471">
            <v>36100</v>
          </cell>
          <cell r="DE471">
            <v>36130</v>
          </cell>
          <cell r="DF471">
            <v>35674</v>
          </cell>
          <cell r="DG471">
            <v>35704</v>
          </cell>
          <cell r="DH471">
            <v>35735</v>
          </cell>
          <cell r="DI471">
            <v>35765</v>
          </cell>
          <cell r="DJ471">
            <v>35796</v>
          </cell>
          <cell r="DK471">
            <v>35827</v>
          </cell>
          <cell r="DL471">
            <v>35855</v>
          </cell>
          <cell r="DM471">
            <v>35886</v>
          </cell>
          <cell r="DN471">
            <v>35916</v>
          </cell>
          <cell r="DO471">
            <v>35947</v>
          </cell>
          <cell r="DP471">
            <v>35977</v>
          </cell>
          <cell r="DQ471">
            <v>36008</v>
          </cell>
          <cell r="DR471">
            <v>36039</v>
          </cell>
          <cell r="DS471">
            <v>36069</v>
          </cell>
          <cell r="DT471">
            <v>36100</v>
          </cell>
          <cell r="DU471">
            <v>36130</v>
          </cell>
        </row>
        <row r="472">
          <cell r="BJ472">
            <v>19.600000000000001</v>
          </cell>
          <cell r="BK472">
            <v>19.899999999999999</v>
          </cell>
          <cell r="BL472">
            <v>19.5</v>
          </cell>
          <cell r="BM472">
            <v>20.3</v>
          </cell>
          <cell r="BN472">
            <v>21</v>
          </cell>
          <cell r="BO472">
            <v>20.3</v>
          </cell>
          <cell r="BP472">
            <v>18.2</v>
          </cell>
          <cell r="BQ472">
            <v>17.399999999999999</v>
          </cell>
          <cell r="BR472">
            <v>16.399999999999999</v>
          </cell>
          <cell r="BS472">
            <v>15.3</v>
          </cell>
          <cell r="BT472">
            <v>16.399999999999999</v>
          </cell>
          <cell r="BU472">
            <v>15.3</v>
          </cell>
          <cell r="BV472">
            <v>16.100000000000001</v>
          </cell>
          <cell r="BW472">
            <v>15.9</v>
          </cell>
          <cell r="BX472">
            <v>15.5</v>
          </cell>
          <cell r="BY472">
            <v>15.4</v>
          </cell>
          <cell r="BZ472">
            <v>16.8</v>
          </cell>
          <cell r="CA472">
            <v>15.6</v>
          </cell>
          <cell r="CB472">
            <v>16</v>
          </cell>
          <cell r="CC472">
            <v>16</v>
          </cell>
          <cell r="CD472">
            <v>14.9</v>
          </cell>
          <cell r="CE472">
            <v>15.5</v>
          </cell>
          <cell r="CF472">
            <v>14.9</v>
          </cell>
          <cell r="CG472">
            <v>15.9</v>
          </cell>
          <cell r="CH472">
            <v>15.9</v>
          </cell>
          <cell r="CI472">
            <v>15.9</v>
          </cell>
          <cell r="CJ472">
            <v>16.5</v>
          </cell>
          <cell r="CK472">
            <v>0</v>
          </cell>
          <cell r="CL472">
            <v>16.100000000000001</v>
          </cell>
          <cell r="CM472">
            <v>15.9</v>
          </cell>
          <cell r="CN472">
            <v>15.5</v>
          </cell>
          <cell r="CO472">
            <v>15.4</v>
          </cell>
          <cell r="CP472">
            <v>16.8</v>
          </cell>
          <cell r="CQ472">
            <v>15.6</v>
          </cell>
          <cell r="CR472">
            <v>16</v>
          </cell>
          <cell r="CS472">
            <v>16</v>
          </cell>
          <cell r="CT472">
            <v>14.9</v>
          </cell>
          <cell r="CU472">
            <v>15.5</v>
          </cell>
          <cell r="CV472">
            <v>14.9</v>
          </cell>
          <cell r="CW472">
            <v>15.9</v>
          </cell>
          <cell r="CX472">
            <v>15.9</v>
          </cell>
          <cell r="CY472">
            <v>15.9</v>
          </cell>
          <cell r="CZ472">
            <v>16.5</v>
          </cell>
          <cell r="DA472">
            <v>0</v>
          </cell>
        </row>
        <row r="474">
          <cell r="BJ474">
            <v>23.259303721488592</v>
          </cell>
          <cell r="BK474">
            <v>23.259303721488592</v>
          </cell>
          <cell r="BL474">
            <v>13.505402160864344</v>
          </cell>
          <cell r="BM474">
            <v>8.2533013205282106</v>
          </cell>
          <cell r="BN474">
            <v>7.5030012004801918</v>
          </cell>
          <cell r="BO474">
            <v>6.7527010804321721</v>
          </cell>
          <cell r="BP474">
            <v>6.7527010804321721</v>
          </cell>
          <cell r="BQ474">
            <v>6.4525810324129642</v>
          </cell>
          <cell r="BR474">
            <v>6.3025210084033612</v>
          </cell>
          <cell r="BS474">
            <v>6.3025210084033612</v>
          </cell>
          <cell r="BT474">
            <v>6.3025210084033612</v>
          </cell>
          <cell r="BU474">
            <v>6.3025210084033612</v>
          </cell>
          <cell r="BV474">
            <v>5.9555072028811518</v>
          </cell>
          <cell r="BW474">
            <v>6.2837635054021606</v>
          </cell>
          <cell r="BX474">
            <v>5.6975915366146452</v>
          </cell>
          <cell r="BY474">
            <v>5.7679321728691475</v>
          </cell>
          <cell r="BZ474">
            <v>6.0024009603841533</v>
          </cell>
          <cell r="CA474">
            <v>6.2837635054021606</v>
          </cell>
          <cell r="CB474">
            <v>6.9402761104441772</v>
          </cell>
          <cell r="CC474">
            <v>7.1981917767106838</v>
          </cell>
          <cell r="CD474">
            <v>7.1278511404561815</v>
          </cell>
          <cell r="CE474">
            <v>7.1512980192076823</v>
          </cell>
          <cell r="CF474">
            <v>7.2216386554621845</v>
          </cell>
          <cell r="CG474">
            <v>7.5030012004801918</v>
          </cell>
          <cell r="CH474">
            <v>8.1595138055222076</v>
          </cell>
          <cell r="CI474">
            <v>8.7691326530612237</v>
          </cell>
          <cell r="CJ474">
            <v>8.8863670468187266</v>
          </cell>
          <cell r="CK474">
            <v>8.8863670468187266</v>
          </cell>
          <cell r="CL474">
            <v>5.9555072028811518</v>
          </cell>
          <cell r="CM474">
            <v>6.2837635054021606</v>
          </cell>
          <cell r="CN474">
            <v>5.6975915366146452</v>
          </cell>
          <cell r="CO474">
            <v>5.7679321728691475</v>
          </cell>
          <cell r="CP474">
            <v>6.0024009603841533</v>
          </cell>
          <cell r="CQ474">
            <v>6.2837635054021606</v>
          </cell>
          <cell r="CR474">
            <v>6.9402761104441772</v>
          </cell>
          <cell r="CS474">
            <v>7.1981917767106838</v>
          </cell>
          <cell r="CT474">
            <v>7.1278511404561815</v>
          </cell>
          <cell r="CU474">
            <v>7.1512980192076823</v>
          </cell>
          <cell r="CV474">
            <v>7.2216386554621845</v>
          </cell>
          <cell r="CW474">
            <v>7.5030012004801918</v>
          </cell>
          <cell r="CX474">
            <v>8.1595138055222076</v>
          </cell>
          <cell r="CY474">
            <v>8.7691326530612237</v>
          </cell>
          <cell r="CZ474">
            <v>8.8863670468187266</v>
          </cell>
          <cell r="DA474">
            <v>8.8863670468187266</v>
          </cell>
        </row>
        <row r="475">
          <cell r="BJ475">
            <v>1.3784665579119086</v>
          </cell>
          <cell r="BK475">
            <v>1.2153344208809136</v>
          </cell>
          <cell r="BL475">
            <v>1.2316476345840131</v>
          </cell>
          <cell r="BM475">
            <v>1.3213703099510605</v>
          </cell>
          <cell r="BN475">
            <v>1.4110929853181078</v>
          </cell>
          <cell r="BO475">
            <v>1.4600326264274062</v>
          </cell>
          <cell r="BP475">
            <v>1.2805872756933117</v>
          </cell>
          <cell r="BQ475">
            <v>1.1908646003262642</v>
          </cell>
          <cell r="BR475">
            <v>1.3621533442088092</v>
          </cell>
          <cell r="BS475">
            <v>1.3947797716150081</v>
          </cell>
          <cell r="BT475">
            <v>1.5089722675367048</v>
          </cell>
          <cell r="BU475">
            <v>1.8189233278955954</v>
          </cell>
          <cell r="BV475">
            <v>1.8597063621533441</v>
          </cell>
          <cell r="BW475">
            <v>1.6313213703099512</v>
          </cell>
          <cell r="BX475">
            <v>1.7373572593800979</v>
          </cell>
          <cell r="BY475">
            <v>1.9412724306688418</v>
          </cell>
          <cell r="BZ475">
            <v>1.8597063621533441</v>
          </cell>
          <cell r="CA475">
            <v>1.9738988580750407</v>
          </cell>
          <cell r="CB475">
            <v>2.1859706362153344</v>
          </cell>
          <cell r="CC475">
            <v>1.9086460032626427</v>
          </cell>
          <cell r="CD475">
            <v>1.5171288743882545</v>
          </cell>
          <cell r="CE475">
            <v>1.5497553017944534</v>
          </cell>
          <cell r="CF475">
            <v>2.2104404567699838</v>
          </cell>
          <cell r="CG475">
            <v>3.0913539967373573</v>
          </cell>
          <cell r="CH475">
            <v>3.1402936378466557</v>
          </cell>
          <cell r="CI475">
            <v>2.3735725938009788</v>
          </cell>
          <cell r="CJ475">
            <v>1.4763458401305058</v>
          </cell>
          <cell r="CK475">
            <v>1.5415986949429037</v>
          </cell>
          <cell r="CL475">
            <v>1.8597063621533441</v>
          </cell>
          <cell r="CM475">
            <v>1.6313213703099512</v>
          </cell>
          <cell r="CN475">
            <v>1.7373572593800979</v>
          </cell>
          <cell r="CO475">
            <v>1.9412724306688418</v>
          </cell>
          <cell r="CP475">
            <v>1.8597063621533441</v>
          </cell>
          <cell r="CQ475">
            <v>1.9738988580750407</v>
          </cell>
          <cell r="CR475">
            <v>2.1859706362153344</v>
          </cell>
          <cell r="CS475">
            <v>1.9086460032626427</v>
          </cell>
          <cell r="CT475">
            <v>1.5171288743882545</v>
          </cell>
          <cell r="CU475">
            <v>1.5497553017944534</v>
          </cell>
          <cell r="CV475">
            <v>2.2104404567699838</v>
          </cell>
          <cell r="CW475">
            <v>3.0913539967373573</v>
          </cell>
          <cell r="CX475">
            <v>3.1402936378466557</v>
          </cell>
          <cell r="CY475">
            <v>2.3735725938009788</v>
          </cell>
          <cell r="CZ475">
            <v>1.4763458401305058</v>
          </cell>
          <cell r="DA475">
            <v>1.5415986949429037</v>
          </cell>
        </row>
        <row r="477">
          <cell r="BJ477">
            <v>19.537815126050418</v>
          </cell>
          <cell r="BK477">
            <v>19.537815126050418</v>
          </cell>
          <cell r="BL477">
            <v>11.344537815126051</v>
          </cell>
          <cell r="BM477">
            <v>6.9327731092436977</v>
          </cell>
          <cell r="BN477">
            <v>6.302521008403362</v>
          </cell>
          <cell r="BO477">
            <v>5.6722689075630255</v>
          </cell>
          <cell r="BP477">
            <v>5.6722689075630255</v>
          </cell>
          <cell r="BQ477">
            <v>5.4201680672268902</v>
          </cell>
          <cell r="BR477">
            <v>5.2941176470588243</v>
          </cell>
          <cell r="BS477">
            <v>5.2941176470588243</v>
          </cell>
          <cell r="BT477">
            <v>5.2941176470588243</v>
          </cell>
          <cell r="BU477">
            <v>5.2941176470588243</v>
          </cell>
          <cell r="BV477">
            <v>5.0026260504201678</v>
          </cell>
          <cell r="BW477">
            <v>5.2783613445378155</v>
          </cell>
          <cell r="BX477">
            <v>4.7859768907563023</v>
          </cell>
          <cell r="BY477">
            <v>4.8450630252100844</v>
          </cell>
          <cell r="BZ477">
            <v>5.0420168067226889</v>
          </cell>
          <cell r="CA477">
            <v>5.2783613445378155</v>
          </cell>
          <cell r="CB477">
            <v>5.8298319327731098</v>
          </cell>
          <cell r="CC477">
            <v>6.0464810924369754</v>
          </cell>
          <cell r="CD477">
            <v>5.9873949579831933</v>
          </cell>
          <cell r="CE477">
            <v>6.0070903361344534</v>
          </cell>
          <cell r="CF477">
            <v>6.0661764705882355</v>
          </cell>
          <cell r="CG477">
            <v>6.302521008403362</v>
          </cell>
          <cell r="CH477">
            <v>6.8539915966386546</v>
          </cell>
          <cell r="CI477">
            <v>7.3660714285714288</v>
          </cell>
          <cell r="CJ477">
            <v>7.4645483193277311</v>
          </cell>
          <cell r="CK477">
            <v>3.0213647959183674</v>
          </cell>
          <cell r="CL477">
            <v>5.0026260504201678</v>
          </cell>
          <cell r="CM477">
            <v>5.2783613445378155</v>
          </cell>
          <cell r="CN477">
            <v>4.7859768907563023</v>
          </cell>
          <cell r="CO477">
            <v>4.8450630252100844</v>
          </cell>
          <cell r="CP477">
            <v>5.0420168067226889</v>
          </cell>
          <cell r="CQ477">
            <v>5.2783613445378155</v>
          </cell>
          <cell r="CR477">
            <v>5.8298319327731098</v>
          </cell>
          <cell r="CS477">
            <v>6.0464810924369754</v>
          </cell>
          <cell r="CT477">
            <v>5.9873949579831933</v>
          </cell>
          <cell r="CU477">
            <v>6.0070903361344534</v>
          </cell>
          <cell r="CV477">
            <v>6.0661764705882355</v>
          </cell>
          <cell r="CW477">
            <v>6.302521008403362</v>
          </cell>
          <cell r="CX477">
            <v>6.8539915966386546</v>
          </cell>
          <cell r="CY477">
            <v>7.3660714285714288</v>
          </cell>
          <cell r="CZ477">
            <v>7.4645483193277311</v>
          </cell>
          <cell r="DA477">
            <v>3.0213647959183674</v>
          </cell>
        </row>
        <row r="478">
          <cell r="BJ478">
            <v>0.34461663947797716</v>
          </cell>
          <cell r="BK478">
            <v>0.3038336052202284</v>
          </cell>
          <cell r="BL478">
            <v>0.30791190864600326</v>
          </cell>
          <cell r="BM478">
            <v>0.33034257748776513</v>
          </cell>
          <cell r="BN478">
            <v>0.35277324632952695</v>
          </cell>
          <cell r="BO478">
            <v>0.36500815660685154</v>
          </cell>
          <cell r="BP478">
            <v>0.32014681892332791</v>
          </cell>
          <cell r="BQ478">
            <v>0.29771615008156604</v>
          </cell>
          <cell r="BR478">
            <v>0.3405383360522023</v>
          </cell>
          <cell r="BS478">
            <v>0.34869494290375203</v>
          </cell>
          <cell r="BT478">
            <v>0.37724306688417619</v>
          </cell>
          <cell r="BU478">
            <v>0.45473083197389885</v>
          </cell>
          <cell r="BV478">
            <v>0.46492659053833602</v>
          </cell>
          <cell r="BW478">
            <v>0.40783034257748779</v>
          </cell>
          <cell r="BX478">
            <v>0.43433931484502447</v>
          </cell>
          <cell r="BY478">
            <v>0.48531810766721045</v>
          </cell>
          <cell r="BZ478">
            <v>0.46492659053833602</v>
          </cell>
          <cell r="CA478">
            <v>0.49347471451876018</v>
          </cell>
          <cell r="CB478">
            <v>0.5464926590538336</v>
          </cell>
          <cell r="CC478">
            <v>0.47716150081566067</v>
          </cell>
          <cell r="CD478">
            <v>0.37928221859706363</v>
          </cell>
          <cell r="CE478">
            <v>0.38743882544861336</v>
          </cell>
          <cell r="CF478">
            <v>0.55261011419249595</v>
          </cell>
          <cell r="CG478">
            <v>0.77283849918433933</v>
          </cell>
          <cell r="CH478">
            <v>0.78507340946166393</v>
          </cell>
          <cell r="CI478">
            <v>0.59339314845024471</v>
          </cell>
          <cell r="CJ478">
            <v>0.36908646003262646</v>
          </cell>
          <cell r="CK478">
            <v>0.8851859706362154</v>
          </cell>
          <cell r="CL478">
            <v>0.46492659053833602</v>
          </cell>
          <cell r="CM478">
            <v>0.40783034257748779</v>
          </cell>
          <cell r="CN478">
            <v>0.43433931484502447</v>
          </cell>
          <cell r="CO478">
            <v>0.48531810766721045</v>
          </cell>
          <cell r="CP478">
            <v>0.46492659053833602</v>
          </cell>
          <cell r="CQ478">
            <v>0.49347471451876018</v>
          </cell>
          <cell r="CR478">
            <v>0.5464926590538336</v>
          </cell>
          <cell r="CS478">
            <v>0.47716150081566067</v>
          </cell>
          <cell r="CT478">
            <v>0.37928221859706363</v>
          </cell>
          <cell r="CU478">
            <v>0.38743882544861336</v>
          </cell>
          <cell r="CV478">
            <v>0.55261011419249595</v>
          </cell>
          <cell r="CW478">
            <v>0.77283849918433933</v>
          </cell>
          <cell r="CX478">
            <v>0.78507340946166393</v>
          </cell>
          <cell r="CY478">
            <v>0.59339314845024471</v>
          </cell>
          <cell r="CZ478">
            <v>0.36908646003262646</v>
          </cell>
          <cell r="DA478">
            <v>0.8851859706362154</v>
          </cell>
        </row>
        <row r="480">
          <cell r="BJ480">
            <v>-0.282431765528394</v>
          </cell>
          <cell r="BK480">
            <v>5.8351268729351924E-2</v>
          </cell>
          <cell r="BL480">
            <v>7.8475502762279454</v>
          </cell>
          <cell r="BM480">
            <v>13.036884313268537</v>
          </cell>
          <cell r="BN480">
            <v>14.344705745267111</v>
          </cell>
          <cell r="BO480">
            <v>14.262722935830123</v>
          </cell>
          <cell r="BP480">
            <v>12.207584273513644</v>
          </cell>
          <cell r="BQ480">
            <v>11.682115782691543</v>
          </cell>
          <cell r="BR480">
            <v>10.765344016888973</v>
          </cell>
          <cell r="BS480">
            <v>9.6571874100374249</v>
          </cell>
          <cell r="BT480">
            <v>10.728639286056998</v>
          </cell>
          <cell r="BU480">
            <v>9.5511515209672773</v>
          </cell>
          <cell r="BV480">
            <v>10.632447359041496</v>
          </cell>
          <cell r="BW480">
            <v>10.213808312884698</v>
          </cell>
          <cell r="BX480">
            <v>10.279683794398673</v>
          </cell>
          <cell r="BY480">
            <v>10.069618867122706</v>
          </cell>
          <cell r="BZ480">
            <v>11.293056602738975</v>
          </cell>
          <cell r="CA480">
            <v>9.8281639409434245</v>
          </cell>
          <cell r="CB480">
            <v>9.6236754081730549</v>
          </cell>
          <cell r="CC480">
            <v>9.4763574067473648</v>
          </cell>
          <cell r="CD480">
            <v>8.5333228234197431</v>
          </cell>
          <cell r="CE480">
            <v>9.1054708384169327</v>
          </cell>
          <cell r="CF480">
            <v>8.2812134152192698</v>
          </cell>
          <cell r="CG480">
            <v>8.8246404924122999</v>
          </cell>
          <cell r="CH480">
            <v>8.2609349938996814</v>
          </cell>
          <cell r="CI480">
            <v>7.9405354229783267</v>
          </cell>
          <cell r="CJ480">
            <v>8.6663652206396424</v>
          </cell>
          <cell r="CK480">
            <v>-3.9065507665545827</v>
          </cell>
          <cell r="CL480">
            <v>10.632447359041496</v>
          </cell>
          <cell r="CM480">
            <v>10.213808312884698</v>
          </cell>
          <cell r="CN480">
            <v>10.279683794398673</v>
          </cell>
          <cell r="CO480">
            <v>10.069618867122706</v>
          </cell>
          <cell r="CP480">
            <v>11.293056602738975</v>
          </cell>
          <cell r="CQ480">
            <v>9.8281639409434245</v>
          </cell>
          <cell r="CR480">
            <v>9.6236754081730549</v>
          </cell>
          <cell r="CS480">
            <v>9.4763574067473648</v>
          </cell>
          <cell r="CT480">
            <v>8.5333228234197431</v>
          </cell>
          <cell r="CU480">
            <v>9.1054708384169327</v>
          </cell>
          <cell r="CV480">
            <v>8.2812134152192698</v>
          </cell>
          <cell r="CW480">
            <v>8.8246404924122999</v>
          </cell>
          <cell r="CX480">
            <v>8.2609349938996814</v>
          </cell>
          <cell r="CY480">
            <v>7.9405354229783267</v>
          </cell>
          <cell r="CZ480">
            <v>8.6663652206396424</v>
          </cell>
          <cell r="DA480">
            <v>-3.9065507665545827</v>
          </cell>
        </row>
        <row r="482">
          <cell r="BJ482">
            <v>16.843066884176185</v>
          </cell>
          <cell r="BK482">
            <v>17.46933115823817</v>
          </cell>
          <cell r="BL482">
            <v>17.036704730831975</v>
          </cell>
          <cell r="BM482">
            <v>17.65725938009788</v>
          </cell>
          <cell r="BN482">
            <v>18.177814029363784</v>
          </cell>
          <cell r="BO482">
            <v>17.379934747145189</v>
          </cell>
          <cell r="BP482">
            <v>15.638825448613376</v>
          </cell>
          <cell r="BQ482">
            <v>15.018270799347469</v>
          </cell>
          <cell r="BR482">
            <v>13.67569331158238</v>
          </cell>
          <cell r="BS482">
            <v>12.510440456769985</v>
          </cell>
          <cell r="BT482">
            <v>13.382055464926589</v>
          </cell>
          <cell r="BU482">
            <v>11.662153344208811</v>
          </cell>
          <cell r="BV482">
            <v>12.380587275693314</v>
          </cell>
          <cell r="BW482">
            <v>12.637357259380098</v>
          </cell>
          <cell r="BX482">
            <v>12.025285481239804</v>
          </cell>
          <cell r="BY482">
            <v>11.517455138662317</v>
          </cell>
          <cell r="BZ482">
            <v>13.080587275693313</v>
          </cell>
          <cell r="CA482">
            <v>11.652202283849919</v>
          </cell>
          <cell r="CB482">
            <v>11.628058727569332</v>
          </cell>
          <cell r="CC482">
            <v>12.182707993474715</v>
          </cell>
          <cell r="CD482">
            <v>11.865742251223491</v>
          </cell>
          <cell r="CE482">
            <v>12.400489396411093</v>
          </cell>
          <cell r="CF482">
            <v>10.479119086460033</v>
          </cell>
          <cell r="CG482">
            <v>9.7172920065252857</v>
          </cell>
          <cell r="CH482">
            <v>9.619412724306688</v>
          </cell>
          <cell r="CI482">
            <v>11.152854812398044</v>
          </cell>
          <cell r="CJ482">
            <v>13.547308319738988</v>
          </cell>
          <cell r="CK482">
            <v>11.662153344208811</v>
          </cell>
          <cell r="CL482">
            <v>12.380587275693314</v>
          </cell>
          <cell r="CM482">
            <v>12.637357259380098</v>
          </cell>
          <cell r="CN482">
            <v>12.025285481239804</v>
          </cell>
          <cell r="CO482">
            <v>11.517455138662317</v>
          </cell>
          <cell r="CP482">
            <v>13.080587275693313</v>
          </cell>
          <cell r="CQ482">
            <v>11.652202283849919</v>
          </cell>
          <cell r="CR482">
            <v>11.628058727569332</v>
          </cell>
          <cell r="CS482">
            <v>12.182707993474715</v>
          </cell>
          <cell r="CT482">
            <v>11.865742251223491</v>
          </cell>
          <cell r="CU482">
            <v>12.400489396411093</v>
          </cell>
          <cell r="CV482">
            <v>10.479119086460033</v>
          </cell>
          <cell r="CW482">
            <v>9.7172920065252857</v>
          </cell>
          <cell r="CX482">
            <v>9.619412724306688</v>
          </cell>
          <cell r="CY482">
            <v>11.152854812398044</v>
          </cell>
          <cell r="CZ482">
            <v>13.547308319738988</v>
          </cell>
        </row>
        <row r="485">
          <cell r="GL485">
            <v>5.2583862194016229E-2</v>
          </cell>
          <cell r="HB485">
            <v>5.2583862194016229E-2</v>
          </cell>
        </row>
        <row r="489">
          <cell r="X489">
            <v>33543</v>
          </cell>
          <cell r="Y489">
            <v>33573</v>
          </cell>
          <cell r="Z489">
            <v>33604</v>
          </cell>
          <cell r="AA489">
            <v>33635</v>
          </cell>
          <cell r="AB489">
            <v>33664</v>
          </cell>
          <cell r="AC489">
            <v>33695</v>
          </cell>
          <cell r="AD489">
            <v>33725</v>
          </cell>
          <cell r="AE489">
            <v>33756</v>
          </cell>
          <cell r="AF489">
            <v>33786</v>
          </cell>
          <cell r="AG489">
            <v>33817</v>
          </cell>
          <cell r="AH489">
            <v>33848</v>
          </cell>
          <cell r="AI489">
            <v>33878</v>
          </cell>
          <cell r="AJ489">
            <v>33909</v>
          </cell>
          <cell r="AK489">
            <v>33939</v>
          </cell>
          <cell r="AL489">
            <v>33970</v>
          </cell>
          <cell r="AM489">
            <v>34001</v>
          </cell>
          <cell r="AN489">
            <v>34029</v>
          </cell>
          <cell r="AO489">
            <v>34060</v>
          </cell>
          <cell r="AP489">
            <v>34090</v>
          </cell>
          <cell r="AQ489">
            <v>34121</v>
          </cell>
          <cell r="AR489">
            <v>34151</v>
          </cell>
          <cell r="AS489">
            <v>34182</v>
          </cell>
          <cell r="AT489">
            <v>34213</v>
          </cell>
          <cell r="AU489">
            <v>34243</v>
          </cell>
          <cell r="AV489">
            <v>34274</v>
          </cell>
          <cell r="AW489">
            <v>34304</v>
          </cell>
          <cell r="AX489">
            <v>34335</v>
          </cell>
          <cell r="AY489">
            <v>34366</v>
          </cell>
          <cell r="AZ489">
            <v>34394</v>
          </cell>
          <cell r="BA489">
            <v>34425</v>
          </cell>
          <cell r="BB489">
            <v>34455</v>
          </cell>
          <cell r="BC489">
            <v>34486</v>
          </cell>
          <cell r="BD489">
            <v>34516</v>
          </cell>
          <cell r="BE489">
            <v>34547</v>
          </cell>
          <cell r="BF489">
            <v>34578</v>
          </cell>
          <cell r="BG489">
            <v>34608</v>
          </cell>
          <cell r="BH489">
            <v>34639</v>
          </cell>
          <cell r="BI489">
            <v>34669</v>
          </cell>
          <cell r="BJ489">
            <v>34700</v>
          </cell>
          <cell r="BK489">
            <v>34731</v>
          </cell>
          <cell r="BL489">
            <v>34759</v>
          </cell>
          <cell r="BM489">
            <v>34790</v>
          </cell>
          <cell r="BN489">
            <v>34820</v>
          </cell>
          <cell r="BO489">
            <v>34851</v>
          </cell>
          <cell r="BP489">
            <v>34881</v>
          </cell>
          <cell r="BQ489">
            <v>34912</v>
          </cell>
          <cell r="BR489">
            <v>34943</v>
          </cell>
          <cell r="BS489">
            <v>34973</v>
          </cell>
          <cell r="BT489">
            <v>35004</v>
          </cell>
          <cell r="BU489">
            <v>35034</v>
          </cell>
          <cell r="BV489">
            <v>35065</v>
          </cell>
          <cell r="BW489">
            <v>35096</v>
          </cell>
          <cell r="BX489">
            <v>35125</v>
          </cell>
          <cell r="BY489">
            <v>35156</v>
          </cell>
          <cell r="BZ489">
            <v>35186</v>
          </cell>
          <cell r="CA489">
            <v>35217</v>
          </cell>
          <cell r="CB489">
            <v>35247</v>
          </cell>
          <cell r="CC489">
            <v>35278</v>
          </cell>
          <cell r="CD489">
            <v>35309</v>
          </cell>
          <cell r="CE489">
            <v>35339</v>
          </cell>
          <cell r="CF489">
            <v>35370</v>
          </cell>
          <cell r="CG489">
            <v>35400</v>
          </cell>
          <cell r="CH489">
            <v>35431</v>
          </cell>
          <cell r="CI489">
            <v>35462</v>
          </cell>
          <cell r="CJ489">
            <v>35490</v>
          </cell>
          <cell r="CK489">
            <v>35521</v>
          </cell>
          <cell r="CL489">
            <v>35551</v>
          </cell>
          <cell r="CM489">
            <v>35582</v>
          </cell>
          <cell r="CN489">
            <v>35612</v>
          </cell>
          <cell r="CO489">
            <v>35643</v>
          </cell>
          <cell r="CP489">
            <v>35674</v>
          </cell>
          <cell r="CQ489">
            <v>35704</v>
          </cell>
          <cell r="CR489">
            <v>35735</v>
          </cell>
          <cell r="CS489">
            <v>35765</v>
          </cell>
          <cell r="CT489">
            <v>35796</v>
          </cell>
          <cell r="CU489">
            <v>35827</v>
          </cell>
          <cell r="CV489">
            <v>35855</v>
          </cell>
          <cell r="CW489">
            <v>35886</v>
          </cell>
          <cell r="CX489">
            <v>35916</v>
          </cell>
          <cell r="CY489">
            <v>35947</v>
          </cell>
          <cell r="CZ489">
            <v>35977</v>
          </cell>
          <cell r="DA489">
            <v>36008</v>
          </cell>
          <cell r="DB489">
            <v>36039</v>
          </cell>
          <cell r="DC489">
            <v>36069</v>
          </cell>
          <cell r="DD489">
            <v>36100</v>
          </cell>
          <cell r="DE489">
            <v>36130</v>
          </cell>
          <cell r="DF489">
            <v>35674</v>
          </cell>
          <cell r="DG489">
            <v>35704</v>
          </cell>
          <cell r="DH489">
            <v>35735</v>
          </cell>
          <cell r="DI489">
            <v>35765</v>
          </cell>
          <cell r="DJ489">
            <v>35796</v>
          </cell>
          <cell r="DK489">
            <v>35827</v>
          </cell>
          <cell r="DL489">
            <v>35855</v>
          </cell>
          <cell r="DM489">
            <v>35886</v>
          </cell>
          <cell r="DN489">
            <v>35916</v>
          </cell>
          <cell r="DO489">
            <v>35947</v>
          </cell>
          <cell r="DP489">
            <v>35977</v>
          </cell>
          <cell r="DQ489">
            <v>36008</v>
          </cell>
          <cell r="DR489">
            <v>36039</v>
          </cell>
          <cell r="DS489">
            <v>36069</v>
          </cell>
          <cell r="DT489">
            <v>36100</v>
          </cell>
          <cell r="DU489">
            <v>36130</v>
          </cell>
        </row>
        <row r="490">
          <cell r="BJ490">
            <v>31.9</v>
          </cell>
          <cell r="BK490">
            <v>30.9</v>
          </cell>
          <cell r="BL490">
            <v>38.4</v>
          </cell>
          <cell r="BM490">
            <v>36.799999999999997</v>
          </cell>
          <cell r="BN490">
            <v>33.5</v>
          </cell>
          <cell r="BO490">
            <v>32.5</v>
          </cell>
          <cell r="BP490">
            <v>32.6</v>
          </cell>
          <cell r="BQ490">
            <v>29.9</v>
          </cell>
          <cell r="BR490">
            <v>29.1</v>
          </cell>
          <cell r="BS490">
            <v>29.1</v>
          </cell>
          <cell r="BT490">
            <v>27.3</v>
          </cell>
          <cell r="BU490">
            <v>26.8</v>
          </cell>
          <cell r="BV490">
            <v>25.2</v>
          </cell>
          <cell r="BW490">
            <v>24.8</v>
          </cell>
          <cell r="BX490">
            <v>25.5</v>
          </cell>
          <cell r="BY490">
            <v>23</v>
          </cell>
          <cell r="BZ490">
            <v>23.2</v>
          </cell>
          <cell r="CA490">
            <v>24.4</v>
          </cell>
          <cell r="CB490">
            <v>26.2</v>
          </cell>
          <cell r="CC490">
            <v>25.7</v>
          </cell>
          <cell r="CD490">
            <v>24.4</v>
          </cell>
          <cell r="CE490">
            <v>25.1</v>
          </cell>
          <cell r="CF490">
            <v>24</v>
          </cell>
          <cell r="CG490">
            <v>25</v>
          </cell>
          <cell r="CH490">
            <v>25</v>
          </cell>
          <cell r="CI490">
            <v>25</v>
          </cell>
          <cell r="CJ490">
            <v>25</v>
          </cell>
          <cell r="CK490">
            <v>0</v>
          </cell>
          <cell r="CL490">
            <v>25.2</v>
          </cell>
          <cell r="CM490">
            <v>24.8</v>
          </cell>
          <cell r="CN490">
            <v>25.5</v>
          </cell>
          <cell r="CO490">
            <v>23</v>
          </cell>
          <cell r="CP490">
            <v>23.2</v>
          </cell>
          <cell r="CQ490">
            <v>24.4</v>
          </cell>
          <cell r="CR490">
            <v>26.2</v>
          </cell>
          <cell r="CS490">
            <v>25.7</v>
          </cell>
          <cell r="CT490">
            <v>24.4</v>
          </cell>
          <cell r="CU490">
            <v>25.1</v>
          </cell>
          <cell r="CV490">
            <v>24</v>
          </cell>
          <cell r="CW490">
            <v>25</v>
          </cell>
          <cell r="CX490">
            <v>25</v>
          </cell>
          <cell r="CY490">
            <v>25</v>
          </cell>
          <cell r="CZ490">
            <v>25</v>
          </cell>
          <cell r="DA490">
            <v>0</v>
          </cell>
        </row>
        <row r="492">
          <cell r="BJ492">
            <v>19.600000000000001</v>
          </cell>
          <cell r="BK492">
            <v>19.899999999999999</v>
          </cell>
          <cell r="BL492">
            <v>19.5</v>
          </cell>
          <cell r="BM492">
            <v>20.3</v>
          </cell>
          <cell r="BN492">
            <v>21</v>
          </cell>
          <cell r="BO492">
            <v>20.3</v>
          </cell>
          <cell r="BP492">
            <v>18.2</v>
          </cell>
          <cell r="BQ492">
            <v>17.399999999999999</v>
          </cell>
          <cell r="BR492">
            <v>16.399999999999999</v>
          </cell>
          <cell r="BS492">
            <v>15.3</v>
          </cell>
          <cell r="BT492">
            <v>16.399999999999999</v>
          </cell>
          <cell r="BU492">
            <v>15.3</v>
          </cell>
          <cell r="BV492">
            <v>16.100000000000001</v>
          </cell>
          <cell r="BW492">
            <v>15.9</v>
          </cell>
          <cell r="BX492">
            <v>15.5</v>
          </cell>
          <cell r="BY492">
            <v>15.4</v>
          </cell>
          <cell r="BZ492">
            <v>16.8</v>
          </cell>
          <cell r="CA492">
            <v>15.6</v>
          </cell>
          <cell r="CB492">
            <v>16</v>
          </cell>
          <cell r="CC492">
            <v>16</v>
          </cell>
          <cell r="CD492">
            <v>14.9</v>
          </cell>
          <cell r="CE492">
            <v>15.5</v>
          </cell>
          <cell r="CF492">
            <v>14.9</v>
          </cell>
          <cell r="CG492">
            <v>15.9</v>
          </cell>
          <cell r="CH492">
            <v>15.9</v>
          </cell>
          <cell r="CI492">
            <v>15.9</v>
          </cell>
          <cell r="CJ492">
            <v>16.5</v>
          </cell>
          <cell r="CK492">
            <v>0</v>
          </cell>
          <cell r="CL492">
            <v>16.100000000000001</v>
          </cell>
          <cell r="CM492">
            <v>15.9</v>
          </cell>
          <cell r="CN492">
            <v>15.5</v>
          </cell>
          <cell r="CO492">
            <v>15.4</v>
          </cell>
          <cell r="CP492">
            <v>16.8</v>
          </cell>
          <cell r="CQ492">
            <v>15.6</v>
          </cell>
          <cell r="CR492">
            <v>16</v>
          </cell>
          <cell r="CS492">
            <v>16</v>
          </cell>
          <cell r="CT492">
            <v>14.9</v>
          </cell>
          <cell r="CU492">
            <v>15.5</v>
          </cell>
          <cell r="CV492">
            <v>14.9</v>
          </cell>
          <cell r="CW492">
            <v>15.9</v>
          </cell>
          <cell r="CX492">
            <v>15.9</v>
          </cell>
          <cell r="CY492">
            <v>15.9</v>
          </cell>
          <cell r="CZ492">
            <v>16.5</v>
          </cell>
          <cell r="DA492">
            <v>0</v>
          </cell>
        </row>
        <row r="493">
          <cell r="BJ493">
            <v>27.37</v>
          </cell>
          <cell r="BK493">
            <v>28.332999999999998</v>
          </cell>
          <cell r="BL493">
            <v>28.274999999999999</v>
          </cell>
          <cell r="BM493">
            <v>28.245999999999999</v>
          </cell>
          <cell r="BN493">
            <v>28.216999999999999</v>
          </cell>
          <cell r="BO493">
            <v>27.616499999999998</v>
          </cell>
          <cell r="BP493">
            <v>26.62</v>
          </cell>
          <cell r="BQ493">
            <v>25.050999999999998</v>
          </cell>
          <cell r="BR493">
            <v>23.1525</v>
          </cell>
          <cell r="BS493">
            <v>20.872499999999999</v>
          </cell>
          <cell r="BT493">
            <v>19.496400000000001</v>
          </cell>
          <cell r="BU493">
            <v>18.248999999999999</v>
          </cell>
          <cell r="BV493">
            <v>18</v>
          </cell>
          <cell r="BW493">
            <v>18</v>
          </cell>
          <cell r="BX493">
            <v>18.973500000000001</v>
          </cell>
          <cell r="BY493">
            <v>20.25</v>
          </cell>
          <cell r="BZ493">
            <v>21.220500000000001</v>
          </cell>
          <cell r="CA493">
            <v>22.172499999999999</v>
          </cell>
          <cell r="CB493">
            <v>22.6</v>
          </cell>
          <cell r="CC493">
            <v>23.103000000000002</v>
          </cell>
          <cell r="CD493">
            <v>23.465</v>
          </cell>
          <cell r="CE493">
            <v>23.706375000000001</v>
          </cell>
          <cell r="CF493">
            <v>23.823499999999999</v>
          </cell>
          <cell r="CG493">
            <v>24.75</v>
          </cell>
          <cell r="CH493">
            <v>25.712699999999998</v>
          </cell>
          <cell r="CI493">
            <v>25.712699999999998</v>
          </cell>
          <cell r="CJ493">
            <v>25.712699999999998</v>
          </cell>
          <cell r="CK493">
            <v>0</v>
          </cell>
          <cell r="CL493">
            <v>18</v>
          </cell>
          <cell r="CM493">
            <v>18</v>
          </cell>
          <cell r="CN493">
            <v>18.973500000000001</v>
          </cell>
          <cell r="CO493">
            <v>20.25</v>
          </cell>
          <cell r="CP493">
            <v>21.220500000000001</v>
          </cell>
          <cell r="CQ493">
            <v>22.172499999999999</v>
          </cell>
          <cell r="CR493">
            <v>22.6</v>
          </cell>
          <cell r="CS493">
            <v>23.103000000000002</v>
          </cell>
          <cell r="CT493">
            <v>23.465</v>
          </cell>
          <cell r="CU493">
            <v>23.706375000000001</v>
          </cell>
          <cell r="CV493">
            <v>23.823499999999999</v>
          </cell>
          <cell r="CW493">
            <v>24.75</v>
          </cell>
          <cell r="CX493">
            <v>25.712699999999998</v>
          </cell>
          <cell r="CY493">
            <v>25.712699999999998</v>
          </cell>
          <cell r="CZ493">
            <v>25.712699999999998</v>
          </cell>
          <cell r="DA493">
            <v>0</v>
          </cell>
        </row>
        <row r="495">
          <cell r="BJ495">
            <v>16.3856</v>
          </cell>
          <cell r="BK495">
            <v>16.636400000000002</v>
          </cell>
          <cell r="BL495">
            <v>16.302000000000003</v>
          </cell>
          <cell r="BM495">
            <v>16.970800000000001</v>
          </cell>
          <cell r="BN495">
            <v>17.556000000000001</v>
          </cell>
          <cell r="BO495">
            <v>16.970800000000001</v>
          </cell>
          <cell r="BP495">
            <v>15.215199999999999</v>
          </cell>
          <cell r="BQ495">
            <v>14.5464</v>
          </cell>
          <cell r="BR495">
            <v>13.7104</v>
          </cell>
          <cell r="BS495">
            <v>12.790800000000001</v>
          </cell>
          <cell r="BT495">
            <v>13.7104</v>
          </cell>
          <cell r="BU495">
            <v>12.790800000000001</v>
          </cell>
          <cell r="BV495">
            <v>13.459600000000004</v>
          </cell>
          <cell r="BW495">
            <v>13.292400000000002</v>
          </cell>
          <cell r="BX495">
            <v>12.958</v>
          </cell>
          <cell r="BY495">
            <v>12.874400000000001</v>
          </cell>
          <cell r="BZ495">
            <v>14.044800000000004</v>
          </cell>
          <cell r="CA495">
            <v>13.041600000000001</v>
          </cell>
          <cell r="CB495">
            <v>13.376000000000001</v>
          </cell>
          <cell r="CC495">
            <v>13.376000000000001</v>
          </cell>
          <cell r="CD495">
            <v>12.4564</v>
          </cell>
          <cell r="CE495">
            <v>12.958</v>
          </cell>
          <cell r="CF495">
            <v>12.4564</v>
          </cell>
          <cell r="CG495">
            <v>13.292400000000002</v>
          </cell>
          <cell r="CH495">
            <v>13.292400000000002</v>
          </cell>
          <cell r="CI495">
            <v>13.292400000000002</v>
          </cell>
          <cell r="CJ495">
            <v>13.794000000000002</v>
          </cell>
          <cell r="CK495">
            <v>0</v>
          </cell>
          <cell r="CL495">
            <v>13.459600000000004</v>
          </cell>
          <cell r="CM495">
            <v>13.292400000000002</v>
          </cell>
          <cell r="CN495">
            <v>12.958</v>
          </cell>
          <cell r="CO495">
            <v>12.874400000000001</v>
          </cell>
          <cell r="CP495">
            <v>14.044800000000004</v>
          </cell>
          <cell r="CQ495">
            <v>13.041600000000001</v>
          </cell>
          <cell r="CR495">
            <v>13.376000000000001</v>
          </cell>
          <cell r="CS495">
            <v>13.376000000000001</v>
          </cell>
          <cell r="CT495">
            <v>12.4564</v>
          </cell>
          <cell r="CU495">
            <v>12.958</v>
          </cell>
          <cell r="CV495">
            <v>12.4564</v>
          </cell>
          <cell r="CW495">
            <v>13.292400000000002</v>
          </cell>
          <cell r="CX495">
            <v>13.292400000000002</v>
          </cell>
          <cell r="CY495">
            <v>13.292400000000002</v>
          </cell>
          <cell r="CZ495">
            <v>13.794000000000002</v>
          </cell>
          <cell r="DA495">
            <v>0</v>
          </cell>
        </row>
        <row r="496">
          <cell r="BJ496">
            <v>10.025631000000001</v>
          </cell>
          <cell r="BK496">
            <v>10.3783779</v>
          </cell>
          <cell r="BL496">
            <v>10.357132500000002</v>
          </cell>
          <cell r="BM496">
            <v>10.346509800000002</v>
          </cell>
          <cell r="BN496">
            <v>10.335887100000001</v>
          </cell>
          <cell r="BO496">
            <v>10.115923950000001</v>
          </cell>
          <cell r="BP496">
            <v>9.7509060000000023</v>
          </cell>
          <cell r="BQ496">
            <v>9.1761813000000014</v>
          </cell>
          <cell r="BR496">
            <v>8.4807607500000017</v>
          </cell>
          <cell r="BS496">
            <v>7.6455967500000002</v>
          </cell>
          <cell r="BT496">
            <v>7.1415313200000012</v>
          </cell>
          <cell r="BU496">
            <v>6.684608700000001</v>
          </cell>
          <cell r="BV496">
            <v>6.5934000000000008</v>
          </cell>
          <cell r="BW496">
            <v>6.5934000000000008</v>
          </cell>
          <cell r="BX496">
            <v>6.9499930500000016</v>
          </cell>
          <cell r="BY496">
            <v>7.4175750000000011</v>
          </cell>
          <cell r="BZ496">
            <v>7.7730691500000013</v>
          </cell>
          <cell r="CA496">
            <v>8.1217867500000018</v>
          </cell>
          <cell r="CB496">
            <v>8.2783800000000021</v>
          </cell>
          <cell r="CC496">
            <v>8.4626289000000021</v>
          </cell>
          <cell r="CD496">
            <v>8.5952295000000021</v>
          </cell>
          <cell r="CE496">
            <v>8.6836451625000013</v>
          </cell>
          <cell r="CF496">
            <v>8.7265480500000017</v>
          </cell>
          <cell r="CG496">
            <v>9.0659250000000018</v>
          </cell>
          <cell r="CH496">
            <v>9.4185620100000005</v>
          </cell>
          <cell r="CI496">
            <v>9.4185620100000005</v>
          </cell>
          <cell r="CJ496">
            <v>9.4185620100000005</v>
          </cell>
          <cell r="CK496">
            <v>0</v>
          </cell>
          <cell r="CL496">
            <v>6.5934000000000008</v>
          </cell>
          <cell r="CM496">
            <v>6.5934000000000008</v>
          </cell>
          <cell r="CN496">
            <v>6.9499930500000016</v>
          </cell>
          <cell r="CO496">
            <v>7.4175750000000011</v>
          </cell>
          <cell r="CP496">
            <v>7.7730691500000013</v>
          </cell>
          <cell r="CQ496">
            <v>8.1217867500000018</v>
          </cell>
          <cell r="CR496">
            <v>8.2783800000000021</v>
          </cell>
          <cell r="CS496">
            <v>8.4626289000000021</v>
          </cell>
          <cell r="CT496">
            <v>8.5952295000000021</v>
          </cell>
          <cell r="CU496">
            <v>8.6836451625000013</v>
          </cell>
          <cell r="CV496">
            <v>8.7265480500000017</v>
          </cell>
          <cell r="CW496">
            <v>9.0659250000000018</v>
          </cell>
          <cell r="CX496">
            <v>9.4185620100000005</v>
          </cell>
          <cell r="CY496">
            <v>9.4185620100000005</v>
          </cell>
          <cell r="CZ496">
            <v>9.4185620100000005</v>
          </cell>
          <cell r="DA496">
            <v>0</v>
          </cell>
        </row>
        <row r="498">
          <cell r="BJ498">
            <v>5.4887689999999978</v>
          </cell>
          <cell r="BK498">
            <v>3.8852220999999965</v>
          </cell>
          <cell r="BL498">
            <v>11.740867499999993</v>
          </cell>
          <cell r="BM498">
            <v>9.4826901999999951</v>
          </cell>
          <cell r="BN498">
            <v>5.6081128999999983</v>
          </cell>
          <cell r="BO498">
            <v>5.4132760499999986</v>
          </cell>
          <cell r="BP498">
            <v>7.6338939999999997</v>
          </cell>
          <cell r="BQ498">
            <v>6.1774186999999969</v>
          </cell>
          <cell r="BR498">
            <v>6.9088392499999998</v>
          </cell>
          <cell r="BS498">
            <v>8.6636032500000013</v>
          </cell>
          <cell r="BT498">
            <v>6.4480686799999996</v>
          </cell>
          <cell r="BU498">
            <v>7.3245912999999989</v>
          </cell>
          <cell r="BV498">
            <v>5.1469999999999949</v>
          </cell>
          <cell r="BW498">
            <v>4.9141999999999975</v>
          </cell>
          <cell r="BX498">
            <v>5.5920069499999983</v>
          </cell>
          <cell r="BY498">
            <v>2.7080249999999975</v>
          </cell>
          <cell r="BZ498">
            <v>1.382130849999994</v>
          </cell>
          <cell r="CA498">
            <v>3.236613249999996</v>
          </cell>
          <cell r="CB498">
            <v>4.545619999999996</v>
          </cell>
          <cell r="CC498">
            <v>3.8613710999999959</v>
          </cell>
          <cell r="CD498">
            <v>3.3483704999999961</v>
          </cell>
          <cell r="CE498">
            <v>3.4583548374999999</v>
          </cell>
          <cell r="CF498">
            <v>2.817051949999998</v>
          </cell>
          <cell r="CG498">
            <v>2.6416749999999958</v>
          </cell>
          <cell r="CH498">
            <v>2.2890379899999971</v>
          </cell>
          <cell r="CI498">
            <v>2.2890379899999971</v>
          </cell>
          <cell r="CJ498">
            <v>1.7874379899999973</v>
          </cell>
          <cell r="CK498">
            <v>0</v>
          </cell>
          <cell r="CL498">
            <v>5.1469999999999949</v>
          </cell>
          <cell r="CM498">
            <v>4.9141999999999975</v>
          </cell>
          <cell r="CN498">
            <v>5.5920069499999983</v>
          </cell>
          <cell r="CO498">
            <v>2.7080249999999975</v>
          </cell>
          <cell r="CP498">
            <v>1.382130849999994</v>
          </cell>
          <cell r="CQ498">
            <v>3.236613249999996</v>
          </cell>
          <cell r="CR498">
            <v>4.545619999999996</v>
          </cell>
          <cell r="CS498">
            <v>3.8613710999999959</v>
          </cell>
          <cell r="CT498">
            <v>3.3483704999999961</v>
          </cell>
          <cell r="CU498">
            <v>3.4583548374999999</v>
          </cell>
          <cell r="CV498">
            <v>2.817051949999998</v>
          </cell>
          <cell r="CW498">
            <v>2.6416749999999958</v>
          </cell>
          <cell r="CX498">
            <v>2.2890379899999971</v>
          </cell>
          <cell r="CY498">
            <v>2.2890379899999971</v>
          </cell>
          <cell r="CZ498">
            <v>1.7874379899999973</v>
          </cell>
          <cell r="DA498">
            <v>0</v>
          </cell>
        </row>
        <row r="500">
          <cell r="BJ500">
            <v>23.701989443098739</v>
          </cell>
          <cell r="BK500">
            <v>23.789196478103491</v>
          </cell>
          <cell r="BL500">
            <v>31.185862979990219</v>
          </cell>
          <cell r="BM500">
            <v>29.25153547437397</v>
          </cell>
          <cell r="BN500">
            <v>25.66434601589577</v>
          </cell>
          <cell r="BO500">
            <v>24.957039124249565</v>
          </cell>
          <cell r="BP500">
            <v>25.826704236492166</v>
          </cell>
          <cell r="BQ500">
            <v>23.427361708438379</v>
          </cell>
          <cell r="BR500">
            <v>22.012056947946018</v>
          </cell>
          <cell r="BS500">
            <v>21.357578503908034</v>
          </cell>
          <cell r="BT500">
            <v>19.322459505330634</v>
          </cell>
          <cell r="BU500">
            <v>17.535890717946184</v>
          </cell>
          <cell r="BV500">
            <v>15.844223639329673</v>
          </cell>
          <cell r="BW500">
            <v>14.978434700457539</v>
          </cell>
          <cell r="BX500">
            <v>14.247507703462027</v>
          </cell>
          <cell r="BY500">
            <v>11.24203426324144</v>
          </cell>
          <cell r="BZ500">
            <v>12.460385255491289</v>
          </cell>
          <cell r="CA500">
            <v>13.61381844546608</v>
          </cell>
          <cell r="CB500">
            <v>14.097418996929601</v>
          </cell>
          <cell r="CC500">
            <v>13.606613717380439</v>
          </cell>
          <cell r="CD500">
            <v>11.911196796678038</v>
          </cell>
          <cell r="CE500">
            <v>11.801836197757897</v>
          </cell>
          <cell r="CF500">
            <v>8.5791190864600324</v>
          </cell>
          <cell r="CG500">
            <v>7.6051707944040743</v>
          </cell>
          <cell r="CH500">
            <v>7.7901197950137604</v>
          </cell>
          <cell r="CI500">
            <v>13.1114406709839</v>
          </cell>
          <cell r="CJ500">
            <v>15.326769599200269</v>
          </cell>
          <cell r="CK500">
            <v>17.535890717946184</v>
          </cell>
          <cell r="CL500">
            <v>15.844223639329673</v>
          </cell>
          <cell r="CM500">
            <v>14.978434700457539</v>
          </cell>
          <cell r="CN500">
            <v>14.247507703462027</v>
          </cell>
          <cell r="CO500">
            <v>11.24203426324144</v>
          </cell>
          <cell r="CP500">
            <v>12.460385255491289</v>
          </cell>
          <cell r="CQ500">
            <v>13.61381844546608</v>
          </cell>
          <cell r="CR500">
            <v>14.097418996929601</v>
          </cell>
          <cell r="CS500">
            <v>13.606613717380439</v>
          </cell>
          <cell r="CT500">
            <v>11.911196796678038</v>
          </cell>
          <cell r="CU500">
            <v>11.801836197757897</v>
          </cell>
          <cell r="CV500">
            <v>8.5791190864600324</v>
          </cell>
          <cell r="CW500">
            <v>7.6051707944040743</v>
          </cell>
          <cell r="CX500">
            <v>7.7901197950137604</v>
          </cell>
          <cell r="CY500">
            <v>13.1114406709839</v>
          </cell>
          <cell r="CZ500">
            <v>15.326769599200269</v>
          </cell>
        </row>
        <row r="506">
          <cell r="X506" t="str">
            <v>4Q91</v>
          </cell>
          <cell r="Y506" t="str">
            <v xml:space="preserve"> </v>
          </cell>
          <cell r="AA506" t="str">
            <v>1Q92</v>
          </cell>
          <cell r="AB506" t="str">
            <v>4Q90</v>
          </cell>
          <cell r="AD506" t="str">
            <v>2Q92</v>
          </cell>
          <cell r="AE506" t="str">
            <v>1Q91</v>
          </cell>
          <cell r="AG506" t="str">
            <v>3Q92</v>
          </cell>
          <cell r="AH506" t="str">
            <v>2Q91</v>
          </cell>
          <cell r="AI506" t="str">
            <v xml:space="preserve"> </v>
          </cell>
          <cell r="AJ506" t="str">
            <v>4Q92</v>
          </cell>
          <cell r="AK506" t="str">
            <v>3Q91</v>
          </cell>
          <cell r="AM506" t="str">
            <v>1Q93</v>
          </cell>
          <cell r="AN506" t="str">
            <v>4Q91</v>
          </cell>
          <cell r="AO506" t="str">
            <v xml:space="preserve"> </v>
          </cell>
          <cell r="AP506" t="str">
            <v xml:space="preserve"> 2Q93</v>
          </cell>
          <cell r="AQ506" t="str">
            <v>1Q92</v>
          </cell>
          <cell r="AR506" t="str">
            <v xml:space="preserve"> </v>
          </cell>
          <cell r="AS506" t="str">
            <v xml:space="preserve"> 3Q93</v>
          </cell>
          <cell r="AT506" t="str">
            <v>2Q92</v>
          </cell>
          <cell r="AV506" t="str">
            <v>4Q93</v>
          </cell>
          <cell r="AW506" t="str">
            <v>3Q92</v>
          </cell>
          <cell r="AY506" t="str">
            <v>1Q94</v>
          </cell>
          <cell r="AZ506" t="str">
            <v>4Q92</v>
          </cell>
          <cell r="BB506" t="str">
            <v>2Q94</v>
          </cell>
          <cell r="BC506" t="str">
            <v>1Q93</v>
          </cell>
          <cell r="BE506" t="str">
            <v>3Q94</v>
          </cell>
          <cell r="BF506" t="str">
            <v xml:space="preserve"> 2Q93</v>
          </cell>
          <cell r="BG506" t="str">
            <v xml:space="preserve"> </v>
          </cell>
          <cell r="BH506" t="str">
            <v>4Q94</v>
          </cell>
          <cell r="BI506" t="str">
            <v xml:space="preserve"> 3Q93</v>
          </cell>
          <cell r="BK506" t="str">
            <v>1Q95</v>
          </cell>
          <cell r="BL506" t="str">
            <v>4Q93</v>
          </cell>
          <cell r="BN506" t="str">
            <v>2Q95</v>
          </cell>
          <cell r="BO506" t="str">
            <v>1Q94</v>
          </cell>
          <cell r="BQ506" t="str">
            <v>3Q95</v>
          </cell>
          <cell r="BR506" t="str">
            <v>2Q94</v>
          </cell>
          <cell r="BT506" t="str">
            <v>4Q95</v>
          </cell>
          <cell r="BU506" t="str">
            <v>3Q94</v>
          </cell>
          <cell r="BW506" t="str">
            <v>1Q96</v>
          </cell>
          <cell r="BX506" t="str">
            <v>4Q94</v>
          </cell>
          <cell r="BZ506" t="str">
            <v>2Q96</v>
          </cell>
          <cell r="CA506" t="str">
            <v>1Q95</v>
          </cell>
          <cell r="CC506" t="str">
            <v>3Q96</v>
          </cell>
          <cell r="CD506" t="str">
            <v>2Q95</v>
          </cell>
          <cell r="CF506" t="str">
            <v>4Q96</v>
          </cell>
          <cell r="CG506" t="str">
            <v>3Q95</v>
          </cell>
          <cell r="CI506" t="str">
            <v>1Q97</v>
          </cell>
          <cell r="CJ506" t="str">
            <v>4Q95</v>
          </cell>
          <cell r="CL506" t="str">
            <v>2Q97</v>
          </cell>
          <cell r="CM506" t="str">
            <v>1Q96</v>
          </cell>
          <cell r="CO506" t="str">
            <v>3Q97</v>
          </cell>
          <cell r="CP506" t="str">
            <v>2Q96</v>
          </cell>
          <cell r="CR506" t="str">
            <v>4Q97</v>
          </cell>
          <cell r="CS506" t="str">
            <v>3Q96</v>
          </cell>
          <cell r="CU506" t="str">
            <v>1Q98</v>
          </cell>
          <cell r="CV506" t="str">
            <v>4Q96</v>
          </cell>
          <cell r="CX506" t="str">
            <v>2Q98</v>
          </cell>
          <cell r="CY506" t="str">
            <v>1Q97</v>
          </cell>
          <cell r="DA506" t="str">
            <v>3Q98</v>
          </cell>
          <cell r="DB506" t="str">
            <v>2Q97</v>
          </cell>
          <cell r="DD506" t="str">
            <v>4Q98</v>
          </cell>
          <cell r="DE506" t="str">
            <v>3Q97</v>
          </cell>
          <cell r="DG506" t="str">
            <v>1Q99</v>
          </cell>
          <cell r="DH506" t="str">
            <v>4Q97</v>
          </cell>
          <cell r="DJ506" t="str">
            <v>2Q99</v>
          </cell>
          <cell r="DK506" t="str">
            <v>1Q98</v>
          </cell>
          <cell r="DM506" t="str">
            <v>3Q99</v>
          </cell>
          <cell r="DN506" t="str">
            <v>2Q98</v>
          </cell>
          <cell r="DP506" t="str">
            <v>4Q99</v>
          </cell>
          <cell r="DQ506" t="str">
            <v>3Q98</v>
          </cell>
          <cell r="DS506" t="str">
            <v>1Q00</v>
          </cell>
          <cell r="DT506" t="str">
            <v>4Q98</v>
          </cell>
          <cell r="DV506" t="str">
            <v>2Q00</v>
          </cell>
          <cell r="DW506" t="str">
            <v>1Q99</v>
          </cell>
          <cell r="DY506" t="str">
            <v>3Q00</v>
          </cell>
          <cell r="DZ506" t="str">
            <v>2Q99</v>
          </cell>
          <cell r="EB506" t="str">
            <v>4Q00</v>
          </cell>
          <cell r="EC506" t="str">
            <v>3Q99</v>
          </cell>
          <cell r="EE506" t="str">
            <v>1Q01</v>
          </cell>
          <cell r="EF506" t="str">
            <v>4Q99</v>
          </cell>
          <cell r="EH506" t="str">
            <v>2Q01</v>
          </cell>
          <cell r="EI506" t="str">
            <v>1Q00</v>
          </cell>
          <cell r="EK506" t="str">
            <v>3Q01</v>
          </cell>
          <cell r="EL506" t="str">
            <v>2Q00</v>
          </cell>
          <cell r="EN506" t="str">
            <v>4Q01</v>
          </cell>
          <cell r="EO506" t="str">
            <v>3Q00</v>
          </cell>
          <cell r="EQ506" t="str">
            <v>1Q02</v>
          </cell>
          <cell r="ER506" t="str">
            <v>4Q00</v>
          </cell>
          <cell r="ET506" t="str">
            <v>2Q02</v>
          </cell>
          <cell r="EU506" t="str">
            <v>1Q01</v>
          </cell>
          <cell r="EW506" t="str">
            <v>3Q02</v>
          </cell>
          <cell r="EX506" t="str">
            <v>2Q01</v>
          </cell>
          <cell r="EZ506" t="str">
            <v>4Q02</v>
          </cell>
          <cell r="FA506" t="str">
            <v>3Q01</v>
          </cell>
          <cell r="FC506" t="str">
            <v>1Q03</v>
          </cell>
          <cell r="FD506" t="str">
            <v>4Q01</v>
          </cell>
          <cell r="FF506" t="str">
            <v>2Q03</v>
          </cell>
          <cell r="FG506" t="str">
            <v>1Q02</v>
          </cell>
          <cell r="FI506" t="str">
            <v>3Q03</v>
          </cell>
          <cell r="FJ506" t="str">
            <v>2Q02</v>
          </cell>
          <cell r="FL506" t="str">
            <v>4Q03</v>
          </cell>
          <cell r="FM506" t="str">
            <v>3Q02</v>
          </cell>
          <cell r="FO506" t="str">
            <v>1Q04</v>
          </cell>
          <cell r="FP506" t="str">
            <v>4Q02</v>
          </cell>
          <cell r="FR506" t="str">
            <v>2Q04</v>
          </cell>
          <cell r="FS506" t="str">
            <v>1Q03</v>
          </cell>
          <cell r="FU506" t="str">
            <v>3Q04</v>
          </cell>
          <cell r="FV506" t="str">
            <v>2Q03</v>
          </cell>
          <cell r="FX506" t="str">
            <v>4Q04</v>
          </cell>
          <cell r="FY506" t="str">
            <v>3Q03</v>
          </cell>
          <cell r="GA506" t="str">
            <v>1Q05</v>
          </cell>
          <cell r="GB506" t="str">
            <v>4Q03</v>
          </cell>
          <cell r="GD506" t="str">
            <v>2Q05</v>
          </cell>
          <cell r="GE506" t="str">
            <v>1Q04</v>
          </cell>
          <cell r="GG506" t="str">
            <v>3Q05</v>
          </cell>
          <cell r="GH506" t="str">
            <v>2Q04</v>
          </cell>
          <cell r="GJ506" t="str">
            <v>4Q05</v>
          </cell>
          <cell r="GK506" t="str">
            <v>3Q04</v>
          </cell>
          <cell r="GM506" t="str">
            <v>1Q06</v>
          </cell>
          <cell r="GN506" t="str">
            <v>4Q04</v>
          </cell>
          <cell r="GP506" t="str">
            <v>2Q06</v>
          </cell>
          <cell r="GQ506" t="str">
            <v>1Q05</v>
          </cell>
          <cell r="GS506" t="str">
            <v>3Q06</v>
          </cell>
          <cell r="GT506" t="str">
            <v>2Q05E</v>
          </cell>
          <cell r="GV506" t="str">
            <v>4Q06</v>
          </cell>
          <cell r="GW506" t="str">
            <v>3Q05</v>
          </cell>
          <cell r="GY506" t="str">
            <v>1Q07</v>
          </cell>
          <cell r="GZ506" t="str">
            <v>4Q05</v>
          </cell>
          <cell r="HB506" t="str">
            <v>2Q07</v>
          </cell>
          <cell r="HC506" t="str">
            <v>1Q06</v>
          </cell>
          <cell r="HE506" t="str">
            <v>3Q07</v>
          </cell>
          <cell r="HF506" t="str">
            <v>2Q06</v>
          </cell>
          <cell r="HH506" t="str">
            <v>4Q07</v>
          </cell>
          <cell r="HI506" t="str">
            <v>3Q06</v>
          </cell>
          <cell r="HK506" t="str">
            <v>1Q08</v>
          </cell>
          <cell r="HL506" t="str">
            <v>4Q06</v>
          </cell>
          <cell r="HN506" t="str">
            <v>2Q08E</v>
          </cell>
          <cell r="HO506" t="str">
            <v>1Q07E</v>
          </cell>
          <cell r="HQ506" t="str">
            <v>3Q08E</v>
          </cell>
          <cell r="HR506" t="str">
            <v>2Q07E</v>
          </cell>
          <cell r="HT506" t="str">
            <v>4Q08E</v>
          </cell>
          <cell r="HU506" t="str">
            <v>3Q07E</v>
          </cell>
          <cell r="HW506" t="str">
            <v>1Q09E</v>
          </cell>
          <cell r="HX506" t="str">
            <v>4Q07E</v>
          </cell>
          <cell r="HZ506" t="str">
            <v>2Q09E</v>
          </cell>
          <cell r="IA506" t="str">
            <v>1Q08E</v>
          </cell>
          <cell r="IC506" t="str">
            <v>3Q09E</v>
          </cell>
          <cell r="ID506" t="str">
            <v>2Q08E</v>
          </cell>
          <cell r="IF506" t="str">
            <v>4Q09E</v>
          </cell>
          <cell r="IG506" t="str">
            <v>3Q08E</v>
          </cell>
          <cell r="IJ506" t="str">
            <v>4Q08E</v>
          </cell>
        </row>
        <row r="507">
          <cell r="X507">
            <v>33543</v>
          </cell>
          <cell r="Y507">
            <v>33573</v>
          </cell>
          <cell r="Z507">
            <v>33604</v>
          </cell>
          <cell r="AA507">
            <v>33635</v>
          </cell>
          <cell r="AB507">
            <v>33664</v>
          </cell>
          <cell r="AC507">
            <v>33695</v>
          </cell>
          <cell r="AD507">
            <v>33725</v>
          </cell>
          <cell r="AE507">
            <v>33756</v>
          </cell>
          <cell r="AF507">
            <v>33786</v>
          </cell>
          <cell r="AG507">
            <v>33817</v>
          </cell>
          <cell r="AH507">
            <v>33848</v>
          </cell>
          <cell r="AI507">
            <v>33878</v>
          </cell>
          <cell r="AJ507">
            <v>33909</v>
          </cell>
          <cell r="AK507">
            <v>33939</v>
          </cell>
          <cell r="AL507">
            <v>33970</v>
          </cell>
          <cell r="AM507">
            <v>34001</v>
          </cell>
          <cell r="AN507">
            <v>34029</v>
          </cell>
          <cell r="AO507">
            <v>34060</v>
          </cell>
          <cell r="AP507">
            <v>34090</v>
          </cell>
          <cell r="AQ507">
            <v>34121</v>
          </cell>
          <cell r="AR507">
            <v>34151</v>
          </cell>
          <cell r="AS507">
            <v>34182</v>
          </cell>
          <cell r="AT507">
            <v>34213</v>
          </cell>
          <cell r="AU507">
            <v>34243</v>
          </cell>
          <cell r="AV507">
            <v>34274</v>
          </cell>
          <cell r="AW507">
            <v>34304</v>
          </cell>
          <cell r="AX507">
            <v>34335</v>
          </cell>
          <cell r="AY507">
            <v>34366</v>
          </cell>
          <cell r="AZ507">
            <v>34394</v>
          </cell>
          <cell r="BA507">
            <v>34425</v>
          </cell>
          <cell r="BB507">
            <v>34455</v>
          </cell>
          <cell r="BC507">
            <v>34486</v>
          </cell>
          <cell r="BD507">
            <v>34516</v>
          </cell>
          <cell r="BE507">
            <v>34547</v>
          </cell>
          <cell r="BF507">
            <v>34578</v>
          </cell>
          <cell r="BG507">
            <v>34608</v>
          </cell>
          <cell r="BH507">
            <v>34639</v>
          </cell>
          <cell r="BI507">
            <v>34669</v>
          </cell>
          <cell r="BJ507">
            <v>34700</v>
          </cell>
          <cell r="BK507">
            <v>34731</v>
          </cell>
          <cell r="BL507">
            <v>34759</v>
          </cell>
          <cell r="BM507">
            <v>34790</v>
          </cell>
          <cell r="BN507">
            <v>34820</v>
          </cell>
          <cell r="BO507">
            <v>34851</v>
          </cell>
          <cell r="BP507">
            <v>34881</v>
          </cell>
          <cell r="BQ507">
            <v>34912</v>
          </cell>
          <cell r="BR507">
            <v>34943</v>
          </cell>
          <cell r="BS507">
            <v>34973</v>
          </cell>
          <cell r="BT507">
            <v>35004</v>
          </cell>
          <cell r="BU507">
            <v>35034</v>
          </cell>
          <cell r="BV507">
            <v>35065</v>
          </cell>
          <cell r="BW507">
            <v>35096</v>
          </cell>
          <cell r="BX507">
            <v>35125</v>
          </cell>
          <cell r="BY507">
            <v>35156</v>
          </cell>
          <cell r="BZ507">
            <v>35186</v>
          </cell>
          <cell r="CA507">
            <v>35217</v>
          </cell>
          <cell r="CB507">
            <v>35247</v>
          </cell>
          <cell r="CC507">
            <v>35278</v>
          </cell>
          <cell r="CD507">
            <v>35309</v>
          </cell>
          <cell r="CE507">
            <v>35339</v>
          </cell>
          <cell r="CF507">
            <v>35370</v>
          </cell>
          <cell r="CG507">
            <v>35400</v>
          </cell>
          <cell r="CH507">
            <v>35431</v>
          </cell>
          <cell r="CI507">
            <v>35462</v>
          </cell>
          <cell r="CJ507">
            <v>35490</v>
          </cell>
          <cell r="CK507">
            <v>35521</v>
          </cell>
          <cell r="CL507">
            <v>35551</v>
          </cell>
          <cell r="CM507">
            <v>35582</v>
          </cell>
          <cell r="CN507">
            <v>35612</v>
          </cell>
          <cell r="CO507">
            <v>35643</v>
          </cell>
          <cell r="CP507">
            <v>35674</v>
          </cell>
          <cell r="CQ507">
            <v>35704</v>
          </cell>
          <cell r="CR507">
            <v>35735</v>
          </cell>
          <cell r="CS507">
            <v>35765</v>
          </cell>
          <cell r="CT507">
            <v>35796</v>
          </cell>
          <cell r="CU507">
            <v>35827</v>
          </cell>
          <cell r="CV507">
            <v>35855</v>
          </cell>
          <cell r="CW507">
            <v>35886</v>
          </cell>
          <cell r="CX507">
            <v>35916</v>
          </cell>
          <cell r="CY507">
            <v>35947</v>
          </cell>
          <cell r="CZ507">
            <v>35977</v>
          </cell>
          <cell r="DA507">
            <v>36008</v>
          </cell>
          <cell r="DB507">
            <v>36039</v>
          </cell>
          <cell r="DC507">
            <v>36069</v>
          </cell>
          <cell r="DD507">
            <v>36100</v>
          </cell>
          <cell r="DE507">
            <v>36130</v>
          </cell>
          <cell r="DF507">
            <v>36161</v>
          </cell>
          <cell r="DG507">
            <v>36192</v>
          </cell>
          <cell r="DH507">
            <v>36220</v>
          </cell>
          <cell r="DI507">
            <v>36251</v>
          </cell>
          <cell r="DJ507">
            <v>36281</v>
          </cell>
          <cell r="DK507">
            <v>36312</v>
          </cell>
          <cell r="DL507">
            <v>36342</v>
          </cell>
          <cell r="DM507">
            <v>36373</v>
          </cell>
          <cell r="DN507">
            <v>36404</v>
          </cell>
          <cell r="DO507">
            <v>36434</v>
          </cell>
          <cell r="DP507">
            <v>36465</v>
          </cell>
          <cell r="DQ507">
            <v>36495</v>
          </cell>
          <cell r="DR507">
            <v>36526</v>
          </cell>
          <cell r="DS507">
            <v>36557</v>
          </cell>
          <cell r="DT507">
            <v>36586</v>
          </cell>
          <cell r="DU507">
            <v>36617</v>
          </cell>
          <cell r="DV507">
            <v>36647</v>
          </cell>
          <cell r="DW507">
            <v>36678</v>
          </cell>
          <cell r="DX507">
            <v>36708</v>
          </cell>
          <cell r="DY507">
            <v>36739</v>
          </cell>
          <cell r="DZ507">
            <v>36770</v>
          </cell>
          <cell r="EA507">
            <v>36800</v>
          </cell>
          <cell r="EB507">
            <v>36831</v>
          </cell>
          <cell r="EC507">
            <v>36861</v>
          </cell>
          <cell r="ED507">
            <v>36892</v>
          </cell>
          <cell r="EE507">
            <v>36923</v>
          </cell>
          <cell r="EF507">
            <v>36951</v>
          </cell>
          <cell r="EG507">
            <v>36982</v>
          </cell>
          <cell r="EH507">
            <v>37012</v>
          </cell>
          <cell r="EI507">
            <v>37043</v>
          </cell>
          <cell r="EJ507">
            <v>37073</v>
          </cell>
          <cell r="EK507">
            <v>37104</v>
          </cell>
          <cell r="EL507">
            <v>37135</v>
          </cell>
          <cell r="EM507">
            <v>37165</v>
          </cell>
          <cell r="EN507">
            <v>37196</v>
          </cell>
          <cell r="EO507">
            <v>37226</v>
          </cell>
          <cell r="EP507">
            <v>37257</v>
          </cell>
          <cell r="EQ507">
            <v>37288</v>
          </cell>
          <cell r="ER507">
            <v>37316</v>
          </cell>
          <cell r="ES507">
            <v>37347</v>
          </cell>
          <cell r="ET507">
            <v>37377</v>
          </cell>
          <cell r="EU507">
            <v>37408</v>
          </cell>
          <cell r="EV507">
            <v>37438</v>
          </cell>
          <cell r="EW507">
            <v>37469</v>
          </cell>
          <cell r="EX507">
            <v>37500</v>
          </cell>
          <cell r="EY507">
            <v>37530</v>
          </cell>
          <cell r="EZ507">
            <v>37561</v>
          </cell>
          <cell r="FA507">
            <v>37591</v>
          </cell>
          <cell r="FB507">
            <v>37622</v>
          </cell>
          <cell r="FC507">
            <v>37653</v>
          </cell>
          <cell r="FD507">
            <v>37681</v>
          </cell>
          <cell r="FE507">
            <v>37712</v>
          </cell>
          <cell r="FF507">
            <v>37742</v>
          </cell>
          <cell r="FG507">
            <v>37773</v>
          </cell>
          <cell r="FH507">
            <v>37803</v>
          </cell>
          <cell r="FI507">
            <v>37834</v>
          </cell>
          <cell r="FJ507">
            <v>37865</v>
          </cell>
          <cell r="FK507">
            <v>37895</v>
          </cell>
          <cell r="FL507">
            <v>37926</v>
          </cell>
          <cell r="FM507">
            <v>37956</v>
          </cell>
          <cell r="FN507">
            <v>37987</v>
          </cell>
          <cell r="FO507">
            <v>38018</v>
          </cell>
          <cell r="FP507">
            <v>38047</v>
          </cell>
          <cell r="FQ507">
            <v>38078</v>
          </cell>
          <cell r="FR507">
            <v>38108</v>
          </cell>
          <cell r="FS507">
            <v>38139</v>
          </cell>
          <cell r="FT507">
            <v>38169</v>
          </cell>
          <cell r="FU507">
            <v>38200</v>
          </cell>
          <cell r="FV507">
            <v>38231</v>
          </cell>
          <cell r="FW507">
            <v>38261</v>
          </cell>
          <cell r="FX507">
            <v>38292</v>
          </cell>
          <cell r="FY507">
            <v>38322</v>
          </cell>
          <cell r="FZ507">
            <v>38353</v>
          </cell>
          <cell r="GA507">
            <v>38384</v>
          </cell>
          <cell r="GB507">
            <v>38412</v>
          </cell>
          <cell r="GC507">
            <v>38443</v>
          </cell>
          <cell r="GD507">
            <v>38473</v>
          </cell>
          <cell r="GE507">
            <v>38504</v>
          </cell>
          <cell r="GF507">
            <v>38534</v>
          </cell>
          <cell r="GG507">
            <v>38565</v>
          </cell>
          <cell r="GH507">
            <v>38596</v>
          </cell>
          <cell r="GI507">
            <v>38626</v>
          </cell>
          <cell r="GJ507">
            <v>38657</v>
          </cell>
          <cell r="GK507">
            <v>38687</v>
          </cell>
          <cell r="GL507">
            <v>38718</v>
          </cell>
          <cell r="GM507">
            <v>38749</v>
          </cell>
          <cell r="GN507">
            <v>38777</v>
          </cell>
          <cell r="GO507">
            <v>38808</v>
          </cell>
          <cell r="GP507">
            <v>38838</v>
          </cell>
          <cell r="GQ507">
            <v>38869</v>
          </cell>
          <cell r="GR507">
            <v>38899</v>
          </cell>
          <cell r="GS507">
            <v>38930</v>
          </cell>
          <cell r="GT507">
            <v>38961</v>
          </cell>
          <cell r="GU507">
            <v>38991</v>
          </cell>
          <cell r="GV507">
            <v>39022</v>
          </cell>
          <cell r="GW507">
            <v>39052</v>
          </cell>
          <cell r="GX507">
            <v>39083</v>
          </cell>
          <cell r="GY507">
            <v>39114</v>
          </cell>
          <cell r="GZ507">
            <v>39142</v>
          </cell>
          <cell r="HA507">
            <v>39173</v>
          </cell>
          <cell r="HB507">
            <v>39203</v>
          </cell>
          <cell r="HC507">
            <v>39234</v>
          </cell>
          <cell r="HD507">
            <v>39264</v>
          </cell>
          <cell r="HE507">
            <v>39295</v>
          </cell>
          <cell r="HF507">
            <v>39326</v>
          </cell>
          <cell r="HG507">
            <v>39356</v>
          </cell>
          <cell r="HH507">
            <v>39387</v>
          </cell>
          <cell r="HI507">
            <v>39417</v>
          </cell>
          <cell r="HJ507">
            <v>39448</v>
          </cell>
          <cell r="HK507">
            <v>39479</v>
          </cell>
          <cell r="HL507">
            <v>39508</v>
          </cell>
          <cell r="HM507">
            <v>39539</v>
          </cell>
          <cell r="HN507">
            <v>39569</v>
          </cell>
          <cell r="HO507">
            <v>39600</v>
          </cell>
          <cell r="HP507">
            <v>39630</v>
          </cell>
          <cell r="HQ507">
            <v>39661</v>
          </cell>
          <cell r="HR507">
            <v>39692</v>
          </cell>
          <cell r="HS507">
            <v>39722</v>
          </cell>
          <cell r="HT507">
            <v>39753</v>
          </cell>
          <cell r="HU507">
            <v>39783</v>
          </cell>
          <cell r="HV507">
            <v>39814</v>
          </cell>
          <cell r="HW507">
            <v>39845</v>
          </cell>
          <cell r="HX507">
            <v>39873</v>
          </cell>
          <cell r="HY507">
            <v>39904</v>
          </cell>
          <cell r="HZ507">
            <v>39934</v>
          </cell>
          <cell r="IA507">
            <v>39965</v>
          </cell>
          <cell r="IB507">
            <v>39995</v>
          </cell>
          <cell r="IC507">
            <v>40026</v>
          </cell>
          <cell r="ID507">
            <v>40057</v>
          </cell>
          <cell r="IE507">
            <v>40087</v>
          </cell>
          <cell r="IF507">
            <v>40118</v>
          </cell>
          <cell r="IG507">
            <v>40148</v>
          </cell>
          <cell r="IH507">
            <v>39692</v>
          </cell>
          <cell r="II507">
            <v>39722</v>
          </cell>
          <cell r="IJ507">
            <v>39753</v>
          </cell>
          <cell r="IK507">
            <v>39783</v>
          </cell>
        </row>
        <row r="509">
          <cell r="Z509" t="str">
            <v>92</v>
          </cell>
          <cell r="AC509" t="str">
            <v>1Q   91</v>
          </cell>
          <cell r="AD509" t="str">
            <v>91</v>
          </cell>
          <cell r="AE509" t="str">
            <v>3Q</v>
          </cell>
          <cell r="AH509" t="str">
            <v xml:space="preserve">3Q </v>
          </cell>
          <cell r="AI509" t="str">
            <v xml:space="preserve">3Q </v>
          </cell>
          <cell r="AL509" t="str">
            <v>93</v>
          </cell>
          <cell r="AO509" t="str">
            <v>1Q   92</v>
          </cell>
          <cell r="AP509" t="str">
            <v>92</v>
          </cell>
          <cell r="AQ509" t="str">
            <v xml:space="preserve">3Q </v>
          </cell>
          <cell r="AT509" t="str">
            <v>3Q</v>
          </cell>
          <cell r="AU509" t="str">
            <v>3Q</v>
          </cell>
          <cell r="AX509" t="str">
            <v>94</v>
          </cell>
          <cell r="BA509" t="str">
            <v>1Q   93</v>
          </cell>
          <cell r="BB509" t="str">
            <v>93</v>
          </cell>
          <cell r="BC509" t="str">
            <v>3Q</v>
          </cell>
          <cell r="BF509" t="str">
            <v xml:space="preserve">3Q </v>
          </cell>
          <cell r="BG509" t="str">
            <v xml:space="preserve">3Q </v>
          </cell>
          <cell r="BJ509" t="str">
            <v>95</v>
          </cell>
          <cell r="BM509" t="str">
            <v>1Q   94</v>
          </cell>
          <cell r="BN509" t="str">
            <v>94</v>
          </cell>
          <cell r="BO509" t="str">
            <v>3Q   95</v>
          </cell>
          <cell r="BR509" t="str">
            <v>3Q</v>
          </cell>
          <cell r="BS509" t="str">
            <v>3Q</v>
          </cell>
          <cell r="BV509" t="str">
            <v>96</v>
          </cell>
          <cell r="BY509" t="str">
            <v>1Q   95</v>
          </cell>
          <cell r="BZ509" t="str">
            <v>95</v>
          </cell>
          <cell r="CA509" t="str">
            <v>3Q   96</v>
          </cell>
          <cell r="CD509" t="str">
            <v>3Q   95</v>
          </cell>
          <cell r="CE509" t="str">
            <v>3Q   95</v>
          </cell>
          <cell r="CH509" t="str">
            <v>97</v>
          </cell>
          <cell r="CK509" t="str">
            <v>1Q   96</v>
          </cell>
          <cell r="CL509" t="str">
            <v>96</v>
          </cell>
          <cell r="CM509" t="str">
            <v>3Q   97</v>
          </cell>
          <cell r="CP509" t="str">
            <v>3Q   96</v>
          </cell>
          <cell r="CQ509" t="str">
            <v>3Q   96</v>
          </cell>
          <cell r="CT509" t="str">
            <v>98</v>
          </cell>
          <cell r="CW509" t="str">
            <v>1Q   97</v>
          </cell>
          <cell r="CX509" t="str">
            <v>97</v>
          </cell>
          <cell r="CY509" t="str">
            <v>3Q   98</v>
          </cell>
          <cell r="DB509" t="str">
            <v>3Q   97</v>
          </cell>
          <cell r="DC509" t="str">
            <v>3Q   97</v>
          </cell>
          <cell r="DF509" t="str">
            <v>99</v>
          </cell>
          <cell r="DI509" t="str">
            <v>1Q   98</v>
          </cell>
          <cell r="DJ509" t="str">
            <v>98</v>
          </cell>
          <cell r="DK509" t="str">
            <v>3Q   99</v>
          </cell>
          <cell r="DN509" t="str">
            <v>3Q   98</v>
          </cell>
          <cell r="DO509" t="str">
            <v>3Q   98</v>
          </cell>
          <cell r="DR509" t="str">
            <v>00</v>
          </cell>
          <cell r="DU509" t="str">
            <v>1Q   99</v>
          </cell>
          <cell r="DV509" t="str">
            <v>99</v>
          </cell>
          <cell r="DW509" t="str">
            <v>3Q   00</v>
          </cell>
          <cell r="DZ509" t="str">
            <v>3Q   99</v>
          </cell>
          <cell r="EA509" t="str">
            <v>3Q   99</v>
          </cell>
          <cell r="ED509" t="str">
            <v>01</v>
          </cell>
          <cell r="EG509" t="str">
            <v>1Q   2000</v>
          </cell>
          <cell r="EH509" t="str">
            <v>00</v>
          </cell>
          <cell r="EI509" t="str">
            <v>3Q   01</v>
          </cell>
          <cell r="EL509" t="str">
            <v>3Q   2000</v>
          </cell>
          <cell r="EM509" t="str">
            <v>3Q   00</v>
          </cell>
          <cell r="EP509" t="str">
            <v>02</v>
          </cell>
          <cell r="ES509" t="str">
            <v>1Q   01</v>
          </cell>
          <cell r="ET509" t="str">
            <v>01</v>
          </cell>
          <cell r="EU509" t="str">
            <v>3Q   02</v>
          </cell>
          <cell r="EX509" t="str">
            <v>3Q   2001</v>
          </cell>
          <cell r="EY509" t="str">
            <v>3Q   01</v>
          </cell>
          <cell r="FB509" t="str">
            <v>03</v>
          </cell>
          <cell r="FE509" t="str">
            <v>1Q   02</v>
          </cell>
          <cell r="FF509" t="str">
            <v>02</v>
          </cell>
          <cell r="FG509" t="str">
            <v>3Q   03</v>
          </cell>
          <cell r="FJ509" t="str">
            <v>3Q   2002</v>
          </cell>
          <cell r="FK509" t="str">
            <v>3Q   02</v>
          </cell>
          <cell r="FN509" t="str">
            <v>04</v>
          </cell>
          <cell r="FQ509" t="str">
            <v>1Q   03</v>
          </cell>
          <cell r="FR509" t="str">
            <v>03</v>
          </cell>
          <cell r="FS509" t="str">
            <v>3Q   04E</v>
          </cell>
          <cell r="FV509" t="str">
            <v>3Q   2003</v>
          </cell>
          <cell r="FW509" t="str">
            <v>3Q   03</v>
          </cell>
          <cell r="FZ509" t="str">
            <v>05</v>
          </cell>
          <cell r="GB509" t="str">
            <v>1Q   05</v>
          </cell>
          <cell r="GC509" t="str">
            <v>1Q   04</v>
          </cell>
          <cell r="GD509" t="str">
            <v>04</v>
          </cell>
          <cell r="GE509" t="str">
            <v>2Q   05</v>
          </cell>
          <cell r="GH509" t="str">
            <v>3Q   05</v>
          </cell>
          <cell r="GI509" t="str">
            <v>3Q   04E</v>
          </cell>
          <cell r="GK509" t="str">
            <v>4Q   05</v>
          </cell>
          <cell r="GL509" t="str">
            <v>06</v>
          </cell>
          <cell r="GN509" t="str">
            <v>1Q   06</v>
          </cell>
          <cell r="GP509" t="str">
            <v>05</v>
          </cell>
          <cell r="GQ509" t="str">
            <v>2Q   06</v>
          </cell>
          <cell r="GR509" t="str">
            <v>1Q   05</v>
          </cell>
          <cell r="GT509" t="str">
            <v>3Q   06</v>
          </cell>
          <cell r="GU509" t="str">
            <v>2Q   05</v>
          </cell>
          <cell r="GW509" t="str">
            <v>4Q   06</v>
          </cell>
          <cell r="GX509" t="str">
            <v>07</v>
          </cell>
          <cell r="GZ509" t="str">
            <v>1Q   07</v>
          </cell>
          <cell r="HA509" t="str">
            <v>4Q   05</v>
          </cell>
          <cell r="HB509" t="str">
            <v>06</v>
          </cell>
          <cell r="HC509" t="str">
            <v>2Q   07</v>
          </cell>
          <cell r="HD509" t="str">
            <v>1Q   06</v>
          </cell>
          <cell r="HF509" t="str">
            <v>3Q   07</v>
          </cell>
          <cell r="HG509" t="str">
            <v>2Q   06</v>
          </cell>
          <cell r="HI509" t="str">
            <v>4Q   07</v>
          </cell>
          <cell r="HJ509" t="str">
            <v>08E</v>
          </cell>
          <cell r="HM509" t="str">
            <v>4Q   06</v>
          </cell>
          <cell r="HN509" t="str">
            <v>07E</v>
          </cell>
          <cell r="HO509" t="str">
            <v>3Q   08E</v>
          </cell>
          <cell r="HP509" t="str">
            <v>1Q   07</v>
          </cell>
          <cell r="HS509" t="str">
            <v>2Q   07E</v>
          </cell>
          <cell r="HV509" t="str">
            <v>09E</v>
          </cell>
          <cell r="HY509" t="str">
            <v>4Q   07E</v>
          </cell>
          <cell r="HZ509" t="str">
            <v>08E</v>
          </cell>
          <cell r="IA509" t="str">
            <v>3Q   09E</v>
          </cell>
          <cell r="IE509" t="str">
            <v>3Q   08E</v>
          </cell>
        </row>
        <row r="511">
          <cell r="X511">
            <v>162.5</v>
          </cell>
          <cell r="Y511">
            <v>162.5</v>
          </cell>
          <cell r="Z511">
            <v>182</v>
          </cell>
          <cell r="AA511">
            <v>169</v>
          </cell>
          <cell r="AB511">
            <v>169</v>
          </cell>
          <cell r="AC511">
            <v>169</v>
          </cell>
          <cell r="AD511">
            <v>175.5</v>
          </cell>
          <cell r="AE511">
            <v>178.75</v>
          </cell>
          <cell r="AF511">
            <v>182</v>
          </cell>
          <cell r="AG511">
            <v>178.75</v>
          </cell>
          <cell r="AH511">
            <v>175.5</v>
          </cell>
          <cell r="AI511">
            <v>169</v>
          </cell>
          <cell r="AJ511">
            <v>162.5</v>
          </cell>
          <cell r="AK511">
            <v>159.25</v>
          </cell>
          <cell r="AL511">
            <v>159.25</v>
          </cell>
          <cell r="AM511">
            <v>159.25</v>
          </cell>
          <cell r="AN511">
            <v>159.25</v>
          </cell>
          <cell r="AO511">
            <v>162.5</v>
          </cell>
          <cell r="AP511">
            <v>165.75</v>
          </cell>
          <cell r="AQ511">
            <v>165.75</v>
          </cell>
          <cell r="AR511">
            <v>165.75</v>
          </cell>
          <cell r="AS511">
            <v>159.25</v>
          </cell>
          <cell r="AT511">
            <v>156</v>
          </cell>
          <cell r="AU511">
            <v>152.75</v>
          </cell>
          <cell r="AV511">
            <v>149.5</v>
          </cell>
          <cell r="AW511">
            <v>146.25</v>
          </cell>
          <cell r="AX511">
            <v>146.25</v>
          </cell>
          <cell r="AY511">
            <v>146.25</v>
          </cell>
          <cell r="AZ511">
            <v>152.75</v>
          </cell>
          <cell r="BA511">
            <v>159.25</v>
          </cell>
          <cell r="BB511">
            <v>165.75</v>
          </cell>
          <cell r="BC511">
            <v>178.75</v>
          </cell>
          <cell r="BD511">
            <v>185.25</v>
          </cell>
          <cell r="BE511">
            <v>198.25</v>
          </cell>
          <cell r="BF511">
            <v>211.25</v>
          </cell>
          <cell r="BG511">
            <v>224.25</v>
          </cell>
          <cell r="BH511">
            <v>237.25</v>
          </cell>
          <cell r="BI511">
            <v>250.25</v>
          </cell>
          <cell r="BJ511">
            <v>263.25</v>
          </cell>
          <cell r="BK511">
            <v>276.25</v>
          </cell>
          <cell r="BL511">
            <v>289.25</v>
          </cell>
          <cell r="BM511">
            <v>302.25</v>
          </cell>
          <cell r="BN511">
            <v>302.25</v>
          </cell>
          <cell r="BO511">
            <v>302.25</v>
          </cell>
          <cell r="BP511">
            <v>302.25</v>
          </cell>
          <cell r="BQ511">
            <v>289.25</v>
          </cell>
          <cell r="BR511">
            <v>263.25</v>
          </cell>
          <cell r="BS511">
            <v>243.75</v>
          </cell>
          <cell r="BT511">
            <v>224.25</v>
          </cell>
          <cell r="BU511">
            <v>211.25</v>
          </cell>
          <cell r="BV511">
            <v>198.25</v>
          </cell>
          <cell r="BW511">
            <v>198.25</v>
          </cell>
          <cell r="BX511">
            <v>198.25</v>
          </cell>
          <cell r="BY511">
            <v>211.25</v>
          </cell>
          <cell r="BZ511">
            <v>224.25</v>
          </cell>
          <cell r="CA511">
            <v>230.75</v>
          </cell>
          <cell r="CB511">
            <v>230.75</v>
          </cell>
          <cell r="CC511">
            <v>237.25</v>
          </cell>
          <cell r="CD511">
            <v>237.25</v>
          </cell>
          <cell r="CE511">
            <v>237.25</v>
          </cell>
          <cell r="CF511">
            <v>237.25</v>
          </cell>
          <cell r="CG511">
            <v>243.75</v>
          </cell>
          <cell r="CH511">
            <v>250.25</v>
          </cell>
          <cell r="CI511">
            <v>256.75</v>
          </cell>
          <cell r="CJ511">
            <v>256.75</v>
          </cell>
          <cell r="CK511">
            <v>256.75</v>
          </cell>
          <cell r="CL511">
            <v>256.75</v>
          </cell>
          <cell r="CM511">
            <v>256.75</v>
          </cell>
          <cell r="CN511">
            <v>256.75</v>
          </cell>
          <cell r="CO511">
            <v>256.75</v>
          </cell>
          <cell r="CP511">
            <v>247</v>
          </cell>
          <cell r="CQ511">
            <v>234</v>
          </cell>
          <cell r="CR511">
            <v>224.25</v>
          </cell>
          <cell r="CS511">
            <v>214.5</v>
          </cell>
          <cell r="CT511">
            <v>204.75</v>
          </cell>
          <cell r="CU511">
            <v>191.75</v>
          </cell>
          <cell r="CV511">
            <v>178.75</v>
          </cell>
          <cell r="CW511">
            <v>172.25</v>
          </cell>
          <cell r="CX511">
            <v>165.75</v>
          </cell>
          <cell r="CY511">
            <v>162.5</v>
          </cell>
          <cell r="CZ511">
            <v>162.5</v>
          </cell>
          <cell r="DA511">
            <v>156</v>
          </cell>
          <cell r="DB511">
            <v>156</v>
          </cell>
          <cell r="DC511">
            <v>149.5</v>
          </cell>
          <cell r="DD511">
            <v>146.25</v>
          </cell>
          <cell r="DE511">
            <v>143</v>
          </cell>
          <cell r="DF511">
            <v>139.75</v>
          </cell>
          <cell r="DG511">
            <v>136.5</v>
          </cell>
          <cell r="DH511">
            <v>136.5</v>
          </cell>
          <cell r="DI511">
            <v>136.5</v>
          </cell>
          <cell r="DJ511">
            <v>143</v>
          </cell>
          <cell r="DK511">
            <v>156</v>
          </cell>
          <cell r="DL511">
            <v>169</v>
          </cell>
          <cell r="DM511">
            <v>182</v>
          </cell>
          <cell r="DN511">
            <v>201.5</v>
          </cell>
          <cell r="DO511">
            <v>221</v>
          </cell>
          <cell r="DP511">
            <v>234</v>
          </cell>
          <cell r="DQ511">
            <v>234</v>
          </cell>
          <cell r="DR511">
            <v>234</v>
          </cell>
          <cell r="DS511">
            <v>247</v>
          </cell>
          <cell r="DT511">
            <v>273</v>
          </cell>
          <cell r="DU511">
            <v>299</v>
          </cell>
          <cell r="DV511">
            <v>325</v>
          </cell>
          <cell r="DW511">
            <v>338</v>
          </cell>
          <cell r="DX511">
            <v>338</v>
          </cell>
          <cell r="DY511">
            <v>312</v>
          </cell>
          <cell r="DZ511">
            <v>292.5</v>
          </cell>
          <cell r="EA511">
            <v>292.5</v>
          </cell>
          <cell r="EB511">
            <v>292.5</v>
          </cell>
          <cell r="EC511">
            <v>286</v>
          </cell>
          <cell r="ED511">
            <v>279.5</v>
          </cell>
          <cell r="EE511">
            <v>273</v>
          </cell>
          <cell r="EF511">
            <v>266.5</v>
          </cell>
          <cell r="EG511">
            <v>240.5</v>
          </cell>
          <cell r="EH511">
            <v>227.5</v>
          </cell>
          <cell r="EI511">
            <v>201.5</v>
          </cell>
          <cell r="EJ511">
            <v>185.25</v>
          </cell>
          <cell r="EK511">
            <v>185.25</v>
          </cell>
          <cell r="EL511">
            <v>201.5</v>
          </cell>
          <cell r="EM511">
            <v>227.5</v>
          </cell>
          <cell r="EN511">
            <v>227.5</v>
          </cell>
          <cell r="EO511">
            <v>201.5</v>
          </cell>
          <cell r="EP511">
            <v>188.5</v>
          </cell>
          <cell r="EQ511">
            <v>188.5</v>
          </cell>
          <cell r="ER511">
            <v>198.25</v>
          </cell>
          <cell r="ES511">
            <v>224.25</v>
          </cell>
          <cell r="ET511">
            <v>250.25</v>
          </cell>
          <cell r="EU511">
            <v>263.25</v>
          </cell>
          <cell r="EV511">
            <v>263.25</v>
          </cell>
          <cell r="EW511">
            <v>263.25</v>
          </cell>
          <cell r="EX511">
            <v>247</v>
          </cell>
          <cell r="EY511">
            <v>247</v>
          </cell>
          <cell r="EZ511">
            <v>240.5</v>
          </cell>
          <cell r="FA511">
            <v>234</v>
          </cell>
          <cell r="FB511">
            <v>260</v>
          </cell>
          <cell r="FC511">
            <v>286</v>
          </cell>
          <cell r="FD511">
            <v>338</v>
          </cell>
          <cell r="FE511">
            <v>338</v>
          </cell>
          <cell r="FF511">
            <v>305.5</v>
          </cell>
          <cell r="FG511">
            <v>273</v>
          </cell>
          <cell r="FH511">
            <v>247</v>
          </cell>
          <cell r="FI511">
            <v>247</v>
          </cell>
          <cell r="FJ511">
            <v>260</v>
          </cell>
          <cell r="FK511">
            <v>253.5</v>
          </cell>
          <cell r="FL511">
            <v>260</v>
          </cell>
          <cell r="FM511">
            <v>273</v>
          </cell>
          <cell r="FN511">
            <v>308.75</v>
          </cell>
          <cell r="FO511">
            <v>360.75</v>
          </cell>
          <cell r="FP511">
            <v>399.75</v>
          </cell>
          <cell r="FQ511">
            <v>399.75</v>
          </cell>
          <cell r="FR511">
            <v>399.75</v>
          </cell>
          <cell r="FS511">
            <v>399.75</v>
          </cell>
          <cell r="FT511">
            <v>390</v>
          </cell>
          <cell r="FU511">
            <v>396.5</v>
          </cell>
          <cell r="FV511">
            <v>435.5</v>
          </cell>
          <cell r="FW511">
            <v>474.5</v>
          </cell>
          <cell r="FX511">
            <v>526.5</v>
          </cell>
          <cell r="FY511">
            <v>578.5</v>
          </cell>
          <cell r="FZ511">
            <v>578.5</v>
          </cell>
          <cell r="GA511">
            <v>611</v>
          </cell>
          <cell r="GB511">
            <v>585</v>
          </cell>
          <cell r="GC511">
            <v>539.5</v>
          </cell>
          <cell r="GD511">
            <v>461.5</v>
          </cell>
          <cell r="GE511">
            <v>409.5</v>
          </cell>
          <cell r="GF511">
            <v>422.5</v>
          </cell>
          <cell r="GG511">
            <v>448.5</v>
          </cell>
          <cell r="GH511">
            <v>513.5</v>
          </cell>
          <cell r="GI511">
            <v>643.5</v>
          </cell>
          <cell r="GJ511">
            <v>643.5</v>
          </cell>
          <cell r="GK511">
            <v>578.5</v>
          </cell>
          <cell r="GL511">
            <v>520</v>
          </cell>
          <cell r="GM511">
            <v>585</v>
          </cell>
          <cell r="GN511">
            <v>591.5</v>
          </cell>
          <cell r="GO511">
            <v>591.5</v>
          </cell>
          <cell r="GP511">
            <v>624</v>
          </cell>
          <cell r="GQ511">
            <v>663</v>
          </cell>
          <cell r="GR511">
            <v>611</v>
          </cell>
          <cell r="GS511">
            <v>650</v>
          </cell>
          <cell r="GT511">
            <v>676</v>
          </cell>
          <cell r="GU511">
            <v>624</v>
          </cell>
          <cell r="GV511">
            <v>507</v>
          </cell>
          <cell r="GW511">
            <v>507</v>
          </cell>
          <cell r="GX511">
            <v>537.94000000000005</v>
          </cell>
          <cell r="GY511">
            <v>572</v>
          </cell>
          <cell r="GZ511">
            <v>572</v>
          </cell>
          <cell r="HA511">
            <v>624</v>
          </cell>
          <cell r="HB511">
            <v>676</v>
          </cell>
          <cell r="HC511">
            <v>646.75</v>
          </cell>
          <cell r="HD511">
            <v>656.5</v>
          </cell>
          <cell r="HE511">
            <v>679.25</v>
          </cell>
          <cell r="HF511">
            <v>646.75</v>
          </cell>
          <cell r="HG511">
            <v>685.75</v>
          </cell>
          <cell r="HH511">
            <v>780</v>
          </cell>
          <cell r="HI511">
            <v>786.5</v>
          </cell>
          <cell r="HJ511">
            <v>793</v>
          </cell>
          <cell r="HK511">
            <v>754</v>
          </cell>
          <cell r="HL511">
            <v>780</v>
          </cell>
          <cell r="HM511">
            <v>825.5</v>
          </cell>
          <cell r="HN511">
            <v>877.5</v>
          </cell>
          <cell r="HO511">
            <v>955.5</v>
          </cell>
          <cell r="HP511">
            <v>1085.5</v>
          </cell>
          <cell r="HQ511">
            <v>1085.5</v>
          </cell>
          <cell r="HR511">
            <v>1046.5</v>
          </cell>
          <cell r="HS511">
            <v>1001</v>
          </cell>
          <cell r="HT511">
            <v>962</v>
          </cell>
          <cell r="HU511">
            <v>936</v>
          </cell>
          <cell r="HV511">
            <v>936</v>
          </cell>
          <cell r="HW511">
            <v>936</v>
          </cell>
          <cell r="HX511">
            <v>923</v>
          </cell>
          <cell r="HY511">
            <v>884</v>
          </cell>
          <cell r="HZ511">
            <v>871</v>
          </cell>
          <cell r="IA511">
            <v>845</v>
          </cell>
          <cell r="IB511">
            <v>845</v>
          </cell>
          <cell r="IC511">
            <v>832</v>
          </cell>
          <cell r="ID511">
            <v>832</v>
          </cell>
          <cell r="IE511">
            <v>819</v>
          </cell>
          <cell r="IF511">
            <v>819</v>
          </cell>
          <cell r="IG511">
            <v>819</v>
          </cell>
          <cell r="IH511">
            <v>695.5</v>
          </cell>
          <cell r="II511">
            <v>695.5</v>
          </cell>
          <cell r="IJ511">
            <v>669.5</v>
          </cell>
          <cell r="IK511">
            <v>656.5</v>
          </cell>
        </row>
        <row r="512">
          <cell r="X512">
            <v>116.85</v>
          </cell>
          <cell r="Y512">
            <v>116.85</v>
          </cell>
          <cell r="Z512">
            <v>104.55</v>
          </cell>
          <cell r="AA512">
            <v>104.55</v>
          </cell>
          <cell r="AB512">
            <v>104.55</v>
          </cell>
          <cell r="AC512">
            <v>92.25</v>
          </cell>
          <cell r="AD512">
            <v>92.25</v>
          </cell>
          <cell r="AE512">
            <v>92.25</v>
          </cell>
          <cell r="AF512">
            <v>92.25</v>
          </cell>
          <cell r="AG512">
            <v>92.25</v>
          </cell>
          <cell r="AH512">
            <v>92.25</v>
          </cell>
          <cell r="AI512">
            <v>86.1</v>
          </cell>
          <cell r="AJ512">
            <v>86.1</v>
          </cell>
          <cell r="AK512">
            <v>86.1</v>
          </cell>
          <cell r="AL512">
            <v>79.95</v>
          </cell>
          <cell r="AM512">
            <v>79.95</v>
          </cell>
          <cell r="AN512">
            <v>79.95</v>
          </cell>
          <cell r="AO512">
            <v>79.95</v>
          </cell>
          <cell r="AP512">
            <v>79.95</v>
          </cell>
          <cell r="AQ512">
            <v>79.95</v>
          </cell>
          <cell r="AR512">
            <v>79.95</v>
          </cell>
          <cell r="AS512">
            <v>79.95</v>
          </cell>
          <cell r="AT512">
            <v>79.95</v>
          </cell>
          <cell r="AU512">
            <v>67.650000000000006</v>
          </cell>
          <cell r="AV512">
            <v>67.650000000000006</v>
          </cell>
          <cell r="AW512">
            <v>67.650000000000006</v>
          </cell>
          <cell r="AX512">
            <v>64.575000000000003</v>
          </cell>
          <cell r="AY512">
            <v>64.575000000000003</v>
          </cell>
          <cell r="AZ512">
            <v>64.575000000000003</v>
          </cell>
          <cell r="BA512">
            <v>73.8</v>
          </cell>
          <cell r="BB512">
            <v>73.8</v>
          </cell>
          <cell r="BC512">
            <v>73.8</v>
          </cell>
          <cell r="BD512">
            <v>84.5625</v>
          </cell>
          <cell r="BE512">
            <v>84.5625</v>
          </cell>
          <cell r="BF512">
            <v>84.5625</v>
          </cell>
          <cell r="BG512">
            <v>109.16249999999999</v>
          </cell>
          <cell r="BH512">
            <v>109.16249999999999</v>
          </cell>
          <cell r="BI512">
            <v>109.16249999999999</v>
          </cell>
          <cell r="BJ512">
            <v>121.46250000000001</v>
          </cell>
          <cell r="BK512">
            <v>121.46250000000001</v>
          </cell>
          <cell r="BL512">
            <v>121.46250000000001</v>
          </cell>
          <cell r="BM512">
            <v>146.0625</v>
          </cell>
          <cell r="BN512">
            <v>146.0625</v>
          </cell>
          <cell r="BO512">
            <v>146.0625</v>
          </cell>
          <cell r="BP512">
            <v>164.51249999999999</v>
          </cell>
          <cell r="BQ512">
            <v>164.51249999999999</v>
          </cell>
          <cell r="BR512">
            <v>164.51249999999999</v>
          </cell>
          <cell r="BS512">
            <v>164.51249999999999</v>
          </cell>
          <cell r="BT512">
            <v>164.51249999999999</v>
          </cell>
          <cell r="BU512">
            <v>164.51249999999999</v>
          </cell>
          <cell r="BV512">
            <v>146.0625</v>
          </cell>
          <cell r="BW512">
            <v>146.0625</v>
          </cell>
          <cell r="BX512">
            <v>146.0625</v>
          </cell>
          <cell r="BY512">
            <v>126.075</v>
          </cell>
          <cell r="BZ512">
            <v>126.075</v>
          </cell>
          <cell r="CA512">
            <v>126.075</v>
          </cell>
          <cell r="CB512">
            <v>107.625</v>
          </cell>
          <cell r="CC512">
            <v>107.625</v>
          </cell>
          <cell r="CD512">
            <v>107.625</v>
          </cell>
          <cell r="CE512">
            <v>98.4</v>
          </cell>
          <cell r="CF512">
            <v>98.4</v>
          </cell>
          <cell r="CG512">
            <v>98.4</v>
          </cell>
          <cell r="CH512">
            <v>98.4</v>
          </cell>
          <cell r="CI512">
            <v>98.4</v>
          </cell>
          <cell r="CJ512">
            <v>98.4</v>
          </cell>
          <cell r="CK512">
            <v>110.7</v>
          </cell>
          <cell r="CL512">
            <v>106.08750000000001</v>
          </cell>
          <cell r="CM512">
            <v>106.08750000000001</v>
          </cell>
          <cell r="CN512">
            <v>110.7</v>
          </cell>
          <cell r="CO512">
            <v>112.2375</v>
          </cell>
          <cell r="CP512">
            <v>112.2375</v>
          </cell>
          <cell r="CQ512">
            <v>112.2375</v>
          </cell>
          <cell r="CR512">
            <v>112.2375</v>
          </cell>
          <cell r="CS512">
            <v>112.2375</v>
          </cell>
          <cell r="CT512">
            <v>112.2375</v>
          </cell>
          <cell r="CU512">
            <v>112.2375</v>
          </cell>
          <cell r="CV512">
            <v>112.2375</v>
          </cell>
          <cell r="CW512">
            <v>96.862499999999997</v>
          </cell>
          <cell r="CX512">
            <v>96.862499999999997</v>
          </cell>
          <cell r="CY512">
            <v>96.862499999999997</v>
          </cell>
          <cell r="CZ512">
            <v>87.637500000000003</v>
          </cell>
          <cell r="DA512">
            <v>87.637500000000003</v>
          </cell>
          <cell r="DB512">
            <v>87.637500000000003</v>
          </cell>
          <cell r="DC512">
            <v>75.337500000000006</v>
          </cell>
          <cell r="DD512">
            <v>75.337500000000006</v>
          </cell>
          <cell r="DE512">
            <v>75.337500000000006</v>
          </cell>
          <cell r="DF512">
            <v>67.650000000000006</v>
          </cell>
          <cell r="DG512">
            <v>67.650000000000006</v>
          </cell>
          <cell r="DH512">
            <v>67.650000000000006</v>
          </cell>
          <cell r="DI512">
            <v>67.650000000000006</v>
          </cell>
          <cell r="DJ512">
            <v>67.650000000000006</v>
          </cell>
          <cell r="DK512">
            <v>67.650000000000006</v>
          </cell>
          <cell r="DL512">
            <v>76.875</v>
          </cell>
          <cell r="DM512">
            <v>76.875</v>
          </cell>
          <cell r="DN512">
            <v>76.875</v>
          </cell>
          <cell r="DO512">
            <v>95.325000000000003</v>
          </cell>
          <cell r="DP512">
            <v>95.325000000000003</v>
          </cell>
          <cell r="DQ512">
            <v>95.325000000000003</v>
          </cell>
          <cell r="DR512">
            <v>101.47499999999999</v>
          </cell>
          <cell r="DS512">
            <v>101.47499999999999</v>
          </cell>
          <cell r="DT512">
            <v>101.47499999999999</v>
          </cell>
          <cell r="DU512">
            <v>106.08750000000001</v>
          </cell>
          <cell r="DV512">
            <v>106.08750000000001</v>
          </cell>
          <cell r="DW512">
            <v>106.08750000000001</v>
          </cell>
          <cell r="DX512">
            <v>118.3875</v>
          </cell>
          <cell r="DY512">
            <v>118.3875</v>
          </cell>
          <cell r="DZ512">
            <v>118.3875</v>
          </cell>
          <cell r="EA512">
            <v>127.6125</v>
          </cell>
          <cell r="EB512">
            <v>127.6125</v>
          </cell>
          <cell r="EC512">
            <v>127.6125</v>
          </cell>
          <cell r="ED512">
            <v>116.85</v>
          </cell>
          <cell r="EE512">
            <v>116.85</v>
          </cell>
          <cell r="EF512">
            <v>116.85</v>
          </cell>
          <cell r="EG512">
            <v>103.0125</v>
          </cell>
          <cell r="EH512">
            <v>103.0125</v>
          </cell>
          <cell r="EI512">
            <v>103.0125</v>
          </cell>
          <cell r="EJ512">
            <v>89.174999999999997</v>
          </cell>
          <cell r="EK512">
            <v>89.174999999999997</v>
          </cell>
          <cell r="EL512">
            <v>89.174999999999997</v>
          </cell>
          <cell r="EM512">
            <v>89.174999999999997</v>
          </cell>
          <cell r="EN512">
            <v>89.174999999999997</v>
          </cell>
          <cell r="EO512">
            <v>89.174999999999997</v>
          </cell>
          <cell r="EP512">
            <v>85.177499999999995</v>
          </cell>
          <cell r="EQ512">
            <v>85.177499999999995</v>
          </cell>
          <cell r="ER512">
            <v>85.177499999999995</v>
          </cell>
          <cell r="ES512">
            <v>86.1</v>
          </cell>
          <cell r="ET512">
            <v>86.1</v>
          </cell>
          <cell r="EU512">
            <v>86.1</v>
          </cell>
          <cell r="EV512">
            <v>110.7</v>
          </cell>
          <cell r="EW512">
            <v>110.7</v>
          </cell>
          <cell r="EX512">
            <v>110.7</v>
          </cell>
          <cell r="EY512">
            <v>135.30000000000001</v>
          </cell>
          <cell r="EZ512">
            <v>135.30000000000001</v>
          </cell>
          <cell r="FA512">
            <v>135.30000000000001</v>
          </cell>
          <cell r="FB512">
            <v>135.30000000000001</v>
          </cell>
          <cell r="FC512">
            <v>135.30000000000001</v>
          </cell>
          <cell r="FD512">
            <v>135.30000000000001</v>
          </cell>
          <cell r="FE512">
            <v>169.125</v>
          </cell>
          <cell r="FF512">
            <v>175.27500000000001</v>
          </cell>
          <cell r="FG512">
            <v>178.35</v>
          </cell>
          <cell r="FH512">
            <v>159.9</v>
          </cell>
          <cell r="FI512">
            <v>156.82499999999999</v>
          </cell>
          <cell r="FJ512">
            <v>153.75</v>
          </cell>
          <cell r="FK512">
            <v>150.67500000000001</v>
          </cell>
          <cell r="FL512">
            <v>147.6</v>
          </cell>
          <cell r="FM512">
            <v>144.52500000000001</v>
          </cell>
          <cell r="FN512">
            <v>175.27500000000001</v>
          </cell>
          <cell r="FO512">
            <v>175.27500000000001</v>
          </cell>
          <cell r="FP512">
            <v>175.27500000000001</v>
          </cell>
          <cell r="FQ512">
            <v>196.8</v>
          </cell>
          <cell r="FR512">
            <v>196.8</v>
          </cell>
          <cell r="FS512">
            <v>196.8</v>
          </cell>
          <cell r="FT512">
            <v>227.55</v>
          </cell>
          <cell r="FU512">
            <v>227.55</v>
          </cell>
          <cell r="FV512">
            <v>227.55</v>
          </cell>
          <cell r="FW512">
            <v>281.36250000000001</v>
          </cell>
          <cell r="FX512">
            <v>281.36250000000001</v>
          </cell>
          <cell r="FY512">
            <v>281.36250000000001</v>
          </cell>
          <cell r="FZ512">
            <v>282.89999999999998</v>
          </cell>
          <cell r="GA512">
            <v>282.89999999999998</v>
          </cell>
          <cell r="GB512">
            <v>282.89999999999998</v>
          </cell>
          <cell r="GC512">
            <v>233.7</v>
          </cell>
          <cell r="GD512">
            <v>233.7</v>
          </cell>
          <cell r="GE512">
            <v>233.7</v>
          </cell>
          <cell r="GF512">
            <v>202.95</v>
          </cell>
          <cell r="GG512">
            <v>202.95</v>
          </cell>
          <cell r="GH512">
            <v>202.95</v>
          </cell>
          <cell r="GI512">
            <v>236.77500000000001</v>
          </cell>
          <cell r="GJ512">
            <v>236.77500000000001</v>
          </cell>
          <cell r="GK512">
            <v>236.77500000000001</v>
          </cell>
          <cell r="GL512">
            <v>224.47499999999999</v>
          </cell>
          <cell r="GM512">
            <v>224.47499999999999</v>
          </cell>
          <cell r="GN512">
            <v>224.47499999999999</v>
          </cell>
          <cell r="GO512">
            <v>236.77500000000001</v>
          </cell>
          <cell r="GP512">
            <v>236.77500000000001</v>
          </cell>
          <cell r="GQ512">
            <v>236.77500000000001</v>
          </cell>
          <cell r="GR512">
            <v>249.07499999999999</v>
          </cell>
          <cell r="GS512">
            <v>249.07499999999999</v>
          </cell>
          <cell r="GT512">
            <v>249.07499999999999</v>
          </cell>
          <cell r="GU512">
            <v>252.15</v>
          </cell>
          <cell r="GV512">
            <v>252.15</v>
          </cell>
          <cell r="GW512">
            <v>252.15</v>
          </cell>
          <cell r="GX512">
            <v>249.07499999999999</v>
          </cell>
          <cell r="GY512">
            <v>249.07499999999999</v>
          </cell>
          <cell r="GZ512">
            <v>249.07499999999999</v>
          </cell>
          <cell r="HA512">
            <v>261.375</v>
          </cell>
          <cell r="HB512">
            <v>261.375</v>
          </cell>
          <cell r="HC512">
            <v>261.375</v>
          </cell>
          <cell r="HD512">
            <v>246</v>
          </cell>
          <cell r="HE512">
            <v>246</v>
          </cell>
          <cell r="HF512">
            <v>246</v>
          </cell>
          <cell r="HG512">
            <v>227.55</v>
          </cell>
          <cell r="HH512">
            <v>227.55</v>
          </cell>
          <cell r="HI512">
            <v>227.55</v>
          </cell>
          <cell r="HJ512">
            <v>227.55</v>
          </cell>
          <cell r="HK512">
            <v>227.55</v>
          </cell>
          <cell r="HL512">
            <v>227.55</v>
          </cell>
          <cell r="HM512">
            <v>246</v>
          </cell>
          <cell r="HN512">
            <v>246</v>
          </cell>
          <cell r="HO512">
            <v>246</v>
          </cell>
          <cell r="HP512">
            <v>246</v>
          </cell>
          <cell r="HQ512">
            <v>246</v>
          </cell>
          <cell r="HR512">
            <v>246</v>
          </cell>
          <cell r="HS512">
            <v>239.85</v>
          </cell>
          <cell r="HT512">
            <v>239.85</v>
          </cell>
          <cell r="HU512">
            <v>239.85</v>
          </cell>
          <cell r="HV512">
            <v>233.7</v>
          </cell>
          <cell r="HW512">
            <v>233.7</v>
          </cell>
          <cell r="HX512">
            <v>233.7</v>
          </cell>
          <cell r="HY512">
            <v>233.7</v>
          </cell>
          <cell r="HZ512">
            <v>233.7</v>
          </cell>
          <cell r="IA512">
            <v>233.7</v>
          </cell>
          <cell r="IB512">
            <v>227.55</v>
          </cell>
          <cell r="IC512">
            <v>227.55</v>
          </cell>
          <cell r="ID512">
            <v>227.55</v>
          </cell>
          <cell r="IE512">
            <v>227.55</v>
          </cell>
          <cell r="IF512">
            <v>227.55</v>
          </cell>
          <cell r="IG512">
            <v>227.55</v>
          </cell>
          <cell r="IH512">
            <v>246</v>
          </cell>
          <cell r="II512">
            <v>239.85</v>
          </cell>
          <cell r="IJ512">
            <v>239.85</v>
          </cell>
          <cell r="IK512">
            <v>239.85</v>
          </cell>
        </row>
        <row r="513">
          <cell r="X513">
            <v>23.522727272727273</v>
          </cell>
          <cell r="Y513">
            <v>24.306818181818183</v>
          </cell>
          <cell r="Z513">
            <v>23.78409090909091</v>
          </cell>
          <cell r="AA513">
            <v>22.738636363636363</v>
          </cell>
          <cell r="AB513">
            <v>22.738636363636363</v>
          </cell>
          <cell r="AC513">
            <v>22.738636363636363</v>
          </cell>
          <cell r="AD513">
            <v>22.477272727272727</v>
          </cell>
          <cell r="AE513">
            <v>21.431818181818183</v>
          </cell>
          <cell r="AF513">
            <v>20.386363636363637</v>
          </cell>
          <cell r="AG513">
            <v>19.34090909090909</v>
          </cell>
          <cell r="AH513">
            <v>21.170454545454547</v>
          </cell>
          <cell r="AI513">
            <v>23</v>
          </cell>
          <cell r="AJ513">
            <v>23.522727272727273</v>
          </cell>
          <cell r="AK513">
            <v>23.522727272727273</v>
          </cell>
          <cell r="AL513">
            <v>23.522727272727273</v>
          </cell>
          <cell r="AM513">
            <v>23</v>
          </cell>
          <cell r="AN513">
            <v>22.477272727272727</v>
          </cell>
          <cell r="AO513">
            <v>22.477272727272727</v>
          </cell>
          <cell r="AP513">
            <v>23.522727272727273</v>
          </cell>
          <cell r="AQ513">
            <v>24.568181818181817</v>
          </cell>
          <cell r="AR513">
            <v>24.568181818181817</v>
          </cell>
          <cell r="AS513">
            <v>25.09090909090909</v>
          </cell>
          <cell r="AT513">
            <v>25.09090909090909</v>
          </cell>
          <cell r="AU513">
            <v>25.09090909090909</v>
          </cell>
          <cell r="AV513">
            <v>26.65909090909091</v>
          </cell>
          <cell r="AW513">
            <v>27.704545454545453</v>
          </cell>
          <cell r="AX513">
            <v>27.704545454545453</v>
          </cell>
          <cell r="AY513">
            <v>28.75</v>
          </cell>
          <cell r="AZ513">
            <v>30.318181818181817</v>
          </cell>
          <cell r="BA513">
            <v>32.409090909090907</v>
          </cell>
          <cell r="BB513">
            <v>34.5</v>
          </cell>
          <cell r="BC513">
            <v>37.636363636363633</v>
          </cell>
          <cell r="BD513">
            <v>42.863636363636367</v>
          </cell>
          <cell r="BE513">
            <v>53.31818181818182</v>
          </cell>
          <cell r="BF513">
            <v>62.727272727272727</v>
          </cell>
          <cell r="BG513">
            <v>67.954545454545453</v>
          </cell>
          <cell r="BH513">
            <v>78.409090909090907</v>
          </cell>
          <cell r="BI513">
            <v>81.022727272727266</v>
          </cell>
          <cell r="BJ513">
            <v>81.022727272727266</v>
          </cell>
          <cell r="BK513">
            <v>81.022727272727266</v>
          </cell>
          <cell r="BL513">
            <v>47.045454545454547</v>
          </cell>
          <cell r="BM513">
            <v>28.75</v>
          </cell>
          <cell r="BN513">
            <v>26.136363636363637</v>
          </cell>
          <cell r="BO513">
            <v>23.522727272727273</v>
          </cell>
          <cell r="BP513">
            <v>23.522727272727273</v>
          </cell>
          <cell r="BQ513">
            <v>22.477272727272727</v>
          </cell>
          <cell r="BR513">
            <v>21.954545454545453</v>
          </cell>
          <cell r="BS513">
            <v>21.954545454545453</v>
          </cell>
          <cell r="BT513">
            <v>21.954545454545453</v>
          </cell>
          <cell r="BU513">
            <v>21.954545454545453</v>
          </cell>
          <cell r="BV513">
            <v>20.745738636363637</v>
          </cell>
          <cell r="BW513">
            <v>21.889204545454547</v>
          </cell>
          <cell r="BX513">
            <v>19.847301136363637</v>
          </cell>
          <cell r="BY513">
            <v>20.092329545454547</v>
          </cell>
          <cell r="BZ513">
            <v>20.90909090909091</v>
          </cell>
          <cell r="CA513">
            <v>21.889204545454547</v>
          </cell>
          <cell r="CB513">
            <v>24.176136363636363</v>
          </cell>
          <cell r="CC513">
            <v>25.074573863636363</v>
          </cell>
          <cell r="CD513">
            <v>24.829545454545453</v>
          </cell>
          <cell r="CE513">
            <v>24.91122159090909</v>
          </cell>
          <cell r="CF513">
            <v>25.15625</v>
          </cell>
          <cell r="CG513">
            <v>26.136363636363637</v>
          </cell>
          <cell r="CH513">
            <v>28.423295454545453</v>
          </cell>
          <cell r="CI513">
            <v>30.546875</v>
          </cell>
          <cell r="CJ513">
            <v>30.955255681818183</v>
          </cell>
          <cell r="CK513">
            <v>30.955255681818183</v>
          </cell>
          <cell r="CL513">
            <v>30.79190340909091</v>
          </cell>
          <cell r="CM513">
            <v>30.79190340909091</v>
          </cell>
          <cell r="CN513">
            <v>30.79190340909091</v>
          </cell>
          <cell r="CO513">
            <v>30.873579545454547</v>
          </cell>
          <cell r="CP513">
            <v>30.79190340909091</v>
          </cell>
          <cell r="CQ513">
            <v>30.628551136363637</v>
          </cell>
          <cell r="CR513">
            <v>30.546875</v>
          </cell>
          <cell r="CS513">
            <v>30.383522727272727</v>
          </cell>
          <cell r="CT513">
            <v>29.566761363636363</v>
          </cell>
          <cell r="CU513">
            <v>23.849431818181817</v>
          </cell>
          <cell r="CV513">
            <v>28.227272727272727</v>
          </cell>
          <cell r="CW513">
            <v>24.568181818181817</v>
          </cell>
          <cell r="CX513">
            <v>24.568181818181817</v>
          </cell>
          <cell r="CY513">
            <v>24.568181818181817</v>
          </cell>
          <cell r="CZ513">
            <v>22.477272727272727</v>
          </cell>
          <cell r="DA513">
            <v>22.477272727272727</v>
          </cell>
          <cell r="DB513">
            <v>22.477272727272727</v>
          </cell>
          <cell r="DC513">
            <v>17.25</v>
          </cell>
          <cell r="DD513">
            <v>17.25</v>
          </cell>
          <cell r="DE513">
            <v>17.25</v>
          </cell>
          <cell r="DF513">
            <v>15.577272727272728</v>
          </cell>
          <cell r="DG513">
            <v>15.577272727272728</v>
          </cell>
          <cell r="DH513">
            <v>15.577272727272728</v>
          </cell>
          <cell r="DI513">
            <v>18.190909090909088</v>
          </cell>
          <cell r="DJ513">
            <v>18.190909090909088</v>
          </cell>
          <cell r="DK513">
            <v>18.190909090909088</v>
          </cell>
          <cell r="DL513">
            <v>21.431818181818183</v>
          </cell>
          <cell r="DM513">
            <v>21.431818181818183</v>
          </cell>
          <cell r="DN513">
            <v>21.431818181818183</v>
          </cell>
          <cell r="DO513">
            <v>20.543181818181814</v>
          </cell>
          <cell r="DP513">
            <v>20.543181818181814</v>
          </cell>
          <cell r="DQ513">
            <v>20.543181818181814</v>
          </cell>
          <cell r="DR513">
            <v>19.602272727272727</v>
          </cell>
          <cell r="DS513">
            <v>19.602272727272727</v>
          </cell>
          <cell r="DT513">
            <v>19.602272727272727</v>
          </cell>
          <cell r="DU513">
            <v>26.136363636363637</v>
          </cell>
          <cell r="DV513">
            <v>26.136363636363637</v>
          </cell>
          <cell r="DW513">
            <v>26.136363636363637</v>
          </cell>
          <cell r="DX513">
            <v>34.5</v>
          </cell>
          <cell r="DY513">
            <v>34.5</v>
          </cell>
          <cell r="DZ513">
            <v>34.5</v>
          </cell>
          <cell r="EA513">
            <v>37.636363636363633</v>
          </cell>
          <cell r="EB513">
            <v>37.636363636363633</v>
          </cell>
          <cell r="EC513">
            <v>37.636363636363633</v>
          </cell>
          <cell r="ED513">
            <v>42.340909090909093</v>
          </cell>
          <cell r="EE513">
            <v>42.340909090909093</v>
          </cell>
          <cell r="EF513">
            <v>42.340909090909093</v>
          </cell>
          <cell r="EG513">
            <v>38.159090909090907</v>
          </cell>
          <cell r="EH513">
            <v>38.159090909090907</v>
          </cell>
          <cell r="EI513">
            <v>38.159090909090907</v>
          </cell>
          <cell r="EJ513">
            <v>24.411363636363639</v>
          </cell>
          <cell r="EK513">
            <v>24.411363636363639</v>
          </cell>
          <cell r="EL513">
            <v>24.411363636363639</v>
          </cell>
          <cell r="EM513">
            <v>19.497727272727271</v>
          </cell>
          <cell r="EN513">
            <v>19.497727272727271</v>
          </cell>
          <cell r="EO513">
            <v>19.497727272727271</v>
          </cell>
          <cell r="EP513">
            <v>19.445454545454549</v>
          </cell>
          <cell r="EQ513">
            <v>19.445454545454549</v>
          </cell>
          <cell r="ER513">
            <v>19.445454545454549</v>
          </cell>
          <cell r="ES513">
            <v>25.456818181818182</v>
          </cell>
          <cell r="ET513">
            <v>25.456818181818182</v>
          </cell>
          <cell r="EU513">
            <v>25.456818181818182</v>
          </cell>
          <cell r="EV513">
            <v>31.886363636363637</v>
          </cell>
          <cell r="EW513">
            <v>31.886363636363637</v>
          </cell>
          <cell r="EX513">
            <v>31.886363636363637</v>
          </cell>
          <cell r="EY513">
            <v>31.886363636363637</v>
          </cell>
          <cell r="EZ513">
            <v>31.886363636363637</v>
          </cell>
          <cell r="FA513">
            <v>31.886363636363637</v>
          </cell>
          <cell r="FB513">
            <v>36.06818181818182</v>
          </cell>
          <cell r="FC513">
            <v>41.295454545454547</v>
          </cell>
          <cell r="FD513">
            <v>43.072727272727278</v>
          </cell>
          <cell r="FE513">
            <v>42.915909090909082</v>
          </cell>
          <cell r="FF513">
            <v>42.915909090909082</v>
          </cell>
          <cell r="FG513">
            <v>42.602272727272727</v>
          </cell>
          <cell r="FH513">
            <v>39.936363636363645</v>
          </cell>
          <cell r="FI513">
            <v>37.218181818181819</v>
          </cell>
          <cell r="FJ513">
            <v>36.590909090909093</v>
          </cell>
          <cell r="FK513">
            <v>35.545454545454547</v>
          </cell>
          <cell r="FL513">
            <v>35.545454545454547</v>
          </cell>
          <cell r="FM513">
            <v>35.545454545454547</v>
          </cell>
          <cell r="FN513">
            <v>39.204545454545453</v>
          </cell>
          <cell r="FO513">
            <v>39.204545454545453</v>
          </cell>
          <cell r="FP513">
            <v>39.204545454545453</v>
          </cell>
          <cell r="FQ513">
            <v>39.204545454545453</v>
          </cell>
          <cell r="FR513">
            <v>39.204545454545453</v>
          </cell>
          <cell r="FS513">
            <v>42.340909090909093</v>
          </cell>
          <cell r="FT513">
            <v>43.909090909090907</v>
          </cell>
          <cell r="FU513">
            <v>43.909090909090907</v>
          </cell>
          <cell r="FV513">
            <v>43.909090909090907</v>
          </cell>
          <cell r="FW513">
            <v>43.909090909090907</v>
          </cell>
          <cell r="FX513">
            <v>47.045454545454547</v>
          </cell>
          <cell r="FY513">
            <v>49.659090909090907</v>
          </cell>
          <cell r="FZ513">
            <v>49.659090909090907</v>
          </cell>
          <cell r="GA513">
            <v>49.659090909090907</v>
          </cell>
          <cell r="GB513">
            <v>49.659090909090907</v>
          </cell>
          <cell r="GC513">
            <v>49.659090909090907</v>
          </cell>
          <cell r="GD513">
            <v>49.659090909090907</v>
          </cell>
          <cell r="GE513">
            <v>49.659090909090907</v>
          </cell>
          <cell r="GF513">
            <v>48.247727272727275</v>
          </cell>
          <cell r="GG513">
            <v>48.247727272727275</v>
          </cell>
          <cell r="GH513">
            <v>48.247727272727275</v>
          </cell>
          <cell r="GI513">
            <v>50.18181818181818</v>
          </cell>
          <cell r="GJ513">
            <v>50.18181818181818</v>
          </cell>
          <cell r="GK513">
            <v>53.31818181818182</v>
          </cell>
          <cell r="GL513">
            <v>53.31818181818182</v>
          </cell>
          <cell r="GM513">
            <v>55.93181818181818</v>
          </cell>
          <cell r="GN513">
            <v>55.93181818181818</v>
          </cell>
          <cell r="GO513">
            <v>55.93181818181818</v>
          </cell>
          <cell r="GP513">
            <v>53.840909090909093</v>
          </cell>
          <cell r="GQ513">
            <v>53.840909090909093</v>
          </cell>
          <cell r="GR513">
            <v>52.272727272727273</v>
          </cell>
          <cell r="GS513">
            <v>53.840909090909093</v>
          </cell>
          <cell r="GT513">
            <v>72.13636363636364</v>
          </cell>
          <cell r="GU513">
            <v>94.090909090909093</v>
          </cell>
          <cell r="GV513">
            <v>94.090909090909093</v>
          </cell>
          <cell r="GW513">
            <v>94.090909090909093</v>
          </cell>
          <cell r="GX513">
            <v>94.090909090909093</v>
          </cell>
          <cell r="GY513">
            <v>86.25</v>
          </cell>
          <cell r="GZ513">
            <v>81.022727272727266</v>
          </cell>
          <cell r="HA513">
            <v>53.840909090909093</v>
          </cell>
          <cell r="HB513">
            <v>52.795454545454547</v>
          </cell>
          <cell r="HC513">
            <v>52.795454545454547</v>
          </cell>
          <cell r="HD513">
            <v>48.613636363636367</v>
          </cell>
          <cell r="HE513">
            <v>48.613636363636367</v>
          </cell>
          <cell r="HF513">
            <v>50.18181818181818</v>
          </cell>
          <cell r="HG513">
            <v>88.86363636363636</v>
          </cell>
          <cell r="HH513">
            <v>107.15909090909091</v>
          </cell>
          <cell r="HI513">
            <v>146.36363636363637</v>
          </cell>
          <cell r="HJ513">
            <v>133.29545454545453</v>
          </cell>
          <cell r="HK513">
            <v>112.38636363636364</v>
          </cell>
          <cell r="HL513">
            <v>99.318181818181813</v>
          </cell>
          <cell r="HM513">
            <v>83.63636363636364</v>
          </cell>
          <cell r="HN513">
            <v>79.454545454545453</v>
          </cell>
          <cell r="HO513">
            <v>82.590909090909093</v>
          </cell>
          <cell r="HP513">
            <v>81.022727272727266</v>
          </cell>
          <cell r="HQ513">
            <v>78.409090909090907</v>
          </cell>
          <cell r="HR513">
            <v>78.409090909090907</v>
          </cell>
          <cell r="HS513">
            <v>65.340909090909093</v>
          </cell>
          <cell r="HT513">
            <v>65.340909090909093</v>
          </cell>
          <cell r="HU513">
            <v>65.340909090909093</v>
          </cell>
          <cell r="HV513">
            <v>60.113636363636367</v>
          </cell>
          <cell r="HW513">
            <v>60.113636363636367</v>
          </cell>
          <cell r="HX513">
            <v>60.113636363636367</v>
          </cell>
          <cell r="HY513">
            <v>57.5</v>
          </cell>
          <cell r="HZ513">
            <v>57.5</v>
          </cell>
          <cell r="IA513">
            <v>57.5</v>
          </cell>
          <cell r="IB513">
            <v>54.886363636363633</v>
          </cell>
          <cell r="IC513">
            <v>54.886363636363633</v>
          </cell>
          <cell r="ID513">
            <v>54.886363636363633</v>
          </cell>
          <cell r="IE513">
            <v>52.272727272727273</v>
          </cell>
          <cell r="IF513">
            <v>52.272727272727273</v>
          </cell>
          <cell r="IG513">
            <v>52.272727272727273</v>
          </cell>
          <cell r="IH513">
            <v>36.590909090909093</v>
          </cell>
          <cell r="II513">
            <v>33.977272727272727</v>
          </cell>
          <cell r="IJ513">
            <v>33.977272727272727</v>
          </cell>
          <cell r="IK513">
            <v>33.977272727272727</v>
          </cell>
        </row>
        <row r="515">
          <cell r="X515">
            <v>60.536000000000001</v>
          </cell>
          <cell r="Y515">
            <v>60.324500000000008</v>
          </cell>
          <cell r="Z515">
            <v>55.695</v>
          </cell>
          <cell r="AA515">
            <v>53.368500000000004</v>
          </cell>
          <cell r="AB515">
            <v>53.391999999999996</v>
          </cell>
          <cell r="AC515">
            <v>54.6845</v>
          </cell>
          <cell r="AD515">
            <v>56.353000000000002</v>
          </cell>
          <cell r="AE515">
            <v>58.773500000000006</v>
          </cell>
          <cell r="AF515">
            <v>61.734499999999997</v>
          </cell>
          <cell r="AG515">
            <v>60.488999999999997</v>
          </cell>
          <cell r="AH515">
            <v>57.786499999999997</v>
          </cell>
          <cell r="AI515">
            <v>52.804499999999997</v>
          </cell>
          <cell r="AJ515">
            <v>53.862000000000009</v>
          </cell>
          <cell r="AK515">
            <v>52.616500000000002</v>
          </cell>
          <cell r="AL515">
            <v>52.334499999999998</v>
          </cell>
          <cell r="AM515">
            <v>52.9925</v>
          </cell>
          <cell r="AN515">
            <v>53.58</v>
          </cell>
          <cell r="AO515">
            <v>54.543500000000002</v>
          </cell>
          <cell r="AP515">
            <v>55.671500000000009</v>
          </cell>
          <cell r="AQ515">
            <v>55.624500000000005</v>
          </cell>
          <cell r="AR515">
            <v>54.402500000000003</v>
          </cell>
          <cell r="AS515">
            <v>54.214500000000001</v>
          </cell>
          <cell r="AT515">
            <v>54.003</v>
          </cell>
          <cell r="AU515">
            <v>52.287500000000001</v>
          </cell>
          <cell r="AV515">
            <v>51.935000000000002</v>
          </cell>
          <cell r="AW515">
            <v>49.279499999999999</v>
          </cell>
          <cell r="AX515">
            <v>48.597999999999999</v>
          </cell>
          <cell r="AY515">
            <v>48.856499999999997</v>
          </cell>
          <cell r="AZ515">
            <v>52.781000000000006</v>
          </cell>
          <cell r="BA515">
            <v>55.883000000000003</v>
          </cell>
          <cell r="BB515">
            <v>59.008499999999998</v>
          </cell>
          <cell r="BC515">
            <v>58.186000000000007</v>
          </cell>
          <cell r="BD515">
            <v>60.606499999999997</v>
          </cell>
          <cell r="BE515">
            <v>66.457999999999998</v>
          </cell>
          <cell r="BF515">
            <v>76.586500000000001</v>
          </cell>
          <cell r="BG515">
            <v>75.529000000000011</v>
          </cell>
          <cell r="BH515">
            <v>72.709000000000003</v>
          </cell>
          <cell r="BI515">
            <v>73.084999999999994</v>
          </cell>
          <cell r="BJ515">
            <v>76.8215</v>
          </cell>
          <cell r="BK515">
            <v>81.380499999999998</v>
          </cell>
          <cell r="BL515">
            <v>83.096000000000004</v>
          </cell>
          <cell r="BM515">
            <v>85.587000000000003</v>
          </cell>
          <cell r="BN515">
            <v>87.091000000000008</v>
          </cell>
          <cell r="BO515">
            <v>84.858500000000006</v>
          </cell>
          <cell r="BP515">
            <v>79.524000000000001</v>
          </cell>
          <cell r="BQ515">
            <v>70.617500000000007</v>
          </cell>
          <cell r="BR515">
            <v>62.204499999999996</v>
          </cell>
          <cell r="BS515">
            <v>55.883000000000003</v>
          </cell>
          <cell r="BT515">
            <v>54.05</v>
          </cell>
          <cell r="BU515">
            <v>53.838500000000003</v>
          </cell>
          <cell r="BV515">
            <v>53.979500000000002</v>
          </cell>
          <cell r="BW515">
            <v>55.201499999999996</v>
          </cell>
          <cell r="BX515">
            <v>55.530500000000004</v>
          </cell>
          <cell r="BY515">
            <v>59.572499999999998</v>
          </cell>
          <cell r="BZ515">
            <v>60.418500000000002</v>
          </cell>
          <cell r="CA515">
            <v>60.065999999999995</v>
          </cell>
          <cell r="CB515">
            <v>60.301000000000002</v>
          </cell>
          <cell r="CC515">
            <v>59.196500000000007</v>
          </cell>
          <cell r="CD515">
            <v>61.6875</v>
          </cell>
          <cell r="CE515">
            <v>57.692500000000003</v>
          </cell>
          <cell r="CF515">
            <v>56.587999999999994</v>
          </cell>
          <cell r="CG515">
            <v>56.4</v>
          </cell>
          <cell r="CH515">
            <v>59.784000000000006</v>
          </cell>
          <cell r="CI515">
            <v>61.006</v>
          </cell>
          <cell r="CJ515">
            <v>59.22</v>
          </cell>
          <cell r="CK515">
            <v>57.434000000000005</v>
          </cell>
          <cell r="CL515">
            <v>56.681999999999995</v>
          </cell>
          <cell r="CM515">
            <v>54.097000000000001</v>
          </cell>
          <cell r="CN515">
            <v>54.449500000000008</v>
          </cell>
          <cell r="CO515">
            <v>55.836000000000006</v>
          </cell>
          <cell r="CP515">
            <v>56.823</v>
          </cell>
          <cell r="CQ515">
            <v>55.506999999999998</v>
          </cell>
          <cell r="CR515">
            <v>55.93</v>
          </cell>
          <cell r="CS515">
            <v>56.587999999999994</v>
          </cell>
          <cell r="CT515">
            <v>57.481000000000002</v>
          </cell>
          <cell r="CU515">
            <v>50.806999999999995</v>
          </cell>
          <cell r="CV515">
            <v>48.41</v>
          </cell>
          <cell r="CW515">
            <v>48.198500000000003</v>
          </cell>
          <cell r="CX515">
            <v>47.94</v>
          </cell>
          <cell r="CY515">
            <v>47.587499999999999</v>
          </cell>
          <cell r="CZ515">
            <v>47.305500000000002</v>
          </cell>
          <cell r="DA515">
            <v>45.918999999999997</v>
          </cell>
          <cell r="DB515">
            <v>45.073</v>
          </cell>
          <cell r="DC515">
            <v>45.026000000000003</v>
          </cell>
          <cell r="DD515">
            <v>47.234999999999999</v>
          </cell>
          <cell r="DE515">
            <v>47.94</v>
          </cell>
          <cell r="DF515">
            <v>48.292499999999997</v>
          </cell>
          <cell r="DG515">
            <v>47.869499999999995</v>
          </cell>
          <cell r="DH515">
            <v>47.258499999999998</v>
          </cell>
          <cell r="DI515">
            <v>48.104500000000002</v>
          </cell>
          <cell r="DJ515">
            <v>54.143999999999998</v>
          </cell>
          <cell r="DK515">
            <v>53.438999999999993</v>
          </cell>
          <cell r="DL515">
            <v>53.391999999999996</v>
          </cell>
          <cell r="DM515">
            <v>55.577500000000001</v>
          </cell>
          <cell r="DN515">
            <v>60.207000000000001</v>
          </cell>
          <cell r="DO515">
            <v>66.646000000000001</v>
          </cell>
          <cell r="DP515">
            <v>67.021999999999991</v>
          </cell>
          <cell r="DQ515">
            <v>68.76100000000001</v>
          </cell>
          <cell r="DR515">
            <v>72.286000000000001</v>
          </cell>
          <cell r="DS515">
            <v>76.727500000000006</v>
          </cell>
          <cell r="DT515">
            <v>83.636500000000012</v>
          </cell>
          <cell r="DU515">
            <v>83.800999999999988</v>
          </cell>
          <cell r="DV515">
            <v>81.122000000000014</v>
          </cell>
          <cell r="DW515">
            <v>82.156000000000006</v>
          </cell>
          <cell r="DX515">
            <v>85.07</v>
          </cell>
          <cell r="DY515">
            <v>81.8035</v>
          </cell>
          <cell r="DZ515">
            <v>82.578999999999994</v>
          </cell>
          <cell r="EA515">
            <v>77.220999999999989</v>
          </cell>
          <cell r="EB515">
            <v>72.426999999999992</v>
          </cell>
          <cell r="EC515">
            <v>75.035499999999999</v>
          </cell>
          <cell r="ED515">
            <v>80.510999999999996</v>
          </cell>
          <cell r="EE515">
            <v>78.372500000000002</v>
          </cell>
          <cell r="EF515">
            <v>69.983000000000004</v>
          </cell>
          <cell r="EG515">
            <v>66.457999999999998</v>
          </cell>
          <cell r="EH515">
            <v>66.1995</v>
          </cell>
          <cell r="EI515">
            <v>61.828499999999991</v>
          </cell>
          <cell r="EJ515">
            <v>52.381499999999996</v>
          </cell>
          <cell r="EK515">
            <v>50.665999999999997</v>
          </cell>
          <cell r="EL515">
            <v>52.804499999999997</v>
          </cell>
          <cell r="EM515">
            <v>54.1205</v>
          </cell>
          <cell r="EN515">
            <v>50.008000000000003</v>
          </cell>
          <cell r="EO515">
            <v>47.258499999999998</v>
          </cell>
          <cell r="EP515">
            <v>47.563999999999993</v>
          </cell>
          <cell r="EQ515">
            <v>50.524999999999999</v>
          </cell>
          <cell r="ER515">
            <v>54.755000000000003</v>
          </cell>
          <cell r="ES515">
            <v>64.86</v>
          </cell>
          <cell r="ET515">
            <v>64.272499999999994</v>
          </cell>
          <cell r="EU515">
            <v>69.09</v>
          </cell>
          <cell r="EV515">
            <v>73.084999999999994</v>
          </cell>
          <cell r="EW515">
            <v>69.654000000000011</v>
          </cell>
          <cell r="EX515">
            <v>68.502499999999998</v>
          </cell>
          <cell r="EY515">
            <v>67.5625</v>
          </cell>
          <cell r="EZ515">
            <v>65.870500000000007</v>
          </cell>
          <cell r="FA515">
            <v>71.204999999999998</v>
          </cell>
          <cell r="FB515">
            <v>77.879000000000005</v>
          </cell>
          <cell r="FC515">
            <v>88.712500000000006</v>
          </cell>
          <cell r="FD515">
            <v>92.825000000000003</v>
          </cell>
          <cell r="FE515">
            <v>89.675999999999988</v>
          </cell>
          <cell r="FF515">
            <v>74.588999999999999</v>
          </cell>
          <cell r="FG515">
            <v>74.988500000000002</v>
          </cell>
          <cell r="FH515">
            <v>74.001499999999993</v>
          </cell>
          <cell r="FI515">
            <v>77.338499999999996</v>
          </cell>
          <cell r="FJ515">
            <v>81.145499999999998</v>
          </cell>
          <cell r="FK515">
            <v>78.207999999999998</v>
          </cell>
          <cell r="FL515">
            <v>76.868499999999997</v>
          </cell>
          <cell r="FM515">
            <v>81.63900000000001</v>
          </cell>
          <cell r="FN515">
            <v>89.534999999999997</v>
          </cell>
          <cell r="FO515">
            <v>95.5745</v>
          </cell>
          <cell r="FP515">
            <v>95.41</v>
          </cell>
          <cell r="FQ515">
            <v>104.1285</v>
          </cell>
          <cell r="FR515">
            <v>103.071</v>
          </cell>
          <cell r="FS515">
            <v>111.1785</v>
          </cell>
          <cell r="FT515">
            <v>122.9285</v>
          </cell>
          <cell r="FU515">
            <v>142.43350000000001</v>
          </cell>
          <cell r="FV515">
            <v>145.089</v>
          </cell>
          <cell r="FW515">
            <v>142.26900000000001</v>
          </cell>
          <cell r="FX515">
            <v>146.405</v>
          </cell>
          <cell r="FY515">
            <v>135.19550000000001</v>
          </cell>
          <cell r="FZ515">
            <v>119.5915</v>
          </cell>
          <cell r="GA515">
            <v>130.51900000000001</v>
          </cell>
          <cell r="GB515">
            <v>145.3005</v>
          </cell>
          <cell r="GC515">
            <v>147.5095</v>
          </cell>
          <cell r="GD515">
            <v>124.1035</v>
          </cell>
          <cell r="GE515">
            <v>106.3845</v>
          </cell>
          <cell r="GF515">
            <v>122.95200000000001</v>
          </cell>
          <cell r="GG515">
            <v>119.85</v>
          </cell>
          <cell r="GH515">
            <v>127.44049999999999</v>
          </cell>
          <cell r="GI515">
            <v>144.76</v>
          </cell>
          <cell r="GJ515">
            <v>130.04900000000001</v>
          </cell>
          <cell r="GK515">
            <v>120.6725</v>
          </cell>
          <cell r="GL515">
            <v>125.10225</v>
          </cell>
          <cell r="GM515">
            <v>126.3642</v>
          </cell>
          <cell r="GN515">
            <v>118.69144999999999</v>
          </cell>
          <cell r="GO515">
            <v>119.21549999999999</v>
          </cell>
          <cell r="GP515">
            <v>125.88715000000001</v>
          </cell>
          <cell r="GQ515">
            <v>135.31299999999999</v>
          </cell>
          <cell r="GR515">
            <v>146.63999999999999</v>
          </cell>
          <cell r="GS515">
            <v>147.46250000000001</v>
          </cell>
          <cell r="GT515">
            <v>144.47799999999998</v>
          </cell>
          <cell r="GU515">
            <v>146.7105</v>
          </cell>
          <cell r="GV515">
            <v>137.19300000000001</v>
          </cell>
          <cell r="GW515">
            <v>130.84799999999998</v>
          </cell>
          <cell r="GX515">
            <v>134.9135</v>
          </cell>
          <cell r="GY515">
            <v>127.53450000000001</v>
          </cell>
          <cell r="GZ515">
            <v>134.63149999999999</v>
          </cell>
          <cell r="HA515">
            <v>142.03399999999999</v>
          </cell>
          <cell r="HB515">
            <v>155.7345</v>
          </cell>
          <cell r="HC515">
            <v>154.066</v>
          </cell>
          <cell r="HD515">
            <v>147.06299999999999</v>
          </cell>
          <cell r="HE515">
            <v>142.45699999999999</v>
          </cell>
          <cell r="HF515">
            <v>138.88499999999999</v>
          </cell>
          <cell r="HG515">
            <v>143.303</v>
          </cell>
          <cell r="HH515">
            <v>144.149</v>
          </cell>
          <cell r="HI515">
            <v>143.65550000000002</v>
          </cell>
          <cell r="HJ515">
            <v>144.64250000000001</v>
          </cell>
          <cell r="HK515">
            <v>151.10499999999999</v>
          </cell>
          <cell r="HL515">
            <v>161.39800000000002</v>
          </cell>
          <cell r="HM515">
            <v>157.96699999999998</v>
          </cell>
          <cell r="HN515">
            <v>164.47649999999999</v>
          </cell>
          <cell r="HO515">
            <v>176.69649999999999</v>
          </cell>
          <cell r="HP515">
            <v>178.2945</v>
          </cell>
          <cell r="HQ515">
            <v>180.95</v>
          </cell>
          <cell r="HR515">
            <v>178.6</v>
          </cell>
          <cell r="HS515">
            <v>176.25</v>
          </cell>
          <cell r="HT515">
            <v>171.55</v>
          </cell>
          <cell r="HU515">
            <v>169.2</v>
          </cell>
          <cell r="HV515">
            <v>169.2</v>
          </cell>
          <cell r="HW515">
            <v>171.55</v>
          </cell>
          <cell r="HX515">
            <v>169.2</v>
          </cell>
          <cell r="HY515">
            <v>166.85</v>
          </cell>
          <cell r="HZ515">
            <v>162.15</v>
          </cell>
          <cell r="IA515">
            <v>159.80000000000001</v>
          </cell>
          <cell r="IB515">
            <v>159.80000000000001</v>
          </cell>
          <cell r="IC515">
            <v>155.1</v>
          </cell>
          <cell r="ID515">
            <v>155.1</v>
          </cell>
          <cell r="IE515">
            <v>155.1</v>
          </cell>
          <cell r="IF515">
            <v>157.44999999999999</v>
          </cell>
          <cell r="IG515">
            <v>157.44999999999999</v>
          </cell>
          <cell r="IH515">
            <v>143.35</v>
          </cell>
          <cell r="II515">
            <v>143.35</v>
          </cell>
          <cell r="IJ515">
            <v>143.35</v>
          </cell>
          <cell r="IK515">
            <v>143.35</v>
          </cell>
        </row>
        <row r="516">
          <cell r="X516">
            <v>73.599999999999994</v>
          </cell>
          <cell r="Y516">
            <v>73.599999999999994</v>
          </cell>
          <cell r="Z516">
            <v>75.900000000000006</v>
          </cell>
          <cell r="AA516">
            <v>73.599999999999994</v>
          </cell>
          <cell r="AB516">
            <v>71.3</v>
          </cell>
          <cell r="AC516">
            <v>71.3</v>
          </cell>
          <cell r="AD516">
            <v>71.3</v>
          </cell>
          <cell r="AE516">
            <v>69</v>
          </cell>
          <cell r="AF516">
            <v>69</v>
          </cell>
          <cell r="AG516">
            <v>69</v>
          </cell>
          <cell r="AH516">
            <v>69</v>
          </cell>
          <cell r="AI516">
            <v>69</v>
          </cell>
          <cell r="AJ516">
            <v>69</v>
          </cell>
          <cell r="AK516">
            <v>69</v>
          </cell>
          <cell r="AL516">
            <v>71.3</v>
          </cell>
          <cell r="AM516">
            <v>71.3</v>
          </cell>
          <cell r="AN516">
            <v>71.3</v>
          </cell>
          <cell r="AO516">
            <v>70.150000000000006</v>
          </cell>
          <cell r="AP516">
            <v>70.150000000000006</v>
          </cell>
          <cell r="AQ516">
            <v>70.150000000000006</v>
          </cell>
          <cell r="AR516">
            <v>70.150000000000006</v>
          </cell>
          <cell r="AS516">
            <v>72.45</v>
          </cell>
          <cell r="AT516">
            <v>72.45</v>
          </cell>
          <cell r="AU516">
            <v>72.45</v>
          </cell>
          <cell r="AV516">
            <v>72.45</v>
          </cell>
          <cell r="AW516">
            <v>72.45</v>
          </cell>
          <cell r="AX516">
            <v>72.45</v>
          </cell>
          <cell r="AY516">
            <v>72.45</v>
          </cell>
          <cell r="AZ516">
            <v>72.45</v>
          </cell>
          <cell r="BA516">
            <v>72.45</v>
          </cell>
          <cell r="BB516">
            <v>72.45</v>
          </cell>
          <cell r="BC516">
            <v>72.45</v>
          </cell>
          <cell r="BD516">
            <v>74.75</v>
          </cell>
          <cell r="BE516">
            <v>75.900000000000006</v>
          </cell>
          <cell r="BF516">
            <v>77.05</v>
          </cell>
          <cell r="BG516">
            <v>79.349999999999994</v>
          </cell>
          <cell r="BH516">
            <v>80.5</v>
          </cell>
          <cell r="BI516">
            <v>83.95</v>
          </cell>
          <cell r="BJ516">
            <v>87.4</v>
          </cell>
          <cell r="BK516">
            <v>89.7</v>
          </cell>
          <cell r="BL516">
            <v>90.85</v>
          </cell>
          <cell r="BM516">
            <v>93.15</v>
          </cell>
          <cell r="BN516">
            <v>95.45</v>
          </cell>
          <cell r="BO516">
            <v>95.45</v>
          </cell>
          <cell r="BP516">
            <v>95.45</v>
          </cell>
          <cell r="BQ516">
            <v>95.45</v>
          </cell>
          <cell r="BR516">
            <v>95.45</v>
          </cell>
          <cell r="BS516">
            <v>92</v>
          </cell>
          <cell r="BT516">
            <v>92</v>
          </cell>
          <cell r="BU516">
            <v>90.85</v>
          </cell>
          <cell r="BV516">
            <v>88.55</v>
          </cell>
          <cell r="BW516">
            <v>87.4</v>
          </cell>
          <cell r="BX516">
            <v>82.8</v>
          </cell>
          <cell r="BY516">
            <v>78.2</v>
          </cell>
          <cell r="BZ516">
            <v>71.3</v>
          </cell>
          <cell r="CA516">
            <v>69</v>
          </cell>
          <cell r="CB516">
            <v>73.599999999999994</v>
          </cell>
          <cell r="CC516">
            <v>73.599999999999994</v>
          </cell>
          <cell r="CD516">
            <v>73.599999999999994</v>
          </cell>
          <cell r="CE516">
            <v>73.599999999999994</v>
          </cell>
          <cell r="CF516">
            <v>73.599999999999994</v>
          </cell>
          <cell r="CG516">
            <v>73.599999999999994</v>
          </cell>
          <cell r="CH516">
            <v>75.900000000000006</v>
          </cell>
          <cell r="CI516">
            <v>75.900000000000006</v>
          </cell>
          <cell r="CJ516">
            <v>75.900000000000006</v>
          </cell>
          <cell r="CK516">
            <v>78.2</v>
          </cell>
          <cell r="CL516">
            <v>78.2</v>
          </cell>
          <cell r="CM516">
            <v>78.2</v>
          </cell>
          <cell r="CN516">
            <v>75.900000000000006</v>
          </cell>
          <cell r="CO516">
            <v>75.900000000000006</v>
          </cell>
          <cell r="CP516">
            <v>75.900000000000006</v>
          </cell>
          <cell r="CQ516">
            <v>75.900000000000006</v>
          </cell>
          <cell r="CR516">
            <v>75.900000000000006</v>
          </cell>
          <cell r="CS516">
            <v>75.900000000000006</v>
          </cell>
          <cell r="CT516">
            <v>75.900000000000006</v>
          </cell>
          <cell r="CU516">
            <v>75.900000000000006</v>
          </cell>
          <cell r="CV516">
            <v>75.900000000000006</v>
          </cell>
          <cell r="CW516">
            <v>75.900000000000006</v>
          </cell>
          <cell r="CX516">
            <v>73.599999999999994</v>
          </cell>
          <cell r="CY516">
            <v>73.599999999999994</v>
          </cell>
          <cell r="CZ516">
            <v>73.599999999999994</v>
          </cell>
          <cell r="DA516">
            <v>73.599999999999994</v>
          </cell>
          <cell r="DB516">
            <v>73.599999999999994</v>
          </cell>
          <cell r="DC516">
            <v>73.599999999999994</v>
          </cell>
          <cell r="DD516">
            <v>71.3</v>
          </cell>
          <cell r="DE516">
            <v>71.3</v>
          </cell>
          <cell r="DF516">
            <v>78.775000000000006</v>
          </cell>
          <cell r="DG516">
            <v>78.775000000000006</v>
          </cell>
          <cell r="DH516">
            <v>77.625</v>
          </cell>
          <cell r="DI516">
            <v>78.775000000000006</v>
          </cell>
          <cell r="DJ516">
            <v>77.05</v>
          </cell>
          <cell r="DK516">
            <v>77.05</v>
          </cell>
          <cell r="DL516">
            <v>77.05</v>
          </cell>
          <cell r="DM516">
            <v>82.8</v>
          </cell>
          <cell r="DN516">
            <v>82.8</v>
          </cell>
          <cell r="DO516">
            <v>86.25</v>
          </cell>
          <cell r="DP516">
            <v>86.25</v>
          </cell>
          <cell r="DQ516">
            <v>86.25</v>
          </cell>
          <cell r="DR516">
            <v>90.85</v>
          </cell>
          <cell r="DS516">
            <v>90.85</v>
          </cell>
          <cell r="DT516">
            <v>90.85</v>
          </cell>
          <cell r="DU516">
            <v>97.75</v>
          </cell>
          <cell r="DV516">
            <v>97.75</v>
          </cell>
          <cell r="DW516">
            <v>97.75</v>
          </cell>
          <cell r="DX516">
            <v>109.25</v>
          </cell>
          <cell r="DY516">
            <v>109.25</v>
          </cell>
          <cell r="DZ516">
            <v>109.25</v>
          </cell>
          <cell r="EA516">
            <v>110.4</v>
          </cell>
          <cell r="EB516">
            <v>110.4</v>
          </cell>
          <cell r="EC516">
            <v>110.4</v>
          </cell>
          <cell r="ED516">
            <v>117.3</v>
          </cell>
          <cell r="EE516">
            <v>117.3</v>
          </cell>
          <cell r="EF516">
            <v>117.3</v>
          </cell>
          <cell r="EG516">
            <v>113.27500000000001</v>
          </cell>
          <cell r="EH516">
            <v>113.27500000000001</v>
          </cell>
          <cell r="EI516">
            <v>113.27500000000001</v>
          </cell>
          <cell r="EJ516">
            <v>108.1</v>
          </cell>
          <cell r="EK516">
            <v>108.1</v>
          </cell>
          <cell r="EL516">
            <v>105.8</v>
          </cell>
          <cell r="EM516">
            <v>101.2</v>
          </cell>
          <cell r="EN516">
            <v>101.2</v>
          </cell>
          <cell r="EO516">
            <v>101.2</v>
          </cell>
          <cell r="EP516">
            <v>87.4</v>
          </cell>
          <cell r="EQ516">
            <v>87.4</v>
          </cell>
          <cell r="ER516">
            <v>87.4</v>
          </cell>
          <cell r="ES516">
            <v>82.8</v>
          </cell>
          <cell r="ET516">
            <v>82.8</v>
          </cell>
          <cell r="EU516">
            <v>82.8</v>
          </cell>
          <cell r="EV516">
            <v>85.1</v>
          </cell>
          <cell r="EW516">
            <v>85.1</v>
          </cell>
          <cell r="EX516">
            <v>85.1</v>
          </cell>
          <cell r="EY516">
            <v>89.7</v>
          </cell>
          <cell r="EZ516">
            <v>89.7</v>
          </cell>
          <cell r="FA516">
            <v>89.7</v>
          </cell>
          <cell r="FB516">
            <v>94.3</v>
          </cell>
          <cell r="FC516">
            <v>94.3</v>
          </cell>
          <cell r="FD516">
            <v>94.3</v>
          </cell>
          <cell r="FE516">
            <v>98.9</v>
          </cell>
          <cell r="FF516">
            <v>98.9</v>
          </cell>
          <cell r="FG516">
            <v>98.9</v>
          </cell>
          <cell r="FH516">
            <v>108.1</v>
          </cell>
          <cell r="FI516">
            <v>108.1</v>
          </cell>
          <cell r="FJ516">
            <v>108.1</v>
          </cell>
          <cell r="FK516">
            <v>105.8</v>
          </cell>
          <cell r="FL516">
            <v>105.8</v>
          </cell>
          <cell r="FM516">
            <v>105.8</v>
          </cell>
          <cell r="FN516">
            <v>105.8</v>
          </cell>
          <cell r="FO516">
            <v>105.8</v>
          </cell>
          <cell r="FP516">
            <v>105.8</v>
          </cell>
          <cell r="FQ516">
            <v>108.1</v>
          </cell>
          <cell r="FR516">
            <v>108.1</v>
          </cell>
          <cell r="FS516">
            <v>108.1</v>
          </cell>
          <cell r="FT516">
            <v>110.4</v>
          </cell>
          <cell r="FU516">
            <v>110.4</v>
          </cell>
          <cell r="FV516">
            <v>110.4</v>
          </cell>
          <cell r="FW516">
            <v>115</v>
          </cell>
          <cell r="FX516">
            <v>115</v>
          </cell>
          <cell r="FY516">
            <v>115</v>
          </cell>
          <cell r="FZ516">
            <v>115</v>
          </cell>
          <cell r="GA516">
            <v>115</v>
          </cell>
          <cell r="GB516">
            <v>115</v>
          </cell>
          <cell r="GC516">
            <v>115</v>
          </cell>
          <cell r="GD516">
            <v>115</v>
          </cell>
          <cell r="GE516">
            <v>115</v>
          </cell>
          <cell r="GF516">
            <v>115</v>
          </cell>
          <cell r="GG516">
            <v>115</v>
          </cell>
          <cell r="GH516">
            <v>115</v>
          </cell>
          <cell r="GI516">
            <v>115</v>
          </cell>
          <cell r="GJ516">
            <v>115</v>
          </cell>
          <cell r="GK516">
            <v>115</v>
          </cell>
          <cell r="GL516">
            <v>115</v>
          </cell>
          <cell r="GM516">
            <v>115</v>
          </cell>
          <cell r="GN516">
            <v>115</v>
          </cell>
          <cell r="GO516">
            <v>115</v>
          </cell>
          <cell r="GP516">
            <v>115</v>
          </cell>
          <cell r="GQ516">
            <v>115</v>
          </cell>
          <cell r="GR516">
            <v>115</v>
          </cell>
          <cell r="GS516">
            <v>115</v>
          </cell>
          <cell r="GT516">
            <v>115</v>
          </cell>
          <cell r="GU516">
            <v>115</v>
          </cell>
          <cell r="GV516">
            <v>115</v>
          </cell>
          <cell r="GW516">
            <v>115</v>
          </cell>
          <cell r="GX516">
            <v>115</v>
          </cell>
          <cell r="GY516">
            <v>115</v>
          </cell>
          <cell r="GZ516">
            <v>115</v>
          </cell>
          <cell r="HA516">
            <v>115</v>
          </cell>
          <cell r="HB516">
            <v>115</v>
          </cell>
          <cell r="HC516">
            <v>115</v>
          </cell>
          <cell r="HD516">
            <v>115</v>
          </cell>
          <cell r="HE516">
            <v>115</v>
          </cell>
          <cell r="HF516">
            <v>115</v>
          </cell>
          <cell r="HG516">
            <v>115</v>
          </cell>
          <cell r="HH516">
            <v>115</v>
          </cell>
          <cell r="HI516">
            <v>115</v>
          </cell>
          <cell r="HJ516">
            <v>115</v>
          </cell>
          <cell r="HK516">
            <v>115</v>
          </cell>
          <cell r="HL516">
            <v>115</v>
          </cell>
          <cell r="HM516">
            <v>115</v>
          </cell>
          <cell r="HN516">
            <v>115</v>
          </cell>
          <cell r="HO516">
            <v>115</v>
          </cell>
          <cell r="HP516">
            <v>115</v>
          </cell>
          <cell r="HQ516">
            <v>115</v>
          </cell>
          <cell r="HR516">
            <v>115</v>
          </cell>
          <cell r="HS516">
            <v>115</v>
          </cell>
          <cell r="HT516">
            <v>115</v>
          </cell>
          <cell r="HU516">
            <v>115</v>
          </cell>
          <cell r="HV516">
            <v>115</v>
          </cell>
          <cell r="HW516">
            <v>115</v>
          </cell>
          <cell r="HX516">
            <v>115</v>
          </cell>
          <cell r="HY516">
            <v>115</v>
          </cell>
          <cell r="HZ516">
            <v>115</v>
          </cell>
          <cell r="IA516">
            <v>115</v>
          </cell>
          <cell r="IB516">
            <v>115</v>
          </cell>
          <cell r="IC516">
            <v>115</v>
          </cell>
          <cell r="ID516">
            <v>115</v>
          </cell>
          <cell r="IE516">
            <v>115</v>
          </cell>
          <cell r="IF516">
            <v>115</v>
          </cell>
          <cell r="IG516">
            <v>115</v>
          </cell>
          <cell r="IH516">
            <v>115</v>
          </cell>
          <cell r="II516">
            <v>115</v>
          </cell>
          <cell r="IJ516">
            <v>115</v>
          </cell>
          <cell r="IK516">
            <v>115</v>
          </cell>
        </row>
        <row r="517">
          <cell r="X517">
            <v>16.276824034334766</v>
          </cell>
          <cell r="Y517">
            <v>16.716738197424892</v>
          </cell>
          <cell r="Z517">
            <v>12.669527896995708</v>
          </cell>
          <cell r="AA517">
            <v>10.73390557939914</v>
          </cell>
          <cell r="AB517">
            <v>11.261802575107296</v>
          </cell>
          <cell r="AC517">
            <v>12.845493562231759</v>
          </cell>
          <cell r="AD517">
            <v>13.989270386266094</v>
          </cell>
          <cell r="AE517">
            <v>14.517167381974247</v>
          </cell>
          <cell r="AF517">
            <v>14.781115879828326</v>
          </cell>
          <cell r="AG517">
            <v>16.980686695278969</v>
          </cell>
          <cell r="AH517">
            <v>19.092274678111586</v>
          </cell>
          <cell r="AI517">
            <v>20.939914163090126</v>
          </cell>
          <cell r="AJ517">
            <v>21.37982832618026</v>
          </cell>
          <cell r="AK517">
            <v>20.763948497854074</v>
          </cell>
          <cell r="AL517">
            <v>18.388412017167379</v>
          </cell>
          <cell r="AM517">
            <v>15.396995708154506</v>
          </cell>
          <cell r="AN517">
            <v>18.564377682403432</v>
          </cell>
          <cell r="AO517">
            <v>20.587982832618025</v>
          </cell>
          <cell r="AP517">
            <v>24.987124463519311</v>
          </cell>
          <cell r="AQ517">
            <v>19.972103004291846</v>
          </cell>
          <cell r="AR517">
            <v>18.300429184549355</v>
          </cell>
          <cell r="AS517">
            <v>19.62017167381974</v>
          </cell>
          <cell r="AT517">
            <v>21.731759656652361</v>
          </cell>
          <cell r="AU517">
            <v>19.268240343347639</v>
          </cell>
          <cell r="AV517">
            <v>19.444206008583691</v>
          </cell>
          <cell r="AW517">
            <v>22.171673819742491</v>
          </cell>
          <cell r="AX517">
            <v>18.916309012875534</v>
          </cell>
          <cell r="AY517">
            <v>20.939914163090126</v>
          </cell>
          <cell r="AZ517">
            <v>21.115879828326179</v>
          </cell>
          <cell r="BA517">
            <v>18.124463519313306</v>
          </cell>
          <cell r="BB517">
            <v>18.916309012875534</v>
          </cell>
          <cell r="BC517">
            <v>16.276824034334766</v>
          </cell>
          <cell r="BD517">
            <v>17.948497854077253</v>
          </cell>
          <cell r="BE517">
            <v>16.540772532188839</v>
          </cell>
          <cell r="BF517">
            <v>14.077253218884122</v>
          </cell>
          <cell r="BG517">
            <v>13.02145922746781</v>
          </cell>
          <cell r="BH517">
            <v>15.660944206008583</v>
          </cell>
          <cell r="BI517">
            <v>15.660944206008583</v>
          </cell>
          <cell r="BJ517">
            <v>14.86909871244635</v>
          </cell>
          <cell r="BK517">
            <v>13.109442060085836</v>
          </cell>
          <cell r="BL517">
            <v>13.285407725321889</v>
          </cell>
          <cell r="BM517">
            <v>14.253218884120171</v>
          </cell>
          <cell r="BN517">
            <v>15.221030042918454</v>
          </cell>
          <cell r="BO517">
            <v>15.74892703862661</v>
          </cell>
          <cell r="BP517">
            <v>13.813304721030043</v>
          </cell>
          <cell r="BQ517">
            <v>12.845493562231759</v>
          </cell>
          <cell r="BR517">
            <v>14.693133047210299</v>
          </cell>
          <cell r="BS517">
            <v>15.045064377682403</v>
          </cell>
          <cell r="BT517">
            <v>16.276824034334766</v>
          </cell>
          <cell r="BU517">
            <v>19.62017167381974</v>
          </cell>
          <cell r="BV517">
            <v>20.060085836909867</v>
          </cell>
          <cell r="BW517">
            <v>17.596566523605151</v>
          </cell>
          <cell r="BX517">
            <v>18.740343347639485</v>
          </cell>
          <cell r="BY517">
            <v>20.939914163090126</v>
          </cell>
          <cell r="BZ517">
            <v>20.060085836909867</v>
          </cell>
          <cell r="CA517">
            <v>21.291845493562231</v>
          </cell>
          <cell r="CB517">
            <v>23.579399141630901</v>
          </cell>
          <cell r="CC517">
            <v>20.587982832618025</v>
          </cell>
          <cell r="CD517">
            <v>16.36480686695279</v>
          </cell>
          <cell r="CE517">
            <v>16.716738197424892</v>
          </cell>
          <cell r="CF517">
            <v>23.843347639484978</v>
          </cell>
          <cell r="CG517">
            <v>33.345493562231759</v>
          </cell>
          <cell r="CH517">
            <v>33.873390557939913</v>
          </cell>
          <cell r="CI517">
            <v>25.603004291845494</v>
          </cell>
          <cell r="CJ517">
            <v>15.924892703862662</v>
          </cell>
          <cell r="CK517">
            <v>16.628755364806864</v>
          </cell>
          <cell r="CL517">
            <v>19.268240343347639</v>
          </cell>
          <cell r="CM517">
            <v>21.027896995708154</v>
          </cell>
          <cell r="CN517">
            <v>19.708154506437769</v>
          </cell>
          <cell r="CO517">
            <v>19.972103004291846</v>
          </cell>
          <cell r="CP517">
            <v>23.2274678111588</v>
          </cell>
          <cell r="CQ517">
            <v>28.154506437768244</v>
          </cell>
          <cell r="CR517">
            <v>29.474248927038623</v>
          </cell>
          <cell r="CS517">
            <v>22.523605150214593</v>
          </cell>
          <cell r="CT517">
            <v>20.412017167381972</v>
          </cell>
          <cell r="CU517">
            <v>18.476394849785407</v>
          </cell>
          <cell r="CV517">
            <v>20.5</v>
          </cell>
          <cell r="CW517">
            <v>21.027896995708154</v>
          </cell>
          <cell r="CX517">
            <v>20.851931330472102</v>
          </cell>
          <cell r="CY517">
            <v>18.916309012875534</v>
          </cell>
          <cell r="CZ517">
            <v>21.731759656652361</v>
          </cell>
          <cell r="DA517">
            <v>18.036480686695278</v>
          </cell>
          <cell r="DB517">
            <v>14.517167381974247</v>
          </cell>
          <cell r="DC517">
            <v>18.740343347639485</v>
          </cell>
          <cell r="DD517">
            <v>18.740343347639485</v>
          </cell>
          <cell r="DE517">
            <v>19.356223175965667</v>
          </cell>
          <cell r="DF517">
            <v>16.628755364806864</v>
          </cell>
          <cell r="DG517">
            <v>16.80472103004292</v>
          </cell>
          <cell r="DH517">
            <v>15.309012875536482</v>
          </cell>
          <cell r="DI517">
            <v>20</v>
          </cell>
          <cell r="DJ517">
            <v>20</v>
          </cell>
          <cell r="DK517">
            <v>20</v>
          </cell>
          <cell r="DL517">
            <v>20</v>
          </cell>
          <cell r="DM517">
            <v>20</v>
          </cell>
          <cell r="DN517">
            <v>20</v>
          </cell>
          <cell r="DO517">
            <v>20</v>
          </cell>
          <cell r="DP517">
            <v>20</v>
          </cell>
          <cell r="DQ517">
            <v>20</v>
          </cell>
          <cell r="DR517">
            <v>20</v>
          </cell>
          <cell r="DS517">
            <v>20</v>
          </cell>
          <cell r="DT517">
            <v>20</v>
          </cell>
          <cell r="DU517">
            <v>20</v>
          </cell>
          <cell r="DV517">
            <v>20</v>
          </cell>
          <cell r="DW517">
            <v>20</v>
          </cell>
          <cell r="DX517">
            <v>20</v>
          </cell>
          <cell r="DY517">
            <v>20</v>
          </cell>
          <cell r="DZ517">
            <v>20</v>
          </cell>
          <cell r="EA517">
            <v>20</v>
          </cell>
          <cell r="EB517">
            <v>20</v>
          </cell>
          <cell r="EC517">
            <v>20</v>
          </cell>
          <cell r="ED517">
            <v>20</v>
          </cell>
          <cell r="EE517">
            <v>20</v>
          </cell>
          <cell r="EF517">
            <v>20</v>
          </cell>
          <cell r="EG517">
            <v>20</v>
          </cell>
          <cell r="EH517">
            <v>20</v>
          </cell>
          <cell r="EI517">
            <v>20</v>
          </cell>
          <cell r="EJ517">
            <v>20</v>
          </cell>
          <cell r="EK517">
            <v>20</v>
          </cell>
          <cell r="EL517">
            <v>20</v>
          </cell>
          <cell r="EM517">
            <v>20</v>
          </cell>
          <cell r="EN517">
            <v>20</v>
          </cell>
          <cell r="EO517">
            <v>20</v>
          </cell>
          <cell r="EP517">
            <v>20</v>
          </cell>
          <cell r="EQ517">
            <v>20</v>
          </cell>
          <cell r="ER517">
            <v>20</v>
          </cell>
          <cell r="ES517">
            <v>20</v>
          </cell>
          <cell r="ET517">
            <v>20</v>
          </cell>
          <cell r="EU517">
            <v>20</v>
          </cell>
          <cell r="EV517">
            <v>20</v>
          </cell>
          <cell r="EW517">
            <v>20</v>
          </cell>
          <cell r="EX517">
            <v>20</v>
          </cell>
          <cell r="EY517">
            <v>20</v>
          </cell>
          <cell r="EZ517">
            <v>20</v>
          </cell>
          <cell r="FA517">
            <v>20</v>
          </cell>
          <cell r="FB517">
            <v>20</v>
          </cell>
          <cell r="FC517">
            <v>20</v>
          </cell>
          <cell r="FD517">
            <v>20</v>
          </cell>
          <cell r="FE517">
            <v>20</v>
          </cell>
          <cell r="FF517">
            <v>20</v>
          </cell>
          <cell r="FG517">
            <v>20</v>
          </cell>
          <cell r="FH517">
            <v>20</v>
          </cell>
          <cell r="FI517">
            <v>20</v>
          </cell>
          <cell r="FJ517">
            <v>20</v>
          </cell>
          <cell r="FK517">
            <v>20</v>
          </cell>
          <cell r="FL517">
            <v>20</v>
          </cell>
          <cell r="FM517">
            <v>20</v>
          </cell>
          <cell r="FN517">
            <v>20</v>
          </cell>
          <cell r="FO517">
            <v>20</v>
          </cell>
          <cell r="FP517">
            <v>20</v>
          </cell>
          <cell r="FQ517">
            <v>20</v>
          </cell>
          <cell r="FR517">
            <v>20</v>
          </cell>
          <cell r="FS517">
            <v>20</v>
          </cell>
          <cell r="FT517">
            <v>20</v>
          </cell>
          <cell r="FU517">
            <v>20</v>
          </cell>
          <cell r="FV517">
            <v>20</v>
          </cell>
          <cell r="FW517">
            <v>20</v>
          </cell>
          <cell r="FX517">
            <v>20</v>
          </cell>
          <cell r="FY517">
            <v>20</v>
          </cell>
          <cell r="FZ517">
            <v>20</v>
          </cell>
          <cell r="GA517">
            <v>20</v>
          </cell>
          <cell r="GB517">
            <v>20</v>
          </cell>
          <cell r="GC517">
            <v>20</v>
          </cell>
          <cell r="GD517">
            <v>20</v>
          </cell>
          <cell r="GE517">
            <v>20</v>
          </cell>
          <cell r="GF517">
            <v>20</v>
          </cell>
          <cell r="GG517">
            <v>20</v>
          </cell>
          <cell r="GH517">
            <v>20</v>
          </cell>
          <cell r="GI517">
            <v>20</v>
          </cell>
          <cell r="GJ517">
            <v>20</v>
          </cell>
          <cell r="GK517">
            <v>20</v>
          </cell>
          <cell r="GL517">
            <v>20</v>
          </cell>
          <cell r="GM517">
            <v>20</v>
          </cell>
          <cell r="GN517">
            <v>20</v>
          </cell>
          <cell r="GO517">
            <v>20</v>
          </cell>
          <cell r="GP517">
            <v>20</v>
          </cell>
          <cell r="GQ517">
            <v>20</v>
          </cell>
          <cell r="GR517">
            <v>20</v>
          </cell>
          <cell r="GS517">
            <v>20</v>
          </cell>
          <cell r="GT517">
            <v>20</v>
          </cell>
          <cell r="GU517">
            <v>20</v>
          </cell>
          <cell r="GV517">
            <v>20</v>
          </cell>
          <cell r="GW517">
            <v>20</v>
          </cell>
          <cell r="GX517">
            <v>20</v>
          </cell>
          <cell r="GY517">
            <v>20</v>
          </cell>
          <cell r="GZ517">
            <v>20</v>
          </cell>
          <cell r="HA517">
            <v>20</v>
          </cell>
          <cell r="HB517">
            <v>20</v>
          </cell>
          <cell r="HC517">
            <v>20</v>
          </cell>
          <cell r="HD517">
            <v>20</v>
          </cell>
          <cell r="HE517">
            <v>20</v>
          </cell>
          <cell r="HF517">
            <v>20</v>
          </cell>
          <cell r="HG517">
            <v>50</v>
          </cell>
          <cell r="HH517">
            <v>50</v>
          </cell>
          <cell r="HI517">
            <v>50</v>
          </cell>
          <cell r="HJ517">
            <v>20</v>
          </cell>
          <cell r="HK517">
            <v>20</v>
          </cell>
          <cell r="HL517">
            <v>20</v>
          </cell>
          <cell r="HM517">
            <v>20</v>
          </cell>
          <cell r="HN517">
            <v>20</v>
          </cell>
          <cell r="HO517">
            <v>20</v>
          </cell>
          <cell r="HP517">
            <v>20</v>
          </cell>
          <cell r="HQ517">
            <v>20</v>
          </cell>
          <cell r="HR517">
            <v>20</v>
          </cell>
          <cell r="HS517">
            <v>20</v>
          </cell>
          <cell r="HT517">
            <v>20</v>
          </cell>
          <cell r="HU517">
            <v>20</v>
          </cell>
          <cell r="HV517">
            <v>20</v>
          </cell>
          <cell r="HW517">
            <v>20</v>
          </cell>
          <cell r="HX517">
            <v>20</v>
          </cell>
          <cell r="HY517">
            <v>20</v>
          </cell>
          <cell r="HZ517">
            <v>20</v>
          </cell>
          <cell r="IA517">
            <v>20</v>
          </cell>
          <cell r="IB517">
            <v>20</v>
          </cell>
          <cell r="IC517">
            <v>20</v>
          </cell>
          <cell r="ID517">
            <v>20</v>
          </cell>
          <cell r="IE517">
            <v>20</v>
          </cell>
          <cell r="IF517">
            <v>20</v>
          </cell>
          <cell r="IG517">
            <v>20</v>
          </cell>
          <cell r="IH517">
            <v>20</v>
          </cell>
          <cell r="II517">
            <v>20</v>
          </cell>
          <cell r="IJ517">
            <v>20</v>
          </cell>
          <cell r="IK517">
            <v>20</v>
          </cell>
        </row>
        <row r="518">
          <cell r="X518">
            <v>453.28555130706201</v>
          </cell>
          <cell r="Y518">
            <v>454.29805637924312</v>
          </cell>
          <cell r="Z518">
            <v>454.59861880608668</v>
          </cell>
          <cell r="AA518">
            <v>433.99104194303555</v>
          </cell>
          <cell r="AB518">
            <v>432.2424389387437</v>
          </cell>
          <cell r="AC518">
            <v>422.81862992586815</v>
          </cell>
          <cell r="AD518">
            <v>431.86954311353884</v>
          </cell>
          <cell r="AE518">
            <v>434.72248556379247</v>
          </cell>
          <cell r="AF518">
            <v>440.151979516192</v>
          </cell>
          <cell r="AG518">
            <v>436.810595786188</v>
          </cell>
          <cell r="AH518">
            <v>434.79922922356616</v>
          </cell>
          <cell r="AI518">
            <v>420.84441416309016</v>
          </cell>
          <cell r="AJ518">
            <v>416.36455559890754</v>
          </cell>
          <cell r="AK518">
            <v>411.25317577058132</v>
          </cell>
          <cell r="AL518">
            <v>404.7456392898946</v>
          </cell>
          <cell r="AM518">
            <v>401.88949570815453</v>
          </cell>
          <cell r="AN518">
            <v>405.12165040967614</v>
          </cell>
          <cell r="AO518">
            <v>410.20875555989079</v>
          </cell>
          <cell r="AP518">
            <v>420.03135173624651</v>
          </cell>
          <cell r="AQ518">
            <v>416.01478482247364</v>
          </cell>
          <cell r="AR518">
            <v>413.12111100273114</v>
          </cell>
          <cell r="AS518">
            <v>410.57558076472878</v>
          </cell>
          <cell r="AT518">
            <v>409.22566874756137</v>
          </cell>
          <cell r="AU518">
            <v>389.49664943425677</v>
          </cell>
          <cell r="AV518">
            <v>387.63829691767461</v>
          </cell>
          <cell r="AW518">
            <v>385.50571927428791</v>
          </cell>
          <cell r="AX518">
            <v>378.49385446742099</v>
          </cell>
          <cell r="AY518">
            <v>381.82141416309008</v>
          </cell>
          <cell r="AZ518">
            <v>393.99006164650797</v>
          </cell>
          <cell r="BA518">
            <v>411.9165544284042</v>
          </cell>
          <cell r="BB518">
            <v>424.42480901287553</v>
          </cell>
          <cell r="BC518">
            <v>437.09918767069837</v>
          </cell>
          <cell r="BD518">
            <v>465.98113421771359</v>
          </cell>
          <cell r="BE518">
            <v>495.02945435037066</v>
          </cell>
          <cell r="BF518">
            <v>526.25352594615686</v>
          </cell>
          <cell r="BG518">
            <v>569.26750468201328</v>
          </cell>
          <cell r="BH518">
            <v>593.69153511509955</v>
          </cell>
          <cell r="BI518">
            <v>613.13117147873595</v>
          </cell>
          <cell r="BJ518">
            <v>644.82582598517354</v>
          </cell>
          <cell r="BK518">
            <v>662.92516933281308</v>
          </cell>
          <cell r="BL518">
            <v>644.9893622707765</v>
          </cell>
          <cell r="BM518">
            <v>670.05271888412017</v>
          </cell>
          <cell r="BN518">
            <v>672.21089367928209</v>
          </cell>
          <cell r="BO518">
            <v>667.89265431135391</v>
          </cell>
          <cell r="BP518">
            <v>679.07253199375725</v>
          </cell>
          <cell r="BQ518">
            <v>655.1527662895046</v>
          </cell>
          <cell r="BR518">
            <v>622.06467850175568</v>
          </cell>
          <cell r="BS518">
            <v>593.14510983222772</v>
          </cell>
          <cell r="BT518">
            <v>573.04386948888032</v>
          </cell>
          <cell r="BU518">
            <v>562.02571712836516</v>
          </cell>
          <cell r="BV518">
            <v>527.64782447327354</v>
          </cell>
          <cell r="BW518">
            <v>526.39977106905974</v>
          </cell>
          <cell r="BX518">
            <v>521.23064448400316</v>
          </cell>
          <cell r="BY518">
            <v>516.12974370854465</v>
          </cell>
          <cell r="BZ518">
            <v>523.01267674600081</v>
          </cell>
          <cell r="CA518">
            <v>529.07205003901674</v>
          </cell>
          <cell r="CB518">
            <v>520.03153550526724</v>
          </cell>
          <cell r="CC518">
            <v>523.33405669625449</v>
          </cell>
          <cell r="CD518">
            <v>521.3568523214982</v>
          </cell>
          <cell r="CE518">
            <v>508.57045978833389</v>
          </cell>
          <cell r="CF518">
            <v>514.8375976394849</v>
          </cell>
          <cell r="CG518">
            <v>531.63185719859541</v>
          </cell>
          <cell r="CH518">
            <v>546.6306860124854</v>
          </cell>
          <cell r="CI518">
            <v>548.20587929184546</v>
          </cell>
          <cell r="CJ518">
            <v>537.15014838568072</v>
          </cell>
          <cell r="CK518">
            <v>550.668011046625</v>
          </cell>
          <cell r="CL518">
            <v>547.77964375243857</v>
          </cell>
          <cell r="CM518">
            <v>546.95430040479903</v>
          </cell>
          <cell r="CN518">
            <v>548.29955791552868</v>
          </cell>
          <cell r="CO518">
            <v>551.56918254974642</v>
          </cell>
          <cell r="CP518">
            <v>545.97987122024972</v>
          </cell>
          <cell r="CQ518">
            <v>536.42755757413181</v>
          </cell>
          <cell r="CR518">
            <v>528.33862392703861</v>
          </cell>
          <cell r="CS518">
            <v>512.13262787748738</v>
          </cell>
          <cell r="CT518">
            <v>500.34727853101839</v>
          </cell>
          <cell r="CU518">
            <v>473.0203266679672</v>
          </cell>
          <cell r="CV518">
            <v>464.02477272727276</v>
          </cell>
          <cell r="CW518">
            <v>438.80707881389003</v>
          </cell>
          <cell r="CX518">
            <v>429.57261314865389</v>
          </cell>
          <cell r="CY518">
            <v>424.03449083105738</v>
          </cell>
          <cell r="CZ518">
            <v>415.2520323839251</v>
          </cell>
          <cell r="DA518">
            <v>403.67025341396794</v>
          </cell>
          <cell r="DB518">
            <v>399.3049401092469</v>
          </cell>
          <cell r="DC518">
            <v>379.45384334763946</v>
          </cell>
          <cell r="DD518">
            <v>376.11284334763951</v>
          </cell>
          <cell r="DE518">
            <v>374.18372317596572</v>
          </cell>
          <cell r="DF518">
            <v>366.67352809207961</v>
          </cell>
          <cell r="DG518">
            <v>363.17649375731565</v>
          </cell>
          <cell r="DH518">
            <v>359.91978560280927</v>
          </cell>
          <cell r="DI518">
            <v>369.22040909090913</v>
          </cell>
          <cell r="DJ518">
            <v>380.03490909090908</v>
          </cell>
          <cell r="DK518">
            <v>392.3299090909091</v>
          </cell>
          <cell r="DL518">
            <v>417.74881818181819</v>
          </cell>
          <cell r="DM518">
            <v>438.68431818181818</v>
          </cell>
          <cell r="DN518">
            <v>462.81381818181819</v>
          </cell>
          <cell r="DO518">
            <v>509.76418181818184</v>
          </cell>
          <cell r="DP518">
            <v>523.14018181818187</v>
          </cell>
          <cell r="DQ518">
            <v>524.87918181818191</v>
          </cell>
          <cell r="DR518">
            <v>538.21327272727274</v>
          </cell>
          <cell r="DS518">
            <v>555.65477272727276</v>
          </cell>
          <cell r="DT518">
            <v>588.56377272727275</v>
          </cell>
          <cell r="DU518">
            <v>632.77486363636353</v>
          </cell>
          <cell r="DV518">
            <v>656.09586363636367</v>
          </cell>
          <cell r="DW518">
            <v>670.12986363636355</v>
          </cell>
          <cell r="DX518">
            <v>705.20749999999998</v>
          </cell>
          <cell r="DY518">
            <v>675.94100000000003</v>
          </cell>
          <cell r="DZ518">
            <v>657.2165</v>
          </cell>
          <cell r="EA518">
            <v>665.36986363636356</v>
          </cell>
          <cell r="EB518">
            <v>660.57586363636358</v>
          </cell>
          <cell r="EC518">
            <v>656.68436363636363</v>
          </cell>
          <cell r="ED518">
            <v>656.50190909090907</v>
          </cell>
          <cell r="EE518">
            <v>647.86340909090916</v>
          </cell>
          <cell r="EF518">
            <v>632.97390909090916</v>
          </cell>
          <cell r="EG518">
            <v>581.40459090909087</v>
          </cell>
          <cell r="EH518">
            <v>568.14609090909096</v>
          </cell>
          <cell r="EI518">
            <v>537.77509090909086</v>
          </cell>
          <cell r="EJ518">
            <v>479.31786363636365</v>
          </cell>
          <cell r="EK518">
            <v>477.60236363636363</v>
          </cell>
          <cell r="EL518">
            <v>493.6908636363637</v>
          </cell>
          <cell r="EM518">
            <v>511.49322727272727</v>
          </cell>
          <cell r="EN518">
            <v>507.38072727272726</v>
          </cell>
          <cell r="EO518">
            <v>478.63122727272724</v>
          </cell>
          <cell r="EP518">
            <v>448.08695454545455</v>
          </cell>
          <cell r="EQ518">
            <v>451.04795454545456</v>
          </cell>
          <cell r="ER518">
            <v>465.02795454545458</v>
          </cell>
          <cell r="ES518">
            <v>503.46681818181821</v>
          </cell>
          <cell r="ET518">
            <v>528.87931818181823</v>
          </cell>
          <cell r="EU518">
            <v>546.69681818181812</v>
          </cell>
          <cell r="EV518">
            <v>584.02136363636362</v>
          </cell>
          <cell r="EW518">
            <v>580.59036363636358</v>
          </cell>
          <cell r="EX518">
            <v>563.18886363636364</v>
          </cell>
          <cell r="EY518">
            <v>591.44886363636363</v>
          </cell>
          <cell r="EZ518">
            <v>583.25686363636362</v>
          </cell>
          <cell r="FA518">
            <v>582.09136363636367</v>
          </cell>
          <cell r="FB518">
            <v>623.5471818181818</v>
          </cell>
          <cell r="FC518">
            <v>665.6079545454545</v>
          </cell>
          <cell r="FD518">
            <v>723.49772727272727</v>
          </cell>
          <cell r="FE518">
            <v>758.61690909090896</v>
          </cell>
          <cell r="FF518">
            <v>717.17990909090906</v>
          </cell>
          <cell r="FG518">
            <v>687.84077272727279</v>
          </cell>
          <cell r="FH518">
            <v>648.93786363636366</v>
          </cell>
          <cell r="FI518">
            <v>646.48168181818176</v>
          </cell>
          <cell r="FJ518">
            <v>659.58640909090911</v>
          </cell>
          <cell r="FK518">
            <v>643.7284545454545</v>
          </cell>
          <cell r="FL518">
            <v>645.81395454545452</v>
          </cell>
          <cell r="FM518">
            <v>660.50945454545445</v>
          </cell>
          <cell r="FN518">
            <v>738.5645454545454</v>
          </cell>
          <cell r="FO518">
            <v>796.60404545454548</v>
          </cell>
          <cell r="FP518">
            <v>835.4395454545454</v>
          </cell>
          <cell r="FQ518">
            <v>867.9830454545455</v>
          </cell>
          <cell r="FR518">
            <v>866.9255454545455</v>
          </cell>
          <cell r="FS518">
            <v>878.16940909090908</v>
          </cell>
          <cell r="FT518">
            <v>914.7875909090908</v>
          </cell>
          <cell r="FU518">
            <v>940.79259090909079</v>
          </cell>
          <cell r="FV518">
            <v>982.44809090909087</v>
          </cell>
          <cell r="FW518">
            <v>1077.040590909091</v>
          </cell>
          <cell r="FX518">
            <v>1136.3129545454544</v>
          </cell>
          <cell r="FY518">
            <v>1179.7170909090908</v>
          </cell>
          <cell r="FZ518">
            <v>1165.6505909090909</v>
          </cell>
          <cell r="GA518">
            <v>1209.0780909090909</v>
          </cell>
          <cell r="GB518">
            <v>1197.8595909090909</v>
          </cell>
          <cell r="GC518">
            <v>1105.3685909090909</v>
          </cell>
          <cell r="GD518">
            <v>1003.962590909091</v>
          </cell>
          <cell r="GE518">
            <v>934.24359090909093</v>
          </cell>
          <cell r="GF518">
            <v>931.64972727272732</v>
          </cell>
          <cell r="GG518">
            <v>954.54772727272734</v>
          </cell>
          <cell r="GH518">
            <v>1027.1382272727274</v>
          </cell>
          <cell r="GI518">
            <v>1210.2168181818181</v>
          </cell>
          <cell r="GJ518">
            <v>1195.5058181818181</v>
          </cell>
          <cell r="GK518">
            <v>1124.2656818181817</v>
          </cell>
          <cell r="GL518">
            <v>1057.8954318181818</v>
          </cell>
          <cell r="GM518">
            <v>1126.7710181818181</v>
          </cell>
          <cell r="GN518">
            <v>1125.5982681818182</v>
          </cell>
          <cell r="GO518">
            <v>1138.4223181818181</v>
          </cell>
          <cell r="GP518">
            <v>1175.5030590909091</v>
          </cell>
          <cell r="GQ518">
            <v>1223.9289090909092</v>
          </cell>
          <cell r="GR518">
            <v>1193.9877272727272</v>
          </cell>
          <cell r="GS518">
            <v>1235.3784090909091</v>
          </cell>
          <cell r="GT518">
            <v>1276.6893636363636</v>
          </cell>
          <cell r="GU518">
            <v>1251.951409090909</v>
          </cell>
          <cell r="GV518">
            <v>1125.4339090909091</v>
          </cell>
          <cell r="GW518">
            <v>1119.0889090909091</v>
          </cell>
          <cell r="GX518">
            <v>1151.0194090909092</v>
          </cell>
          <cell r="GY518">
            <v>1169.8595</v>
          </cell>
          <cell r="GZ518">
            <v>1171.7292272727273</v>
          </cell>
          <cell r="HA518">
            <v>1216.2499090909091</v>
          </cell>
          <cell r="HB518">
            <v>1280.9049545454545</v>
          </cell>
          <cell r="HC518">
            <v>1249.9864545454545</v>
          </cell>
          <cell r="HD518">
            <v>1233.1766363636364</v>
          </cell>
          <cell r="HE518">
            <v>1251.3206363636364</v>
          </cell>
          <cell r="HF518">
            <v>1216.8168181818182</v>
          </cell>
          <cell r="HG518">
            <v>1310.4666363636363</v>
          </cell>
          <cell r="HH518">
            <v>1423.8580909090911</v>
          </cell>
          <cell r="HI518">
            <v>1469.0691363636363</v>
          </cell>
          <cell r="HJ518">
            <v>1433.4879545454544</v>
          </cell>
          <cell r="HK518">
            <v>1380.0413636363637</v>
          </cell>
          <cell r="HL518">
            <v>1403.2661818181818</v>
          </cell>
          <cell r="HM518">
            <v>1448.1033636363636</v>
          </cell>
          <cell r="HN518">
            <v>1502.4310454545455</v>
          </cell>
          <cell r="HO518">
            <v>1595.787409090909</v>
          </cell>
          <cell r="HP518">
            <v>1725.8172272727272</v>
          </cell>
          <cell r="HQ518">
            <v>1725.859090909091</v>
          </cell>
          <cell r="HR518">
            <v>1684.5090909090909</v>
          </cell>
          <cell r="HS518">
            <v>1617.4409090909089</v>
          </cell>
          <cell r="HT518">
            <v>1573.7409090909089</v>
          </cell>
          <cell r="HU518">
            <v>1545.390909090909</v>
          </cell>
          <cell r="HV518">
            <v>1534.0136363636364</v>
          </cell>
          <cell r="HW518">
            <v>1536.3636363636363</v>
          </cell>
          <cell r="HX518">
            <v>1521.0136363636364</v>
          </cell>
          <cell r="HY518">
            <v>1477.05</v>
          </cell>
          <cell r="HZ518">
            <v>1459.3500000000001</v>
          </cell>
          <cell r="IA518">
            <v>1431</v>
          </cell>
          <cell r="IB518">
            <v>1422.2363636363636</v>
          </cell>
          <cell r="IC518">
            <v>1404.5363636363636</v>
          </cell>
          <cell r="ID518">
            <v>1404.5363636363636</v>
          </cell>
          <cell r="IE518">
            <v>1388.9227272727271</v>
          </cell>
          <cell r="IF518">
            <v>1391.2727272727273</v>
          </cell>
          <cell r="IG518">
            <v>1391.2727272727273</v>
          </cell>
          <cell r="IH518">
            <v>1256.4409090909091</v>
          </cell>
          <cell r="II518">
            <v>1247.6772727272728</v>
          </cell>
          <cell r="IJ518">
            <v>1221.6772727272728</v>
          </cell>
          <cell r="IK518">
            <v>1208.6772727272728</v>
          </cell>
        </row>
        <row r="519">
          <cell r="X519">
            <v>0.73824638431280043</v>
          </cell>
          <cell r="Y519">
            <v>0.73989540711196256</v>
          </cell>
          <cell r="Z519">
            <v>0.74038492001224732</v>
          </cell>
          <cell r="AA519">
            <v>0.70682225942285259</v>
          </cell>
          <cell r="AB519">
            <v>0.70397438606400708</v>
          </cell>
          <cell r="AC519">
            <v>0.68862623982341153</v>
          </cell>
          <cell r="AD519">
            <v>0.7033670669163109</v>
          </cell>
          <cell r="AE519">
            <v>0.70801352970886855</v>
          </cell>
          <cell r="AF519">
            <v>0.71685630942564771</v>
          </cell>
          <cell r="AG519">
            <v>0.71141434364896661</v>
          </cell>
          <cell r="AH519">
            <v>0.70813851875646439</v>
          </cell>
          <cell r="AI519">
            <v>0.68541092081639365</v>
          </cell>
          <cell r="AJ519">
            <v>0.67811477078976246</v>
          </cell>
          <cell r="AK519">
            <v>0.6697900896561364</v>
          </cell>
          <cell r="AL519">
            <v>0.65919154914718414</v>
          </cell>
          <cell r="AM519">
            <v>0.65453987281155468</v>
          </cell>
          <cell r="AN519">
            <v>0.6598039420391254</v>
          </cell>
          <cell r="AO519">
            <v>0.66808908806448586</v>
          </cell>
          <cell r="AP519">
            <v>0.68408672154485917</v>
          </cell>
          <cell r="AQ519">
            <v>0.67754511439922449</v>
          </cell>
          <cell r="AR519">
            <v>0.67283231420375034</v>
          </cell>
          <cell r="AS519">
            <v>0.66868652025786934</v>
          </cell>
          <cell r="AT519">
            <v>0.66648797750057076</v>
          </cell>
          <cell r="AU519">
            <v>0.63435618522948189</v>
          </cell>
          <cell r="AV519">
            <v>0.63132956763227543</v>
          </cell>
          <cell r="AW519">
            <v>0.62785633154531695</v>
          </cell>
          <cell r="AX519">
            <v>0.61643641351344247</v>
          </cell>
          <cell r="AY519">
            <v>0.62185586468904064</v>
          </cell>
          <cell r="AZ519">
            <v>0.64167440949089072</v>
          </cell>
          <cell r="BA519">
            <v>0.67087050550913641</v>
          </cell>
          <cell r="BB519">
            <v>0.69124215356723784</v>
          </cell>
          <cell r="BC519">
            <v>0.71188436064965732</v>
          </cell>
          <cell r="BD519">
            <v>0.75892312583590027</v>
          </cell>
          <cell r="BE519">
            <v>0.80623285641623321</v>
          </cell>
          <cell r="BF519">
            <v>0.85708613839851744</v>
          </cell>
          <cell r="BG519">
            <v>0.92714112732346221</v>
          </cell>
          <cell r="BH519">
            <v>0.96691947919366616</v>
          </cell>
          <cell r="BI519">
            <v>0.99857996609078437</v>
          </cell>
          <cell r="BJ519">
            <v>1.0501996659112414</v>
          </cell>
          <cell r="BK519">
            <v>1.0796772760982456</v>
          </cell>
          <cell r="BL519">
            <v>1.0504660103186514</v>
          </cell>
          <cell r="BM519">
            <v>1.0912856048219166</v>
          </cell>
          <cell r="BN519">
            <v>1.0948005298722499</v>
          </cell>
          <cell r="BO519">
            <v>1.0877676019733178</v>
          </cell>
          <cell r="BP519">
            <v>1.105975780575734</v>
          </cell>
          <cell r="BQ519">
            <v>1.0670187026502309</v>
          </cell>
          <cell r="BR519">
            <v>1.013129578889957</v>
          </cell>
          <cell r="BS519">
            <v>0.96602954019557985</v>
          </cell>
          <cell r="BT519">
            <v>0.93329152778620961</v>
          </cell>
          <cell r="BU519">
            <v>0.91534674415367845</v>
          </cell>
          <cell r="BV519">
            <v>0.85935697152639556</v>
          </cell>
          <cell r="BW519">
            <v>0.85732432144427106</v>
          </cell>
          <cell r="BX519">
            <v>0.84890559068951976</v>
          </cell>
          <cell r="BY519">
            <v>0.8405979763317224</v>
          </cell>
          <cell r="BZ519">
            <v>0.85180790882067348</v>
          </cell>
          <cell r="CA519">
            <v>0.86167654551529493</v>
          </cell>
          <cell r="CB519">
            <v>0.84695265425597088</v>
          </cell>
          <cell r="CC519">
            <v>0.85233132631232145</v>
          </cell>
          <cell r="CD519">
            <v>0.84911113988347475</v>
          </cell>
          <cell r="CE519">
            <v>0.82828650069346832</v>
          </cell>
          <cell r="CF519">
            <v>0.83849351445170728</v>
          </cell>
          <cell r="CG519">
            <v>0.86584559165993324</v>
          </cell>
          <cell r="CH519">
            <v>0.89027352921243652</v>
          </cell>
          <cell r="CI519">
            <v>0.89283897772436938</v>
          </cell>
          <cell r="CJ519">
            <v>0.87483299155543803</v>
          </cell>
          <cell r="CK519">
            <v>0.89684894420229144</v>
          </cell>
          <cell r="CL519">
            <v>0.89214478651327656</v>
          </cell>
          <cell r="CM519">
            <v>0.89080058584229871</v>
          </cell>
          <cell r="CN519">
            <v>0.89299154800820513</v>
          </cell>
          <cell r="CO519">
            <v>0.89831664287900137</v>
          </cell>
          <cell r="CP519">
            <v>0.88921357557870639</v>
          </cell>
          <cell r="CQ519">
            <v>0.87365613945321363</v>
          </cell>
          <cell r="CR519">
            <v>0.86048204643239412</v>
          </cell>
          <cell r="CS519">
            <v>0.83408804831515848</v>
          </cell>
          <cell r="CT519">
            <v>0.8148937644519163</v>
          </cell>
          <cell r="CU519">
            <v>0.77038755120727376</v>
          </cell>
          <cell r="CV519">
            <v>0.75573688530261585</v>
          </cell>
          <cell r="CW519">
            <v>0.7146659283780471</v>
          </cell>
          <cell r="CX519">
            <v>0.69962615737991274</v>
          </cell>
          <cell r="CY519">
            <v>0.69060645938808773</v>
          </cell>
          <cell r="CZ519">
            <v>0.67630285280879765</v>
          </cell>
          <cell r="DA519">
            <v>0.65744011512870582</v>
          </cell>
          <cell r="DB519">
            <v>0.65033051996444302</v>
          </cell>
          <cell r="DC519">
            <v>0.61799990548391937</v>
          </cell>
          <cell r="DD519">
            <v>0.61255856467154002</v>
          </cell>
          <cell r="DE519">
            <v>0.60941669088461592</v>
          </cell>
          <cell r="DF519">
            <v>0.59718516409057776</v>
          </cell>
          <cell r="DG519">
            <v>0.59148969697054077</v>
          </cell>
          <cell r="DH519">
            <v>0.58618563860624129</v>
          </cell>
          <cell r="DI519">
            <v>0.60133315796163589</v>
          </cell>
          <cell r="DJ519">
            <v>0.61894626188725033</v>
          </cell>
          <cell r="DK519">
            <v>0.63897059151556712</v>
          </cell>
          <cell r="DL519">
            <v>0.68036925881354027</v>
          </cell>
          <cell r="DM519">
            <v>0.71446599349703965</v>
          </cell>
          <cell r="DN519">
            <v>0.75376465651179914</v>
          </cell>
          <cell r="DO519">
            <v>0.83023066363858899</v>
          </cell>
          <cell r="DP519">
            <v>0.85201557076411683</v>
          </cell>
          <cell r="DQ519">
            <v>0.85484780412919559</v>
          </cell>
          <cell r="DR519">
            <v>0.87656445574835595</v>
          </cell>
          <cell r="DS519">
            <v>0.90497066520035163</v>
          </cell>
          <cell r="DT519">
            <v>0.95856811650073992</v>
          </cell>
          <cell r="DU519">
            <v>1.0305727897493053</v>
          </cell>
          <cell r="DV519">
            <v>1.0685546841179085</v>
          </cell>
          <cell r="DW519">
            <v>1.0914112471113038</v>
          </cell>
          <cell r="DX519">
            <v>1.1485406617617866</v>
          </cell>
          <cell r="DY519">
            <v>1.1008755911585226</v>
          </cell>
          <cell r="DZ519">
            <v>1.0703798156298183</v>
          </cell>
          <cell r="EA519">
            <v>1.0836588429607721</v>
          </cell>
          <cell r="EB519">
            <v>1.0758510644948793</v>
          </cell>
          <cell r="EC519">
            <v>1.0695131483705529</v>
          </cell>
          <cell r="ED519">
            <v>1.0692159926194047</v>
          </cell>
          <cell r="EE519">
            <v>1.0551468448768906</v>
          </cell>
          <cell r="EF519">
            <v>1.0308969663896339</v>
          </cell>
          <cell r="EG519">
            <v>0.94690826968525998</v>
          </cell>
          <cell r="EH519">
            <v>0.92531472967899442</v>
          </cell>
          <cell r="EI519">
            <v>0.87585080815466676</v>
          </cell>
          <cell r="EJ519">
            <v>0.7806440746803669</v>
          </cell>
          <cell r="EK519">
            <v>0.77785011473914056</v>
          </cell>
          <cell r="EL519">
            <v>0.80405275217103767</v>
          </cell>
          <cell r="EM519">
            <v>0.83304668447015962</v>
          </cell>
          <cell r="EN519">
            <v>0.82634883529598691</v>
          </cell>
          <cell r="EO519">
            <v>0.77952578001747597</v>
          </cell>
          <cell r="EP519">
            <v>0.72977965676834111</v>
          </cell>
          <cell r="EQ519">
            <v>0.73460210817374538</v>
          </cell>
          <cell r="ER519">
            <v>0.75737072372509706</v>
          </cell>
          <cell r="ES519">
            <v>0.81997442246380892</v>
          </cell>
          <cell r="ET519">
            <v>0.86136265155527691</v>
          </cell>
          <cell r="EU519">
            <v>0.89038123578891104</v>
          </cell>
          <cell r="EV519">
            <v>0.95117009316255152</v>
          </cell>
          <cell r="EW519">
            <v>0.94558217328009886</v>
          </cell>
          <cell r="EX519">
            <v>0.91724111008146914</v>
          </cell>
          <cell r="EY519">
            <v>0.96326693808441588</v>
          </cell>
          <cell r="EZ519">
            <v>0.9499249853950974</v>
          </cell>
          <cell r="FA519">
            <v>0.94802678643765115</v>
          </cell>
          <cell r="FB519">
            <v>1.015544067306646</v>
          </cell>
          <cell r="FC519">
            <v>1.0840466112279654</v>
          </cell>
          <cell r="FD519">
            <v>1.1783291562624714</v>
          </cell>
          <cell r="FE519">
            <v>1.2355262341806541</v>
          </cell>
          <cell r="FF519">
            <v>1.1680396016626746</v>
          </cell>
          <cell r="FG519">
            <v>1.120256231385685</v>
          </cell>
          <cell r="FH519">
            <v>1.0568967620780962</v>
          </cell>
          <cell r="FI519">
            <v>1.0528964860021017</v>
          </cell>
          <cell r="FJ519">
            <v>1.0742395830820761</v>
          </cell>
          <cell r="FK519">
            <v>1.0484124249650328</v>
          </cell>
          <cell r="FL519">
            <v>1.0518089877498931</v>
          </cell>
          <cell r="FM519">
            <v>1.0757429069083255</v>
          </cell>
          <cell r="FN519">
            <v>1.2028678251297054</v>
          </cell>
          <cell r="FO519">
            <v>1.2973942244353327</v>
          </cell>
          <cell r="FP519">
            <v>1.3606439075000332</v>
          </cell>
          <cell r="FQ519">
            <v>1.4136460849102916</v>
          </cell>
          <cell r="FR519">
            <v>1.4119237808369329</v>
          </cell>
          <cell r="FS519">
            <v>1.4302361705685629</v>
          </cell>
          <cell r="FT519">
            <v>1.4898746043316295</v>
          </cell>
          <cell r="FU519">
            <v>1.5322278123010786</v>
          </cell>
          <cell r="FV519">
            <v>1.600070306228069</v>
          </cell>
          <cell r="FW519">
            <v>1.7541289805157105</v>
          </cell>
          <cell r="FX519">
            <v>1.8506632909918386</v>
          </cell>
          <cell r="FY519">
            <v>1.9213537126085822</v>
          </cell>
          <cell r="FZ519">
            <v>1.8984442182843273</v>
          </cell>
          <cell r="GA519">
            <v>1.9691726912354233</v>
          </cell>
          <cell r="GB519">
            <v>1.9509016101508141</v>
          </cell>
          <cell r="GC519">
            <v>1.8002655571493791</v>
          </cell>
          <cell r="GD519">
            <v>1.6351100329290387</v>
          </cell>
          <cell r="GE519">
            <v>1.521561741968761</v>
          </cell>
          <cell r="GF519">
            <v>1.5173372295274883</v>
          </cell>
          <cell r="GG519">
            <v>1.5546302022667478</v>
          </cell>
          <cell r="GH519">
            <v>1.6728551798905238</v>
          </cell>
          <cell r="GI519">
            <v>1.9710272866210143</v>
          </cell>
          <cell r="GJ519">
            <v>1.9470681232894025</v>
          </cell>
          <cell r="GK519">
            <v>1.8310424239553897</v>
          </cell>
          <cell r="GL519">
            <v>1.7229480958940815</v>
          </cell>
          <cell r="GM519">
            <v>1.8351227558931908</v>
          </cell>
          <cell r="GN519">
            <v>1.833212749177322</v>
          </cell>
          <cell r="GO519">
            <v>1.8540987194392182</v>
          </cell>
          <cell r="GP519">
            <v>1.9144905029956107</v>
          </cell>
          <cell r="GQ519">
            <v>1.9933595703344822</v>
          </cell>
          <cell r="GR519">
            <v>1.9445956749145032</v>
          </cell>
          <cell r="GS519">
            <v>2.0120068710322787</v>
          </cell>
          <cell r="GT519">
            <v>2.079288218822323</v>
          </cell>
          <cell r="GU519">
            <v>2.0389985924580691</v>
          </cell>
          <cell r="GV519">
            <v>1.8329450647028385</v>
          </cell>
          <cell r="GW519">
            <v>1.8226112402626864</v>
          </cell>
          <cell r="GX519">
            <v>1.8746150513401139</v>
          </cell>
          <cell r="GY519">
            <v>1.9052990847350784</v>
          </cell>
          <cell r="GZ519">
            <v>1.9083442279009297</v>
          </cell>
          <cell r="HA519">
            <v>1.9808531183445801</v>
          </cell>
          <cell r="HB519">
            <v>2.086153967658579</v>
          </cell>
          <cell r="HC519">
            <v>2.0357983567913069</v>
          </cell>
          <cell r="HD519">
            <v>2.0084209399336577</v>
          </cell>
          <cell r="HE519">
            <v>2.0379712804603902</v>
          </cell>
          <cell r="HF519">
            <v>1.9817764184263738</v>
          </cell>
          <cell r="HG519">
            <v>2.1342997879997494</v>
          </cell>
          <cell r="HH519">
            <v>2.3189754986831557</v>
          </cell>
          <cell r="HI519">
            <v>2.3926087542360328</v>
          </cell>
          <cell r="HJ519">
            <v>2.3346592370914743</v>
          </cell>
          <cell r="HK519">
            <v>2.2476131082689101</v>
          </cell>
          <cell r="HL519">
            <v>2.2854383555101019</v>
          </cell>
          <cell r="HM519">
            <v>2.3584627156835087</v>
          </cell>
          <cell r="HN519">
            <v>2.4469438387961224</v>
          </cell>
          <cell r="HO519">
            <v>2.5989892717652596</v>
          </cell>
          <cell r="HP519">
            <v>2.8107631587748423</v>
          </cell>
          <cell r="HQ519">
            <v>2.8108313402513767</v>
          </cell>
          <cell r="HR519">
            <v>2.7434864008344673</v>
          </cell>
          <cell r="HS519">
            <v>2.6342553816966752</v>
          </cell>
          <cell r="HT519">
            <v>2.5630830998945249</v>
          </cell>
          <cell r="HU519">
            <v>2.5169106928215048</v>
          </cell>
          <cell r="HV519">
            <v>2.4983810255289338</v>
          </cell>
          <cell r="HW519">
            <v>2.5022083679141751</v>
          </cell>
          <cell r="HX519">
            <v>2.4772084931850444</v>
          </cell>
          <cell r="HY519">
            <v>2.4056068383493465</v>
          </cell>
          <cell r="HZ519">
            <v>2.3767796212349745</v>
          </cell>
          <cell r="IA519">
            <v>2.3306072141619545</v>
          </cell>
          <cell r="IB519">
            <v>2.316334262288172</v>
          </cell>
          <cell r="IC519">
            <v>2.2875070451737995</v>
          </cell>
          <cell r="ID519">
            <v>2.2875070451737995</v>
          </cell>
          <cell r="IE519">
            <v>2.2620777974111212</v>
          </cell>
          <cell r="IF519">
            <v>2.265905139796363</v>
          </cell>
          <cell r="IG519">
            <v>2.265905139796363</v>
          </cell>
          <cell r="IH519">
            <v>2.0463104450702145</v>
          </cell>
          <cell r="II519">
            <v>2.032037493196432</v>
          </cell>
          <cell r="IJ519">
            <v>1.9896924285086537</v>
          </cell>
          <cell r="IK519">
            <v>1.9685198961647645</v>
          </cell>
        </row>
        <row r="520">
          <cell r="X520">
            <v>0.90402858855314294</v>
          </cell>
          <cell r="Y520">
            <v>0.90604791947747398</v>
          </cell>
          <cell r="Z520">
            <v>0.90664735845303368</v>
          </cell>
          <cell r="AA520">
            <v>0.86554779423510342</v>
          </cell>
          <cell r="AB520">
            <v>0.86206039627734476</v>
          </cell>
          <cell r="AC520">
            <v>0.84326563713239</v>
          </cell>
          <cell r="AD520">
            <v>0.86131669622874352</v>
          </cell>
          <cell r="AE520">
            <v>0.86700657875221931</v>
          </cell>
          <cell r="AF520">
            <v>0.87783511220137067</v>
          </cell>
          <cell r="AG520">
            <v>0.87117108682368183</v>
          </cell>
          <cell r="AH520">
            <v>0.86715963561058496</v>
          </cell>
          <cell r="AI520">
            <v>0.83932827913724284</v>
          </cell>
          <cell r="AJ520">
            <v>0.83039368988546181</v>
          </cell>
          <cell r="AK520">
            <v>0.82019960035748884</v>
          </cell>
          <cell r="AL520">
            <v>0.80722102867650425</v>
          </cell>
          <cell r="AM520">
            <v>0.80152476184545218</v>
          </cell>
          <cell r="AN520">
            <v>0.80797094184032825</v>
          </cell>
          <cell r="AO520">
            <v>0.81811661817064363</v>
          </cell>
          <cell r="AP520">
            <v>0.83770671481421166</v>
          </cell>
          <cell r="AQ520">
            <v>0.82969611022419776</v>
          </cell>
          <cell r="AR520">
            <v>0.82392499342717695</v>
          </cell>
          <cell r="AS520">
            <v>0.81884821102909489</v>
          </cell>
          <cell r="AT520">
            <v>0.81615595875669877</v>
          </cell>
          <cell r="AU520">
            <v>0.77680858174034562</v>
          </cell>
          <cell r="AV520">
            <v>0.77310230035159266</v>
          </cell>
          <cell r="AW520">
            <v>0.76884910685938523</v>
          </cell>
          <cell r="AX520">
            <v>0.75486470734301225</v>
          </cell>
          <cell r="AY520">
            <v>0.76150116219211961</v>
          </cell>
          <cell r="AZ520">
            <v>0.78577020226479322</v>
          </cell>
          <cell r="BA520">
            <v>0.82152263673042991</v>
          </cell>
          <cell r="BB520">
            <v>0.84646898612245569</v>
          </cell>
          <cell r="BC520">
            <v>0.87174665185828204</v>
          </cell>
          <cell r="BD520">
            <v>0.92934854385831656</v>
          </cell>
          <cell r="BE520">
            <v>0.98728224982719837</v>
          </cell>
          <cell r="BF520">
            <v>1.0495552547624454</v>
          </cell>
          <cell r="BG520">
            <v>1.135341943467838</v>
          </cell>
          <cell r="BH520">
            <v>1.1840530080396816</v>
          </cell>
          <cell r="BI520">
            <v>1.2228232423282652</v>
          </cell>
          <cell r="BJ520">
            <v>1.2860347735485145</v>
          </cell>
          <cell r="BK520">
            <v>1.3221319396133142</v>
          </cell>
          <cell r="BL520">
            <v>1.2863609288319215</v>
          </cell>
          <cell r="BM520">
            <v>1.3363470597338005</v>
          </cell>
          <cell r="BN520">
            <v>1.3406513039531347</v>
          </cell>
          <cell r="BO520">
            <v>1.3320390465591676</v>
          </cell>
          <cell r="BP520">
            <v>1.3543360931168535</v>
          </cell>
          <cell r="BQ520">
            <v>1.3066307295424278</v>
          </cell>
          <cell r="BR520">
            <v>1.2406401476356643</v>
          </cell>
          <cell r="BS520">
            <v>1.1829632224160278</v>
          </cell>
          <cell r="BT520">
            <v>1.1428734911564189</v>
          </cell>
          <cell r="BU520">
            <v>1.1208989881125473</v>
          </cell>
          <cell r="BV520">
            <v>1.0523360310873391</v>
          </cell>
          <cell r="BW520">
            <v>1.0498469247079345</v>
          </cell>
          <cell r="BX520">
            <v>1.0395376655725697</v>
          </cell>
          <cell r="BY520">
            <v>1.029364475372506</v>
          </cell>
          <cell r="BZ520">
            <v>1.0430917345384223</v>
          </cell>
          <cell r="CA520">
            <v>1.0551764936263885</v>
          </cell>
          <cell r="CB520">
            <v>1.0371461735110155</v>
          </cell>
          <cell r="CC520">
            <v>1.0437326917936876</v>
          </cell>
          <cell r="CD520">
            <v>1.0397893733379417</v>
          </cell>
          <cell r="CE520">
            <v>1.0142883081460081</v>
          </cell>
          <cell r="CF520">
            <v>1.0267874309826104</v>
          </cell>
          <cell r="CG520">
            <v>1.060281749787255</v>
          </cell>
          <cell r="CH520">
            <v>1.0901952778127399</v>
          </cell>
          <cell r="CI520">
            <v>1.0933368289893264</v>
          </cell>
          <cell r="CJ520">
            <v>1.0712873796351532</v>
          </cell>
          <cell r="CK520">
            <v>1.0982472822095688</v>
          </cell>
          <cell r="CL520">
            <v>1.092486748698944</v>
          </cell>
          <cell r="CM520">
            <v>1.090840691418965</v>
          </cell>
          <cell r="CN520">
            <v>1.0935236607859757</v>
          </cell>
          <cell r="CO520">
            <v>1.100044570474465</v>
          </cell>
          <cell r="CP520">
            <v>1.08889729869927</v>
          </cell>
          <cell r="CQ520">
            <v>1.069846251080355</v>
          </cell>
          <cell r="CR520">
            <v>1.0537137552467783</v>
          </cell>
          <cell r="CS520">
            <v>1.021392663845281</v>
          </cell>
          <cell r="CT520">
            <v>0.99788807009731784</v>
          </cell>
          <cell r="CU520">
            <v>0.94338744537857677</v>
          </cell>
          <cell r="CV520">
            <v>0.92544679426183563</v>
          </cell>
          <cell r="CW520">
            <v>0.87515285444984892</v>
          </cell>
          <cell r="CX520">
            <v>0.85673571995854747</v>
          </cell>
          <cell r="CY520">
            <v>0.84569053908398684</v>
          </cell>
          <cell r="CZ520">
            <v>0.82817488368510295</v>
          </cell>
          <cell r="DA520">
            <v>0.80507628884802163</v>
          </cell>
          <cell r="DB520">
            <v>0.79637014762185687</v>
          </cell>
          <cell r="DC520">
            <v>0.75677930045084041</v>
          </cell>
          <cell r="DD520">
            <v>0.75011604038078816</v>
          </cell>
          <cell r="DE520">
            <v>0.74626862062315669</v>
          </cell>
          <cell r="DF520">
            <v>0.73129035572619094</v>
          </cell>
          <cell r="DG520">
            <v>0.72431590219538133</v>
          </cell>
          <cell r="DH520">
            <v>0.71782075301677117</v>
          </cell>
          <cell r="DI520">
            <v>0.73636983206940432</v>
          </cell>
          <cell r="DJ520">
            <v>0.7579381726942418</v>
          </cell>
          <cell r="DK520">
            <v>0.78245920907894539</v>
          </cell>
          <cell r="DL520">
            <v>0.83315445061433824</v>
          </cell>
          <cell r="DM520">
            <v>0.87490802175967874</v>
          </cell>
          <cell r="DN520">
            <v>0.92303167750955306</v>
          </cell>
          <cell r="DO520">
            <v>1.0166690565256034</v>
          </cell>
          <cell r="DP520">
            <v>1.0433460294968759</v>
          </cell>
          <cell r="DQ520">
            <v>1.046814275310052</v>
          </cell>
          <cell r="DR520">
            <v>1.0734076651708704</v>
          </cell>
          <cell r="DS520">
            <v>1.1081928344351084</v>
          </cell>
          <cell r="DT520">
            <v>1.1738262452837633</v>
          </cell>
          <cell r="DU520">
            <v>1.2620004436399448</v>
          </cell>
          <cell r="DV520">
            <v>1.3085116343294672</v>
          </cell>
          <cell r="DW520">
            <v>1.3365009165273465</v>
          </cell>
          <cell r="DX520">
            <v>1.40645943605253</v>
          </cell>
          <cell r="DY520">
            <v>1.3480905941368793</v>
          </cell>
          <cell r="DZ520">
            <v>1.3107466213198493</v>
          </cell>
          <cell r="EA520">
            <v>1.3270076157391246</v>
          </cell>
          <cell r="EB520">
            <v>1.3174465056595581</v>
          </cell>
          <cell r="EC520">
            <v>1.3096853333870024</v>
          </cell>
          <cell r="ED520">
            <v>1.3093214476978894</v>
          </cell>
          <cell r="EE520">
            <v>1.2920929017190963</v>
          </cell>
          <cell r="EF520">
            <v>1.2623974180875353</v>
          </cell>
          <cell r="EG520">
            <v>1.1595480380573828</v>
          </cell>
          <cell r="EH520">
            <v>1.1331054060194332</v>
          </cell>
          <cell r="EI520">
            <v>1.0725337593305488</v>
          </cell>
          <cell r="EJ520">
            <v>0.95594719593864719</v>
          </cell>
          <cell r="EK520">
            <v>0.95252581831213556</v>
          </cell>
          <cell r="EL520">
            <v>0.98461257665904944</v>
          </cell>
          <cell r="EM520">
            <v>1.0201174490836933</v>
          </cell>
          <cell r="EN520">
            <v>1.0119155164173985</v>
          </cell>
          <cell r="EO520">
            <v>0.95457777460836746</v>
          </cell>
          <cell r="EP520">
            <v>0.89366055436519842</v>
          </cell>
          <cell r="EQ520">
            <v>0.89956594588493066</v>
          </cell>
          <cell r="ER520">
            <v>0.9274475309730279</v>
          </cell>
          <cell r="ES520">
            <v>1.0041096516573658</v>
          </cell>
          <cell r="ET520">
            <v>1.0547921109600318</v>
          </cell>
          <cell r="EU520">
            <v>1.0903271712109024</v>
          </cell>
          <cell r="EV520">
            <v>1.1647669058293191</v>
          </cell>
          <cell r="EW520">
            <v>1.1579241505762961</v>
          </cell>
          <cell r="EX520">
            <v>1.1232187569489338</v>
          </cell>
          <cell r="EY520">
            <v>1.179580244401697</v>
          </cell>
          <cell r="EZ520">
            <v>1.1632421939695301</v>
          </cell>
          <cell r="FA520">
            <v>1.1609177313500612</v>
          </cell>
          <cell r="FB520">
            <v>1.2435968387916243</v>
          </cell>
          <cell r="FC520">
            <v>1.3274824620868013</v>
          </cell>
          <cell r="FD520">
            <v>1.4429372992846605</v>
          </cell>
          <cell r="FE520">
            <v>1.5129786766872348</v>
          </cell>
          <cell r="FF520">
            <v>1.4303371000566567</v>
          </cell>
          <cell r="FG520">
            <v>1.37182339283677</v>
          </cell>
          <cell r="FH520">
            <v>1.2942357841105401</v>
          </cell>
          <cell r="FI520">
            <v>1.2893371973898335</v>
          </cell>
          <cell r="FJ520">
            <v>1.3154731464964757</v>
          </cell>
          <cell r="FK520">
            <v>1.2838461859111916</v>
          </cell>
          <cell r="FL520">
            <v>1.2880054881788043</v>
          </cell>
          <cell r="FM520">
            <v>1.3173140599715176</v>
          </cell>
          <cell r="FN520">
            <v>1.4729864246883266</v>
          </cell>
          <cell r="FO520">
            <v>1.5887398765996732</v>
          </cell>
          <cell r="FP520">
            <v>1.6661930452469407</v>
          </cell>
          <cell r="FQ520">
            <v>1.7310975062136429</v>
          </cell>
          <cell r="FR520">
            <v>1.7289884378137386</v>
          </cell>
          <cell r="FS520">
            <v>1.7514130973771316</v>
          </cell>
          <cell r="FT520">
            <v>1.8244440667716273</v>
          </cell>
          <cell r="FU520">
            <v>1.8763082026955165</v>
          </cell>
          <cell r="FV520">
            <v>1.9593855537425293</v>
          </cell>
          <cell r="FW520">
            <v>2.1480399770219174</v>
          </cell>
          <cell r="FX520">
            <v>2.2662522409775621</v>
          </cell>
          <cell r="FY520">
            <v>2.3528170565139068</v>
          </cell>
          <cell r="FZ520">
            <v>2.3247629566110661</v>
          </cell>
          <cell r="GA520">
            <v>2.4113743683716771</v>
          </cell>
          <cell r="GB520">
            <v>2.3890002938143939</v>
          </cell>
          <cell r="GC520">
            <v>2.2045370830573692</v>
          </cell>
          <cell r="GD520">
            <v>2.0022938772316472</v>
          </cell>
          <cell r="GE520">
            <v>1.863246936548024</v>
          </cell>
          <cell r="GF520">
            <v>1.8580737584590259</v>
          </cell>
          <cell r="GG520">
            <v>1.9037413217885861</v>
          </cell>
          <cell r="GH520">
            <v>2.0485151560044321</v>
          </cell>
          <cell r="GI520">
            <v>2.4136454357069193</v>
          </cell>
          <cell r="GJ520">
            <v>2.384305950854916</v>
          </cell>
          <cell r="GK520">
            <v>2.2422252696166916</v>
          </cell>
          <cell r="GL520">
            <v>2.1098570455327654</v>
          </cell>
          <cell r="GM520">
            <v>2.2472218897166223</v>
          </cell>
          <cell r="GN520">
            <v>2.2448829677629698</v>
          </cell>
          <cell r="GO520">
            <v>2.2704591366649018</v>
          </cell>
          <cell r="GP520">
            <v>2.3444126297111474</v>
          </cell>
          <cell r="GQ520">
            <v>2.4409927053362144</v>
          </cell>
          <cell r="GR520">
            <v>2.3812782841272133</v>
          </cell>
          <cell r="GS520">
            <v>2.4638274841964551</v>
          </cell>
          <cell r="GT520">
            <v>2.5462176769167422</v>
          </cell>
          <cell r="GU520">
            <v>2.496880524945027</v>
          </cell>
          <cell r="GV520">
            <v>2.2445551714841296</v>
          </cell>
          <cell r="GW520">
            <v>2.2319007610847033</v>
          </cell>
          <cell r="GX520">
            <v>2.2955826604162839</v>
          </cell>
          <cell r="GY520">
            <v>2.3331571666930579</v>
          </cell>
          <cell r="GZ520">
            <v>2.3368861337922056</v>
          </cell>
          <cell r="HA520">
            <v>2.4256777774469795</v>
          </cell>
          <cell r="HB520">
            <v>2.5546252131562577</v>
          </cell>
          <cell r="HC520">
            <v>2.4929616374376358</v>
          </cell>
          <cell r="HD520">
            <v>2.4594362886571055</v>
          </cell>
          <cell r="HE520">
            <v>2.4956225175439752</v>
          </cell>
          <cell r="HF520">
            <v>2.4268084157914287</v>
          </cell>
          <cell r="HG520">
            <v>2.6135827630103989</v>
          </cell>
          <cell r="HH520">
            <v>2.8397296505763654</v>
          </cell>
          <cell r="HI520">
            <v>2.9298981492003096</v>
          </cell>
          <cell r="HJ520">
            <v>2.8589353631918186</v>
          </cell>
          <cell r="HK520">
            <v>2.7523419674764726</v>
          </cell>
          <cell r="HL520">
            <v>2.7986613340209612</v>
          </cell>
          <cell r="HM520">
            <v>2.8880842024025153</v>
          </cell>
          <cell r="HN520">
            <v>2.9964348378283172</v>
          </cell>
          <cell r="HO520">
            <v>3.1826239219658441</v>
          </cell>
          <cell r="HP520">
            <v>3.4419542109233681</v>
          </cell>
          <cell r="HQ520">
            <v>3.4420377033796892</v>
          </cell>
          <cell r="HR520">
            <v>3.3595696387593157</v>
          </cell>
          <cell r="HS520">
            <v>3.2258094657931053</v>
          </cell>
          <cell r="HT520">
            <v>3.1386545825062773</v>
          </cell>
          <cell r="HU520">
            <v>3.0821135998705436</v>
          </cell>
          <cell r="HV520">
            <v>3.0594228704273436</v>
          </cell>
          <cell r="HW520">
            <v>3.0641096890937973</v>
          </cell>
          <cell r="HX520">
            <v>3.0334957884427038</v>
          </cell>
          <cell r="HY520">
            <v>2.9458151111855582</v>
          </cell>
          <cell r="HZ520">
            <v>2.9105143918680101</v>
          </cell>
          <cell r="IA520">
            <v>2.8539734092322764</v>
          </cell>
          <cell r="IB520">
            <v>2.8364952924258477</v>
          </cell>
          <cell r="IC520">
            <v>2.8011945731082997</v>
          </cell>
          <cell r="ID520">
            <v>2.8011945731082997</v>
          </cell>
          <cell r="IE520">
            <v>2.7700548784868877</v>
          </cell>
          <cell r="IF520">
            <v>2.7747416971533418</v>
          </cell>
          <cell r="IG520">
            <v>2.7747416971533418</v>
          </cell>
          <cell r="IH520">
            <v>2.5058343429888765</v>
          </cell>
          <cell r="II520">
            <v>2.4883562261824479</v>
          </cell>
          <cell r="IJ520">
            <v>2.4365020622131683</v>
          </cell>
          <cell r="IK520">
            <v>2.4105749802285286</v>
          </cell>
        </row>
        <row r="522">
          <cell r="Z522">
            <v>440.27736656262203</v>
          </cell>
          <cell r="AC522">
            <v>429.80355286773312</v>
          </cell>
          <cell r="AD522">
            <v>587.93563512810499</v>
          </cell>
          <cell r="AF522">
            <v>437.25393484198202</v>
          </cell>
          <cell r="AG522">
            <v>521.74724704122775</v>
          </cell>
          <cell r="AI522">
            <v>416.15404851085964</v>
          </cell>
          <cell r="AJ522">
            <v>457.13940564442709</v>
          </cell>
          <cell r="AL522">
            <v>403.91892846924173</v>
          </cell>
          <cell r="AM522">
            <v>452.84907991936535</v>
          </cell>
          <cell r="AO522">
            <v>415.41829737287026</v>
          </cell>
          <cell r="AP522">
            <v>440.27736656262203</v>
          </cell>
          <cell r="AR522">
            <v>410.9741201716738</v>
          </cell>
          <cell r="AS522">
            <v>429.80355286773312</v>
          </cell>
          <cell r="AU522">
            <v>387.54688854207308</v>
          </cell>
          <cell r="AV522">
            <v>437.25393484198202</v>
          </cell>
          <cell r="AX522">
            <v>384.76844342567301</v>
          </cell>
          <cell r="AY522">
            <v>416.15404851085964</v>
          </cell>
          <cell r="BA522">
            <v>424.48018370399268</v>
          </cell>
          <cell r="BB522">
            <v>403.91892846924173</v>
          </cell>
          <cell r="BD522">
            <v>495.75470483808039</v>
          </cell>
          <cell r="BE522">
            <v>415.41829737287026</v>
          </cell>
          <cell r="BG522">
            <v>592.03007042528293</v>
          </cell>
          <cell r="BH522">
            <v>410.9741201716738</v>
          </cell>
          <cell r="BJ522">
            <v>650.91345252958763</v>
          </cell>
          <cell r="BK522">
            <v>387.54688854207308</v>
          </cell>
          <cell r="BM522">
            <v>670.05208895825206</v>
          </cell>
          <cell r="BN522">
            <v>384.76844342567301</v>
          </cell>
          <cell r="BP522">
            <v>652.09665892833925</v>
          </cell>
          <cell r="BQ522">
            <v>424.48018370399268</v>
          </cell>
          <cell r="BS522">
            <v>576.07156548315777</v>
          </cell>
          <cell r="BT522">
            <v>495.75470483808039</v>
          </cell>
          <cell r="BV522">
            <v>525.09274667544548</v>
          </cell>
          <cell r="BW522">
            <v>592.03007042528293</v>
          </cell>
          <cell r="BY522">
            <v>522.73815683118744</v>
          </cell>
          <cell r="BZ522">
            <v>650.91345252958763</v>
          </cell>
          <cell r="CB522">
            <v>521.57414817433994</v>
          </cell>
          <cell r="CC522">
            <v>670.05208895825206</v>
          </cell>
          <cell r="CE522">
            <v>518.34663820880473</v>
          </cell>
          <cell r="CF522">
            <v>652.09665892833925</v>
          </cell>
          <cell r="CH522">
            <v>543.99557123000386</v>
          </cell>
          <cell r="CI522">
            <v>576.07156548315777</v>
          </cell>
          <cell r="CK522">
            <v>548.46731840128757</v>
          </cell>
          <cell r="CL522">
            <v>525.09274667544548</v>
          </cell>
          <cell r="CN522">
            <v>548.61620389517486</v>
          </cell>
          <cell r="CO522">
            <v>522.73815683118744</v>
          </cell>
          <cell r="CQ522">
            <v>525.63293645955264</v>
          </cell>
          <cell r="CR522">
            <v>521.57414817433994</v>
          </cell>
          <cell r="CT522">
            <v>479.13079264208608</v>
          </cell>
          <cell r="CU522">
            <v>518.34663820880473</v>
          </cell>
          <cell r="CW522">
            <v>430.80472759786716</v>
          </cell>
          <cell r="CX522">
            <v>543.99557123000386</v>
          </cell>
          <cell r="CZ522">
            <v>406.07574196904665</v>
          </cell>
          <cell r="DA522">
            <v>548.46731840128757</v>
          </cell>
          <cell r="DC522">
            <v>376.5834699570816</v>
          </cell>
          <cell r="DD522">
            <v>548.61620389517486</v>
          </cell>
          <cell r="DF522">
            <v>363.2566024840682</v>
          </cell>
          <cell r="DG522">
            <v>525.63293645955264</v>
          </cell>
          <cell r="DI522">
            <v>380.52840909090907</v>
          </cell>
          <cell r="DJ522">
            <v>479.13079264208608</v>
          </cell>
          <cell r="DL522">
            <v>439.74898484848489</v>
          </cell>
          <cell r="DM522">
            <v>430.80472759786716</v>
          </cell>
          <cell r="DO522">
            <v>519.26118181818185</v>
          </cell>
          <cell r="DP522">
            <v>406.07574196904665</v>
          </cell>
          <cell r="DR522">
            <v>560.81060606060612</v>
          </cell>
          <cell r="DS522">
            <v>376.5834699570816</v>
          </cell>
          <cell r="DU522">
            <v>653.00019696969696</v>
          </cell>
          <cell r="DV522">
            <v>363.2566024840682</v>
          </cell>
          <cell r="DX522">
            <v>679.45500000000004</v>
          </cell>
          <cell r="DY522">
            <v>380.52840909090907</v>
          </cell>
          <cell r="EA522">
            <v>660.87669696969704</v>
          </cell>
          <cell r="EB522">
            <v>439.74898484848489</v>
          </cell>
          <cell r="ED522">
            <v>645.7797424242425</v>
          </cell>
          <cell r="EE522">
            <v>519.26118181818185</v>
          </cell>
          <cell r="EG522">
            <v>562.44192424242419</v>
          </cell>
          <cell r="EH522">
            <v>560.81060606060612</v>
          </cell>
          <cell r="EJ522">
            <v>483.53703030303035</v>
          </cell>
          <cell r="EK522">
            <v>653.00019696969696</v>
          </cell>
          <cell r="EM522">
            <v>499.16839393939398</v>
          </cell>
          <cell r="EN522">
            <v>679.45500000000004</v>
          </cell>
          <cell r="EP522">
            <v>454.72095454545456</v>
          </cell>
          <cell r="EQ522">
            <v>660.87669696969704</v>
          </cell>
          <cell r="ES522">
            <v>526.3476515151516</v>
          </cell>
          <cell r="ET522">
            <v>645.7797424242425</v>
          </cell>
          <cell r="EV522">
            <v>575.93353030303024</v>
          </cell>
          <cell r="EW522">
            <v>562.44192424242419</v>
          </cell>
          <cell r="EY522">
            <v>585.5990303030303</v>
          </cell>
          <cell r="EZ522">
            <v>483.53703030303035</v>
          </cell>
          <cell r="FB522">
            <v>670.88428787878786</v>
          </cell>
          <cell r="FC522">
            <v>499.16839393939398</v>
          </cell>
          <cell r="FE522">
            <v>721.21253030303023</v>
          </cell>
          <cell r="FF522">
            <v>454.72095454545456</v>
          </cell>
          <cell r="FG522">
            <v>482.75029166666667</v>
          </cell>
          <cell r="FH522">
            <v>651.66865151515151</v>
          </cell>
          <cell r="FI522">
            <v>526.3476515151516</v>
          </cell>
          <cell r="FK522">
            <v>650.0172878787879</v>
          </cell>
          <cell r="FL522">
            <v>-2.5340541278517925E-3</v>
          </cell>
          <cell r="FN522">
            <v>790.20271212121213</v>
          </cell>
          <cell r="FO522">
            <v>585.5990303030303</v>
          </cell>
          <cell r="FQ522">
            <v>871.02599999999995</v>
          </cell>
          <cell r="FR522">
            <v>670.88428787878786</v>
          </cell>
          <cell r="FS522">
            <v>592.60177651515141</v>
          </cell>
          <cell r="FT522">
            <v>946.00942424242419</v>
          </cell>
          <cell r="FU522">
            <v>721.21253030303023</v>
          </cell>
          <cell r="FW522">
            <v>1131.0235454545455</v>
          </cell>
          <cell r="FX522">
            <v>651.66865151515151</v>
          </cell>
          <cell r="FZ522">
            <v>1190.8627575757575</v>
          </cell>
          <cell r="GA522">
            <v>650.0172878787879</v>
          </cell>
          <cell r="GB522">
            <v>-2.5340541278517925E-3</v>
          </cell>
          <cell r="GC522">
            <v>1014.5249242424243</v>
          </cell>
          <cell r="GD522">
            <v>0.85039506978112478</v>
          </cell>
          <cell r="GF522">
            <v>971.11189393939401</v>
          </cell>
          <cell r="GG522">
            <v>871.02599999999995</v>
          </cell>
          <cell r="GI522">
            <v>1176.6627727272728</v>
          </cell>
          <cell r="GJ522">
            <v>946.00942424242419</v>
          </cell>
          <cell r="GL522">
            <v>1103.4215727272726</v>
          </cell>
          <cell r="GM522">
            <v>1131.0235454545455</v>
          </cell>
          <cell r="GO522">
            <v>1179.284762121212</v>
          </cell>
          <cell r="GP522">
            <v>1190.8627575757575</v>
          </cell>
          <cell r="GR522">
            <v>1235.3518333333334</v>
          </cell>
          <cell r="GS522">
            <v>1014.5249242424243</v>
          </cell>
          <cell r="GT522">
            <v>0.85039506978112478</v>
          </cell>
          <cell r="GU522">
            <v>1165.491409090909</v>
          </cell>
          <cell r="GV522">
            <v>971.11189393939401</v>
          </cell>
          <cell r="GX522">
            <v>1164.2027121212122</v>
          </cell>
          <cell r="GY522">
            <v>1176.6627727272728</v>
          </cell>
          <cell r="HA522">
            <v>1249.047106060606</v>
          </cell>
          <cell r="HB522">
            <v>1103.4184393939395</v>
          </cell>
          <cell r="HD522">
            <v>1233.7713636363635</v>
          </cell>
          <cell r="HE522">
            <v>1179.2855454545454</v>
          </cell>
          <cell r="HG522">
            <v>1401.1312878787878</v>
          </cell>
          <cell r="HH522">
            <v>1235.3518333333334</v>
          </cell>
          <cell r="HJ522">
            <v>1405.5985000000001</v>
          </cell>
          <cell r="HK522">
            <v>1165.491409090909</v>
          </cell>
          <cell r="HM522">
            <v>1515.4406060606061</v>
          </cell>
          <cell r="HN522">
            <v>1160.7178636363637</v>
          </cell>
          <cell r="HP522">
            <v>1712.0618030303031</v>
          </cell>
          <cell r="HQ522">
            <v>1269.0849848484847</v>
          </cell>
          <cell r="HS522">
            <v>1578.8575757575757</v>
          </cell>
          <cell r="HT522">
            <v>1257.3606060606062</v>
          </cell>
          <cell r="HV522">
            <v>1530.4636363636364</v>
          </cell>
          <cell r="HW522">
            <v>1201.1227272727272</v>
          </cell>
          <cell r="HY522">
            <v>1455.8</v>
          </cell>
          <cell r="HZ522">
            <v>1193.6484848484847</v>
          </cell>
          <cell r="IB522">
            <v>1410.4363636363635</v>
          </cell>
          <cell r="IC522">
            <v>1189.7212121212121</v>
          </cell>
          <cell r="IE522">
            <v>1390.4893939393939</v>
          </cell>
          <cell r="IF522">
            <v>1144.1742424242425</v>
          </cell>
          <cell r="II522">
            <v>1123.9106060606061</v>
          </cell>
        </row>
        <row r="523">
          <cell r="Z523">
            <v>-2.7649667858140359</v>
          </cell>
          <cell r="AC523">
            <v>0.3141733777670575</v>
          </cell>
          <cell r="AD523">
            <v>-46.1742271058339</v>
          </cell>
          <cell r="AF523">
            <v>-1.8761243532423428</v>
          </cell>
          <cell r="AG523">
            <v>-26.715858830632541</v>
          </cell>
          <cell r="AI523">
            <v>4.3269177612893372</v>
          </cell>
          <cell r="AJ523">
            <v>-7.7221469772085554</v>
          </cell>
          <cell r="AL523">
            <v>7.9238549060435837</v>
          </cell>
          <cell r="AM523">
            <v>-6.4608571891985473</v>
          </cell>
          <cell r="AO523">
            <v>4.5432172817294543</v>
          </cell>
          <cell r="AP523">
            <v>-2.7649667858140359</v>
          </cell>
          <cell r="AR523">
            <v>5.8497370378478148</v>
          </cell>
          <cell r="AS523">
            <v>0.3141733777670575</v>
          </cell>
          <cell r="AU523">
            <v>12.736982881014017</v>
          </cell>
          <cell r="AV523">
            <v>-1.8761243532423428</v>
          </cell>
          <cell r="AX523">
            <v>13.553803019259174</v>
          </cell>
          <cell r="AY523">
            <v>4.3269177612893372</v>
          </cell>
          <cell r="BA523">
            <v>1.8791620509607638</v>
          </cell>
          <cell r="BB523">
            <v>7.9238549060435837</v>
          </cell>
          <cell r="BD523">
            <v>-19.074451127310159</v>
          </cell>
          <cell r="BE523">
            <v>4.5432172817294543</v>
          </cell>
          <cell r="BG523">
            <v>-47.377928120381917</v>
          </cell>
          <cell r="BH523">
            <v>5.8497370378478148</v>
          </cell>
          <cell r="BJ523">
            <v>-64.688736970584557</v>
          </cell>
          <cell r="BK523">
            <v>12.736982881014017</v>
          </cell>
          <cell r="BM523">
            <v>-70.315201773222228</v>
          </cell>
          <cell r="BN523">
            <v>13.553803019259174</v>
          </cell>
          <cell r="BP523">
            <v>-65.036581456875183</v>
          </cell>
          <cell r="BQ523">
            <v>1.8791620509607638</v>
          </cell>
          <cell r="BS523">
            <v>-42.686373071815048</v>
          </cell>
          <cell r="BT523">
            <v>-19.074451127310159</v>
          </cell>
          <cell r="BV523">
            <v>-27.699384277146123</v>
          </cell>
          <cell r="BW523">
            <v>-47.377928120381917</v>
          </cell>
          <cell r="BY523">
            <v>-27.007171071009655</v>
          </cell>
          <cell r="BZ523">
            <v>-64.688736970584557</v>
          </cell>
          <cell r="CB523">
            <v>-26.664970425622556</v>
          </cell>
          <cell r="CC523">
            <v>-70.315201773222228</v>
          </cell>
          <cell r="CE523">
            <v>-25.716132127296966</v>
          </cell>
          <cell r="CF523">
            <v>-65.036581456875183</v>
          </cell>
          <cell r="CH523">
            <v>-33.256524015030763</v>
          </cell>
          <cell r="CI523">
            <v>-42.686373071815048</v>
          </cell>
          <cell r="CK523">
            <v>-34.571148918393227</v>
          </cell>
          <cell r="CL523">
            <v>-27.699384277146123</v>
          </cell>
          <cell r="CN523">
            <v>-34.614918964086009</v>
          </cell>
          <cell r="CO523">
            <v>-27.007171071009655</v>
          </cell>
          <cell r="CQ523">
            <v>-27.858191766820319</v>
          </cell>
          <cell r="CR523">
            <v>-26.664970425622556</v>
          </cell>
          <cell r="CT523">
            <v>-14.187276578510385</v>
          </cell>
          <cell r="CU523">
            <v>-25.716132127296966</v>
          </cell>
          <cell r="CW523">
            <v>1.9843402829415928E-2</v>
          </cell>
          <cell r="CX523">
            <v>-33.256524015030763</v>
          </cell>
          <cell r="CZ523">
            <v>7.2897849038395162</v>
          </cell>
          <cell r="DA523">
            <v>-34.571148918393227</v>
          </cell>
          <cell r="DC523">
            <v>15.960059353309113</v>
          </cell>
          <cell r="DD523">
            <v>-34.614918964086009</v>
          </cell>
          <cell r="DF523">
            <v>19.877953454375923</v>
          </cell>
          <cell r="DG523">
            <v>-27.858191766820319</v>
          </cell>
          <cell r="DI523">
            <v>14.80030791188539</v>
          </cell>
          <cell r="DJ523">
            <v>-14.187276578510385</v>
          </cell>
          <cell r="DL523">
            <v>-2.6096306871305708</v>
          </cell>
          <cell r="DM523">
            <v>1.9843402829415928E-2</v>
          </cell>
          <cell r="DO523">
            <v>-25.984993884915745</v>
          </cell>
          <cell r="DP523">
            <v>7.2897849038395162</v>
          </cell>
          <cell r="DR523">
            <v>-38.199885679386924</v>
          </cell>
          <cell r="DS523">
            <v>15.960059353309113</v>
          </cell>
          <cell r="DU523">
            <v>-65.302207746736116</v>
          </cell>
          <cell r="DV523">
            <v>19.877953454375923</v>
          </cell>
          <cell r="DX523">
            <v>-73.079513024753751</v>
          </cell>
          <cell r="DY523">
            <v>14.80030791188539</v>
          </cell>
          <cell r="EA523">
            <v>-67.61777762461945</v>
          </cell>
          <cell r="EB523">
            <v>-2.6096306871305708</v>
          </cell>
          <cell r="ED523">
            <v>-63.179505144047098</v>
          </cell>
          <cell r="EE523">
            <v>-25.984993884915745</v>
          </cell>
          <cell r="EG523">
            <v>-38.679468138989705</v>
          </cell>
          <cell r="EH523">
            <v>-38.199885679386924</v>
          </cell>
          <cell r="EJ523">
            <v>-15.482642693215846</v>
          </cell>
          <cell r="EK523">
            <v>-65.302207746736116</v>
          </cell>
          <cell r="EM523">
            <v>-20.078023228555672</v>
          </cell>
          <cell r="EN523">
            <v>-73.079513024753751</v>
          </cell>
          <cell r="EP523">
            <v>-7.0111595442225125</v>
          </cell>
          <cell r="EQ523">
            <v>-67.61777762461945</v>
          </cell>
          <cell r="ES523">
            <v>-28.068307002523316</v>
          </cell>
          <cell r="ET523">
            <v>-63.179505144047098</v>
          </cell>
          <cell r="EV523">
            <v>-42.645792851515225</v>
          </cell>
          <cell r="EW523">
            <v>-38.679468138989705</v>
          </cell>
          <cell r="EY523">
            <v>-45.487301218769886</v>
          </cell>
          <cell r="EZ523">
            <v>-15.482642693215846</v>
          </cell>
          <cell r="FB523">
            <v>-70.559855458590064</v>
          </cell>
          <cell r="FC523">
            <v>-20.078023228555672</v>
          </cell>
          <cell r="FE523">
            <v>-85.355584800859418</v>
          </cell>
          <cell r="FF523">
            <v>-7.0111595442225125</v>
          </cell>
          <cell r="FH523">
            <v>-64.910753859149253</v>
          </cell>
          <cell r="FI523">
            <v>-28.068307002523316</v>
          </cell>
          <cell r="FK523">
            <v>-64.425278344162209</v>
          </cell>
          <cell r="FL523">
            <v>0.11000403730590724</v>
          </cell>
          <cell r="FN523">
            <v>-105.63763734804088</v>
          </cell>
          <cell r="FO523">
            <v>-45.487301218769886</v>
          </cell>
          <cell r="FQ523">
            <v>-129.39844111159226</v>
          </cell>
          <cell r="FR523">
            <v>-70.559855458590064</v>
          </cell>
          <cell r="FT523">
            <v>-151.44241476947366</v>
          </cell>
          <cell r="FU523">
            <v>-85.355584800859418</v>
          </cell>
          <cell r="FW523">
            <v>-205.83372132210994</v>
          </cell>
          <cell r="FX523">
            <v>-64.910753859149253</v>
          </cell>
          <cell r="FY523">
            <v>-15.514459383523217</v>
          </cell>
          <cell r="FZ523">
            <v>-223.42552949885703</v>
          </cell>
          <cell r="GA523">
            <v>-64.425278344162209</v>
          </cell>
          <cell r="GB523">
            <v>0.11000403730590724</v>
          </cell>
          <cell r="GC523">
            <v>-171.58491816160395</v>
          </cell>
          <cell r="GD523">
            <v>-105.63763734804088</v>
          </cell>
          <cell r="GF523">
            <v>-158.82215484320969</v>
          </cell>
          <cell r="GG523">
            <v>-129.39844111159226</v>
          </cell>
          <cell r="GI523">
            <v>-219.25095231590132</v>
          </cell>
          <cell r="GJ523">
            <v>-151.44241476947366</v>
          </cell>
          <cell r="GL523">
            <v>-197.71916579396552</v>
          </cell>
          <cell r="GM523">
            <v>-205.83372132210994</v>
          </cell>
          <cell r="GO523">
            <v>-220.02177687766547</v>
          </cell>
          <cell r="GP523">
            <v>-223.42552949885703</v>
          </cell>
          <cell r="GR523">
            <v>-236.5046336338296</v>
          </cell>
          <cell r="GS523">
            <v>-171.58491816160395</v>
          </cell>
          <cell r="GU523">
            <v>-215.96674319621047</v>
          </cell>
          <cell r="GV523">
            <v>-158.82215484320969</v>
          </cell>
          <cell r="GX523">
            <v>-215.58788610425981</v>
          </cell>
          <cell r="GY523">
            <v>-219.25095231590132</v>
          </cell>
          <cell r="HA523">
            <v>-240.5308332144389</v>
          </cell>
          <cell r="HB523">
            <v>-197.71824464214887</v>
          </cell>
          <cell r="HD523">
            <v>-236.0399998468416</v>
          </cell>
          <cell r="HE523">
            <v>-220.02200716561964</v>
          </cell>
          <cell r="HG523">
            <v>-285.24124397057557</v>
          </cell>
          <cell r="HH523">
            <v>-236.5046336338296</v>
          </cell>
          <cell r="HJ523">
            <v>-286.55453563895549</v>
          </cell>
          <cell r="HK523">
            <v>-215.96674319621047</v>
          </cell>
          <cell r="HM523">
            <v>-318.84642570652397</v>
          </cell>
          <cell r="HN523">
            <v>-214.56339423851963</v>
          </cell>
          <cell r="HP523">
            <v>-376.65003404225575</v>
          </cell>
          <cell r="HQ523">
            <v>-246.42166144244487</v>
          </cell>
          <cell r="HS523">
            <v>-337.49003959301433</v>
          </cell>
          <cell r="HT523">
            <v>-242.97487437228608</v>
          </cell>
          <cell r="HV523">
            <v>-323.26296559660523</v>
          </cell>
          <cell r="HW523">
            <v>-226.44180281546954</v>
          </cell>
          <cell r="HY523">
            <v>-301.31300465749911</v>
          </cell>
          <cell r="HZ523">
            <v>-224.24449047907987</v>
          </cell>
          <cell r="IB523">
            <v>-287.97679315303787</v>
          </cell>
          <cell r="IC523">
            <v>-223.08993268951536</v>
          </cell>
          <cell r="IE523">
            <v>-282.11269079979041</v>
          </cell>
          <cell r="IF523">
            <v>-209.69982400429132</v>
          </cell>
          <cell r="II523">
            <v>-203.74262652063524</v>
          </cell>
        </row>
        <row r="524">
          <cell r="Z524">
            <v>-0.69124169645350897</v>
          </cell>
          <cell r="AC524">
            <v>7.8543344441764376E-2</v>
          </cell>
          <cell r="AD524">
            <v>-11.543556776458475</v>
          </cell>
          <cell r="AF524">
            <v>-0.46903108831058571</v>
          </cell>
          <cell r="AG524">
            <v>-6.6789647076581353</v>
          </cell>
          <cell r="AI524">
            <v>1.0817294403223343</v>
          </cell>
          <cell r="AJ524">
            <v>-1.9305367443021388</v>
          </cell>
          <cell r="AL524">
            <v>1.9809637265108959</v>
          </cell>
          <cell r="AM524">
            <v>-1.6152142972996368</v>
          </cell>
          <cell r="AO524">
            <v>1.1358043204323636</v>
          </cell>
          <cell r="AP524">
            <v>-0.69124169645350897</v>
          </cell>
          <cell r="AR524">
            <v>1.4624342594619537</v>
          </cell>
          <cell r="AS524">
            <v>7.8543344441764376E-2</v>
          </cell>
          <cell r="AU524">
            <v>3.1842457202535042</v>
          </cell>
          <cell r="AV524">
            <v>-0.46903108831058571</v>
          </cell>
          <cell r="AX524">
            <v>3.3884507548147935</v>
          </cell>
          <cell r="AY524">
            <v>1.0817294403223343</v>
          </cell>
          <cell r="BA524">
            <v>0.46979051274019096</v>
          </cell>
          <cell r="BB524">
            <v>1.9809637265108959</v>
          </cell>
          <cell r="BD524">
            <v>-4.7686127818275397</v>
          </cell>
          <cell r="BE524">
            <v>1.1358043204323636</v>
          </cell>
          <cell r="BG524">
            <v>-11.844482030095479</v>
          </cell>
          <cell r="BH524">
            <v>1.4624342594619537</v>
          </cell>
          <cell r="BJ524">
            <v>-16.172184242646139</v>
          </cell>
          <cell r="BK524">
            <v>3.1842457202535042</v>
          </cell>
          <cell r="BM524">
            <v>-17.578800443305557</v>
          </cell>
          <cell r="BN524">
            <v>3.3884507548147935</v>
          </cell>
          <cell r="BP524">
            <v>-16.259145364218796</v>
          </cell>
          <cell r="BQ524">
            <v>0.46979051274019096</v>
          </cell>
          <cell r="BS524">
            <v>-10.671593267953762</v>
          </cell>
          <cell r="BT524">
            <v>-4.7686127818275397</v>
          </cell>
          <cell r="BV524">
            <v>-6.9248460692865308</v>
          </cell>
          <cell r="BW524">
            <v>-11.844482030095479</v>
          </cell>
          <cell r="BY524">
            <v>-6.7517927677524137</v>
          </cell>
          <cell r="BZ524">
            <v>-16.172184242646139</v>
          </cell>
          <cell r="CB524">
            <v>-6.666242606405639</v>
          </cell>
          <cell r="CC524">
            <v>-17.578800443305557</v>
          </cell>
          <cell r="CE524">
            <v>-6.4290330318242415</v>
          </cell>
          <cell r="CF524">
            <v>-16.259145364218796</v>
          </cell>
          <cell r="CH524">
            <v>-8.3141310037576908</v>
          </cell>
          <cell r="CI524">
            <v>-10.671593267953762</v>
          </cell>
          <cell r="CK524">
            <v>-8.6427872295983068</v>
          </cell>
          <cell r="CL524">
            <v>-6.9248460692865308</v>
          </cell>
          <cell r="CN524">
            <v>-8.6537297410215022</v>
          </cell>
          <cell r="CO524">
            <v>-6.7517927677524137</v>
          </cell>
          <cell r="CQ524">
            <v>-6.9645479417050797</v>
          </cell>
          <cell r="CR524">
            <v>-6.666242606405639</v>
          </cell>
          <cell r="CT524">
            <v>-3.5468191446275963</v>
          </cell>
          <cell r="CU524">
            <v>-6.4290330318242415</v>
          </cell>
          <cell r="CW524">
            <v>4.960850707353982E-3</v>
          </cell>
          <cell r="CX524">
            <v>-8.3141310037576908</v>
          </cell>
          <cell r="CZ524">
            <v>1.822446225959879</v>
          </cell>
          <cell r="DA524">
            <v>-8.6427872295983068</v>
          </cell>
          <cell r="DC524">
            <v>3.9900148383272782</v>
          </cell>
          <cell r="DD524">
            <v>-8.6537297410215022</v>
          </cell>
          <cell r="DF524">
            <v>4.9694883635939808</v>
          </cell>
          <cell r="DG524">
            <v>-6.9645479417050797</v>
          </cell>
          <cell r="DI524">
            <v>3.7000769779713476</v>
          </cell>
          <cell r="DJ524">
            <v>-3.5468191446275963</v>
          </cell>
          <cell r="DL524">
            <v>-0.6524076717826427</v>
          </cell>
          <cell r="DM524">
            <v>4.960850707353982E-3</v>
          </cell>
          <cell r="DO524">
            <v>-6.4962484712289363</v>
          </cell>
          <cell r="DP524">
            <v>1.822446225959879</v>
          </cell>
          <cell r="DR524">
            <v>-9.5499714198467309</v>
          </cell>
          <cell r="DS524">
            <v>3.9900148383272782</v>
          </cell>
          <cell r="DU524">
            <v>-16.325551936684029</v>
          </cell>
          <cell r="DV524">
            <v>4.9694883635939808</v>
          </cell>
          <cell r="DX524">
            <v>-18.269878256188438</v>
          </cell>
          <cell r="DY524">
            <v>3.7000769779713476</v>
          </cell>
          <cell r="EA524">
            <v>-16.904444406154862</v>
          </cell>
          <cell r="EB524">
            <v>-0.6524076717826427</v>
          </cell>
          <cell r="ED524">
            <v>-15.794876286011775</v>
          </cell>
          <cell r="EE524">
            <v>-6.4962484712289363</v>
          </cell>
          <cell r="EG524">
            <v>-9.6698670347474263</v>
          </cell>
          <cell r="EH524">
            <v>-9.5499714198467309</v>
          </cell>
          <cell r="EJ524">
            <v>-3.8706606733039615</v>
          </cell>
          <cell r="EK524">
            <v>-16.325551936684029</v>
          </cell>
          <cell r="EM524">
            <v>-5.019505807138918</v>
          </cell>
          <cell r="EN524">
            <v>-18.269878256188438</v>
          </cell>
          <cell r="EP524">
            <v>-1.7527898860556281</v>
          </cell>
          <cell r="EQ524">
            <v>-16.904444406154862</v>
          </cell>
          <cell r="ES524">
            <v>-7.0170767506308289</v>
          </cell>
          <cell r="ET524">
            <v>-15.794876286011775</v>
          </cell>
          <cell r="EV524">
            <v>-10.661448212878806</v>
          </cell>
          <cell r="EW524">
            <v>-9.6698670347474263</v>
          </cell>
          <cell r="EY524">
            <v>-11.371825304692472</v>
          </cell>
          <cell r="EZ524">
            <v>-3.8706606733039615</v>
          </cell>
          <cell r="FB524">
            <v>-17.639963864647516</v>
          </cell>
          <cell r="FC524">
            <v>-5.019505807138918</v>
          </cell>
          <cell r="FE524">
            <v>-21.338896200214855</v>
          </cell>
          <cell r="FF524">
            <v>-1.7527898860556281</v>
          </cell>
          <cell r="FH524">
            <v>-16.227688464787313</v>
          </cell>
          <cell r="FI524">
            <v>-7.0170767506308289</v>
          </cell>
          <cell r="FK524">
            <v>-16.106319586040552</v>
          </cell>
          <cell r="FL524">
            <v>-10.661448212878806</v>
          </cell>
          <cell r="FN524">
            <v>-26.409409337010221</v>
          </cell>
          <cell r="FO524">
            <v>-11.371825304692472</v>
          </cell>
          <cell r="FQ524">
            <v>-32.349610277898066</v>
          </cell>
          <cell r="FR524">
            <v>-17.639963864647516</v>
          </cell>
          <cell r="FT524">
            <v>-37.860603692368414</v>
          </cell>
          <cell r="FU524">
            <v>-21.338896200214855</v>
          </cell>
          <cell r="FW524">
            <v>-51.458430330527484</v>
          </cell>
          <cell r="FX524">
            <v>-16.227688464787313</v>
          </cell>
          <cell r="FZ524">
            <v>-55.856382374714258</v>
          </cell>
          <cell r="GA524">
            <v>-16.106319586040552</v>
          </cell>
          <cell r="GC524">
            <v>-42.896229540400988</v>
          </cell>
          <cell r="GD524">
            <v>-26.409409337010221</v>
          </cell>
          <cell r="GF524">
            <v>-39.705538710802422</v>
          </cell>
          <cell r="GG524">
            <v>-32.349610277898066</v>
          </cell>
          <cell r="GI524">
            <v>-54.812738078975329</v>
          </cell>
          <cell r="GJ524">
            <v>-37.860603692368414</v>
          </cell>
          <cell r="GL524">
            <v>-49.429791448491379</v>
          </cell>
          <cell r="GM524">
            <v>-51.458430330527484</v>
          </cell>
          <cell r="GN524">
            <v>0.19474141070420337</v>
          </cell>
          <cell r="GO524">
            <v>-55.005444219416368</v>
          </cell>
          <cell r="GP524">
            <v>-55.856382374714258</v>
          </cell>
          <cell r="GQ524">
            <v>5.3995304015009404E-2</v>
          </cell>
          <cell r="GR524">
            <v>-59.1261584084574</v>
          </cell>
          <cell r="GS524">
            <v>-42.896229540400988</v>
          </cell>
          <cell r="GU524">
            <v>-53.991685799052618</v>
          </cell>
          <cell r="GV524">
            <v>-39.705538710802422</v>
          </cell>
          <cell r="GX524">
            <v>-53.896971526064952</v>
          </cell>
          <cell r="GY524">
            <v>-54.812738078975329</v>
          </cell>
          <cell r="HA524">
            <v>-60.132708303609725</v>
          </cell>
          <cell r="HB524">
            <v>-49.429561160537219</v>
          </cell>
          <cell r="HD524">
            <v>-59.009999961710399</v>
          </cell>
          <cell r="HE524">
            <v>-55.00550179140491</v>
          </cell>
          <cell r="HG524">
            <v>-71.310310992643892</v>
          </cell>
          <cell r="HH524">
            <v>-59.1261584084574</v>
          </cell>
          <cell r="HJ524">
            <v>-71.638633909738871</v>
          </cell>
          <cell r="HK524">
            <v>-53.991685799052618</v>
          </cell>
          <cell r="HM524">
            <v>-79.711606426630993</v>
          </cell>
          <cell r="HN524">
            <v>-53.640848559629909</v>
          </cell>
          <cell r="HP524">
            <v>-94.162508510563939</v>
          </cell>
          <cell r="HQ524">
            <v>-61.605415360611218</v>
          </cell>
          <cell r="HS524">
            <v>-84.372509898253583</v>
          </cell>
          <cell r="HT524">
            <v>-60.74371859307152</v>
          </cell>
          <cell r="HV524">
            <v>-80.815741399151307</v>
          </cell>
          <cell r="HW524">
            <v>-56.610450703867386</v>
          </cell>
          <cell r="HY524">
            <v>-75.328251164374777</v>
          </cell>
          <cell r="HZ524">
            <v>-56.061122619769968</v>
          </cell>
          <cell r="IB524">
            <v>-71.994198288259469</v>
          </cell>
          <cell r="IC524">
            <v>-55.772483172378841</v>
          </cell>
          <cell r="IE524">
            <v>-70.528172699947604</v>
          </cell>
          <cell r="IF524">
            <v>-52.424956001072829</v>
          </cell>
          <cell r="II524">
            <v>-50.93565663015881</v>
          </cell>
        </row>
        <row r="525">
          <cell r="Z525">
            <v>0.87808518298849403</v>
          </cell>
          <cell r="AC525">
            <v>0.85719630403778435</v>
          </cell>
          <cell r="AD525">
            <v>1.1725734933582821</v>
          </cell>
          <cell r="AF525">
            <v>0.87205527821187923</v>
          </cell>
          <cell r="AG525">
            <v>1.0405679730229263</v>
          </cell>
          <cell r="AI525">
            <v>0.8299738564600645</v>
          </cell>
          <cell r="AJ525">
            <v>0.91171468065789096</v>
          </cell>
          <cell r="AL525">
            <v>0.80557224412076156</v>
          </cell>
          <cell r="AM525">
            <v>0.90315809397985358</v>
          </cell>
          <cell r="AO525">
            <v>0.82850648106968439</v>
          </cell>
          <cell r="AP525">
            <v>0.87808518298849403</v>
          </cell>
          <cell r="AR525">
            <v>0.8196430544043235</v>
          </cell>
          <cell r="AS525">
            <v>0.85719630403778435</v>
          </cell>
          <cell r="AU525">
            <v>0.77291999631710784</v>
          </cell>
          <cell r="AV525">
            <v>0.87205527821187923</v>
          </cell>
          <cell r="AX525">
            <v>0.76737869059997499</v>
          </cell>
          <cell r="AY525">
            <v>0.8299738564600645</v>
          </cell>
          <cell r="BA525">
            <v>0.84657942490372251</v>
          </cell>
          <cell r="BB525">
            <v>0.80557224412076156</v>
          </cell>
          <cell r="BD525">
            <v>0.9887286828159868</v>
          </cell>
          <cell r="BE525">
            <v>0.82850648106968439</v>
          </cell>
          <cell r="BG525">
            <v>1.1807393979452616</v>
          </cell>
          <cell r="BH525">
            <v>0.8196430544043235</v>
          </cell>
          <cell r="BJ525">
            <v>1.2981758806645836</v>
          </cell>
          <cell r="BK525">
            <v>0.77291999631710784</v>
          </cell>
          <cell r="BM525">
            <v>1.3363458034153677</v>
          </cell>
          <cell r="BN525">
            <v>0.76737869059997499</v>
          </cell>
          <cell r="BP525">
            <v>1.300535656764982</v>
          </cell>
          <cell r="BQ525">
            <v>0.84657942490372251</v>
          </cell>
          <cell r="BS525">
            <v>1.1489119005616646</v>
          </cell>
          <cell r="BT525">
            <v>0.9887286828159868</v>
          </cell>
          <cell r="BV525">
            <v>1.0472402071226143</v>
          </cell>
          <cell r="BW525">
            <v>1.1807393979452616</v>
          </cell>
          <cell r="BY525">
            <v>1.0425442345124389</v>
          </cell>
          <cell r="BZ525">
            <v>1.2981758806645836</v>
          </cell>
          <cell r="CB525">
            <v>1.0402227462142148</v>
          </cell>
          <cell r="CC525">
            <v>1.3363458034153677</v>
          </cell>
          <cell r="CE525">
            <v>1.0337858296386244</v>
          </cell>
          <cell r="CF525">
            <v>1.300535656764982</v>
          </cell>
          <cell r="CH525">
            <v>1.0849398288124066</v>
          </cell>
          <cell r="CI525">
            <v>1.1489119005616646</v>
          </cell>
          <cell r="CK525">
            <v>1.0938582407758259</v>
          </cell>
          <cell r="CL525">
            <v>1.0472402071226143</v>
          </cell>
          <cell r="CN525">
            <v>1.0941551766532369</v>
          </cell>
          <cell r="CO525">
            <v>1.0425442345124389</v>
          </cell>
          <cell r="CQ525">
            <v>1.0483175567241381</v>
          </cell>
          <cell r="CR525">
            <v>1.0402227462142148</v>
          </cell>
          <cell r="CT525">
            <v>0.95557410324590997</v>
          </cell>
          <cell r="CU525">
            <v>1.0337858296386244</v>
          </cell>
          <cell r="CW525">
            <v>0.85919303783079448</v>
          </cell>
          <cell r="CX525">
            <v>1.0849398288124066</v>
          </cell>
          <cell r="CZ525">
            <v>0.80987377338499389</v>
          </cell>
          <cell r="DA525">
            <v>1.0938582407758259</v>
          </cell>
          <cell r="DC525">
            <v>0.75105465381826175</v>
          </cell>
          <cell r="DD525">
            <v>1.0941551766532369</v>
          </cell>
          <cell r="DF525">
            <v>0.72447567031278115</v>
          </cell>
          <cell r="DG525">
            <v>1.0483175567241381</v>
          </cell>
          <cell r="DI525">
            <v>0.75892240461419724</v>
          </cell>
          <cell r="DJ525">
            <v>0.95557410324590997</v>
          </cell>
          <cell r="DL525">
            <v>0.87703138329452335</v>
          </cell>
          <cell r="DM525">
            <v>0.85919303783079448</v>
          </cell>
          <cell r="DO525">
            <v>1.0356097871108438</v>
          </cell>
          <cell r="DP525">
            <v>0.80987377338499389</v>
          </cell>
          <cell r="DR525">
            <v>1.1184755816299141</v>
          </cell>
          <cell r="DS525">
            <v>0.75105465381826175</v>
          </cell>
          <cell r="DU525">
            <v>1.3023376648322529</v>
          </cell>
          <cell r="DV525">
            <v>0.72447567031278115</v>
          </cell>
          <cell r="DX525">
            <v>1.3550988838364197</v>
          </cell>
          <cell r="DY525">
            <v>0.75892240461419724</v>
          </cell>
          <cell r="EA525">
            <v>1.3180464849285618</v>
          </cell>
          <cell r="EB525">
            <v>0.87703138329452335</v>
          </cell>
          <cell r="ED525">
            <v>1.2879372558348403</v>
          </cell>
          <cell r="EE525">
            <v>1.0356097871108438</v>
          </cell>
          <cell r="EG525">
            <v>1.1217290678024547</v>
          </cell>
          <cell r="EH525">
            <v>1.1184755816299141</v>
          </cell>
          <cell r="EJ525">
            <v>0.96436186363661081</v>
          </cell>
          <cell r="EK525">
            <v>1.3023376648322529</v>
          </cell>
          <cell r="EM525">
            <v>0.99553691336981964</v>
          </cell>
          <cell r="EN525">
            <v>1.3550988838364197</v>
          </cell>
          <cell r="EP525">
            <v>0.9068913437410524</v>
          </cell>
          <cell r="EQ525">
            <v>1.3180464849285618</v>
          </cell>
          <cell r="ES525">
            <v>1.0497429779427667</v>
          </cell>
          <cell r="ET525">
            <v>1.2879372558348403</v>
          </cell>
          <cell r="EV525">
            <v>1.1486366044515164</v>
          </cell>
          <cell r="EW525">
            <v>1.1217290678024547</v>
          </cell>
          <cell r="EY525">
            <v>1.1679133899070961</v>
          </cell>
          <cell r="EZ525">
            <v>0.96436186363661081</v>
          </cell>
          <cell r="FB525">
            <v>1.3380055333876955</v>
          </cell>
          <cell r="FC525">
            <v>0.99553691336981964</v>
          </cell>
          <cell r="FE525">
            <v>1.438379723193554</v>
          </cell>
          <cell r="FF525">
            <v>0.9068913437410524</v>
          </cell>
          <cell r="FH525">
            <v>1.2996820426656164</v>
          </cell>
          <cell r="FI525">
            <v>1.0497429779427667</v>
          </cell>
          <cell r="FJ525">
            <v>0.17787032334518371</v>
          </cell>
          <cell r="FK525">
            <v>1.2963885780205044</v>
          </cell>
          <cell r="FL525">
            <v>1.1486366044515164</v>
          </cell>
          <cell r="FN525">
            <v>1.575973115511647</v>
          </cell>
          <cell r="FO525">
            <v>1.1679133899070961</v>
          </cell>
          <cell r="FQ525">
            <v>1.7371663471348378</v>
          </cell>
          <cell r="FR525">
            <v>1.3380055333876955</v>
          </cell>
          <cell r="FT525">
            <v>1.8867126077365579</v>
          </cell>
          <cell r="FU525">
            <v>1.438379723193554</v>
          </cell>
          <cell r="FW525">
            <v>2.2557030915044618</v>
          </cell>
          <cell r="FX525">
            <v>0.19557323264541759</v>
          </cell>
          <cell r="FZ525">
            <v>2.3750458729323789</v>
          </cell>
          <cell r="GA525">
            <v>5.2907132094375031E-2</v>
          </cell>
          <cell r="GC525">
            <v>2.0233592989456803</v>
          </cell>
          <cell r="GD525">
            <v>1.575973115511647</v>
          </cell>
          <cell r="GF525">
            <v>1.9367767454173481</v>
          </cell>
          <cell r="GG525">
            <v>1.7371663471348378</v>
          </cell>
          <cell r="GH525">
            <v>0.20079333112238573</v>
          </cell>
          <cell r="GI525">
            <v>2.3467255520595089</v>
          </cell>
          <cell r="GJ525">
            <v>1.8867126077365579</v>
          </cell>
          <cell r="GK525">
            <v>0.43209324323961273</v>
          </cell>
          <cell r="GL525">
            <v>2.2006539676707857</v>
          </cell>
          <cell r="GM525">
            <v>2.2557030915044618</v>
          </cell>
          <cell r="GN525">
            <v>0.19557323264541759</v>
          </cell>
          <cell r="GO525">
            <v>2.3519548239040877</v>
          </cell>
          <cell r="GP525">
            <v>2.3750458729323789</v>
          </cell>
          <cell r="GQ525">
            <v>5.2907132094375031E-2</v>
          </cell>
          <cell r="GR525">
            <v>2.4637744817468032</v>
          </cell>
          <cell r="GS525">
            <v>2.0233592989456803</v>
          </cell>
          <cell r="GT525">
            <v>0.25448834012773691</v>
          </cell>
          <cell r="GU525">
            <v>2.3244454858379533</v>
          </cell>
          <cell r="GV525">
            <v>1.9367767454173481</v>
          </cell>
          <cell r="GW525">
            <v>7.4144929329160503E-2</v>
          </cell>
          <cell r="GX525">
            <v>2.3218753203005158</v>
          </cell>
          <cell r="GY525">
            <v>2.3467255520595089</v>
          </cell>
          <cell r="GZ525">
            <v>-0.10671049177854297</v>
          </cell>
          <cell r="HA525">
            <v>2.4910882093469575</v>
          </cell>
          <cell r="HB525">
            <v>2.2006477185792304</v>
          </cell>
          <cell r="HD525">
            <v>2.4606224073308365</v>
          </cell>
          <cell r="HE525">
            <v>2.3519563861769766</v>
          </cell>
          <cell r="HG525">
            <v>2.7944035209290248</v>
          </cell>
          <cell r="HH525">
            <v>2.4637744817468032</v>
          </cell>
          <cell r="HJ525">
            <v>2.8033128882297511</v>
          </cell>
          <cell r="HK525">
            <v>2.3244454858379533</v>
          </cell>
          <cell r="HM525">
            <v>3.022380987398892</v>
          </cell>
          <cell r="HN525">
            <v>2.314925170118153</v>
          </cell>
          <cell r="HP525">
            <v>3.4145205176874573</v>
          </cell>
          <cell r="HQ525">
            <v>2.5310515728955427</v>
          </cell>
          <cell r="HS525">
            <v>3.1488592160566422</v>
          </cell>
          <cell r="HT525">
            <v>2.5076685782761348</v>
          </cell>
          <cell r="HV525">
            <v>3.0523427826546148</v>
          </cell>
          <cell r="HW525">
            <v>2.3955082633549374</v>
          </cell>
          <cell r="HY525">
            <v>2.9034343040952812</v>
          </cell>
          <cell r="HZ525">
            <v>2.3806017021159831</v>
          </cell>
          <cell r="IB525">
            <v>2.8129614795474822</v>
          </cell>
          <cell r="IC525">
            <v>2.372769185040903</v>
          </cell>
          <cell r="IE525">
            <v>2.7731794242645242</v>
          </cell>
          <cell r="IF525">
            <v>2.2819307221574228</v>
          </cell>
          <cell r="II525">
            <v>2.2415171097491977</v>
          </cell>
        </row>
        <row r="526">
          <cell r="DU526">
            <v>397.86433622707762</v>
          </cell>
          <cell r="DV526">
            <v>445.19879456041099</v>
          </cell>
          <cell r="DW526">
            <v>445.19879456041099</v>
          </cell>
          <cell r="EG526">
            <v>570.6385416666667</v>
          </cell>
          <cell r="EH526">
            <v>658.03562499999998</v>
          </cell>
          <cell r="EI526">
            <v>658.03562499999987</v>
          </cell>
          <cell r="ES526">
            <v>496.68162878787876</v>
          </cell>
          <cell r="ET526">
            <v>567.23177272727276</v>
          </cell>
          <cell r="EU526">
            <v>0.19108464131918801</v>
          </cell>
          <cell r="EV526">
            <v>9.4207466576776921E-2</v>
          </cell>
          <cell r="EY526">
            <v>1.6782318603527857E-2</v>
          </cell>
          <cell r="FB526">
            <v>0.14563763456306433</v>
          </cell>
          <cell r="FE526">
            <v>7.5017768836666221E-2</v>
          </cell>
          <cell r="FH526">
            <v>-9.6426331859013392E-2</v>
          </cell>
          <cell r="FJ526">
            <v>-23.497313784660456</v>
          </cell>
          <cell r="FK526">
            <v>-2.5340541278517925E-3</v>
          </cell>
          <cell r="FL526">
            <v>9.4207466576776921E-2</v>
          </cell>
          <cell r="FN526">
            <v>0.21566414748735929</v>
          </cell>
          <cell r="FO526">
            <v>1.6782318603527857E-2</v>
          </cell>
          <cell r="FQ526">
            <v>0.10228171409564846</v>
          </cell>
          <cell r="FR526">
            <v>0.20772444099664056</v>
          </cell>
          <cell r="FT526">
            <v>8.6086321467354843E-2</v>
          </cell>
          <cell r="FU526">
            <v>0.45167244433642839</v>
          </cell>
          <cell r="FW526">
            <v>0.19557323264541759</v>
          </cell>
          <cell r="FX526">
            <v>0.73998994572195631</v>
          </cell>
          <cell r="FY526">
            <v>5.1112077354275414</v>
          </cell>
          <cell r="FZ526">
            <v>5.2907132094375031E-2</v>
          </cell>
          <cell r="GA526">
            <v>0.50703451064982774</v>
          </cell>
          <cell r="GB526">
            <v>0.12136887874676106</v>
          </cell>
          <cell r="GC526">
            <v>-0.14807569739799797</v>
          </cell>
          <cell r="GD526">
            <v>0.16474700438611967</v>
          </cell>
          <cell r="GE526">
            <v>-10.382710586187514</v>
          </cell>
          <cell r="GF526">
            <v>-4.2791487193326483E-2</v>
          </cell>
          <cell r="GG526">
            <v>2.6535115881189286E-2</v>
          </cell>
          <cell r="GH526">
            <v>0.20772444099664056</v>
          </cell>
          <cell r="GI526">
            <v>0.2116654940287519</v>
          </cell>
          <cell r="GJ526">
            <v>4.0352146032809122E-2</v>
          </cell>
          <cell r="GK526">
            <v>0.45167244433642839</v>
          </cell>
          <cell r="GL526">
            <v>-6.2244851879048935E-2</v>
          </cell>
          <cell r="GM526">
            <v>-7.3426752404692874E-2</v>
          </cell>
          <cell r="GN526">
            <v>0.73998994572195631</v>
          </cell>
          <cell r="GO526">
            <v>6.875267918356176E-2</v>
          </cell>
          <cell r="GP526">
            <v>0.16240097600541326</v>
          </cell>
          <cell r="GQ526">
            <v>0.50703451064982774</v>
          </cell>
          <cell r="GR526">
            <v>4.7543284720538592E-2</v>
          </cell>
          <cell r="GS526">
            <v>0.27210040474535702</v>
          </cell>
          <cell r="GT526">
            <v>0.16474700438611967</v>
          </cell>
          <cell r="GU526">
            <v>-5.6551034577672521E-2</v>
          </cell>
          <cell r="GV526">
            <v>-9.4941081636081837E-3</v>
          </cell>
          <cell r="GW526">
            <v>2.6535115881189286E-2</v>
          </cell>
          <cell r="GX526">
            <v>-1.1057112559087479E-3</v>
          </cell>
          <cell r="GY526">
            <v>0.2116654940287519</v>
          </cell>
          <cell r="GZ526">
            <v>4.0352146032809122E-2</v>
          </cell>
          <cell r="HA526">
            <v>7.2877681056767729E-2</v>
          </cell>
          <cell r="HB526">
            <v>-6.2247514777379553E-2</v>
          </cell>
          <cell r="HC526">
            <v>-7.3429383550316696E-2</v>
          </cell>
          <cell r="HD526">
            <v>-1.2229916990417533E-2</v>
          </cell>
          <cell r="HE526">
            <v>6.8756423992947235E-2</v>
          </cell>
          <cell r="HF526">
            <v>0.16240174812378583</v>
          </cell>
          <cell r="HG526">
            <v>0.1356490587925101</v>
          </cell>
          <cell r="HH526">
            <v>4.754258889620977E-2</v>
          </cell>
          <cell r="HI526">
            <v>0.27210040474535702</v>
          </cell>
          <cell r="HJ526">
            <v>3.1882894628492142E-3</v>
          </cell>
          <cell r="HK526">
            <v>-5.6551034577672521E-2</v>
          </cell>
          <cell r="HL526">
            <v>-9.4941081636081837E-3</v>
          </cell>
          <cell r="HM526">
            <v>7.8146146328845756E-2</v>
          </cell>
          <cell r="HN526">
            <v>-4.0957362854082691E-3</v>
          </cell>
          <cell r="HP526">
            <v>0.12974523460923648</v>
          </cell>
          <cell r="HQ526">
            <v>9.3362155099967481E-2</v>
          </cell>
          <cell r="HS526">
            <v>-7.7803398824130898E-2</v>
          </cell>
          <cell r="HT526">
            <v>-9.2384504803501022E-3</v>
          </cell>
          <cell r="HV526">
            <v>-3.0651238045153351E-2</v>
          </cell>
          <cell r="HW526">
            <v>-4.4726929185475273E-2</v>
          </cell>
          <cell r="HY526">
            <v>-4.8784979002203799E-2</v>
          </cell>
          <cell r="HZ526">
            <v>-6.2227133452161798E-3</v>
          </cell>
          <cell r="IB526">
            <v>-3.1160623961833056E-2</v>
          </cell>
          <cell r="IC526">
            <v>-3.2901417604288552E-3</v>
          </cell>
          <cell r="IE526">
            <v>-1.414241025773233E-2</v>
          </cell>
          <cell r="IF526">
            <v>-3.8283733393104535E-2</v>
          </cell>
          <cell r="II526">
            <v>-1.7710271401235489E-2</v>
          </cell>
        </row>
        <row r="527">
          <cell r="DF527">
            <v>425.69879456041099</v>
          </cell>
          <cell r="DG527">
            <v>425.69879456041093</v>
          </cell>
          <cell r="DR527">
            <v>638.5356250000001</v>
          </cell>
          <cell r="DS527">
            <v>638.53562499999987</v>
          </cell>
          <cell r="DV527">
            <v>425.69879456041099</v>
          </cell>
          <cell r="DW527">
            <v>425.69879456041093</v>
          </cell>
          <cell r="ED527">
            <v>547.73177272727276</v>
          </cell>
          <cell r="EE527">
            <v>547.73177272727264</v>
          </cell>
          <cell r="EH527">
            <v>638.5356250000001</v>
          </cell>
          <cell r="EI527">
            <v>638.53562499999987</v>
          </cell>
          <cell r="ET527">
            <v>547.73177272727276</v>
          </cell>
          <cell r="EU527">
            <v>-27.163150158299381</v>
          </cell>
          <cell r="EV527">
            <v>-14.577485848991909</v>
          </cell>
          <cell r="EY527">
            <v>-2.8415083672546615</v>
          </cell>
          <cell r="FB527">
            <v>-25.072554239820178</v>
          </cell>
          <cell r="FE527">
            <v>-14.795729342269354</v>
          </cell>
          <cell r="FH527">
            <v>20.444830941710165</v>
          </cell>
          <cell r="FI527">
            <v>5.1112077354275414</v>
          </cell>
          <cell r="FK527">
            <v>0.48547551498704422</v>
          </cell>
          <cell r="FL527">
            <v>0.12136887874676106</v>
          </cell>
          <cell r="FN527">
            <v>-41.212359003878674</v>
          </cell>
          <cell r="FO527">
            <v>-10.303089750969669</v>
          </cell>
          <cell r="FQ527">
            <v>-23.76080376355138</v>
          </cell>
          <cell r="FR527">
            <v>-5.9402009408878449</v>
          </cell>
          <cell r="FT527">
            <v>-22.043973657881395</v>
          </cell>
          <cell r="FU527">
            <v>-5.5109934144703487</v>
          </cell>
          <cell r="FW527">
            <v>-54.39130655263628</v>
          </cell>
          <cell r="FX527">
            <v>-13.59782663815907</v>
          </cell>
          <cell r="FY527">
            <v>5.1112077354275414</v>
          </cell>
          <cell r="FZ527">
            <v>-17.591808176747094</v>
          </cell>
          <cell r="GA527">
            <v>-4.3979520441867734</v>
          </cell>
          <cell r="GB527">
            <v>0.12136887874676106</v>
          </cell>
          <cell r="GC527">
            <v>51.84061133725308</v>
          </cell>
          <cell r="GD527">
            <v>12.96015283431327</v>
          </cell>
          <cell r="GE527">
            <v>-10.303089750969669</v>
          </cell>
          <cell r="GF527">
            <v>12.762763318394263</v>
          </cell>
          <cell r="GG527">
            <v>3.1906908295985659</v>
          </cell>
          <cell r="GH527">
            <v>-5.9402009408878449</v>
          </cell>
          <cell r="GI527">
            <v>-60.428797472691627</v>
          </cell>
          <cell r="GJ527">
            <v>-15.107199368172907</v>
          </cell>
          <cell r="GK527">
            <v>-5.5109934144703487</v>
          </cell>
          <cell r="GL527">
            <v>21.5317865219358</v>
          </cell>
          <cell r="GM527">
            <v>-54.39130655263628</v>
          </cell>
          <cell r="GN527">
            <v>-13.59782663815907</v>
          </cell>
          <cell r="GO527">
            <v>-22.302611083699958</v>
          </cell>
          <cell r="GP527">
            <v>-17.591808176747094</v>
          </cell>
          <cell r="GQ527">
            <v>-4.3979520441867734</v>
          </cell>
          <cell r="GR527">
            <v>-16.482856756164125</v>
          </cell>
          <cell r="GS527">
            <v>51.84061133725308</v>
          </cell>
          <cell r="GT527">
            <v>12.96015283431327</v>
          </cell>
          <cell r="GU527">
            <v>20.537890437619126</v>
          </cell>
          <cell r="GV527">
            <v>12.762763318394263</v>
          </cell>
          <cell r="GW527">
            <v>3.1906908295985659</v>
          </cell>
          <cell r="GX527">
            <v>0.37885709195066397</v>
          </cell>
          <cell r="GY527">
            <v>-60.428797472691627</v>
          </cell>
          <cell r="GZ527">
            <v>-15.107199368172907</v>
          </cell>
          <cell r="HA527">
            <v>-24.942947110179091</v>
          </cell>
          <cell r="HB527">
            <v>21.532707673752441</v>
          </cell>
          <cell r="HD527">
            <v>4.490833367597304</v>
          </cell>
          <cell r="HE527">
            <v>-22.303762523470766</v>
          </cell>
          <cell r="HG527">
            <v>-49.201244123733971</v>
          </cell>
          <cell r="HH527">
            <v>-16.482626468209958</v>
          </cell>
          <cell r="HJ527">
            <v>-1.3132916683799181</v>
          </cell>
          <cell r="HK527">
            <v>20.537890437619126</v>
          </cell>
          <cell r="HM527">
            <v>-32.291890067568488</v>
          </cell>
          <cell r="HN527">
            <v>1.403348957690838</v>
          </cell>
          <cell r="HP527">
            <v>-57.803608335731781</v>
          </cell>
          <cell r="HQ527">
            <v>-31.858267203925237</v>
          </cell>
          <cell r="HS527">
            <v>39.159994449241424</v>
          </cell>
          <cell r="HT527">
            <v>3.4467870701587913</v>
          </cell>
          <cell r="HV527">
            <v>14.227073996409104</v>
          </cell>
          <cell r="HW527">
            <v>16.533071556816537</v>
          </cell>
          <cell r="HY527">
            <v>21.94996093910612</v>
          </cell>
          <cell r="HZ527">
            <v>2.1973123363896718</v>
          </cell>
          <cell r="IB527">
            <v>13.336211504461232</v>
          </cell>
          <cell r="IC527">
            <v>1.1545577895645067</v>
          </cell>
          <cell r="IE527">
            <v>5.8641023532474605</v>
          </cell>
          <cell r="IF527">
            <v>13.39010868522405</v>
          </cell>
          <cell r="II527">
            <v>5.9571974836560742</v>
          </cell>
        </row>
        <row r="528">
          <cell r="AC528" t="str">
            <v>1Q   91</v>
          </cell>
          <cell r="AD528" t="str">
            <v>91</v>
          </cell>
          <cell r="AO528" t="str">
            <v>1Q   92</v>
          </cell>
          <cell r="AP528" t="str">
            <v>92</v>
          </cell>
          <cell r="AU528" t="str">
            <v>3Q</v>
          </cell>
          <cell r="AV528" t="str">
            <v>3Q</v>
          </cell>
          <cell r="BA528" t="str">
            <v>1Q   93</v>
          </cell>
          <cell r="BB528" t="str">
            <v>93</v>
          </cell>
          <cell r="BG528" t="str">
            <v>3Q</v>
          </cell>
          <cell r="BH528" t="str">
            <v>3Q</v>
          </cell>
          <cell r="BM528" t="str">
            <v>1Q   94</v>
          </cell>
          <cell r="BN528" t="str">
            <v>94</v>
          </cell>
          <cell r="BS528" t="str">
            <v>3Q</v>
          </cell>
          <cell r="BT528" t="str">
            <v>3Q</v>
          </cell>
          <cell r="BY528" t="str">
            <v>1Q   95</v>
          </cell>
          <cell r="BZ528" t="str">
            <v>95</v>
          </cell>
          <cell r="CE528" t="str">
            <v>3Q</v>
          </cell>
          <cell r="CF528" t="str">
            <v>3Q</v>
          </cell>
          <cell r="CK528" t="str">
            <v>1Q   96</v>
          </cell>
          <cell r="CL528" t="str">
            <v>96</v>
          </cell>
          <cell r="CQ528" t="str">
            <v>3Q</v>
          </cell>
          <cell r="CR528" t="str">
            <v>3Q</v>
          </cell>
          <cell r="CW528" t="str">
            <v>1Q   97</v>
          </cell>
          <cell r="CX528" t="str">
            <v>97</v>
          </cell>
          <cell r="DC528" t="str">
            <v>3Q</v>
          </cell>
          <cell r="DD528" t="str">
            <v>3Q</v>
          </cell>
          <cell r="DI528" t="str">
            <v>1Q   98</v>
          </cell>
          <cell r="DJ528" t="str">
            <v>98</v>
          </cell>
          <cell r="DO528" t="str">
            <v>3Q</v>
          </cell>
          <cell r="DP528" t="str">
            <v>3Q</v>
          </cell>
          <cell r="DU528" t="str">
            <v>1Q   99</v>
          </cell>
          <cell r="DV528" t="str">
            <v>99</v>
          </cell>
          <cell r="EA528" t="str">
            <v>3Q</v>
          </cell>
          <cell r="EB528" t="str">
            <v>3Q</v>
          </cell>
          <cell r="EG528" t="str">
            <v>1Q   2000</v>
          </cell>
          <cell r="EH528" t="str">
            <v>00</v>
          </cell>
          <cell r="EM528" t="str">
            <v>3Q</v>
          </cell>
          <cell r="EN528" t="str">
            <v>3Q</v>
          </cell>
          <cell r="ES528" t="str">
            <v>1Q   01</v>
          </cell>
          <cell r="ET528" t="str">
            <v>01</v>
          </cell>
          <cell r="EY528" t="str">
            <v>3Q</v>
          </cell>
          <cell r="EZ528" t="str">
            <v>3Q</v>
          </cell>
          <cell r="FB528">
            <v>-63.548695914367549</v>
          </cell>
          <cell r="FE528">
            <v>-57.287277798336106</v>
          </cell>
          <cell r="FF528" t="str">
            <v>02</v>
          </cell>
          <cell r="FH528">
            <v>-22.264961007634028</v>
          </cell>
          <cell r="FI528">
            <v>-5.566240251908507</v>
          </cell>
          <cell r="FK528">
            <v>-18.937977125392322</v>
          </cell>
          <cell r="FL528">
            <v>-4.7344942813480806</v>
          </cell>
          <cell r="FN528">
            <v>-35.077781889450819</v>
          </cell>
          <cell r="FO528">
            <v>-8.7694454723627047</v>
          </cell>
          <cell r="FQ528">
            <v>-44.042856310732844</v>
          </cell>
          <cell r="FR528">
            <v>-11.010714077683211</v>
          </cell>
          <cell r="FT528">
            <v>-86.531660910324405</v>
          </cell>
          <cell r="FU528">
            <v>-21.632915227581101</v>
          </cell>
          <cell r="FW528">
            <v>-141.40844297794774</v>
          </cell>
          <cell r="FX528">
            <v>-35.352110744486936</v>
          </cell>
          <cell r="FY528">
            <v>-5.566240251908507</v>
          </cell>
          <cell r="FZ528">
            <v>-117.78789215081615</v>
          </cell>
          <cell r="GA528">
            <v>-29.446973037704037</v>
          </cell>
          <cell r="GB528">
            <v>-4.7344942813480806</v>
          </cell>
          <cell r="GC528">
            <v>-42.186477050011689</v>
          </cell>
          <cell r="GD528">
            <v>-10.546619262502922</v>
          </cell>
          <cell r="GE528">
            <v>-8.7694454723627047</v>
          </cell>
          <cell r="GF528">
            <v>-7.3797400737360306</v>
          </cell>
          <cell r="GG528">
            <v>-1.8449350184340076</v>
          </cell>
          <cell r="GH528">
            <v>-11.010714077683211</v>
          </cell>
          <cell r="GI528">
            <v>-13.417230993791378</v>
          </cell>
          <cell r="GJ528">
            <v>-3.3543077484478445</v>
          </cell>
          <cell r="GK528">
            <v>-21.632915227581101</v>
          </cell>
          <cell r="GL528">
            <v>25.706363704891515</v>
          </cell>
          <cell r="GM528">
            <v>-141.40844297794774</v>
          </cell>
          <cell r="GN528">
            <v>-35.352110744486936</v>
          </cell>
          <cell r="GO528">
            <v>-48.436858716061522</v>
          </cell>
          <cell r="GP528">
            <v>-117.78789215081615</v>
          </cell>
          <cell r="GQ528">
            <v>-29.446973037704037</v>
          </cell>
          <cell r="GR528">
            <v>-77.682478790619911</v>
          </cell>
          <cell r="GS528">
            <v>-42.186477050011689</v>
          </cell>
          <cell r="GT528">
            <v>-10.546619262502922</v>
          </cell>
          <cell r="GU528">
            <v>3.2842091196908427</v>
          </cell>
          <cell r="GV528">
            <v>-7.3797400737360306</v>
          </cell>
          <cell r="GW528">
            <v>-1.8449350184340076</v>
          </cell>
          <cell r="GX528">
            <v>-17.868720310294293</v>
          </cell>
          <cell r="GY528">
            <v>-13.417230993791378</v>
          </cell>
          <cell r="GZ528">
            <v>-3.3543077484478445</v>
          </cell>
          <cell r="HA528">
            <v>-20.509056336773426</v>
          </cell>
          <cell r="HB528">
            <v>25.707284856708156</v>
          </cell>
          <cell r="HD528">
            <v>0.46463378698800284</v>
          </cell>
          <cell r="HE528">
            <v>-48.437089004015689</v>
          </cell>
          <cell r="HG528">
            <v>-69.274500774365094</v>
          </cell>
          <cell r="HH528">
            <v>-77.682478790619911</v>
          </cell>
          <cell r="HJ528">
            <v>-70.966649534695676</v>
          </cell>
          <cell r="HK528">
            <v>3.2842091196908427</v>
          </cell>
          <cell r="HM528">
            <v>-78.315592492085074</v>
          </cell>
          <cell r="HN528">
            <v>-16.84514959637076</v>
          </cell>
          <cell r="HP528">
            <v>-140.61003419541416</v>
          </cell>
          <cell r="HQ528">
            <v>-26.399654276825231</v>
          </cell>
          <cell r="HS528">
            <v>-52.248795622438763</v>
          </cell>
          <cell r="HT528">
            <v>-6.4702407384564822</v>
          </cell>
          <cell r="HV528">
            <v>-36.708429957649741</v>
          </cell>
          <cell r="HW528">
            <v>-10.475059619259071</v>
          </cell>
          <cell r="HY528">
            <v>17.533421049024867</v>
          </cell>
          <cell r="HZ528">
            <v>-9.6810962405602368</v>
          </cell>
          <cell r="IB528">
            <v>88.67324088921788</v>
          </cell>
          <cell r="IC528">
            <v>23.331728752929507</v>
          </cell>
          <cell r="IE528">
            <v>55.377348793223916</v>
          </cell>
          <cell r="IF528">
            <v>33.275050367994766</v>
          </cell>
          <cell r="II528">
            <v>22.699176294834302</v>
          </cell>
        </row>
        <row r="529">
          <cell r="X529">
            <v>33055</v>
          </cell>
          <cell r="Y529">
            <v>33086</v>
          </cell>
          <cell r="Z529" t="str">
            <v>92</v>
          </cell>
          <cell r="AA529">
            <v>33147</v>
          </cell>
          <cell r="AB529">
            <v>33178</v>
          </cell>
          <cell r="AC529">
            <v>33208</v>
          </cell>
          <cell r="AD529" t="str">
            <v>91</v>
          </cell>
          <cell r="AE529">
            <v>33270</v>
          </cell>
          <cell r="AF529" t="str">
            <v>3Q</v>
          </cell>
          <cell r="AG529">
            <v>33329</v>
          </cell>
          <cell r="AH529">
            <v>33359</v>
          </cell>
          <cell r="AI529">
            <v>33390</v>
          </cell>
          <cell r="AJ529">
            <v>33420</v>
          </cell>
          <cell r="AK529">
            <v>33451</v>
          </cell>
          <cell r="AL529" t="str">
            <v>93</v>
          </cell>
          <cell r="AM529">
            <v>33512</v>
          </cell>
          <cell r="AN529">
            <v>33543</v>
          </cell>
          <cell r="AO529">
            <v>33573</v>
          </cell>
          <cell r="AP529" t="str">
            <v>92</v>
          </cell>
          <cell r="AQ529">
            <v>33635</v>
          </cell>
          <cell r="AR529" t="str">
            <v>3Q</v>
          </cell>
          <cell r="AS529">
            <v>33695</v>
          </cell>
          <cell r="AT529">
            <v>33725</v>
          </cell>
          <cell r="AU529">
            <v>33756</v>
          </cell>
          <cell r="AV529" t="str">
            <v>3Q</v>
          </cell>
          <cell r="AW529">
            <v>33817</v>
          </cell>
          <cell r="AX529" t="str">
            <v>94</v>
          </cell>
          <cell r="AY529">
            <v>33878</v>
          </cell>
          <cell r="AZ529">
            <v>33909</v>
          </cell>
          <cell r="BA529">
            <v>33939</v>
          </cell>
          <cell r="BB529" t="str">
            <v>93</v>
          </cell>
          <cell r="BC529">
            <v>34001</v>
          </cell>
          <cell r="BD529" t="str">
            <v>3Q</v>
          </cell>
          <cell r="BE529">
            <v>34060</v>
          </cell>
          <cell r="BF529">
            <v>34090</v>
          </cell>
          <cell r="BG529">
            <v>34121</v>
          </cell>
          <cell r="BH529" t="str">
            <v>3Q</v>
          </cell>
          <cell r="BI529">
            <v>34182</v>
          </cell>
          <cell r="BJ529" t="str">
            <v>95</v>
          </cell>
          <cell r="BK529">
            <v>34243</v>
          </cell>
          <cell r="BL529">
            <v>34274</v>
          </cell>
          <cell r="BM529">
            <v>34304</v>
          </cell>
          <cell r="BN529" t="str">
            <v>94</v>
          </cell>
          <cell r="BO529">
            <v>34366</v>
          </cell>
          <cell r="BP529" t="str">
            <v>3Q</v>
          </cell>
          <cell r="BQ529">
            <v>34425</v>
          </cell>
          <cell r="BR529">
            <v>34455</v>
          </cell>
          <cell r="BS529">
            <v>34486</v>
          </cell>
          <cell r="BT529" t="str">
            <v>3Q</v>
          </cell>
          <cell r="BU529">
            <v>34547</v>
          </cell>
          <cell r="BV529" t="str">
            <v>96</v>
          </cell>
          <cell r="BW529">
            <v>34608</v>
          </cell>
          <cell r="BX529">
            <v>34639</v>
          </cell>
          <cell r="BY529">
            <v>34669</v>
          </cell>
          <cell r="BZ529" t="str">
            <v>95</v>
          </cell>
          <cell r="CA529">
            <v>34731</v>
          </cell>
          <cell r="CB529" t="str">
            <v>3Q</v>
          </cell>
          <cell r="CC529">
            <v>34790</v>
          </cell>
          <cell r="CD529">
            <v>34820</v>
          </cell>
          <cell r="CE529">
            <v>34851</v>
          </cell>
          <cell r="CF529" t="str">
            <v>3Q</v>
          </cell>
          <cell r="CG529">
            <v>34912</v>
          </cell>
          <cell r="CH529" t="str">
            <v>97</v>
          </cell>
          <cell r="CI529">
            <v>34973</v>
          </cell>
          <cell r="CJ529">
            <v>35004</v>
          </cell>
          <cell r="CK529">
            <v>35034</v>
          </cell>
          <cell r="CL529" t="str">
            <v>96</v>
          </cell>
          <cell r="CM529">
            <v>35096</v>
          </cell>
          <cell r="CN529" t="str">
            <v>3Q</v>
          </cell>
          <cell r="CO529">
            <v>35156</v>
          </cell>
          <cell r="CP529">
            <v>35186</v>
          </cell>
          <cell r="CQ529">
            <v>35217</v>
          </cell>
          <cell r="CR529" t="str">
            <v>3Q</v>
          </cell>
          <cell r="CS529">
            <v>35278</v>
          </cell>
          <cell r="CT529" t="str">
            <v>98</v>
          </cell>
          <cell r="CU529">
            <v>35339</v>
          </cell>
          <cell r="CV529">
            <v>35370</v>
          </cell>
          <cell r="CW529">
            <v>35400</v>
          </cell>
          <cell r="CX529" t="str">
            <v>97</v>
          </cell>
          <cell r="CY529">
            <v>35462</v>
          </cell>
          <cell r="CZ529" t="str">
            <v>3Q</v>
          </cell>
          <cell r="DA529">
            <v>35521</v>
          </cell>
          <cell r="DB529">
            <v>35551</v>
          </cell>
          <cell r="DC529">
            <v>35582</v>
          </cell>
          <cell r="DD529" t="str">
            <v>3Q</v>
          </cell>
          <cell r="DE529">
            <v>35643</v>
          </cell>
          <cell r="DF529" t="str">
            <v>99</v>
          </cell>
          <cell r="DG529">
            <v>35704</v>
          </cell>
          <cell r="DH529">
            <v>35735</v>
          </cell>
          <cell r="DI529">
            <v>35765</v>
          </cell>
          <cell r="DJ529" t="str">
            <v>98</v>
          </cell>
          <cell r="DK529">
            <v>35827</v>
          </cell>
          <cell r="DL529" t="str">
            <v>3Q</v>
          </cell>
          <cell r="DM529">
            <v>35886</v>
          </cell>
          <cell r="DN529">
            <v>35916</v>
          </cell>
          <cell r="DO529">
            <v>35947</v>
          </cell>
          <cell r="DP529" t="str">
            <v>3Q</v>
          </cell>
          <cell r="DQ529">
            <v>36008</v>
          </cell>
          <cell r="DR529" t="str">
            <v>00</v>
          </cell>
          <cell r="DS529">
            <v>36069</v>
          </cell>
          <cell r="DT529">
            <v>36100</v>
          </cell>
          <cell r="DU529">
            <v>36130</v>
          </cell>
          <cell r="DV529" t="str">
            <v>99</v>
          </cell>
          <cell r="DW529">
            <v>36192</v>
          </cell>
          <cell r="DX529" t="str">
            <v>3Q</v>
          </cell>
          <cell r="DY529">
            <v>36251</v>
          </cell>
          <cell r="DZ529">
            <v>36281</v>
          </cell>
          <cell r="EA529">
            <v>36312</v>
          </cell>
          <cell r="EB529" t="str">
            <v>3Q</v>
          </cell>
          <cell r="EC529">
            <v>36373</v>
          </cell>
          <cell r="ED529" t="str">
            <v>01</v>
          </cell>
          <cell r="EE529">
            <v>36434</v>
          </cell>
          <cell r="EF529">
            <v>36465</v>
          </cell>
          <cell r="EG529">
            <v>36495</v>
          </cell>
          <cell r="EH529" t="str">
            <v>00</v>
          </cell>
          <cell r="EI529">
            <v>36557</v>
          </cell>
          <cell r="EJ529" t="str">
            <v>3Q</v>
          </cell>
          <cell r="EK529">
            <v>36617</v>
          </cell>
          <cell r="EL529">
            <v>36647</v>
          </cell>
          <cell r="EM529">
            <v>36678</v>
          </cell>
          <cell r="EN529" t="str">
            <v>3Q</v>
          </cell>
          <cell r="EO529">
            <v>36739</v>
          </cell>
          <cell r="EP529" t="str">
            <v>02</v>
          </cell>
          <cell r="EQ529">
            <v>36800</v>
          </cell>
          <cell r="ER529">
            <v>36831</v>
          </cell>
          <cell r="ES529">
            <v>36861</v>
          </cell>
          <cell r="ET529" t="str">
            <v>01</v>
          </cell>
          <cell r="EU529">
            <v>36923</v>
          </cell>
          <cell r="EV529" t="str">
            <v>3Q</v>
          </cell>
          <cell r="EW529">
            <v>36982</v>
          </cell>
          <cell r="EX529">
            <v>37012</v>
          </cell>
          <cell r="EY529">
            <v>37043</v>
          </cell>
          <cell r="EZ529" t="str">
            <v>3Q</v>
          </cell>
          <cell r="FA529">
            <v>37104</v>
          </cell>
          <cell r="FB529" t="str">
            <v>03</v>
          </cell>
          <cell r="FC529">
            <v>37165</v>
          </cell>
          <cell r="FD529">
            <v>37196</v>
          </cell>
          <cell r="FE529">
            <v>37226</v>
          </cell>
          <cell r="FF529" t="str">
            <v>02</v>
          </cell>
          <cell r="FG529">
            <v>37288</v>
          </cell>
          <cell r="FH529" t="str">
            <v>3Q</v>
          </cell>
          <cell r="FI529">
            <v>37347</v>
          </cell>
          <cell r="FJ529">
            <v>37377</v>
          </cell>
          <cell r="FK529">
            <v>37408</v>
          </cell>
          <cell r="FL529" t="str">
            <v>3Q</v>
          </cell>
          <cell r="FM529">
            <v>37469</v>
          </cell>
          <cell r="FN529" t="str">
            <v>04</v>
          </cell>
          <cell r="FO529">
            <v>37530</v>
          </cell>
          <cell r="FP529">
            <v>37561</v>
          </cell>
          <cell r="FQ529">
            <v>37591</v>
          </cell>
          <cell r="FR529" t="str">
            <v>03</v>
          </cell>
          <cell r="FS529">
            <v>37653</v>
          </cell>
          <cell r="FT529" t="str">
            <v>3Q</v>
          </cell>
          <cell r="FU529">
            <v>37712</v>
          </cell>
          <cell r="FV529">
            <v>37742</v>
          </cell>
          <cell r="FW529">
            <v>37773</v>
          </cell>
          <cell r="FX529" t="str">
            <v>3Q</v>
          </cell>
          <cell r="FY529">
            <v>37834</v>
          </cell>
          <cell r="FZ529" t="str">
            <v>05</v>
          </cell>
          <cell r="GA529">
            <v>37895</v>
          </cell>
          <cell r="GB529">
            <v>37926</v>
          </cell>
          <cell r="GC529">
            <v>37956</v>
          </cell>
          <cell r="GD529" t="str">
            <v>04</v>
          </cell>
          <cell r="GE529">
            <v>38018</v>
          </cell>
          <cell r="GF529" t="str">
            <v>3Q</v>
          </cell>
          <cell r="GG529">
            <v>38078</v>
          </cell>
          <cell r="GH529">
            <v>38108</v>
          </cell>
          <cell r="GI529">
            <v>38139</v>
          </cell>
          <cell r="GJ529" t="str">
            <v>3Q</v>
          </cell>
          <cell r="GK529">
            <v>38200</v>
          </cell>
          <cell r="GL529" t="str">
            <v>06</v>
          </cell>
          <cell r="GM529">
            <v>38261</v>
          </cell>
          <cell r="GN529">
            <v>38292</v>
          </cell>
          <cell r="GO529">
            <v>38322</v>
          </cell>
          <cell r="GP529" t="str">
            <v>05</v>
          </cell>
          <cell r="GQ529">
            <v>38384</v>
          </cell>
          <cell r="GR529" t="str">
            <v>3Q</v>
          </cell>
          <cell r="GS529">
            <v>38443</v>
          </cell>
          <cell r="GT529">
            <v>38473</v>
          </cell>
          <cell r="GU529">
            <v>38504</v>
          </cell>
          <cell r="GV529" t="str">
            <v>3Q</v>
          </cell>
          <cell r="GW529">
            <v>38565</v>
          </cell>
          <cell r="GX529" t="str">
            <v>07</v>
          </cell>
          <cell r="GY529">
            <v>38626</v>
          </cell>
          <cell r="GZ529">
            <v>38657</v>
          </cell>
          <cell r="HA529">
            <v>38687</v>
          </cell>
          <cell r="HB529" t="str">
            <v>06</v>
          </cell>
          <cell r="HC529">
            <v>38749</v>
          </cell>
          <cell r="HD529" t="str">
            <v>3Q</v>
          </cell>
          <cell r="HE529">
            <v>38808</v>
          </cell>
          <cell r="HF529">
            <v>38838</v>
          </cell>
          <cell r="HG529">
            <v>38869</v>
          </cell>
          <cell r="HH529" t="str">
            <v>3Q</v>
          </cell>
          <cell r="HI529">
            <v>38930</v>
          </cell>
          <cell r="HJ529" t="str">
            <v>08E</v>
          </cell>
          <cell r="HK529">
            <v>38991</v>
          </cell>
          <cell r="HL529">
            <v>39022</v>
          </cell>
          <cell r="HM529">
            <v>39052</v>
          </cell>
          <cell r="HN529" t="str">
            <v>07</v>
          </cell>
          <cell r="HP529" t="str">
            <v>3Q</v>
          </cell>
          <cell r="HT529" t="str">
            <v>3Q</v>
          </cell>
          <cell r="HV529" t="str">
            <v>09E</v>
          </cell>
          <cell r="HZ529" t="str">
            <v>08E</v>
          </cell>
          <cell r="IB529" t="str">
            <v>3Q</v>
          </cell>
          <cell r="IF529" t="str">
            <v>3Q</v>
          </cell>
        </row>
        <row r="530">
          <cell r="X530">
            <v>33543</v>
          </cell>
          <cell r="Y530">
            <v>33573</v>
          </cell>
          <cell r="Z530">
            <v>33604</v>
          </cell>
          <cell r="AA530">
            <v>33635</v>
          </cell>
          <cell r="AB530">
            <v>33664</v>
          </cell>
          <cell r="AC530">
            <v>33695</v>
          </cell>
          <cell r="AD530">
            <v>33725</v>
          </cell>
          <cell r="AE530">
            <v>33756</v>
          </cell>
          <cell r="AF530">
            <v>33786</v>
          </cell>
          <cell r="AG530">
            <v>33817</v>
          </cell>
          <cell r="AH530">
            <v>33848</v>
          </cell>
          <cell r="AI530">
            <v>33878</v>
          </cell>
          <cell r="AJ530">
            <v>33909</v>
          </cell>
          <cell r="AK530">
            <v>33939</v>
          </cell>
          <cell r="AL530">
            <v>33970</v>
          </cell>
          <cell r="AM530">
            <v>34001</v>
          </cell>
          <cell r="AN530">
            <v>34029</v>
          </cell>
          <cell r="AO530">
            <v>34060</v>
          </cell>
          <cell r="AP530">
            <v>34090</v>
          </cell>
          <cell r="AQ530">
            <v>34121</v>
          </cell>
          <cell r="AR530">
            <v>34151</v>
          </cell>
          <cell r="AS530">
            <v>34182</v>
          </cell>
          <cell r="AT530">
            <v>34213</v>
          </cell>
          <cell r="AU530">
            <v>34243</v>
          </cell>
          <cell r="AV530">
            <v>34274</v>
          </cell>
          <cell r="AW530">
            <v>34304</v>
          </cell>
          <cell r="AX530">
            <v>34335</v>
          </cell>
          <cell r="AY530">
            <v>34366</v>
          </cell>
          <cell r="AZ530">
            <v>34394</v>
          </cell>
          <cell r="BA530">
            <v>34425</v>
          </cell>
          <cell r="BB530">
            <v>34455</v>
          </cell>
          <cell r="BC530">
            <v>34486</v>
          </cell>
          <cell r="BD530">
            <v>34516</v>
          </cell>
          <cell r="BE530">
            <v>34547</v>
          </cell>
          <cell r="BF530">
            <v>34578</v>
          </cell>
          <cell r="BG530">
            <v>34608</v>
          </cell>
          <cell r="BH530">
            <v>34639</v>
          </cell>
          <cell r="BI530">
            <v>34669</v>
          </cell>
          <cell r="BJ530">
            <v>34700</v>
          </cell>
          <cell r="BK530">
            <v>34731</v>
          </cell>
          <cell r="BL530">
            <v>34759</v>
          </cell>
          <cell r="BM530">
            <v>34790</v>
          </cell>
          <cell r="BN530">
            <v>34820</v>
          </cell>
          <cell r="BO530">
            <v>34851</v>
          </cell>
          <cell r="BP530">
            <v>34881</v>
          </cell>
          <cell r="BQ530">
            <v>34912</v>
          </cell>
          <cell r="BR530">
            <v>34943</v>
          </cell>
          <cell r="BS530">
            <v>34973</v>
          </cell>
          <cell r="BT530">
            <v>35004</v>
          </cell>
          <cell r="BU530">
            <v>35034</v>
          </cell>
          <cell r="BV530">
            <v>35065</v>
          </cell>
          <cell r="BW530">
            <v>35096</v>
          </cell>
          <cell r="BX530">
            <v>35125</v>
          </cell>
          <cell r="BY530">
            <v>35156</v>
          </cell>
          <cell r="BZ530">
            <v>35186</v>
          </cell>
          <cell r="CA530">
            <v>35217</v>
          </cell>
          <cell r="CB530">
            <v>35247</v>
          </cell>
          <cell r="CC530">
            <v>35278</v>
          </cell>
          <cell r="CD530">
            <v>35309</v>
          </cell>
          <cell r="CE530">
            <v>35339</v>
          </cell>
          <cell r="CF530">
            <v>35370</v>
          </cell>
          <cell r="CG530">
            <v>35400</v>
          </cell>
          <cell r="CH530">
            <v>35431</v>
          </cell>
          <cell r="CI530">
            <v>35462</v>
          </cell>
          <cell r="CJ530">
            <v>35490</v>
          </cell>
          <cell r="CK530">
            <v>35521</v>
          </cell>
          <cell r="CL530">
            <v>35551</v>
          </cell>
          <cell r="CM530">
            <v>35582</v>
          </cell>
          <cell r="CN530">
            <v>35612</v>
          </cell>
          <cell r="CO530">
            <v>35643</v>
          </cell>
          <cell r="CP530">
            <v>35674</v>
          </cell>
          <cell r="CQ530">
            <v>35704</v>
          </cell>
          <cell r="CR530">
            <v>35735</v>
          </cell>
          <cell r="CS530">
            <v>35765</v>
          </cell>
          <cell r="CT530">
            <v>35796</v>
          </cell>
          <cell r="CU530">
            <v>35827</v>
          </cell>
          <cell r="CV530">
            <v>35855</v>
          </cell>
          <cell r="CW530">
            <v>35886</v>
          </cell>
          <cell r="CX530">
            <v>35916</v>
          </cell>
          <cell r="CY530">
            <v>35947</v>
          </cell>
          <cell r="CZ530">
            <v>35977</v>
          </cell>
          <cell r="DA530">
            <v>36008</v>
          </cell>
          <cell r="DB530">
            <v>36039</v>
          </cell>
          <cell r="DC530">
            <v>36069</v>
          </cell>
          <cell r="DD530">
            <v>36100</v>
          </cell>
          <cell r="DE530">
            <v>36130</v>
          </cell>
          <cell r="DF530">
            <v>36161</v>
          </cell>
          <cell r="DG530">
            <v>36192</v>
          </cell>
          <cell r="DH530">
            <v>36220</v>
          </cell>
          <cell r="DI530">
            <v>36251</v>
          </cell>
          <cell r="DJ530">
            <v>36281</v>
          </cell>
          <cell r="DK530">
            <v>36312</v>
          </cell>
          <cell r="DL530">
            <v>36342</v>
          </cell>
          <cell r="DM530">
            <v>36373</v>
          </cell>
          <cell r="DN530">
            <v>36404</v>
          </cell>
          <cell r="DO530">
            <v>36434</v>
          </cell>
          <cell r="DP530">
            <v>36465</v>
          </cell>
          <cell r="DQ530">
            <v>36495</v>
          </cell>
          <cell r="DR530">
            <v>36526</v>
          </cell>
          <cell r="DS530">
            <v>36557</v>
          </cell>
          <cell r="DT530">
            <v>36586</v>
          </cell>
          <cell r="DU530">
            <v>36617</v>
          </cell>
          <cell r="DV530">
            <v>36647</v>
          </cell>
          <cell r="DW530">
            <v>36678</v>
          </cell>
          <cell r="DX530">
            <v>36708</v>
          </cell>
          <cell r="DY530">
            <v>36739</v>
          </cell>
          <cell r="DZ530">
            <v>36770</v>
          </cell>
          <cell r="EA530">
            <v>36800</v>
          </cell>
          <cell r="EB530">
            <v>36831</v>
          </cell>
          <cell r="EC530">
            <v>36861</v>
          </cell>
          <cell r="ED530">
            <v>36892</v>
          </cell>
          <cell r="EE530">
            <v>36923</v>
          </cell>
          <cell r="EF530">
            <v>36951</v>
          </cell>
          <cell r="EG530">
            <v>36982</v>
          </cell>
          <cell r="EH530">
            <v>37012</v>
          </cell>
          <cell r="EI530">
            <v>37043</v>
          </cell>
          <cell r="EJ530">
            <v>37073</v>
          </cell>
          <cell r="EK530">
            <v>37104</v>
          </cell>
          <cell r="EL530">
            <v>37135</v>
          </cell>
          <cell r="EM530">
            <v>37165</v>
          </cell>
          <cell r="EN530">
            <v>37196</v>
          </cell>
          <cell r="EO530">
            <v>37226</v>
          </cell>
          <cell r="EP530">
            <v>37257</v>
          </cell>
          <cell r="EQ530">
            <v>37288</v>
          </cell>
          <cell r="ER530">
            <v>37316</v>
          </cell>
          <cell r="ES530">
            <v>37347</v>
          </cell>
          <cell r="ET530">
            <v>37377</v>
          </cell>
          <cell r="EU530">
            <v>37408</v>
          </cell>
          <cell r="EV530">
            <v>37438</v>
          </cell>
          <cell r="EW530">
            <v>37469</v>
          </cell>
          <cell r="EX530">
            <v>37500</v>
          </cell>
          <cell r="EY530">
            <v>37530</v>
          </cell>
          <cell r="EZ530">
            <v>37561</v>
          </cell>
          <cell r="FA530">
            <v>37591</v>
          </cell>
          <cell r="FB530">
            <v>37622</v>
          </cell>
          <cell r="FC530">
            <v>37653</v>
          </cell>
          <cell r="FD530">
            <v>37681</v>
          </cell>
          <cell r="FE530">
            <v>37712</v>
          </cell>
          <cell r="FF530">
            <v>37742</v>
          </cell>
          <cell r="FG530">
            <v>37773</v>
          </cell>
          <cell r="FH530">
            <v>37803</v>
          </cell>
          <cell r="FI530">
            <v>37834</v>
          </cell>
          <cell r="FJ530">
            <v>37865</v>
          </cell>
          <cell r="FK530">
            <v>37895</v>
          </cell>
          <cell r="FL530">
            <v>37926</v>
          </cell>
          <cell r="FM530">
            <v>37956</v>
          </cell>
          <cell r="FN530">
            <v>37987</v>
          </cell>
          <cell r="FO530">
            <v>38018</v>
          </cell>
          <cell r="FP530">
            <v>38047</v>
          </cell>
          <cell r="FQ530">
            <v>38078</v>
          </cell>
          <cell r="FR530">
            <v>38108</v>
          </cell>
          <cell r="FS530">
            <v>38139</v>
          </cell>
          <cell r="FT530">
            <v>38169</v>
          </cell>
          <cell r="FU530">
            <v>38200</v>
          </cell>
          <cell r="FV530">
            <v>38231</v>
          </cell>
          <cell r="FW530">
            <v>38261</v>
          </cell>
          <cell r="FX530">
            <v>38292</v>
          </cell>
          <cell r="FY530">
            <v>38322</v>
          </cell>
          <cell r="FZ530">
            <v>38353</v>
          </cell>
          <cell r="GA530">
            <v>38384</v>
          </cell>
          <cell r="GB530">
            <v>38412</v>
          </cell>
          <cell r="GC530">
            <v>38443</v>
          </cell>
          <cell r="GD530">
            <v>38473</v>
          </cell>
          <cell r="GE530">
            <v>38504</v>
          </cell>
          <cell r="GF530">
            <v>38534</v>
          </cell>
          <cell r="GG530">
            <v>38565</v>
          </cell>
          <cell r="GH530">
            <v>38596</v>
          </cell>
          <cell r="GI530">
            <v>38626</v>
          </cell>
          <cell r="GJ530">
            <v>38657</v>
          </cell>
          <cell r="GK530">
            <v>38687</v>
          </cell>
          <cell r="GL530">
            <v>38718</v>
          </cell>
          <cell r="GM530">
            <v>38749</v>
          </cell>
          <cell r="GN530">
            <v>38777</v>
          </cell>
          <cell r="GO530">
            <v>38808</v>
          </cell>
          <cell r="GP530">
            <v>38838</v>
          </cell>
          <cell r="GQ530">
            <v>38869</v>
          </cell>
          <cell r="GR530">
            <v>38899</v>
          </cell>
          <cell r="GS530">
            <v>38930</v>
          </cell>
          <cell r="GT530">
            <v>38961</v>
          </cell>
          <cell r="GU530">
            <v>38991</v>
          </cell>
          <cell r="GV530">
            <v>39022</v>
          </cell>
          <cell r="GW530">
            <v>39052</v>
          </cell>
          <cell r="GX530">
            <v>39083</v>
          </cell>
          <cell r="GY530">
            <v>39114</v>
          </cell>
          <cell r="GZ530">
            <v>39142</v>
          </cell>
          <cell r="HA530">
            <v>39173</v>
          </cell>
          <cell r="HB530">
            <v>39203</v>
          </cell>
          <cell r="HC530">
            <v>39234</v>
          </cell>
          <cell r="HD530">
            <v>39264</v>
          </cell>
          <cell r="HE530">
            <v>39295</v>
          </cell>
          <cell r="HF530">
            <v>39326</v>
          </cell>
          <cell r="HG530">
            <v>39356</v>
          </cell>
          <cell r="HH530">
            <v>39387</v>
          </cell>
          <cell r="HI530">
            <v>39417</v>
          </cell>
          <cell r="HJ530">
            <v>39448</v>
          </cell>
          <cell r="HK530">
            <v>39479</v>
          </cell>
          <cell r="HL530">
            <v>39508</v>
          </cell>
          <cell r="HM530">
            <v>39539</v>
          </cell>
          <cell r="HN530">
            <v>39569</v>
          </cell>
          <cell r="HO530">
            <v>39600</v>
          </cell>
          <cell r="HP530">
            <v>39630</v>
          </cell>
          <cell r="HQ530">
            <v>39661</v>
          </cell>
          <cell r="HR530">
            <v>39692</v>
          </cell>
          <cell r="HS530">
            <v>39722</v>
          </cell>
          <cell r="HT530">
            <v>39753</v>
          </cell>
          <cell r="HU530">
            <v>39783</v>
          </cell>
          <cell r="HV530">
            <v>39814</v>
          </cell>
          <cell r="HW530">
            <v>39845</v>
          </cell>
          <cell r="HX530">
            <v>39873</v>
          </cell>
          <cell r="HY530">
            <v>39904</v>
          </cell>
          <cell r="HZ530">
            <v>39934</v>
          </cell>
          <cell r="IA530">
            <v>39965</v>
          </cell>
          <cell r="IB530">
            <v>39995</v>
          </cell>
          <cell r="IC530">
            <v>40026</v>
          </cell>
          <cell r="ID530">
            <v>40057</v>
          </cell>
          <cell r="IE530">
            <v>40087</v>
          </cell>
          <cell r="IF530">
            <v>40118</v>
          </cell>
          <cell r="IG530">
            <v>40148</v>
          </cell>
          <cell r="IH530">
            <v>39692</v>
          </cell>
          <cell r="II530">
            <v>39722</v>
          </cell>
          <cell r="IJ530">
            <v>39753</v>
          </cell>
          <cell r="IK530">
            <v>39783</v>
          </cell>
        </row>
        <row r="531">
          <cell r="AC531">
            <v>312.55893810426539</v>
          </cell>
          <cell r="AD531">
            <v>312.55893810426539</v>
          </cell>
          <cell r="AE531">
            <v>259.0743118009479</v>
          </cell>
          <cell r="AF531">
            <v>281.33783104265405</v>
          </cell>
          <cell r="AG531">
            <v>280.20726170616115</v>
          </cell>
          <cell r="AH531">
            <v>288.38214767772513</v>
          </cell>
          <cell r="AI531">
            <v>237.41956066350716</v>
          </cell>
          <cell r="AJ531">
            <v>241.94183800947866</v>
          </cell>
          <cell r="AK531">
            <v>272.90204445497631</v>
          </cell>
          <cell r="AL531">
            <v>324.82126706161142</v>
          </cell>
          <cell r="AM531">
            <v>372.82698042654027</v>
          </cell>
          <cell r="AN531">
            <v>373.43574853080571</v>
          </cell>
          <cell r="AO531">
            <v>283.33806909952608</v>
          </cell>
          <cell r="AP531">
            <v>237.41956066350716</v>
          </cell>
          <cell r="AQ531">
            <v>248.81222090047396</v>
          </cell>
          <cell r="AR531">
            <v>250.812458957346</v>
          </cell>
          <cell r="AS531">
            <v>251.33426018957346</v>
          </cell>
          <cell r="AT531">
            <v>269.07550208530807</v>
          </cell>
          <cell r="AU531">
            <v>293.25229251184834</v>
          </cell>
          <cell r="AV531">
            <v>292.6435244075829</v>
          </cell>
          <cell r="AW531">
            <v>306.38429018957345</v>
          </cell>
          <cell r="AX531">
            <v>324.90823393364929</v>
          </cell>
          <cell r="AY531">
            <v>307.51485952606635</v>
          </cell>
          <cell r="AZ531">
            <v>284.20773781990522</v>
          </cell>
          <cell r="BA531">
            <v>269.42336957345975</v>
          </cell>
          <cell r="BB531">
            <v>289.86058450236965</v>
          </cell>
          <cell r="BC531">
            <v>285.16437341232228</v>
          </cell>
          <cell r="BD531">
            <v>295.42646431279621</v>
          </cell>
          <cell r="BE531">
            <v>298.47030483412323</v>
          </cell>
          <cell r="BF531">
            <v>283.8598703317536</v>
          </cell>
          <cell r="BG531">
            <v>283.1641353554503</v>
          </cell>
          <cell r="BH531">
            <v>271.42360763033179</v>
          </cell>
          <cell r="BI531">
            <v>263.50962227488156</v>
          </cell>
          <cell r="BJ531">
            <v>258.55251056872038</v>
          </cell>
          <cell r="BK531">
            <v>253.6823657345972</v>
          </cell>
          <cell r="BL531">
            <v>238.37619625592419</v>
          </cell>
          <cell r="BM531">
            <v>212.98186962085308</v>
          </cell>
          <cell r="BN531">
            <v>227.07050289099527</v>
          </cell>
          <cell r="BO531">
            <v>250.812458957346</v>
          </cell>
          <cell r="BP531">
            <v>245.59444663507111</v>
          </cell>
          <cell r="BQ531">
            <v>249.2470552606635</v>
          </cell>
          <cell r="BR531">
            <v>256.20440502369667</v>
          </cell>
          <cell r="BS531">
            <v>249.2470552606635</v>
          </cell>
          <cell r="BT531">
            <v>252.89966388625592</v>
          </cell>
          <cell r="BU531">
            <v>258.98734492890998</v>
          </cell>
          <cell r="BV531">
            <v>259.24824554502374</v>
          </cell>
          <cell r="BW531">
            <v>280.29422857819901</v>
          </cell>
          <cell r="BX531">
            <v>298.29637109004739</v>
          </cell>
          <cell r="BY531">
            <v>289.59968388625589</v>
          </cell>
          <cell r="BZ531">
            <v>283.1641353554503</v>
          </cell>
          <cell r="CA531">
            <v>273.24991194312798</v>
          </cell>
          <cell r="CB531">
            <v>283.25110222748816</v>
          </cell>
          <cell r="CC531">
            <v>279.25062611374409</v>
          </cell>
          <cell r="CD531">
            <v>282.90323473933654</v>
          </cell>
          <cell r="CE531">
            <v>275.33711687203794</v>
          </cell>
          <cell r="CF531">
            <v>266.98829715639812</v>
          </cell>
          <cell r="CG531">
            <v>270.98877327014219</v>
          </cell>
          <cell r="CH531">
            <v>271.24967388625595</v>
          </cell>
          <cell r="CI531">
            <v>267.68403213270147</v>
          </cell>
          <cell r="CJ531">
            <v>268.29280023696685</v>
          </cell>
          <cell r="CK531">
            <v>305.34068772511853</v>
          </cell>
          <cell r="CL531">
            <v>306.47125706161142</v>
          </cell>
          <cell r="CM531">
            <v>329.69141189573463</v>
          </cell>
          <cell r="CN531">
            <v>318.90751976303318</v>
          </cell>
          <cell r="CO531">
            <v>307.16699203791467</v>
          </cell>
          <cell r="CP531">
            <v>301.775045971564</v>
          </cell>
          <cell r="CQ531">
            <v>301.16627786729862</v>
          </cell>
          <cell r="CR531">
            <v>308.38452824644554</v>
          </cell>
          <cell r="CS531">
            <v>331.43074933649291</v>
          </cell>
          <cell r="CT531">
            <v>403.2653856398104</v>
          </cell>
          <cell r="CU531">
            <v>444.31374924170615</v>
          </cell>
          <cell r="CV531">
            <v>508.5822676777251</v>
          </cell>
          <cell r="CW531">
            <v>526.32350957345977</v>
          </cell>
          <cell r="CX531">
            <v>407.17889488151661</v>
          </cell>
          <cell r="CY531">
            <v>334.387622985782</v>
          </cell>
          <cell r="CZ531">
            <v>332.56131867298581</v>
          </cell>
          <cell r="DA531">
            <v>301.68807909952602</v>
          </cell>
          <cell r="DB531">
            <v>305.86248895734605</v>
          </cell>
          <cell r="DC531">
            <v>297.68760298578195</v>
          </cell>
          <cell r="DD531">
            <v>302.29684720379151</v>
          </cell>
          <cell r="DE531">
            <v>320.55989033175354</v>
          </cell>
          <cell r="DF531">
            <v>334.47458985781986</v>
          </cell>
          <cell r="DG531">
            <v>344.56274701421802</v>
          </cell>
          <cell r="DH531">
            <v>310.0368988151659</v>
          </cell>
          <cell r="DI531">
            <v>290.73025322274879</v>
          </cell>
          <cell r="DJ531">
            <v>260.03094739336495</v>
          </cell>
          <cell r="DK531">
            <v>257.68284184834124</v>
          </cell>
          <cell r="DL531">
            <v>236.20202445497631</v>
          </cell>
          <cell r="DM531">
            <v>251.16032644549762</v>
          </cell>
          <cell r="DN531">
            <v>236.98472630331756</v>
          </cell>
          <cell r="DO531">
            <v>210.5467972037915</v>
          </cell>
          <cell r="DP531">
            <v>212.19916777251183</v>
          </cell>
          <cell r="DQ531">
            <v>208.54655914691946</v>
          </cell>
          <cell r="DR531">
            <v>214.72120706161138</v>
          </cell>
          <cell r="DS531">
            <v>221.85249056872038</v>
          </cell>
          <cell r="DT531">
            <v>213.15580336492894</v>
          </cell>
          <cell r="DU531">
            <v>180.10839199052134</v>
          </cell>
          <cell r="DV531">
            <v>187.93541047393367</v>
          </cell>
          <cell r="DW531">
            <v>193.06645592417061</v>
          </cell>
          <cell r="DX531">
            <v>208.02475791469195</v>
          </cell>
          <cell r="DY531">
            <v>243.85510919431283</v>
          </cell>
          <cell r="DZ531">
            <v>244.63781104265402</v>
          </cell>
          <cell r="EA531">
            <v>268.55370085308056</v>
          </cell>
          <cell r="EB531">
            <v>322.21226090047395</v>
          </cell>
          <cell r="EC531">
            <v>351.69403052132702</v>
          </cell>
          <cell r="ED531">
            <v>373.43574853080571</v>
          </cell>
          <cell r="EE531">
            <v>392.74239412322277</v>
          </cell>
          <cell r="EF531">
            <v>375.52295345971567</v>
          </cell>
          <cell r="EG531">
            <v>371.43551047393368</v>
          </cell>
          <cell r="EH531">
            <v>477.88296184834127</v>
          </cell>
          <cell r="EI531">
            <v>511.19127383886263</v>
          </cell>
          <cell r="EJ531">
            <v>443.87891488151655</v>
          </cell>
          <cell r="EK531">
            <v>404.65685559241712</v>
          </cell>
          <cell r="EL531">
            <v>445.87915293838864</v>
          </cell>
          <cell r="EM531">
            <v>482.31827232227494</v>
          </cell>
          <cell r="EN531">
            <v>476.14362440758288</v>
          </cell>
          <cell r="EO531">
            <v>507.19079772511856</v>
          </cell>
          <cell r="EP531">
            <v>554.76167672985787</v>
          </cell>
          <cell r="EQ531">
            <v>535.71593175355451</v>
          </cell>
          <cell r="ER531">
            <v>526.14957582938393</v>
          </cell>
          <cell r="ES531">
            <v>663.90510113744085</v>
          </cell>
          <cell r="ET531">
            <v>652.86030838862564</v>
          </cell>
          <cell r="EU531">
            <v>508.66923454976308</v>
          </cell>
          <cell r="EV531">
            <v>468.92537402843607</v>
          </cell>
          <cell r="EW531">
            <v>471.1865127014218</v>
          </cell>
          <cell r="EX531">
            <v>444.31374924170615</v>
          </cell>
          <cell r="EY531">
            <v>372.65304668246449</v>
          </cell>
          <cell r="EZ531">
            <v>336.90966227488155</v>
          </cell>
          <cell r="FA531">
            <v>359.69498274881516</v>
          </cell>
          <cell r="FB531">
            <v>359.868916492891</v>
          </cell>
          <cell r="FC531">
            <v>340.91013838862563</v>
          </cell>
          <cell r="FD531">
            <v>284.90347279620852</v>
          </cell>
          <cell r="FE531">
            <v>257.76980872037916</v>
          </cell>
          <cell r="FF531">
            <v>251.5081939336493</v>
          </cell>
          <cell r="FG531">
            <v>270.90180639810427</v>
          </cell>
          <cell r="FH531">
            <v>328.99567691943128</v>
          </cell>
          <cell r="FI531">
            <v>357.86867843601897</v>
          </cell>
          <cell r="FJ531">
            <v>352.47673236966824</v>
          </cell>
          <cell r="FK531">
            <v>324.90823393364929</v>
          </cell>
          <cell r="FL531">
            <v>320.82079094786729</v>
          </cell>
          <cell r="FM531">
            <v>360.65161834123222</v>
          </cell>
          <cell r="FN531">
            <v>408.22249734597159</v>
          </cell>
          <cell r="FO531">
            <v>415.52771459715638</v>
          </cell>
          <cell r="FP531">
            <v>409.35306668246449</v>
          </cell>
          <cell r="FQ531">
            <v>454.22797265402841</v>
          </cell>
          <cell r="FR531">
            <v>519.45312668246447</v>
          </cell>
          <cell r="FS531">
            <v>626.85721364928906</v>
          </cell>
          <cell r="FT531">
            <v>537.45526919431279</v>
          </cell>
          <cell r="FU531">
            <v>436.83459824644547</v>
          </cell>
          <cell r="FV531">
            <v>468.83840715639809</v>
          </cell>
          <cell r="FW531">
            <v>484.57941099526062</v>
          </cell>
          <cell r="FX531">
            <v>459.01115061611381</v>
          </cell>
          <cell r="FY531">
            <v>476.66542563981039</v>
          </cell>
          <cell r="FZ531">
            <v>452.05380085308053</v>
          </cell>
          <cell r="GA531">
            <v>481.10073611374406</v>
          </cell>
          <cell r="GB531">
            <v>473.62158511848344</v>
          </cell>
          <cell r="GC531">
            <v>545.54318829383885</v>
          </cell>
          <cell r="GD531">
            <v>640.68494630331759</v>
          </cell>
          <cell r="GE531">
            <v>571.0244818009478</v>
          </cell>
          <cell r="GF531">
            <v>509.79980388625592</v>
          </cell>
          <cell r="GG531">
            <v>527.28014516587677</v>
          </cell>
          <cell r="GH531">
            <v>588.24392246445507</v>
          </cell>
          <cell r="GI531">
            <v>583.46074450236972</v>
          </cell>
          <cell r="GJ531">
            <v>645.3811573933649</v>
          </cell>
          <cell r="GK531">
            <v>728.60845393364934</v>
          </cell>
          <cell r="GL531">
            <v>695.8219431753555</v>
          </cell>
          <cell r="GM531">
            <v>786.61535758293849</v>
          </cell>
          <cell r="GN531">
            <v>750.26320507109006</v>
          </cell>
          <cell r="GO531">
            <v>674.16719203791479</v>
          </cell>
          <cell r="GP531">
            <v>639.90224445497631</v>
          </cell>
          <cell r="GQ531">
            <v>658.86102255924186</v>
          </cell>
          <cell r="GR531">
            <v>761.65586530805695</v>
          </cell>
          <cell r="GS531">
            <v>746.87149706161142</v>
          </cell>
          <cell r="GT531">
            <v>739.21841232227496</v>
          </cell>
          <cell r="GU531">
            <v>743.56675592417059</v>
          </cell>
          <cell r="GV531">
            <v>739.21841232227496</v>
          </cell>
          <cell r="GW531">
            <v>756.61178672985784</v>
          </cell>
          <cell r="GX531">
            <v>774.00516113744072</v>
          </cell>
          <cell r="GY531">
            <v>787.05019194312797</v>
          </cell>
          <cell r="GZ531">
            <v>795.74687914691958</v>
          </cell>
          <cell r="HA531">
            <v>817.48859715639821</v>
          </cell>
          <cell r="HB531">
            <v>808.7919099526066</v>
          </cell>
          <cell r="HC531">
            <v>756.61178672985784</v>
          </cell>
          <cell r="HD531">
            <v>704.43166350710908</v>
          </cell>
          <cell r="HE531">
            <v>687.03828909952597</v>
          </cell>
          <cell r="HF531">
            <v>678.34160189573458</v>
          </cell>
          <cell r="HG531">
            <v>647.90319668246445</v>
          </cell>
          <cell r="HH531">
            <v>634.85816587677732</v>
          </cell>
          <cell r="HI531">
            <v>630.50982227488157</v>
          </cell>
          <cell r="HJ531">
            <v>630.50982227488157</v>
          </cell>
          <cell r="HK531">
            <v>634.94513274881535</v>
          </cell>
          <cell r="HL531">
            <v>639.20650947867296</v>
          </cell>
          <cell r="HM531">
            <v>669.64491469194309</v>
          </cell>
        </row>
        <row r="532">
          <cell r="X532">
            <v>373.43574853080571</v>
          </cell>
          <cell r="Y532">
            <v>283.33806909952608</v>
          </cell>
          <cell r="Z532">
            <v>237.41956066350716</v>
          </cell>
          <cell r="AA532">
            <v>248.81222090047396</v>
          </cell>
          <cell r="AB532">
            <v>250.812458957346</v>
          </cell>
          <cell r="AC532">
            <v>251.33426018957346</v>
          </cell>
          <cell r="AD532">
            <v>269.07550208530807</v>
          </cell>
          <cell r="AE532">
            <v>293.25229251184834</v>
          </cell>
          <cell r="AF532">
            <v>292.6435244075829</v>
          </cell>
          <cell r="AG532">
            <v>306.38429018957345</v>
          </cell>
          <cell r="AH532">
            <v>324.90823393364929</v>
          </cell>
          <cell r="AI532">
            <v>307.51485952606635</v>
          </cell>
          <cell r="AJ532">
            <v>284.20773781990522</v>
          </cell>
          <cell r="AK532">
            <v>269.42336957345975</v>
          </cell>
          <cell r="AL532">
            <v>289.86058450236965</v>
          </cell>
          <cell r="AM532">
            <v>285.16437341232228</v>
          </cell>
          <cell r="AN532">
            <v>295.42646431279621</v>
          </cell>
          <cell r="AO532">
            <v>298.47030483412323</v>
          </cell>
          <cell r="AP532">
            <v>283.8598703317536</v>
          </cell>
          <cell r="AQ532">
            <v>283.1641353554503</v>
          </cell>
          <cell r="AR532">
            <v>271.42360763033179</v>
          </cell>
          <cell r="AS532">
            <v>263.50962227488156</v>
          </cell>
          <cell r="AT532">
            <v>258.55251056872038</v>
          </cell>
          <cell r="AU532">
            <v>253.6823657345972</v>
          </cell>
          <cell r="AV532">
            <v>238.37619625592419</v>
          </cell>
          <cell r="AW532">
            <v>212.98186962085308</v>
          </cell>
          <cell r="AX532">
            <v>227.07050289099527</v>
          </cell>
          <cell r="AY532">
            <v>250.812458957346</v>
          </cell>
          <cell r="AZ532">
            <v>245.59444663507111</v>
          </cell>
          <cell r="BA532">
            <v>249.2470552606635</v>
          </cell>
          <cell r="BB532">
            <v>256.20440502369667</v>
          </cell>
          <cell r="BC532">
            <v>249.2470552606635</v>
          </cell>
          <cell r="BD532">
            <v>252.89966388625592</v>
          </cell>
          <cell r="BE532">
            <v>258.98734492890998</v>
          </cell>
          <cell r="BF532">
            <v>259.24824554502374</v>
          </cell>
          <cell r="BG532">
            <v>280.29422857819901</v>
          </cell>
          <cell r="BH532">
            <v>298.29637109004739</v>
          </cell>
          <cell r="BI532">
            <v>289.59968388625589</v>
          </cell>
          <cell r="BJ532">
            <v>283.1641353554503</v>
          </cell>
          <cell r="BK532">
            <v>273.24991194312798</v>
          </cell>
          <cell r="BL532">
            <v>283.25110222748816</v>
          </cell>
          <cell r="BM532">
            <v>279.25062611374409</v>
          </cell>
          <cell r="BN532">
            <v>282.90323473933654</v>
          </cell>
          <cell r="BO532">
            <v>275.33711687203794</v>
          </cell>
          <cell r="BP532">
            <v>266.98829715639812</v>
          </cell>
          <cell r="BQ532">
            <v>270.98877327014219</v>
          </cell>
          <cell r="BR532">
            <v>271.24967388625595</v>
          </cell>
          <cell r="BS532">
            <v>267.68403213270147</v>
          </cell>
          <cell r="BT532">
            <v>268.29280023696685</v>
          </cell>
          <cell r="BU532">
            <v>305.34068772511853</v>
          </cell>
          <cell r="BV532">
            <v>306.47125706161142</v>
          </cell>
          <cell r="BW532">
            <v>329.69141189573463</v>
          </cell>
          <cell r="BX532">
            <v>318.90751976303318</v>
          </cell>
          <cell r="BY532">
            <v>307.16699203791467</v>
          </cell>
          <cell r="BZ532">
            <v>301.775045971564</v>
          </cell>
          <cell r="CA532">
            <v>301.16627786729862</v>
          </cell>
          <cell r="CB532">
            <v>308.38452824644554</v>
          </cell>
          <cell r="CC532">
            <v>331.43074933649291</v>
          </cell>
          <cell r="CD532">
            <v>403.2653856398104</v>
          </cell>
          <cell r="CE532">
            <v>444.31374924170615</v>
          </cell>
          <cell r="CF532">
            <v>508.5822676777251</v>
          </cell>
          <cell r="CG532">
            <v>526.32350957345977</v>
          </cell>
          <cell r="CH532">
            <v>407.17889488151661</v>
          </cell>
          <cell r="CI532">
            <v>334.387622985782</v>
          </cell>
          <cell r="CJ532">
            <v>332.56131867298581</v>
          </cell>
          <cell r="CK532">
            <v>301.68807909952602</v>
          </cell>
          <cell r="CL532">
            <v>305.86248895734605</v>
          </cell>
          <cell r="CM532">
            <v>297.68760298578195</v>
          </cell>
          <cell r="CN532">
            <v>302.29684720379151</v>
          </cell>
          <cell r="CO532">
            <v>320.55989033175354</v>
          </cell>
          <cell r="CP532">
            <v>334.47458985781986</v>
          </cell>
          <cell r="CQ532">
            <v>344.56274701421802</v>
          </cell>
          <cell r="CR532">
            <v>310.0368988151659</v>
          </cell>
          <cell r="CS532">
            <v>290.73025322274879</v>
          </cell>
          <cell r="CT532">
            <v>260.03094739336495</v>
          </cell>
          <cell r="CU532">
            <v>257.68284184834124</v>
          </cell>
          <cell r="CV532">
            <v>236.20202445497631</v>
          </cell>
          <cell r="CW532">
            <v>251.16032644549762</v>
          </cell>
          <cell r="CX532">
            <v>236.98472630331756</v>
          </cell>
          <cell r="CY532">
            <v>210.5467972037915</v>
          </cell>
          <cell r="CZ532">
            <v>212.19916777251183</v>
          </cell>
          <cell r="DA532">
            <v>208.54655914691946</v>
          </cell>
          <cell r="DB532">
            <v>214.72120706161138</v>
          </cell>
          <cell r="DC532">
            <v>221.85249056872038</v>
          </cell>
          <cell r="DD532">
            <v>213.15580336492894</v>
          </cell>
          <cell r="DE532">
            <v>180.10839199052134</v>
          </cell>
          <cell r="DF532">
            <v>187.93541047393367</v>
          </cell>
          <cell r="DG532">
            <v>193.06645592417061</v>
          </cell>
          <cell r="DH532">
            <v>208.02475791469195</v>
          </cell>
          <cell r="DI532">
            <v>243.85510919431283</v>
          </cell>
          <cell r="DJ532">
            <v>244.63781104265402</v>
          </cell>
          <cell r="DK532">
            <v>268.55370085308056</v>
          </cell>
          <cell r="DL532">
            <v>322.21226090047395</v>
          </cell>
          <cell r="DM532">
            <v>351.69403052132702</v>
          </cell>
          <cell r="DN532">
            <v>373.43574853080571</v>
          </cell>
          <cell r="DO532">
            <v>392.74239412322277</v>
          </cell>
          <cell r="DP532">
            <v>375.52295345971567</v>
          </cell>
          <cell r="DQ532">
            <v>371.43551047393368</v>
          </cell>
          <cell r="DR532">
            <v>477.88296184834127</v>
          </cell>
          <cell r="DS532">
            <v>511.19127383886263</v>
          </cell>
          <cell r="DT532">
            <v>443.87891488151655</v>
          </cell>
          <cell r="DU532">
            <v>404.65685559241712</v>
          </cell>
          <cell r="DV532">
            <v>445.87915293838864</v>
          </cell>
          <cell r="DW532">
            <v>482.31827232227494</v>
          </cell>
          <cell r="DX532">
            <v>476.14362440758288</v>
          </cell>
          <cell r="DY532">
            <v>507.19079772511856</v>
          </cell>
          <cell r="DZ532">
            <v>554.76167672985787</v>
          </cell>
          <cell r="EA532">
            <v>535.71593175355451</v>
          </cell>
          <cell r="EB532">
            <v>526.14957582938393</v>
          </cell>
          <cell r="EC532">
            <v>663.90510113744085</v>
          </cell>
          <cell r="ED532">
            <v>652.86030838862564</v>
          </cell>
          <cell r="EE532">
            <v>508.66923454976308</v>
          </cell>
          <cell r="EF532">
            <v>468.92537402843607</v>
          </cell>
          <cell r="EG532">
            <v>471.1865127014218</v>
          </cell>
          <cell r="EH532">
            <v>444.31374924170615</v>
          </cell>
          <cell r="EI532">
            <v>372.65304668246449</v>
          </cell>
          <cell r="EJ532">
            <v>336.90966227488155</v>
          </cell>
          <cell r="EK532">
            <v>359.69498274881516</v>
          </cell>
          <cell r="EL532">
            <v>359.868916492891</v>
          </cell>
          <cell r="EM532">
            <v>340.91013838862563</v>
          </cell>
          <cell r="EN532">
            <v>284.90347279620852</v>
          </cell>
          <cell r="EO532">
            <v>257.76980872037916</v>
          </cell>
          <cell r="EP532">
            <v>251.5081939336493</v>
          </cell>
          <cell r="EQ532">
            <v>270.90180639810427</v>
          </cell>
          <cell r="ER532">
            <v>328.99567691943128</v>
          </cell>
          <cell r="ES532">
            <v>357.86867843601897</v>
          </cell>
          <cell r="ET532">
            <v>352.47673236966824</v>
          </cell>
          <cell r="EU532">
            <v>324.90823393364929</v>
          </cell>
          <cell r="EV532">
            <v>320.82079094786729</v>
          </cell>
          <cell r="EW532">
            <v>360.65161834123222</v>
          </cell>
          <cell r="EX532">
            <v>408.22249734597159</v>
          </cell>
          <cell r="EY532">
            <v>415.52771459715638</v>
          </cell>
          <cell r="EZ532">
            <v>409.35306668246449</v>
          </cell>
          <cell r="FA532">
            <v>454.22797265402841</v>
          </cell>
          <cell r="FB532">
            <v>519.45312668246447</v>
          </cell>
          <cell r="FC532">
            <v>626.85721364928906</v>
          </cell>
          <cell r="FD532">
            <v>537.45526919431279</v>
          </cell>
          <cell r="FE532">
            <v>436.83459824644547</v>
          </cell>
          <cell r="FF532">
            <v>468.83840715639809</v>
          </cell>
          <cell r="FG532">
            <v>484.57941099526062</v>
          </cell>
          <cell r="FH532">
            <v>459.01115061611381</v>
          </cell>
          <cell r="FI532">
            <v>476.66542563981039</v>
          </cell>
          <cell r="FJ532">
            <v>452.05380085308053</v>
          </cell>
          <cell r="FK532">
            <v>481.10073611374406</v>
          </cell>
          <cell r="FL532">
            <v>473.62158511848344</v>
          </cell>
          <cell r="FM532">
            <v>545.54318829383885</v>
          </cell>
          <cell r="FN532">
            <v>640.68494630331759</v>
          </cell>
          <cell r="FO532">
            <v>571.0244818009478</v>
          </cell>
          <cell r="FP532">
            <v>509.79980388625592</v>
          </cell>
          <cell r="FQ532">
            <v>527.28014516587677</v>
          </cell>
          <cell r="FR532">
            <v>588.24392246445507</v>
          </cell>
          <cell r="FS532">
            <v>583.46074450236972</v>
          </cell>
          <cell r="FT532">
            <v>645.3811573933649</v>
          </cell>
          <cell r="FU532">
            <v>728.60845393364934</v>
          </cell>
          <cell r="FV532">
            <v>695.8219431753555</v>
          </cell>
          <cell r="FW532">
            <v>786.61535758293849</v>
          </cell>
          <cell r="FX532">
            <v>750.26320507109006</v>
          </cell>
          <cell r="FY532">
            <v>674.16719203791479</v>
          </cell>
          <cell r="FZ532">
            <v>639.90224445497631</v>
          </cell>
          <cell r="GA532">
            <v>658.86102255924186</v>
          </cell>
          <cell r="GB532">
            <v>761.65586530805695</v>
          </cell>
          <cell r="GC532">
            <v>742.95798781990527</v>
          </cell>
          <cell r="GD532">
            <v>691.90843393364935</v>
          </cell>
          <cell r="GE532">
            <v>709.82360957345963</v>
          </cell>
          <cell r="GF532">
            <v>728.60845393364934</v>
          </cell>
          <cell r="GG532">
            <v>814.61869037914687</v>
          </cell>
          <cell r="GH532">
            <v>980.63844909952616</v>
          </cell>
          <cell r="GI532">
            <v>985.85646142180087</v>
          </cell>
          <cell r="GJ532">
            <v>866.45094611374418</v>
          </cell>
          <cell r="GK532">
            <v>917.15263251184831</v>
          </cell>
          <cell r="GL532">
            <v>861.66776815165883</v>
          </cell>
          <cell r="GM532">
            <v>800.35612336492898</v>
          </cell>
          <cell r="GN532">
            <v>801.48669270142182</v>
          </cell>
          <cell r="GO532">
            <v>880.80047999999999</v>
          </cell>
          <cell r="GP532">
            <v>903.15096611374406</v>
          </cell>
          <cell r="GQ532">
            <v>951.76544758293835</v>
          </cell>
          <cell r="GR532">
            <v>1007.7721131753555</v>
          </cell>
          <cell r="GS532">
            <v>983.33442213270143</v>
          </cell>
          <cell r="GT532">
            <v>875.3215670616114</v>
          </cell>
          <cell r="GU532">
            <v>807.74830748815157</v>
          </cell>
          <cell r="GV532">
            <v>821.31513952606645</v>
          </cell>
          <cell r="GW532">
            <v>837.83884521327025</v>
          </cell>
          <cell r="GX532">
            <v>775.22269734597148</v>
          </cell>
          <cell r="GY532">
            <v>848.53577047393367</v>
          </cell>
          <cell r="GZ532">
            <v>899.32442374407594</v>
          </cell>
          <cell r="HA532">
            <v>955.1571555924171</v>
          </cell>
          <cell r="HB532">
            <v>998.37969099526072</v>
          </cell>
          <cell r="HC532">
            <v>987.68276573459718</v>
          </cell>
          <cell r="HD532">
            <v>1033.7752079146919</v>
          </cell>
          <cell r="HE532">
            <v>1032.1228373459717</v>
          </cell>
          <cell r="HF532">
            <v>1124.1337879620851</v>
          </cell>
          <cell r="HG532">
            <v>1241.886932701422</v>
          </cell>
          <cell r="HH532">
            <v>1357.3789387677725</v>
          </cell>
          <cell r="HI532">
            <v>1332.419446492891</v>
          </cell>
          <cell r="HJ532">
            <v>865.90827283222768</v>
          </cell>
          <cell r="HK532">
            <v>817.57904270331755</v>
          </cell>
          <cell r="HL532">
            <v>845.70412912037921</v>
          </cell>
          <cell r="HM532">
            <v>909.9326427952609</v>
          </cell>
          <cell r="HN532">
            <v>973.98896206350719</v>
          </cell>
          <cell r="HO532">
            <v>1039.4802347203793</v>
          </cell>
          <cell r="HP532">
            <v>1068.121904357346</v>
          </cell>
          <cell r="HQ532">
            <v>1056.1256940284361</v>
          </cell>
          <cell r="HR532">
            <v>1061.8655075829386</v>
          </cell>
          <cell r="HS532">
            <v>1073.3451346919433</v>
          </cell>
          <cell r="HT532">
            <v>1090.5645753554504</v>
          </cell>
          <cell r="HU532">
            <v>1102.0442024644551</v>
          </cell>
          <cell r="HV532">
            <v>1090.5645753554504</v>
          </cell>
          <cell r="HW532">
            <v>1056.1256940284361</v>
          </cell>
          <cell r="HX532">
            <v>1027.4266262559242</v>
          </cell>
          <cell r="HY532">
            <v>964.28867715639819</v>
          </cell>
          <cell r="HZ532">
            <v>924.10998227488165</v>
          </cell>
          <cell r="IA532">
            <v>906.89054161137437</v>
          </cell>
          <cell r="IB532">
            <v>918.37016872037918</v>
          </cell>
          <cell r="IC532">
            <v>924.10998227488165</v>
          </cell>
          <cell r="ID532">
            <v>929.84979582938399</v>
          </cell>
          <cell r="IE532">
            <v>941.32942293838869</v>
          </cell>
          <cell r="IF532">
            <v>958.54886360189585</v>
          </cell>
          <cell r="IG532">
            <v>981.50811781990535</v>
          </cell>
          <cell r="IH532">
            <v>1139.2660236966826</v>
          </cell>
          <cell r="II532">
            <v>1174.0527725118484</v>
          </cell>
          <cell r="IJ532">
            <v>1208.8395213270142</v>
          </cell>
          <cell r="IK532">
            <v>1234.9295829383886</v>
          </cell>
        </row>
        <row r="533">
          <cell r="X533">
            <v>314.81893079999998</v>
          </cell>
          <cell r="Y533">
            <v>314.81893079999998</v>
          </cell>
          <cell r="Z533">
            <v>314.02393349999994</v>
          </cell>
          <cell r="AA533">
            <v>314.02393349999994</v>
          </cell>
          <cell r="AB533">
            <v>314.02393349999994</v>
          </cell>
          <cell r="AC533">
            <v>333.898866</v>
          </cell>
          <cell r="AD533">
            <v>333.898866</v>
          </cell>
          <cell r="AE533">
            <v>333.898866</v>
          </cell>
          <cell r="AF533">
            <v>341.84883899999994</v>
          </cell>
          <cell r="AG533">
            <v>341.84883899999994</v>
          </cell>
          <cell r="AH533">
            <v>341.84883899999994</v>
          </cell>
          <cell r="AI533">
            <v>325.94889299999994</v>
          </cell>
          <cell r="AJ533">
            <v>325.94889299999994</v>
          </cell>
          <cell r="AK533">
            <v>325.94889299999994</v>
          </cell>
          <cell r="AL533">
            <v>325.94889299999994</v>
          </cell>
          <cell r="AM533">
            <v>325.94889299999994</v>
          </cell>
          <cell r="AN533">
            <v>325.94889299999994</v>
          </cell>
          <cell r="AO533">
            <v>333.898866</v>
          </cell>
          <cell r="AP533">
            <v>333.898866</v>
          </cell>
          <cell r="AQ533">
            <v>333.898866</v>
          </cell>
          <cell r="AR533">
            <v>337.87385249999994</v>
          </cell>
          <cell r="AS533">
            <v>337.87385249999994</v>
          </cell>
          <cell r="AT533">
            <v>337.87385249999994</v>
          </cell>
          <cell r="AU533">
            <v>337.87385249999994</v>
          </cell>
          <cell r="AV533">
            <v>337.87385249999994</v>
          </cell>
          <cell r="AW533">
            <v>337.87385249999994</v>
          </cell>
          <cell r="AX533">
            <v>353.7737985</v>
          </cell>
          <cell r="AY533">
            <v>353.7737985</v>
          </cell>
          <cell r="AZ533">
            <v>353.7737985</v>
          </cell>
          <cell r="BA533">
            <v>353.7737985</v>
          </cell>
          <cell r="BB533">
            <v>353.7737985</v>
          </cell>
          <cell r="BC533">
            <v>353.7737985</v>
          </cell>
          <cell r="BD533">
            <v>381.59870399999994</v>
          </cell>
          <cell r="BE533">
            <v>381.59870399999994</v>
          </cell>
          <cell r="BF533">
            <v>381.59870399999994</v>
          </cell>
          <cell r="BG533">
            <v>445.19848799999994</v>
          </cell>
          <cell r="BH533">
            <v>445.19848799999994</v>
          </cell>
          <cell r="BI533">
            <v>445.19848799999994</v>
          </cell>
          <cell r="BJ533">
            <v>469.04840699999994</v>
          </cell>
          <cell r="BK533">
            <v>469.04840699999994</v>
          </cell>
          <cell r="BL533">
            <v>469.04840699999994</v>
          </cell>
          <cell r="BM533">
            <v>572.39805599999988</v>
          </cell>
          <cell r="BN533">
            <v>572.39805599999988</v>
          </cell>
          <cell r="BO533">
            <v>572.39805599999988</v>
          </cell>
          <cell r="BP533">
            <v>635.99783999999988</v>
          </cell>
          <cell r="BQ533">
            <v>635.99783999999988</v>
          </cell>
          <cell r="BR533">
            <v>635.99783999999988</v>
          </cell>
          <cell r="BS533">
            <v>651.89778599999988</v>
          </cell>
          <cell r="BT533">
            <v>651.89778599999988</v>
          </cell>
          <cell r="BU533">
            <v>651.89778599999988</v>
          </cell>
          <cell r="BV533">
            <v>651.89778599999988</v>
          </cell>
          <cell r="BW533">
            <v>651.89778599999988</v>
          </cell>
          <cell r="BX533">
            <v>651.89778599999988</v>
          </cell>
          <cell r="BY533">
            <v>548.54813699999988</v>
          </cell>
          <cell r="BZ533">
            <v>548.54813699999988</v>
          </cell>
          <cell r="CA533">
            <v>548.54813699999988</v>
          </cell>
          <cell r="CB533">
            <v>349.79881199999994</v>
          </cell>
          <cell r="CC533">
            <v>349.79881199999994</v>
          </cell>
          <cell r="CD533">
            <v>349.79881199999994</v>
          </cell>
          <cell r="CE533">
            <v>302.09897399999994</v>
          </cell>
          <cell r="CF533">
            <v>302.09897399999994</v>
          </cell>
          <cell r="CG533">
            <v>302.09897399999994</v>
          </cell>
          <cell r="CH533">
            <v>325.94889299999994</v>
          </cell>
          <cell r="CI533">
            <v>325.94889299999994</v>
          </cell>
          <cell r="CJ533">
            <v>325.94889299999994</v>
          </cell>
          <cell r="CK533">
            <v>341.84883899999994</v>
          </cell>
          <cell r="CL533">
            <v>341.84883899999994</v>
          </cell>
          <cell r="CM533">
            <v>341.84883899999994</v>
          </cell>
          <cell r="CN533">
            <v>357.74878499999994</v>
          </cell>
          <cell r="CO533">
            <v>357.74878499999994</v>
          </cell>
          <cell r="CP533">
            <v>357.74878499999994</v>
          </cell>
          <cell r="CQ533">
            <v>341.84883899999994</v>
          </cell>
          <cell r="CR533">
            <v>341.84883899999994</v>
          </cell>
          <cell r="CS533">
            <v>341.84883899999994</v>
          </cell>
          <cell r="CT533">
            <v>302.09897399999994</v>
          </cell>
          <cell r="CU533">
            <v>302.09897399999994</v>
          </cell>
          <cell r="CV533">
            <v>302.09897399999994</v>
          </cell>
          <cell r="CW533">
            <v>250.42414949999994</v>
          </cell>
          <cell r="CX533">
            <v>250.42414949999994</v>
          </cell>
          <cell r="CY533">
            <v>250.42414949999994</v>
          </cell>
          <cell r="CZ533">
            <v>250.42414949999994</v>
          </cell>
          <cell r="DA533">
            <v>250.42414949999994</v>
          </cell>
          <cell r="DB533">
            <v>250.42414949999994</v>
          </cell>
          <cell r="DC533">
            <v>234.52420349999997</v>
          </cell>
          <cell r="DD533">
            <v>234.52420349999997</v>
          </cell>
          <cell r="DE533">
            <v>234.52420349999997</v>
          </cell>
          <cell r="DF533">
            <v>226.57423049999997</v>
          </cell>
          <cell r="DG533">
            <v>226.57423049999997</v>
          </cell>
          <cell r="DH533">
            <v>226.57423049999997</v>
          </cell>
          <cell r="DI533">
            <v>250.42414949999994</v>
          </cell>
          <cell r="DJ533">
            <v>250.42414949999994</v>
          </cell>
          <cell r="DK533">
            <v>250.42414949999994</v>
          </cell>
          <cell r="DL533">
            <v>290.17401449999994</v>
          </cell>
          <cell r="DM533">
            <v>290.17401449999994</v>
          </cell>
          <cell r="DN533">
            <v>290.17401449999994</v>
          </cell>
          <cell r="DO533">
            <v>333.898866</v>
          </cell>
          <cell r="DP533">
            <v>333.898866</v>
          </cell>
          <cell r="DQ533">
            <v>333.898866</v>
          </cell>
          <cell r="DR533">
            <v>333.898866</v>
          </cell>
          <cell r="DS533">
            <v>333.898866</v>
          </cell>
          <cell r="DT533">
            <v>333.898866</v>
          </cell>
          <cell r="DU533">
            <v>369.67374449999994</v>
          </cell>
          <cell r="DV533">
            <v>369.67374449999994</v>
          </cell>
          <cell r="DW533">
            <v>369.67374449999994</v>
          </cell>
          <cell r="DX533">
            <v>393.52366349999994</v>
          </cell>
          <cell r="DY533">
            <v>393.52366349999994</v>
          </cell>
          <cell r="DZ533">
            <v>393.52366349999994</v>
          </cell>
          <cell r="EA533">
            <v>373.648731</v>
          </cell>
          <cell r="EB533">
            <v>373.648731</v>
          </cell>
          <cell r="EC533">
            <v>373.648731</v>
          </cell>
          <cell r="ED533">
            <v>373.648731</v>
          </cell>
          <cell r="EE533">
            <v>373.648731</v>
          </cell>
          <cell r="EF533">
            <v>373.648731</v>
          </cell>
          <cell r="EG533">
            <v>409.42360949999994</v>
          </cell>
          <cell r="EH533">
            <v>409.42360949999994</v>
          </cell>
          <cell r="EI533">
            <v>409.42360949999994</v>
          </cell>
          <cell r="EJ533">
            <v>409.42360949999994</v>
          </cell>
          <cell r="EK533">
            <v>409.42360949999994</v>
          </cell>
          <cell r="EL533">
            <v>409.42360949999994</v>
          </cell>
          <cell r="EM533">
            <v>357.74878499999994</v>
          </cell>
          <cell r="EN533">
            <v>357.74878499999994</v>
          </cell>
          <cell r="EO533">
            <v>357.74878499999994</v>
          </cell>
          <cell r="EP533">
            <v>278.249055</v>
          </cell>
          <cell r="EQ533">
            <v>278.249055</v>
          </cell>
          <cell r="ER533">
            <v>294.14900099999994</v>
          </cell>
          <cell r="ES533">
            <v>357.74878499999994</v>
          </cell>
          <cell r="ET533">
            <v>357.74878499999994</v>
          </cell>
          <cell r="EU533">
            <v>349.79881199999994</v>
          </cell>
          <cell r="EV533">
            <v>345.82382549999994</v>
          </cell>
          <cell r="EW533">
            <v>345.82382549999994</v>
          </cell>
          <cell r="EX533">
            <v>345.82382549999994</v>
          </cell>
          <cell r="EY533">
            <v>349.79881199999994</v>
          </cell>
          <cell r="EZ533">
            <v>349.79881199999994</v>
          </cell>
          <cell r="FA533">
            <v>353.7737985</v>
          </cell>
          <cell r="FB533">
            <v>381.59870399999994</v>
          </cell>
          <cell r="FC533">
            <v>476.99837999999994</v>
          </cell>
          <cell r="FD533">
            <v>584.32301549999988</v>
          </cell>
          <cell r="FE533">
            <v>576.37304249999988</v>
          </cell>
          <cell r="FF533">
            <v>393.52366349999994</v>
          </cell>
          <cell r="FG533">
            <v>373.648731</v>
          </cell>
          <cell r="FH533">
            <v>409.42360949999994</v>
          </cell>
          <cell r="FI533">
            <v>441.22350149999988</v>
          </cell>
          <cell r="FJ533">
            <v>469.04840699999994</v>
          </cell>
          <cell r="FK533">
            <v>429.29854199999994</v>
          </cell>
          <cell r="FL533">
            <v>441.22350149999988</v>
          </cell>
          <cell r="FM533">
            <v>445.19848799999994</v>
          </cell>
          <cell r="FN533">
            <v>457.12344749999994</v>
          </cell>
          <cell r="FO533">
            <v>516.748245</v>
          </cell>
          <cell r="FP533">
            <v>532.64819099999988</v>
          </cell>
          <cell r="FQ533">
            <v>536.6231775</v>
          </cell>
          <cell r="FR533">
            <v>552.52312349999988</v>
          </cell>
          <cell r="FS533">
            <v>560.47309649999988</v>
          </cell>
          <cell r="FT533">
            <v>560.47309649999988</v>
          </cell>
          <cell r="FU533">
            <v>568.42306949999988</v>
          </cell>
          <cell r="FV533">
            <v>635.99783999999988</v>
          </cell>
          <cell r="FW533">
            <v>671.77271849999988</v>
          </cell>
          <cell r="FX533">
            <v>723.44754299999988</v>
          </cell>
          <cell r="FY533">
            <v>731.39751599999988</v>
          </cell>
          <cell r="FZ533">
            <v>651.89778599999988</v>
          </cell>
          <cell r="GA533">
            <v>671.77271849999988</v>
          </cell>
          <cell r="GB533">
            <v>707.547597</v>
          </cell>
          <cell r="GC533">
            <v>707.547597</v>
          </cell>
          <cell r="GD533">
            <v>635.99783999999988</v>
          </cell>
          <cell r="GE533">
            <v>592.27298849999988</v>
          </cell>
          <cell r="GF533">
            <v>624.07288049999988</v>
          </cell>
          <cell r="GG533">
            <v>639.97282649999988</v>
          </cell>
          <cell r="GH533">
            <v>953.99675999999988</v>
          </cell>
          <cell r="GI533">
            <v>953.99675999999988</v>
          </cell>
          <cell r="GJ533">
            <v>818.84721899999988</v>
          </cell>
          <cell r="GK533">
            <v>659.84775899999988</v>
          </cell>
          <cell r="GL533">
            <v>715.49756999999988</v>
          </cell>
          <cell r="GM533">
            <v>771.14738099999988</v>
          </cell>
          <cell r="GN533">
            <v>743.32247549999988</v>
          </cell>
          <cell r="GO533">
            <v>779.09735399999988</v>
          </cell>
          <cell r="GP533">
            <v>830.77217849999988</v>
          </cell>
          <cell r="GQ533">
            <v>906.29692199999988</v>
          </cell>
          <cell r="GR533">
            <v>950.02177349999988</v>
          </cell>
          <cell r="GS533">
            <v>1025.5465169999998</v>
          </cell>
          <cell r="GT533">
            <v>1093.1212874999999</v>
          </cell>
          <cell r="GU533">
            <v>969.89670599999988</v>
          </cell>
          <cell r="GV533">
            <v>779.09735399999988</v>
          </cell>
          <cell r="GW533">
            <v>802.94727299999988</v>
          </cell>
          <cell r="GX533">
            <v>834.74716499999977</v>
          </cell>
          <cell r="GY533">
            <v>806.92225949999988</v>
          </cell>
          <cell r="GZ533">
            <v>826.79719199999988</v>
          </cell>
          <cell r="HA533">
            <v>878.47201649999988</v>
          </cell>
          <cell r="HB533">
            <v>922.19686799999977</v>
          </cell>
          <cell r="HC533">
            <v>965.92171949999988</v>
          </cell>
          <cell r="HD533">
            <v>882.44700299999977</v>
          </cell>
          <cell r="HE533">
            <v>890.39697599999988</v>
          </cell>
          <cell r="HF533">
            <v>822.82220549999988</v>
          </cell>
          <cell r="HG533">
            <v>818.84721899999988</v>
          </cell>
          <cell r="HH533">
            <v>858.59708399999988</v>
          </cell>
          <cell r="HI533">
            <v>862.57207049999988</v>
          </cell>
          <cell r="HJ533">
            <v>711.75</v>
          </cell>
          <cell r="HK533">
            <v>705.25</v>
          </cell>
          <cell r="HL533">
            <v>757.25</v>
          </cell>
          <cell r="HM533">
            <v>815.75</v>
          </cell>
          <cell r="HN533">
            <v>835.25</v>
          </cell>
          <cell r="HO533">
            <v>926.25</v>
          </cell>
          <cell r="HP533">
            <v>1036.75</v>
          </cell>
          <cell r="HQ533">
            <v>923</v>
          </cell>
          <cell r="HR533">
            <v>923</v>
          </cell>
          <cell r="HS533">
            <v>916.5</v>
          </cell>
          <cell r="HT533">
            <v>903.5</v>
          </cell>
          <cell r="HU533">
            <v>900.25</v>
          </cell>
          <cell r="HV533">
            <v>897</v>
          </cell>
          <cell r="HW533">
            <v>916.5</v>
          </cell>
          <cell r="HX533">
            <v>916.5</v>
          </cell>
          <cell r="HY533">
            <v>903.5</v>
          </cell>
          <cell r="HZ533">
            <v>900.25</v>
          </cell>
          <cell r="IA533">
            <v>861.25</v>
          </cell>
          <cell r="IB533">
            <v>864.5</v>
          </cell>
          <cell r="IC533">
            <v>867.75</v>
          </cell>
          <cell r="ID533">
            <v>877.5</v>
          </cell>
          <cell r="IE533">
            <v>871</v>
          </cell>
          <cell r="IF533">
            <v>867.75</v>
          </cell>
          <cell r="IG533">
            <v>838.5</v>
          </cell>
          <cell r="IH533">
            <v>925.21785773999989</v>
          </cell>
          <cell r="II533">
            <v>940.48180589999993</v>
          </cell>
          <cell r="IJ533">
            <v>941.43580265999992</v>
          </cell>
          <cell r="IK533">
            <v>901.20893927999987</v>
          </cell>
        </row>
        <row r="534">
          <cell r="X534">
            <v>162.73203799999999</v>
          </cell>
          <cell r="Y534">
            <v>162.73203799999999</v>
          </cell>
          <cell r="Z534">
            <v>158.94757199999995</v>
          </cell>
          <cell r="AA534">
            <v>158.94757199999995</v>
          </cell>
          <cell r="AB534">
            <v>158.94757199999995</v>
          </cell>
          <cell r="AC534">
            <v>149.48640699999999</v>
          </cell>
          <cell r="AD534">
            <v>149.48640699999999</v>
          </cell>
          <cell r="AE534">
            <v>149.48640699999999</v>
          </cell>
          <cell r="AF534">
            <v>149.48640699999999</v>
          </cell>
          <cell r="AG534">
            <v>149.48640699999999</v>
          </cell>
          <cell r="AH534">
            <v>149.48640699999999</v>
          </cell>
          <cell r="AI534">
            <v>162.73203799999999</v>
          </cell>
          <cell r="AJ534">
            <v>162.73203799999999</v>
          </cell>
          <cell r="AK534">
            <v>162.73203799999999</v>
          </cell>
          <cell r="AL534">
            <v>151.37863999999999</v>
          </cell>
          <cell r="AM534">
            <v>151.37863999999999</v>
          </cell>
          <cell r="AN534">
            <v>151.37863999999999</v>
          </cell>
          <cell r="AO534">
            <v>136.24077599999998</v>
          </cell>
          <cell r="AP534">
            <v>136.24077599999998</v>
          </cell>
          <cell r="AQ534">
            <v>136.24077599999998</v>
          </cell>
          <cell r="AR534">
            <v>121.10291199999998</v>
          </cell>
          <cell r="AS534">
            <v>121.10291199999998</v>
          </cell>
          <cell r="AT534">
            <v>121.10291199999998</v>
          </cell>
          <cell r="AU534">
            <v>121.10291199999998</v>
          </cell>
          <cell r="AV534">
            <v>121.10291199999998</v>
          </cell>
          <cell r="AW534">
            <v>121.10291199999998</v>
          </cell>
          <cell r="AX534">
            <v>105.96504799999998</v>
          </cell>
          <cell r="AY534">
            <v>105.96504799999998</v>
          </cell>
          <cell r="AZ534">
            <v>105.96504799999998</v>
          </cell>
          <cell r="BA534">
            <v>105.96504799999998</v>
          </cell>
          <cell r="BB534">
            <v>105.96504799999998</v>
          </cell>
          <cell r="BC534">
            <v>105.96504799999998</v>
          </cell>
          <cell r="BD534">
            <v>121.10291199999998</v>
          </cell>
          <cell r="BE534">
            <v>121.10291199999998</v>
          </cell>
          <cell r="BF534">
            <v>121.10291199999998</v>
          </cell>
          <cell r="BG534">
            <v>158.94757199999995</v>
          </cell>
          <cell r="BH534">
            <v>158.94757199999995</v>
          </cell>
          <cell r="BI534">
            <v>158.94757199999995</v>
          </cell>
          <cell r="BJ534">
            <v>185.43883399999996</v>
          </cell>
          <cell r="BK534">
            <v>185.43883399999996</v>
          </cell>
          <cell r="BL534">
            <v>185.43883399999996</v>
          </cell>
          <cell r="BM534">
            <v>200.57669799999996</v>
          </cell>
          <cell r="BN534">
            <v>200.57669799999996</v>
          </cell>
          <cell r="BO534">
            <v>200.57669799999996</v>
          </cell>
          <cell r="BP534">
            <v>223.28349399999996</v>
          </cell>
          <cell r="BQ534">
            <v>223.28349399999996</v>
          </cell>
          <cell r="BR534">
            <v>223.28349399999996</v>
          </cell>
          <cell r="BS534">
            <v>223.28349399999996</v>
          </cell>
          <cell r="BT534">
            <v>223.28349399999996</v>
          </cell>
          <cell r="BU534">
            <v>223.28349399999996</v>
          </cell>
          <cell r="BV534">
            <v>208.14562999999995</v>
          </cell>
          <cell r="BW534">
            <v>208.14562999999995</v>
          </cell>
          <cell r="BX534">
            <v>208.14562999999995</v>
          </cell>
          <cell r="BY534">
            <v>204.36116399999995</v>
          </cell>
          <cell r="BZ534">
            <v>204.36116399999995</v>
          </cell>
          <cell r="CA534">
            <v>204.36116399999995</v>
          </cell>
          <cell r="CB534">
            <v>177.86990199999997</v>
          </cell>
          <cell r="CC534">
            <v>177.86990199999997</v>
          </cell>
          <cell r="CD534">
            <v>177.86990199999997</v>
          </cell>
          <cell r="CE534">
            <v>187.33106699999996</v>
          </cell>
          <cell r="CF534">
            <v>187.33106699999996</v>
          </cell>
          <cell r="CG534">
            <v>187.33106699999996</v>
          </cell>
          <cell r="CH534">
            <v>200.57669799999996</v>
          </cell>
          <cell r="CI534">
            <v>200.57669799999996</v>
          </cell>
          <cell r="CJ534">
            <v>200.57669799999996</v>
          </cell>
          <cell r="CK534">
            <v>211.93009599999996</v>
          </cell>
          <cell r="CL534">
            <v>211.93009599999996</v>
          </cell>
          <cell r="CM534">
            <v>211.93009599999996</v>
          </cell>
          <cell r="CN534">
            <v>219.49902799999995</v>
          </cell>
          <cell r="CO534">
            <v>219.49902799999995</v>
          </cell>
          <cell r="CP534">
            <v>219.49902799999995</v>
          </cell>
          <cell r="CQ534">
            <v>219.49902799999995</v>
          </cell>
          <cell r="CR534">
            <v>219.49902799999995</v>
          </cell>
          <cell r="CS534">
            <v>219.49902799999995</v>
          </cell>
          <cell r="CT534">
            <v>181.65436799999995</v>
          </cell>
          <cell r="CU534">
            <v>181.65436799999995</v>
          </cell>
          <cell r="CV534">
            <v>181.65436799999995</v>
          </cell>
          <cell r="CW534">
            <v>158.94757199999995</v>
          </cell>
          <cell r="CX534">
            <v>158.94757199999995</v>
          </cell>
          <cell r="CY534">
            <v>158.94757199999995</v>
          </cell>
          <cell r="CZ534">
            <v>143.80970799999997</v>
          </cell>
          <cell r="DA534">
            <v>143.80970799999997</v>
          </cell>
          <cell r="DB534">
            <v>143.80970799999997</v>
          </cell>
          <cell r="DC534">
            <v>136.24077599999998</v>
          </cell>
          <cell r="DD534">
            <v>136.24077599999998</v>
          </cell>
          <cell r="DE534">
            <v>136.24077599999998</v>
          </cell>
          <cell r="DF534">
            <v>136.24077599999998</v>
          </cell>
          <cell r="DG534">
            <v>136.24077599999998</v>
          </cell>
          <cell r="DH534">
            <v>136.24077599999998</v>
          </cell>
          <cell r="DI534">
            <v>136.24077599999998</v>
          </cell>
          <cell r="DJ534">
            <v>136.24077599999998</v>
          </cell>
          <cell r="DK534">
            <v>136.24077599999998</v>
          </cell>
          <cell r="DL534">
            <v>174.08543599999996</v>
          </cell>
          <cell r="DM534">
            <v>174.08543599999996</v>
          </cell>
          <cell r="DN534">
            <v>174.08543599999996</v>
          </cell>
          <cell r="DO534">
            <v>211.93009599999996</v>
          </cell>
          <cell r="DP534">
            <v>211.93009599999996</v>
          </cell>
          <cell r="DQ534">
            <v>211.93009599999996</v>
          </cell>
          <cell r="DR534">
            <v>211.93009599999996</v>
          </cell>
          <cell r="DS534">
            <v>196.79223199999996</v>
          </cell>
          <cell r="DT534">
            <v>196.79223199999996</v>
          </cell>
          <cell r="DU534">
            <v>215.71456199999997</v>
          </cell>
          <cell r="DV534">
            <v>223.28349399999996</v>
          </cell>
          <cell r="DW534">
            <v>215.71456199999997</v>
          </cell>
          <cell r="DX534">
            <v>200.57669799999996</v>
          </cell>
          <cell r="DY534">
            <v>190.35863979999993</v>
          </cell>
          <cell r="DZ534">
            <v>175.59922239999997</v>
          </cell>
          <cell r="EA534">
            <v>165.30547487999996</v>
          </cell>
          <cell r="EB534">
            <v>172.19320299999995</v>
          </cell>
          <cell r="EC534">
            <v>177.11300879999996</v>
          </cell>
          <cell r="ED534">
            <v>168.25735835999996</v>
          </cell>
          <cell r="EE534">
            <v>180.21627091999994</v>
          </cell>
          <cell r="EF534">
            <v>188.84485339999995</v>
          </cell>
          <cell r="EG534">
            <v>180.14058159999996</v>
          </cell>
          <cell r="EH534">
            <v>161.36963023999996</v>
          </cell>
          <cell r="EI534">
            <v>175.06939715999997</v>
          </cell>
          <cell r="EJ534">
            <v>175.06939715999997</v>
          </cell>
          <cell r="EK534">
            <v>168.25735835999996</v>
          </cell>
          <cell r="EL534">
            <v>161.36963023999996</v>
          </cell>
          <cell r="EM534">
            <v>154.48190211999997</v>
          </cell>
          <cell r="EN534">
            <v>147.59417399999995</v>
          </cell>
          <cell r="EO534">
            <v>137.30042648</v>
          </cell>
          <cell r="EP534">
            <v>123.60065955999997</v>
          </cell>
          <cell r="EQ534">
            <v>116.71293143999998</v>
          </cell>
          <cell r="ER534">
            <v>123.60065955999997</v>
          </cell>
          <cell r="ES534">
            <v>137.30042648</v>
          </cell>
          <cell r="ET534">
            <v>161.36963023999996</v>
          </cell>
          <cell r="EU534">
            <v>171.66337775999997</v>
          </cell>
          <cell r="EV534">
            <v>171.66337775999997</v>
          </cell>
          <cell r="EW534">
            <v>161.36963023999996</v>
          </cell>
          <cell r="EX534">
            <v>175.06939715999997</v>
          </cell>
          <cell r="EY534">
            <v>188.84485339999995</v>
          </cell>
          <cell r="EZ534">
            <v>178.55110587999997</v>
          </cell>
          <cell r="FA534">
            <v>171.66337775999997</v>
          </cell>
          <cell r="FB534">
            <v>175.06939715999997</v>
          </cell>
          <cell r="FC534">
            <v>209.43234844</v>
          </cell>
          <cell r="FD534">
            <v>250.60733851999993</v>
          </cell>
          <cell r="FE534">
            <v>267.78881415999996</v>
          </cell>
          <cell r="FF534">
            <v>243.79529971999997</v>
          </cell>
          <cell r="FG534">
            <v>188.84485339999995</v>
          </cell>
          <cell r="FH534">
            <v>212.83836783999996</v>
          </cell>
          <cell r="FI534">
            <v>230.01984347999999</v>
          </cell>
          <cell r="FJ534">
            <v>247.20131911999994</v>
          </cell>
          <cell r="FK534">
            <v>254.08904723999996</v>
          </cell>
          <cell r="FL534">
            <v>243.79529971999997</v>
          </cell>
          <cell r="FM534">
            <v>243.79529971999997</v>
          </cell>
          <cell r="FN534">
            <v>240.31359099999995</v>
          </cell>
          <cell r="FO534">
            <v>257.49506663999995</v>
          </cell>
          <cell r="FP534">
            <v>291.85801791999995</v>
          </cell>
          <cell r="FQ534">
            <v>291.85801791999995</v>
          </cell>
          <cell r="FR534">
            <v>295.26403731999994</v>
          </cell>
          <cell r="FS534">
            <v>295.26403731999994</v>
          </cell>
          <cell r="FT534">
            <v>295.26403731999994</v>
          </cell>
          <cell r="FU534">
            <v>298.67005671999993</v>
          </cell>
          <cell r="FV534">
            <v>319.33324107999994</v>
          </cell>
          <cell r="FW534">
            <v>391.38947371999996</v>
          </cell>
          <cell r="FX534">
            <v>405.0892406399999</v>
          </cell>
          <cell r="FY534">
            <v>405.0892406399999</v>
          </cell>
          <cell r="FZ534">
            <v>370.80197867999993</v>
          </cell>
          <cell r="GA534">
            <v>346.73277491999994</v>
          </cell>
          <cell r="GB534">
            <v>367.32026995999991</v>
          </cell>
          <cell r="GC534">
            <v>384.50174559999994</v>
          </cell>
          <cell r="GD534">
            <v>363.91425055999991</v>
          </cell>
          <cell r="GE534">
            <v>274.67654227999998</v>
          </cell>
          <cell r="GF534">
            <v>274.67654227999998</v>
          </cell>
          <cell r="GG534">
            <v>284.97028979999993</v>
          </cell>
          <cell r="GH534">
            <v>284.97028979999993</v>
          </cell>
          <cell r="GI534">
            <v>331.97335751999992</v>
          </cell>
          <cell r="GJ534">
            <v>322.73926047999993</v>
          </cell>
          <cell r="GK534">
            <v>291.85801791999995</v>
          </cell>
          <cell r="GL534">
            <v>291.85801791999995</v>
          </cell>
          <cell r="GM534">
            <v>298.67005671999993</v>
          </cell>
          <cell r="GN534">
            <v>305.5577848399999</v>
          </cell>
          <cell r="GO534">
            <v>291.47957131999993</v>
          </cell>
          <cell r="GP534">
            <v>291.47957131999993</v>
          </cell>
          <cell r="GQ534">
            <v>298.67005671999993</v>
          </cell>
          <cell r="GR534">
            <v>312.44551295999992</v>
          </cell>
          <cell r="GS534">
            <v>333.033008</v>
          </cell>
          <cell r="GT534">
            <v>339.9207361199999</v>
          </cell>
          <cell r="GU534">
            <v>339.9207361199999</v>
          </cell>
          <cell r="GV534">
            <v>319.25755175999996</v>
          </cell>
          <cell r="GW534">
            <v>308.96380423999994</v>
          </cell>
          <cell r="GX534">
            <v>308.96380423999994</v>
          </cell>
          <cell r="GY534">
            <v>308.96380423999994</v>
          </cell>
          <cell r="GZ534">
            <v>308.96380423999994</v>
          </cell>
          <cell r="HA534">
            <v>326.14527987999998</v>
          </cell>
          <cell r="HB534">
            <v>326.14527987999998</v>
          </cell>
          <cell r="HC534">
            <v>339.9207361199999</v>
          </cell>
          <cell r="HD534">
            <v>339.9207361199999</v>
          </cell>
          <cell r="HE534">
            <v>339.9207361199999</v>
          </cell>
          <cell r="HF534">
            <v>357.02652243999995</v>
          </cell>
          <cell r="HG534">
            <v>450.42714331999991</v>
          </cell>
          <cell r="HH534">
            <v>478.96201695999991</v>
          </cell>
          <cell r="HI534">
            <v>545.87137583999993</v>
          </cell>
          <cell r="HJ534">
            <v>252.42</v>
          </cell>
          <cell r="HK534">
            <v>231.80500000000001</v>
          </cell>
          <cell r="HL534">
            <v>203.21</v>
          </cell>
          <cell r="HM534">
            <v>209.54499999999999</v>
          </cell>
          <cell r="HN534">
            <v>196.875</v>
          </cell>
          <cell r="HO534">
            <v>190.505</v>
          </cell>
          <cell r="HP534">
            <v>200.02500000000001</v>
          </cell>
          <cell r="HQ534">
            <v>200.02500000000001</v>
          </cell>
          <cell r="HR534">
            <v>191.45</v>
          </cell>
          <cell r="HS534">
            <v>197.64500000000001</v>
          </cell>
          <cell r="HT534">
            <v>191.31</v>
          </cell>
          <cell r="HU534">
            <v>187.67</v>
          </cell>
          <cell r="HV534">
            <v>182.245</v>
          </cell>
          <cell r="HW534">
            <v>179.55</v>
          </cell>
          <cell r="HX534">
            <v>177.48500000000001</v>
          </cell>
          <cell r="HY534">
            <v>167.16</v>
          </cell>
          <cell r="HZ534">
            <v>162.715</v>
          </cell>
          <cell r="IA534">
            <v>159.25</v>
          </cell>
          <cell r="IB534">
            <v>160.82500000000002</v>
          </cell>
          <cell r="IC534">
            <v>162.715</v>
          </cell>
          <cell r="ID534">
            <v>163.03</v>
          </cell>
          <cell r="IE534">
            <v>160.65</v>
          </cell>
          <cell r="IF534">
            <v>158.76</v>
          </cell>
          <cell r="IG534">
            <v>159.38999999999999</v>
          </cell>
          <cell r="IH534">
            <v>361.87063891999998</v>
          </cell>
          <cell r="II534">
            <v>344.00795939999995</v>
          </cell>
          <cell r="IJ534">
            <v>326.14527987999998</v>
          </cell>
          <cell r="IK534">
            <v>312.74827023999995</v>
          </cell>
        </row>
        <row r="535">
          <cell r="X535">
            <v>37.654396429999998</v>
          </cell>
          <cell r="Y535">
            <v>37.654396429999998</v>
          </cell>
          <cell r="Z535">
            <v>37.958879419999995</v>
          </cell>
          <cell r="AA535">
            <v>37.71239319</v>
          </cell>
          <cell r="AB535">
            <v>37.71239319</v>
          </cell>
          <cell r="AC535">
            <v>38.683838919999999</v>
          </cell>
          <cell r="AD535">
            <v>38.683838919999999</v>
          </cell>
          <cell r="AE535">
            <v>38.683838919999999</v>
          </cell>
          <cell r="AF535">
            <v>39.495793559999996</v>
          </cell>
          <cell r="AG535">
            <v>39.495793559999996</v>
          </cell>
          <cell r="AH535">
            <v>39.495793559999996</v>
          </cell>
          <cell r="AI535">
            <v>38.857829199999998</v>
          </cell>
          <cell r="AJ535">
            <v>38.857829199999998</v>
          </cell>
          <cell r="AK535">
            <v>38.857829199999998</v>
          </cell>
          <cell r="AL535">
            <v>38.886827579999995</v>
          </cell>
          <cell r="AM535">
            <v>38.886827579999995</v>
          </cell>
          <cell r="AN535">
            <v>38.886827579999995</v>
          </cell>
          <cell r="AO535">
            <v>39.249307329999993</v>
          </cell>
          <cell r="AP535">
            <v>39.249307329999993</v>
          </cell>
          <cell r="AQ535">
            <v>39.249307329999993</v>
          </cell>
          <cell r="AR535">
            <v>39.510292749999998</v>
          </cell>
          <cell r="AS535">
            <v>39.510292749999998</v>
          </cell>
          <cell r="AT535">
            <v>39.510292749999998</v>
          </cell>
          <cell r="AU535">
            <v>39.379800039999992</v>
          </cell>
          <cell r="AV535">
            <v>39.379800039999992</v>
          </cell>
          <cell r="AW535">
            <v>39.379800039999992</v>
          </cell>
          <cell r="AX535">
            <v>40.278749820000002</v>
          </cell>
          <cell r="AY535">
            <v>40.278749820000002</v>
          </cell>
          <cell r="AZ535">
            <v>40.278749820000002</v>
          </cell>
          <cell r="BA535">
            <v>40.307748199999999</v>
          </cell>
          <cell r="BB535">
            <v>40.307748199999999</v>
          </cell>
          <cell r="BC535">
            <v>40.307748199999999</v>
          </cell>
          <cell r="BD535">
            <v>41.975155049999991</v>
          </cell>
          <cell r="BE535">
            <v>41.975155049999991</v>
          </cell>
          <cell r="BF535">
            <v>41.975155049999991</v>
          </cell>
          <cell r="BG535">
            <v>46.005929870000003</v>
          </cell>
          <cell r="BH535">
            <v>46.005929870000003</v>
          </cell>
          <cell r="BI535">
            <v>46.005929870000003</v>
          </cell>
          <cell r="BJ535">
            <v>47.513845629999999</v>
          </cell>
          <cell r="BK535">
            <v>47.513845629999999</v>
          </cell>
          <cell r="BL535">
            <v>47.513845629999999</v>
          </cell>
          <cell r="BM535">
            <v>53.719498949999988</v>
          </cell>
          <cell r="BN535">
            <v>53.719498949999988</v>
          </cell>
          <cell r="BO535">
            <v>53.719498949999988</v>
          </cell>
          <cell r="BP535">
            <v>58.025758379999999</v>
          </cell>
          <cell r="BQ535">
            <v>58.025758379999999</v>
          </cell>
          <cell r="BR535">
            <v>58.025758379999999</v>
          </cell>
          <cell r="BS535">
            <v>59.011703300000001</v>
          </cell>
          <cell r="BT535">
            <v>59.011703300000001</v>
          </cell>
          <cell r="BU535">
            <v>59.011703300000001</v>
          </cell>
          <cell r="BV535">
            <v>59.185693579999999</v>
          </cell>
          <cell r="BW535">
            <v>53.299022439999987</v>
          </cell>
          <cell r="BX535">
            <v>59.185693579999999</v>
          </cell>
          <cell r="BY535">
            <v>53.299022439999987</v>
          </cell>
          <cell r="BZ535">
            <v>53.299022439999987</v>
          </cell>
          <cell r="CA535">
            <v>53.299022439999987</v>
          </cell>
          <cell r="CB535">
            <v>41.105203649999993</v>
          </cell>
          <cell r="CC535">
            <v>41.105203649999993</v>
          </cell>
          <cell r="CD535">
            <v>38.335858359999996</v>
          </cell>
          <cell r="CE535">
            <v>39.06081786</v>
          </cell>
          <cell r="CF535">
            <v>39.046318669999998</v>
          </cell>
          <cell r="CG535">
            <v>39.075317049999995</v>
          </cell>
          <cell r="CH535">
            <v>40.336746579999996</v>
          </cell>
          <cell r="CI535">
            <v>40.336746579999996</v>
          </cell>
          <cell r="CJ535">
            <v>40.336746579999996</v>
          </cell>
          <cell r="CK535">
            <v>41.032707700000003</v>
          </cell>
          <cell r="CL535">
            <v>41.032707700000003</v>
          </cell>
          <cell r="CM535">
            <v>41.032707700000003</v>
          </cell>
          <cell r="CN535">
            <v>41.511180969999998</v>
          </cell>
          <cell r="CO535">
            <v>41.511180969999998</v>
          </cell>
          <cell r="CP535">
            <v>41.511180969999998</v>
          </cell>
          <cell r="CQ535">
            <v>40.510736859999994</v>
          </cell>
          <cell r="CR535">
            <v>40.510736859999994</v>
          </cell>
          <cell r="CS535">
            <v>40.510736859999994</v>
          </cell>
          <cell r="CT535">
            <v>37.494905339999995</v>
          </cell>
          <cell r="CU535">
            <v>37.494905339999995</v>
          </cell>
          <cell r="CV535">
            <v>37.494905339999995</v>
          </cell>
          <cell r="CW535">
            <v>34.508072199999994</v>
          </cell>
          <cell r="CX535">
            <v>34.508072199999994</v>
          </cell>
          <cell r="CY535">
            <v>34.508072199999994</v>
          </cell>
          <cell r="CZ535">
            <v>34.348581109999998</v>
          </cell>
          <cell r="DA535">
            <v>34.348581109999998</v>
          </cell>
          <cell r="DB535">
            <v>34.348581109999998</v>
          </cell>
          <cell r="DC535">
            <v>33.2031451</v>
          </cell>
          <cell r="DD535">
            <v>33.2031451</v>
          </cell>
          <cell r="DE535">
            <v>33.2031451</v>
          </cell>
          <cell r="DF535">
            <v>31.173258499999996</v>
          </cell>
          <cell r="DG535">
            <v>31.173258499999996</v>
          </cell>
          <cell r="DH535">
            <v>31.173258499999996</v>
          </cell>
          <cell r="DI535">
            <v>32.565180739999995</v>
          </cell>
          <cell r="DJ535">
            <v>32.565180739999995</v>
          </cell>
          <cell r="DK535">
            <v>32.565180739999995</v>
          </cell>
          <cell r="DL535">
            <v>35.450519549999996</v>
          </cell>
          <cell r="DM535">
            <v>35.450519549999996</v>
          </cell>
          <cell r="DN535">
            <v>35.450519549999996</v>
          </cell>
          <cell r="DO535">
            <v>38.82883082</v>
          </cell>
          <cell r="DP535">
            <v>38.82883082</v>
          </cell>
          <cell r="DQ535">
            <v>38.82883082</v>
          </cell>
          <cell r="DR535">
            <v>38.654840539999995</v>
          </cell>
          <cell r="DS535">
            <v>38.654840539999995</v>
          </cell>
          <cell r="DT535">
            <v>38.654840539999995</v>
          </cell>
          <cell r="DU535">
            <v>41.670672059999994</v>
          </cell>
          <cell r="DV535">
            <v>41.670672059999994</v>
          </cell>
          <cell r="DW535">
            <v>41.670672059999994</v>
          </cell>
          <cell r="DX535">
            <v>43.033595919999996</v>
          </cell>
          <cell r="DY535">
            <v>43.033595919999996</v>
          </cell>
          <cell r="DZ535">
            <v>43.033595919999996</v>
          </cell>
          <cell r="EA535">
            <v>42.627618599999998</v>
          </cell>
          <cell r="EB535">
            <v>42.627618599999998</v>
          </cell>
          <cell r="EC535">
            <v>42.627618599999998</v>
          </cell>
          <cell r="ED535">
            <v>43.17858781999999</v>
          </cell>
          <cell r="EE535">
            <v>43.17858781999999</v>
          </cell>
          <cell r="EF535">
            <v>43.17858781999999</v>
          </cell>
          <cell r="EG535">
            <v>44.701002769999995</v>
          </cell>
          <cell r="EH535">
            <v>44.701002769999995</v>
          </cell>
          <cell r="EI535">
            <v>44.701002769999995</v>
          </cell>
          <cell r="EJ535">
            <v>44.527012489999997</v>
          </cell>
          <cell r="EK535">
            <v>44.527012489999997</v>
          </cell>
          <cell r="EL535">
            <v>44.527012489999997</v>
          </cell>
          <cell r="EM535">
            <v>41.018208509999994</v>
          </cell>
          <cell r="EN535">
            <v>41.032707700000003</v>
          </cell>
          <cell r="EO535">
            <v>41.032707700000003</v>
          </cell>
          <cell r="EP535">
            <v>34.740059239999994</v>
          </cell>
          <cell r="EQ535">
            <v>34.740059239999994</v>
          </cell>
          <cell r="ER535">
            <v>35.711504969999993</v>
          </cell>
          <cell r="ES535">
            <v>39.626286269999994</v>
          </cell>
          <cell r="ET535">
            <v>39.626286269999994</v>
          </cell>
          <cell r="EU535">
            <v>39.147812999999999</v>
          </cell>
          <cell r="EV535">
            <v>39.002821099999998</v>
          </cell>
          <cell r="EW535">
            <v>38.712837299999997</v>
          </cell>
          <cell r="EX535">
            <v>38.712837299999997</v>
          </cell>
          <cell r="EY535">
            <v>39.10431543</v>
          </cell>
          <cell r="EZ535">
            <v>38.857829199999998</v>
          </cell>
          <cell r="FA535">
            <v>39.292804899999993</v>
          </cell>
          <cell r="FB535">
            <v>40.438240909999998</v>
          </cell>
          <cell r="FC535">
            <v>46.252416099999991</v>
          </cell>
          <cell r="FD535">
            <v>52.777051599999993</v>
          </cell>
          <cell r="FE535">
            <v>52.777051599999993</v>
          </cell>
          <cell r="FF535">
            <v>41.540179349999995</v>
          </cell>
          <cell r="FG535">
            <v>40.322247389999994</v>
          </cell>
          <cell r="FH535">
            <v>42.192642900000003</v>
          </cell>
          <cell r="FI535">
            <v>44.077537599999999</v>
          </cell>
          <cell r="FJ535">
            <v>45.817440399999995</v>
          </cell>
          <cell r="FK535">
            <v>43.497569999999996</v>
          </cell>
          <cell r="FL535">
            <v>44.2225295</v>
          </cell>
          <cell r="FM535">
            <v>44.512513299999995</v>
          </cell>
          <cell r="FN535">
            <v>45.237472799999999</v>
          </cell>
          <cell r="FO535">
            <v>49.007262199999992</v>
          </cell>
          <cell r="FP535">
            <v>49.877213599999997</v>
          </cell>
          <cell r="FQ535">
            <v>50.3121893</v>
          </cell>
          <cell r="FR535">
            <v>51.327132599999999</v>
          </cell>
          <cell r="FS535">
            <v>51.762108300000001</v>
          </cell>
          <cell r="FT535">
            <v>51.907100199999995</v>
          </cell>
          <cell r="FU535">
            <v>52.342075899999998</v>
          </cell>
          <cell r="FV535">
            <v>56.546840999999993</v>
          </cell>
          <cell r="FW535">
            <v>59.011703300000001</v>
          </cell>
          <cell r="FX535">
            <v>62.201525099999991</v>
          </cell>
          <cell r="FY535">
            <v>62.781492699999987</v>
          </cell>
          <cell r="FZ535">
            <v>58.141751900000003</v>
          </cell>
          <cell r="GA535">
            <v>60.461622300000002</v>
          </cell>
          <cell r="GB535">
            <v>62.650999989999988</v>
          </cell>
          <cell r="GC535">
            <v>62.781492699999987</v>
          </cell>
          <cell r="GD535">
            <v>58.43173569999999</v>
          </cell>
          <cell r="GE535">
            <v>55.821881499999996</v>
          </cell>
          <cell r="GF535">
            <v>58.141751900000003</v>
          </cell>
          <cell r="GG535">
            <v>59.156695199999994</v>
          </cell>
          <cell r="GH535">
            <v>78.440617899999992</v>
          </cell>
          <cell r="GI535">
            <v>78.948089549999992</v>
          </cell>
          <cell r="GJ535">
            <v>70.611055300000004</v>
          </cell>
          <cell r="GK535">
            <v>60.896597999999997</v>
          </cell>
          <cell r="GL535">
            <v>64.811379299999999</v>
          </cell>
          <cell r="GM535">
            <v>68.291184900000005</v>
          </cell>
          <cell r="GN535">
            <v>66.551282099999995</v>
          </cell>
          <cell r="GO535">
            <v>68.7261606</v>
          </cell>
          <cell r="GP535">
            <v>71.91598239999999</v>
          </cell>
          <cell r="GQ535">
            <v>76.555723199999989</v>
          </cell>
          <cell r="GR535">
            <v>79.383065249999987</v>
          </cell>
          <cell r="GS535">
            <v>84.02280605</v>
          </cell>
          <cell r="GT535">
            <v>88.155075199999999</v>
          </cell>
          <cell r="GU535">
            <v>80.499502879999994</v>
          </cell>
          <cell r="GV535">
            <v>68.842154119999989</v>
          </cell>
          <cell r="GW535">
            <v>70.292073119999984</v>
          </cell>
          <cell r="GX535">
            <v>68.30568409</v>
          </cell>
          <cell r="GY535">
            <v>66.609278859999989</v>
          </cell>
          <cell r="GZ535">
            <v>67.827210819999991</v>
          </cell>
          <cell r="HA535">
            <v>71.133026139999998</v>
          </cell>
          <cell r="HB535">
            <v>73.800877099999994</v>
          </cell>
          <cell r="HC535">
            <v>76.468728059999989</v>
          </cell>
          <cell r="HD535">
            <v>72.017476729999998</v>
          </cell>
          <cell r="HE535">
            <v>72.510449189999989</v>
          </cell>
          <cell r="HF535">
            <v>68.392679229999999</v>
          </cell>
          <cell r="HG535">
            <v>68.494173559999993</v>
          </cell>
          <cell r="HH535">
            <v>70.930037479999996</v>
          </cell>
          <cell r="HI535">
            <v>71.176523709999998</v>
          </cell>
          <cell r="HJ535">
            <v>0</v>
          </cell>
          <cell r="HK535">
            <v>0</v>
          </cell>
          <cell r="HL535">
            <v>0</v>
          </cell>
          <cell r="HM535">
            <v>0</v>
          </cell>
          <cell r="HN535">
            <v>0</v>
          </cell>
          <cell r="HO535">
            <v>0</v>
          </cell>
          <cell r="HP535">
            <v>0</v>
          </cell>
          <cell r="HQ535">
            <v>0</v>
          </cell>
          <cell r="HR535">
            <v>0</v>
          </cell>
          <cell r="HS535">
            <v>0</v>
          </cell>
          <cell r="HT535">
            <v>0</v>
          </cell>
          <cell r="HU535">
            <v>0</v>
          </cell>
          <cell r="HV535">
            <v>0</v>
          </cell>
          <cell r="HW535">
            <v>0</v>
          </cell>
          <cell r="HX535">
            <v>0</v>
          </cell>
          <cell r="HY535">
            <v>0</v>
          </cell>
          <cell r="HZ535">
            <v>0</v>
          </cell>
          <cell r="IA535">
            <v>0</v>
          </cell>
          <cell r="IB535">
            <v>0</v>
          </cell>
          <cell r="IC535">
            <v>0</v>
          </cell>
          <cell r="ID535">
            <v>0</v>
          </cell>
          <cell r="IE535">
            <v>0</v>
          </cell>
          <cell r="IF535">
            <v>0</v>
          </cell>
          <cell r="IG535">
            <v>0</v>
          </cell>
          <cell r="IH535">
            <v>76.961700519999994</v>
          </cell>
          <cell r="II535">
            <v>77.947645439999988</v>
          </cell>
          <cell r="IJ535">
            <v>77.440173789999989</v>
          </cell>
          <cell r="IK535">
            <v>74.018364949999992</v>
          </cell>
        </row>
        <row r="536">
          <cell r="X536">
            <v>55.5</v>
          </cell>
          <cell r="Y536">
            <v>57</v>
          </cell>
          <cell r="Z536">
            <v>43.199999999999996</v>
          </cell>
          <cell r="AA536">
            <v>36.6</v>
          </cell>
          <cell r="AB536">
            <v>38.4</v>
          </cell>
          <cell r="AC536">
            <v>43.8</v>
          </cell>
          <cell r="AD536">
            <v>47.7</v>
          </cell>
          <cell r="AE536">
            <v>49.5</v>
          </cell>
          <cell r="AF536">
            <v>50.4</v>
          </cell>
          <cell r="AG536">
            <v>57.9</v>
          </cell>
          <cell r="AH536">
            <v>65.099999999999994</v>
          </cell>
          <cell r="AI536">
            <v>71.399999999999991</v>
          </cell>
          <cell r="AJ536">
            <v>72.900000000000006</v>
          </cell>
          <cell r="AK536">
            <v>70.8</v>
          </cell>
          <cell r="AL536">
            <v>62.699999999999996</v>
          </cell>
          <cell r="AM536">
            <v>52.5</v>
          </cell>
          <cell r="AN536">
            <v>63.3</v>
          </cell>
          <cell r="AO536">
            <v>70.199999999999989</v>
          </cell>
          <cell r="AP536">
            <v>85.199999999999989</v>
          </cell>
          <cell r="AQ536">
            <v>68.099999999999994</v>
          </cell>
          <cell r="AR536">
            <v>62.400000000000006</v>
          </cell>
          <cell r="AS536">
            <v>66.900000000000006</v>
          </cell>
          <cell r="AT536">
            <v>74.100000000000009</v>
          </cell>
          <cell r="AU536">
            <v>65.7</v>
          </cell>
          <cell r="AV536">
            <v>66.3</v>
          </cell>
          <cell r="AW536">
            <v>75.599999999999994</v>
          </cell>
          <cell r="AX536">
            <v>64.5</v>
          </cell>
          <cell r="AY536">
            <v>71.399999999999991</v>
          </cell>
          <cell r="AZ536">
            <v>72</v>
          </cell>
          <cell r="BA536">
            <v>61.800000000000004</v>
          </cell>
          <cell r="BB536">
            <v>64.5</v>
          </cell>
          <cell r="BC536">
            <v>55.5</v>
          </cell>
          <cell r="BD536">
            <v>61.2</v>
          </cell>
          <cell r="BE536">
            <v>56.4</v>
          </cell>
          <cell r="BF536">
            <v>48</v>
          </cell>
          <cell r="BG536">
            <v>44.4</v>
          </cell>
          <cell r="BH536">
            <v>53.4</v>
          </cell>
          <cell r="BI536">
            <v>53.4</v>
          </cell>
          <cell r="BJ536">
            <v>50.699999999999996</v>
          </cell>
          <cell r="BK536">
            <v>44.7</v>
          </cell>
          <cell r="BL536">
            <v>45.3</v>
          </cell>
          <cell r="BM536">
            <v>48.6</v>
          </cell>
          <cell r="BN536">
            <v>51.9</v>
          </cell>
          <cell r="BO536">
            <v>53.7</v>
          </cell>
          <cell r="BP536">
            <v>47.1</v>
          </cell>
          <cell r="BQ536">
            <v>43.8</v>
          </cell>
          <cell r="BR536">
            <v>50.099999999999994</v>
          </cell>
          <cell r="BS536">
            <v>51.3</v>
          </cell>
          <cell r="BT536">
            <v>55.5</v>
          </cell>
          <cell r="BU536">
            <v>66.900000000000006</v>
          </cell>
          <cell r="BV536">
            <v>68.399999999999991</v>
          </cell>
          <cell r="BW536">
            <v>60</v>
          </cell>
          <cell r="BX536">
            <v>63.9</v>
          </cell>
          <cell r="BY536">
            <v>71.399999999999991</v>
          </cell>
          <cell r="BZ536">
            <v>68.399999999999991</v>
          </cell>
          <cell r="CA536">
            <v>72.599999999999994</v>
          </cell>
          <cell r="CB536">
            <v>80.400000000000006</v>
          </cell>
          <cell r="CC536">
            <v>70.199999999999989</v>
          </cell>
          <cell r="CD536">
            <v>55.800000000000004</v>
          </cell>
          <cell r="CE536">
            <v>57</v>
          </cell>
          <cell r="CF536">
            <v>81.3</v>
          </cell>
          <cell r="CG536">
            <v>113.7</v>
          </cell>
          <cell r="CH536">
            <v>115.5</v>
          </cell>
          <cell r="CI536">
            <v>87.300000000000011</v>
          </cell>
          <cell r="CJ536">
            <v>54.300000000000004</v>
          </cell>
          <cell r="CK536">
            <v>56.699999999999996</v>
          </cell>
          <cell r="CL536">
            <v>65.7</v>
          </cell>
          <cell r="CM536">
            <v>71.7</v>
          </cell>
          <cell r="CN536">
            <v>67.2</v>
          </cell>
          <cell r="CO536">
            <v>68.099999999999994</v>
          </cell>
          <cell r="CP536">
            <v>79.2</v>
          </cell>
          <cell r="CQ536">
            <v>96</v>
          </cell>
          <cell r="CR536">
            <v>100.5</v>
          </cell>
          <cell r="CS536">
            <v>76.8</v>
          </cell>
          <cell r="CT536">
            <v>69.599999999999994</v>
          </cell>
          <cell r="CU536">
            <v>63</v>
          </cell>
          <cell r="CV536">
            <v>69.900000000000006</v>
          </cell>
          <cell r="CW536">
            <v>71.7</v>
          </cell>
          <cell r="CX536">
            <v>71.100000000000009</v>
          </cell>
          <cell r="CY536">
            <v>64.5</v>
          </cell>
          <cell r="CZ536">
            <v>74.100000000000009</v>
          </cell>
          <cell r="DA536">
            <v>61.499999999999993</v>
          </cell>
          <cell r="DB536">
            <v>49.5</v>
          </cell>
          <cell r="DC536">
            <v>63.9</v>
          </cell>
          <cell r="DD536">
            <v>63.9</v>
          </cell>
          <cell r="DE536">
            <v>66</v>
          </cell>
          <cell r="DF536">
            <v>56.699999999999996</v>
          </cell>
          <cell r="DG536">
            <v>57.3</v>
          </cell>
          <cell r="DH536">
            <v>52.2</v>
          </cell>
          <cell r="DI536">
            <v>59.1</v>
          </cell>
          <cell r="DJ536">
            <v>73.5</v>
          </cell>
          <cell r="DK536">
            <v>70.5</v>
          </cell>
          <cell r="DL536">
            <v>71.399999999999991</v>
          </cell>
          <cell r="DM536">
            <v>81.900000000000006</v>
          </cell>
          <cell r="DN536">
            <v>90.3</v>
          </cell>
          <cell r="DO536">
            <v>78.899999999999991</v>
          </cell>
          <cell r="DP536">
            <v>93.899999999999991</v>
          </cell>
          <cell r="DQ536">
            <v>66.900000000000006</v>
          </cell>
          <cell r="DR536">
            <v>73.8</v>
          </cell>
          <cell r="DS536">
            <v>81.3</v>
          </cell>
          <cell r="DT536">
            <v>81.3</v>
          </cell>
          <cell r="DU536">
            <v>90</v>
          </cell>
          <cell r="DV536">
            <v>95.4</v>
          </cell>
          <cell r="DW536">
            <v>134.4</v>
          </cell>
          <cell r="DX536">
            <v>133.5</v>
          </cell>
          <cell r="DY536">
            <v>117.30000000000001</v>
          </cell>
          <cell r="DZ536">
            <v>141.30000000000001</v>
          </cell>
          <cell r="EA536">
            <v>161.1</v>
          </cell>
          <cell r="EB536">
            <v>137.69999999999999</v>
          </cell>
          <cell r="EC536">
            <v>183.6</v>
          </cell>
          <cell r="ED536">
            <v>297.89999999999998</v>
          </cell>
          <cell r="EE536">
            <v>189.29999999999998</v>
          </cell>
          <cell r="EF536">
            <v>152.10000000000002</v>
          </cell>
          <cell r="EG536">
            <v>163.20000000000002</v>
          </cell>
          <cell r="EH536">
            <v>149.1</v>
          </cell>
          <cell r="EI536">
            <v>115.5</v>
          </cell>
          <cell r="EJ536">
            <v>98.7</v>
          </cell>
          <cell r="EK536">
            <v>98.399999999999991</v>
          </cell>
          <cell r="EL536">
            <v>73.8</v>
          </cell>
          <cell r="EM536">
            <v>58.199999999999996</v>
          </cell>
          <cell r="EN536">
            <v>97.5</v>
          </cell>
          <cell r="EO536">
            <v>74.100000000000009</v>
          </cell>
          <cell r="EP536">
            <v>81</v>
          </cell>
          <cell r="EQ536">
            <v>64.2</v>
          </cell>
          <cell r="ER536">
            <v>74.7</v>
          </cell>
          <cell r="ES536">
            <v>105.6</v>
          </cell>
          <cell r="ET536">
            <v>103.8</v>
          </cell>
          <cell r="EU536">
            <v>103.8</v>
          </cell>
          <cell r="EV536">
            <v>101.10000000000001</v>
          </cell>
          <cell r="EW536">
            <v>92.1</v>
          </cell>
          <cell r="EX536">
            <v>102.6</v>
          </cell>
          <cell r="EY536">
            <v>112.8</v>
          </cell>
          <cell r="EZ536">
            <v>126.6</v>
          </cell>
          <cell r="FA536">
            <v>126.9</v>
          </cell>
          <cell r="FB536">
            <v>149.1</v>
          </cell>
          <cell r="FC536">
            <v>172.5</v>
          </cell>
          <cell r="FD536">
            <v>274.5</v>
          </cell>
          <cell r="FE536">
            <v>156.6</v>
          </cell>
          <cell r="FF536">
            <v>155.39999999999998</v>
          </cell>
          <cell r="FG536">
            <v>180.6</v>
          </cell>
          <cell r="FH536">
            <v>161.4</v>
          </cell>
          <cell r="FI536">
            <v>143.4</v>
          </cell>
          <cell r="FJ536">
            <v>150</v>
          </cell>
          <cell r="FK536">
            <v>135.29999999999998</v>
          </cell>
          <cell r="FL536">
            <v>135.6</v>
          </cell>
          <cell r="FM536">
            <v>147</v>
          </cell>
          <cell r="FN536">
            <v>184.8</v>
          </cell>
          <cell r="FO536">
            <v>171.3</v>
          </cell>
          <cell r="FP536">
            <v>154.5</v>
          </cell>
          <cell r="FQ536">
            <v>163.20000000000002</v>
          </cell>
          <cell r="FR536">
            <v>179.4</v>
          </cell>
          <cell r="FS536">
            <v>202.5</v>
          </cell>
          <cell r="FT536">
            <v>186.9</v>
          </cell>
          <cell r="FU536">
            <v>183</v>
          </cell>
          <cell r="FV536">
            <v>154.5</v>
          </cell>
          <cell r="FW536">
            <v>170.70000000000002</v>
          </cell>
          <cell r="FX536">
            <v>229.2</v>
          </cell>
          <cell r="FY536">
            <v>222.6</v>
          </cell>
          <cell r="FZ536">
            <v>184.2</v>
          </cell>
          <cell r="GA536">
            <v>186</v>
          </cell>
          <cell r="GB536">
            <v>187.5</v>
          </cell>
          <cell r="GC536">
            <v>219.29999999999998</v>
          </cell>
          <cell r="GD536">
            <v>204.60000000000002</v>
          </cell>
          <cell r="GE536">
            <v>187.20000000000002</v>
          </cell>
          <cell r="GF536">
            <v>212.10000000000002</v>
          </cell>
          <cell r="GG536">
            <v>229.5</v>
          </cell>
          <cell r="GH536">
            <v>314.10000000000002</v>
          </cell>
          <cell r="GI536">
            <v>380.7</v>
          </cell>
          <cell r="GJ536">
            <v>383.7</v>
          </cell>
          <cell r="GK536">
            <v>294</v>
          </cell>
          <cell r="GL536">
            <v>308.39999999999998</v>
          </cell>
          <cell r="GM536">
            <v>237.6</v>
          </cell>
          <cell r="GN536">
            <v>209.4</v>
          </cell>
          <cell r="GO536">
            <v>212.10000000000002</v>
          </cell>
          <cell r="GP536">
            <v>211.5</v>
          </cell>
          <cell r="GQ536">
            <v>177.89999999999998</v>
          </cell>
          <cell r="GR536">
            <v>176.7</v>
          </cell>
          <cell r="GS536">
            <v>209.70000000000002</v>
          </cell>
          <cell r="GT536">
            <v>201.9</v>
          </cell>
          <cell r="GU536">
            <v>125.70000000000002</v>
          </cell>
          <cell r="GV536">
            <v>213.9</v>
          </cell>
          <cell r="GW536">
            <v>242.10000000000002</v>
          </cell>
          <cell r="GX536">
            <v>173.7</v>
          </cell>
          <cell r="GY536">
            <v>208.5</v>
          </cell>
          <cell r="GZ536">
            <v>223.8</v>
          </cell>
          <cell r="HA536">
            <v>221.7</v>
          </cell>
          <cell r="HB536">
            <v>226.2</v>
          </cell>
          <cell r="HC536">
            <v>230.1</v>
          </cell>
          <cell r="HD536">
            <v>208.5</v>
          </cell>
          <cell r="HE536">
            <v>181.79999999999998</v>
          </cell>
          <cell r="HF536">
            <v>163.80000000000001</v>
          </cell>
          <cell r="HG536">
            <v>191.4</v>
          </cell>
          <cell r="HH536">
            <v>216.6</v>
          </cell>
          <cell r="HI536">
            <v>214.5</v>
          </cell>
          <cell r="HJ536">
            <v>213.9</v>
          </cell>
          <cell r="HK536">
            <v>242.10000000000002</v>
          </cell>
          <cell r="HL536">
            <v>269.7</v>
          </cell>
          <cell r="HM536">
            <v>287.39999999999998</v>
          </cell>
          <cell r="HN536">
            <v>336.90000000000003</v>
          </cell>
          <cell r="HO536">
            <v>357.9</v>
          </cell>
          <cell r="HP536">
            <v>391.5</v>
          </cell>
          <cell r="HQ536">
            <v>276</v>
          </cell>
          <cell r="HR536">
            <v>331.5</v>
          </cell>
          <cell r="HS536">
            <v>352.5</v>
          </cell>
          <cell r="HT536">
            <v>360</v>
          </cell>
          <cell r="HU536">
            <v>385.5</v>
          </cell>
          <cell r="HV536">
            <v>388.5</v>
          </cell>
          <cell r="HW536">
            <v>378</v>
          </cell>
          <cell r="HX536">
            <v>355.5</v>
          </cell>
          <cell r="HY536">
            <v>358.5</v>
          </cell>
          <cell r="HZ536">
            <v>336</v>
          </cell>
          <cell r="IA536">
            <v>330</v>
          </cell>
          <cell r="IB536">
            <v>316.5</v>
          </cell>
          <cell r="IC536">
            <v>313.5</v>
          </cell>
          <cell r="ID536">
            <v>306</v>
          </cell>
          <cell r="IE536">
            <v>325.5</v>
          </cell>
          <cell r="IF536">
            <v>334.5</v>
          </cell>
          <cell r="IG536">
            <v>364.5</v>
          </cell>
          <cell r="IH536">
            <v>196.5</v>
          </cell>
          <cell r="II536">
            <v>214.5</v>
          </cell>
          <cell r="IJ536">
            <v>219</v>
          </cell>
          <cell r="IK536">
            <v>244.5</v>
          </cell>
        </row>
        <row r="537">
          <cell r="X537">
            <v>20.3</v>
          </cell>
          <cell r="Y537">
            <v>20.3</v>
          </cell>
          <cell r="Z537">
            <v>21.7</v>
          </cell>
          <cell r="AA537">
            <v>20.3</v>
          </cell>
          <cell r="AB537">
            <v>20.3</v>
          </cell>
          <cell r="AC537">
            <v>20.3</v>
          </cell>
          <cell r="AD537">
            <v>21</v>
          </cell>
          <cell r="AE537">
            <v>21.35</v>
          </cell>
          <cell r="AF537">
            <v>21.7</v>
          </cell>
          <cell r="AG537">
            <v>21.35</v>
          </cell>
          <cell r="AH537">
            <v>21</v>
          </cell>
          <cell r="AI537">
            <v>20.3</v>
          </cell>
          <cell r="AJ537">
            <v>19.600000000000001</v>
          </cell>
          <cell r="AK537">
            <v>19.25</v>
          </cell>
          <cell r="AL537">
            <v>19.25</v>
          </cell>
          <cell r="AM537">
            <v>19.25</v>
          </cell>
          <cell r="AN537">
            <v>19.25</v>
          </cell>
          <cell r="AO537">
            <v>19.600000000000001</v>
          </cell>
          <cell r="AP537">
            <v>19.95</v>
          </cell>
          <cell r="AQ537">
            <v>19.95</v>
          </cell>
          <cell r="AR537">
            <v>19.95</v>
          </cell>
          <cell r="AS537">
            <v>19.25</v>
          </cell>
          <cell r="AT537">
            <v>18.899999999999999</v>
          </cell>
          <cell r="AU537">
            <v>18.55</v>
          </cell>
          <cell r="AV537">
            <v>18.2</v>
          </cell>
          <cell r="AW537">
            <v>17.850000000000001</v>
          </cell>
          <cell r="AX537">
            <v>17.850000000000001</v>
          </cell>
          <cell r="AY537">
            <v>17.850000000000001</v>
          </cell>
          <cell r="AZ537">
            <v>18.55</v>
          </cell>
          <cell r="BA537">
            <v>19.25</v>
          </cell>
          <cell r="BB537">
            <v>19.95</v>
          </cell>
          <cell r="BC537">
            <v>21.35</v>
          </cell>
          <cell r="BD537">
            <v>22.05</v>
          </cell>
          <cell r="BE537">
            <v>23.45</v>
          </cell>
          <cell r="BF537">
            <v>24.85</v>
          </cell>
          <cell r="BG537">
            <v>26.25</v>
          </cell>
          <cell r="BH537">
            <v>27.65</v>
          </cell>
          <cell r="BI537">
            <v>29.05</v>
          </cell>
          <cell r="BJ537">
            <v>30.45</v>
          </cell>
          <cell r="BK537">
            <v>31.85</v>
          </cell>
          <cell r="BL537">
            <v>33.25</v>
          </cell>
          <cell r="BM537">
            <v>34.65</v>
          </cell>
          <cell r="BN537">
            <v>34.65</v>
          </cell>
          <cell r="BO537">
            <v>34.65</v>
          </cell>
          <cell r="BP537">
            <v>34.65</v>
          </cell>
          <cell r="BQ537">
            <v>33.25</v>
          </cell>
          <cell r="BR537">
            <v>30.45</v>
          </cell>
          <cell r="BS537">
            <v>28.35</v>
          </cell>
          <cell r="BT537">
            <v>26.25</v>
          </cell>
          <cell r="BU537">
            <v>24.85</v>
          </cell>
          <cell r="BV537">
            <v>23.45</v>
          </cell>
          <cell r="BW537">
            <v>23.45</v>
          </cell>
          <cell r="BX537">
            <v>23.45</v>
          </cell>
          <cell r="BY537">
            <v>24.85</v>
          </cell>
          <cell r="BZ537">
            <v>26.25</v>
          </cell>
          <cell r="CA537">
            <v>26.95</v>
          </cell>
          <cell r="CB537">
            <v>26.95</v>
          </cell>
          <cell r="CC537">
            <v>27.65</v>
          </cell>
          <cell r="CD537">
            <v>27.65</v>
          </cell>
          <cell r="CE537">
            <v>27.65</v>
          </cell>
          <cell r="CF537">
            <v>27.65</v>
          </cell>
          <cell r="CG537">
            <v>28.35</v>
          </cell>
          <cell r="CH537">
            <v>29.05</v>
          </cell>
          <cell r="CI537">
            <v>29.75</v>
          </cell>
          <cell r="CJ537">
            <v>29.75</v>
          </cell>
          <cell r="CK537">
            <v>29.75</v>
          </cell>
          <cell r="CL537">
            <v>29.75</v>
          </cell>
          <cell r="CM537">
            <v>29.75</v>
          </cell>
          <cell r="CN537">
            <v>29.75</v>
          </cell>
          <cell r="CO537">
            <v>29.75</v>
          </cell>
          <cell r="CP537">
            <v>28.7</v>
          </cell>
          <cell r="CQ537">
            <v>27.3</v>
          </cell>
          <cell r="CR537">
            <v>26.25</v>
          </cell>
          <cell r="CS537">
            <v>25.2</v>
          </cell>
          <cell r="CT537">
            <v>24.15</v>
          </cell>
          <cell r="CU537">
            <v>22.75</v>
          </cell>
          <cell r="CV537">
            <v>21.35</v>
          </cell>
          <cell r="CW537">
            <v>20.65</v>
          </cell>
          <cell r="CX537">
            <v>19.95</v>
          </cell>
          <cell r="CY537">
            <v>19.600000000000001</v>
          </cell>
          <cell r="CZ537">
            <v>19.600000000000001</v>
          </cell>
          <cell r="DA537">
            <v>18.899999999999999</v>
          </cell>
          <cell r="DB537">
            <v>18.899999999999999</v>
          </cell>
          <cell r="DC537">
            <v>18.2</v>
          </cell>
          <cell r="DD537">
            <v>17.850000000000001</v>
          </cell>
          <cell r="DE537">
            <v>17.5</v>
          </cell>
          <cell r="DF537">
            <v>17.149999999999999</v>
          </cell>
          <cell r="DG537">
            <v>16.8</v>
          </cell>
          <cell r="DH537">
            <v>16.8</v>
          </cell>
          <cell r="DI537">
            <v>16.8</v>
          </cell>
          <cell r="DJ537">
            <v>17.5</v>
          </cell>
          <cell r="DK537">
            <v>18.899999999999999</v>
          </cell>
          <cell r="DL537">
            <v>20.3</v>
          </cell>
          <cell r="DM537">
            <v>21.7</v>
          </cell>
          <cell r="DN537">
            <v>23.8</v>
          </cell>
          <cell r="DO537">
            <v>25.9</v>
          </cell>
          <cell r="DP537">
            <v>27.3</v>
          </cell>
          <cell r="DQ537">
            <v>27.3</v>
          </cell>
          <cell r="DR537">
            <v>27.3</v>
          </cell>
          <cell r="DS537">
            <v>28.7</v>
          </cell>
          <cell r="DT537">
            <v>31.5</v>
          </cell>
          <cell r="DU537">
            <v>34.299999999999997</v>
          </cell>
          <cell r="DV537">
            <v>37.1</v>
          </cell>
          <cell r="DW537">
            <v>38.5</v>
          </cell>
          <cell r="DX537">
            <v>38.5</v>
          </cell>
          <cell r="DY537">
            <v>35.700000000000003</v>
          </cell>
          <cell r="DZ537">
            <v>33.6</v>
          </cell>
          <cell r="EA537">
            <v>33.6</v>
          </cell>
          <cell r="EB537">
            <v>33.6</v>
          </cell>
          <cell r="EC537">
            <v>32.9</v>
          </cell>
          <cell r="ED537">
            <v>32.200000000000003</v>
          </cell>
          <cell r="EE537">
            <v>31.5</v>
          </cell>
          <cell r="EF537">
            <v>30.8</v>
          </cell>
          <cell r="EG537">
            <v>28</v>
          </cell>
          <cell r="EH537">
            <v>26.6</v>
          </cell>
          <cell r="EI537">
            <v>23.8</v>
          </cell>
          <cell r="EJ537">
            <v>22.05</v>
          </cell>
          <cell r="EK537">
            <v>22.05</v>
          </cell>
          <cell r="EL537">
            <v>23.8</v>
          </cell>
          <cell r="EM537">
            <v>26.6</v>
          </cell>
          <cell r="EN537">
            <v>26.6</v>
          </cell>
          <cell r="EO537">
            <v>23.8</v>
          </cell>
          <cell r="EP537">
            <v>22.4</v>
          </cell>
          <cell r="EQ537">
            <v>22.4</v>
          </cell>
          <cell r="ER537">
            <v>23.45</v>
          </cell>
          <cell r="ES537">
            <v>26.25</v>
          </cell>
          <cell r="ET537">
            <v>29.05</v>
          </cell>
          <cell r="EU537">
            <v>30.45</v>
          </cell>
          <cell r="EV537">
            <v>30.45</v>
          </cell>
          <cell r="EW537">
            <v>30.45</v>
          </cell>
          <cell r="EX537">
            <v>28.7</v>
          </cell>
          <cell r="EY537">
            <v>28.7</v>
          </cell>
          <cell r="EZ537">
            <v>28</v>
          </cell>
          <cell r="FA537">
            <v>27.3</v>
          </cell>
          <cell r="FB537">
            <v>30.1</v>
          </cell>
          <cell r="FC537">
            <v>32.9</v>
          </cell>
          <cell r="FD537">
            <v>38.5</v>
          </cell>
          <cell r="FE537">
            <v>38.5</v>
          </cell>
          <cell r="FF537">
            <v>35</v>
          </cell>
          <cell r="FG537">
            <v>31.5</v>
          </cell>
          <cell r="FH537">
            <v>28.7</v>
          </cell>
          <cell r="FI537">
            <v>28.7</v>
          </cell>
          <cell r="FJ537">
            <v>30.1</v>
          </cell>
          <cell r="FK537">
            <v>29.4</v>
          </cell>
          <cell r="FL537">
            <v>30.1</v>
          </cell>
          <cell r="FM537">
            <v>31.5</v>
          </cell>
          <cell r="FN537">
            <v>35.35</v>
          </cell>
          <cell r="FO537">
            <v>41.3</v>
          </cell>
          <cell r="FP537">
            <v>45.15</v>
          </cell>
          <cell r="FQ537">
            <v>45.15</v>
          </cell>
          <cell r="FR537">
            <v>44.8</v>
          </cell>
          <cell r="FS537">
            <v>45.15</v>
          </cell>
          <cell r="FT537">
            <v>44.1</v>
          </cell>
          <cell r="FU537">
            <v>44.1</v>
          </cell>
          <cell r="FV537">
            <v>48.3</v>
          </cell>
          <cell r="FW537">
            <v>52.5</v>
          </cell>
          <cell r="FX537">
            <v>58.8</v>
          </cell>
          <cell r="FY537">
            <v>64.400000000000006</v>
          </cell>
          <cell r="FZ537">
            <v>64.400000000000006</v>
          </cell>
          <cell r="GA537">
            <v>67.900000000000006</v>
          </cell>
          <cell r="GB537">
            <v>65.099999999999994</v>
          </cell>
          <cell r="GC537">
            <v>60.2</v>
          </cell>
          <cell r="GD537">
            <v>50.4</v>
          </cell>
          <cell r="GE537">
            <v>46.2</v>
          </cell>
          <cell r="GF537">
            <v>47.6</v>
          </cell>
          <cell r="GG537">
            <v>50.4</v>
          </cell>
          <cell r="GH537">
            <v>57.4</v>
          </cell>
          <cell r="GI537">
            <v>72.8</v>
          </cell>
          <cell r="GJ537">
            <v>71.400000000000006</v>
          </cell>
          <cell r="GK537">
            <v>64.400000000000006</v>
          </cell>
          <cell r="GL537">
            <v>58.1</v>
          </cell>
          <cell r="GM537">
            <v>65.099999999999994</v>
          </cell>
          <cell r="GN537">
            <v>65.8</v>
          </cell>
          <cell r="GO537">
            <v>65.8</v>
          </cell>
          <cell r="GP537">
            <v>69.3</v>
          </cell>
          <cell r="GQ537">
            <v>73.5</v>
          </cell>
          <cell r="GR537">
            <v>67.900000000000006</v>
          </cell>
          <cell r="GS537">
            <v>72.099999999999994</v>
          </cell>
          <cell r="GT537">
            <v>74.900000000000006</v>
          </cell>
          <cell r="GU537">
            <v>69.3</v>
          </cell>
          <cell r="GV537">
            <v>56.7</v>
          </cell>
          <cell r="GW537">
            <v>56.7</v>
          </cell>
          <cell r="GX537">
            <v>60.032000000000011</v>
          </cell>
          <cell r="GY537">
            <v>63.7</v>
          </cell>
          <cell r="GZ537">
            <v>63.7</v>
          </cell>
          <cell r="HA537">
            <v>69.3</v>
          </cell>
          <cell r="HB537">
            <v>74.900000000000006</v>
          </cell>
          <cell r="HC537">
            <v>71.75</v>
          </cell>
          <cell r="HD537">
            <v>72.8</v>
          </cell>
          <cell r="HE537">
            <v>75.25</v>
          </cell>
          <cell r="HF537">
            <v>71.75</v>
          </cell>
          <cell r="HG537">
            <v>75.95</v>
          </cell>
          <cell r="HH537">
            <v>86.1</v>
          </cell>
          <cell r="HI537">
            <v>86.8</v>
          </cell>
          <cell r="HJ537">
            <v>156.25</v>
          </cell>
          <cell r="HK537">
            <v>148.75</v>
          </cell>
          <cell r="HL537">
            <v>153.75</v>
          </cell>
          <cell r="HM537">
            <v>162.5</v>
          </cell>
          <cell r="HN537">
            <v>172.5</v>
          </cell>
          <cell r="HO537">
            <v>188.75</v>
          </cell>
          <cell r="HP537">
            <v>212.5</v>
          </cell>
          <cell r="HQ537">
            <v>212.5</v>
          </cell>
          <cell r="HR537">
            <v>205</v>
          </cell>
          <cell r="HS537">
            <v>196.25</v>
          </cell>
          <cell r="HT537">
            <v>188.75</v>
          </cell>
          <cell r="HU537">
            <v>183.75</v>
          </cell>
          <cell r="HV537">
            <v>183.75</v>
          </cell>
          <cell r="HW537">
            <v>183.75</v>
          </cell>
          <cell r="HX537">
            <v>181.25</v>
          </cell>
          <cell r="HY537">
            <v>173.75</v>
          </cell>
          <cell r="HZ537">
            <v>171.25</v>
          </cell>
          <cell r="IA537">
            <v>166.25</v>
          </cell>
          <cell r="IB537">
            <v>166.25</v>
          </cell>
          <cell r="IC537">
            <v>163.75</v>
          </cell>
          <cell r="ID537">
            <v>163.75</v>
          </cell>
          <cell r="IE537">
            <v>161.25</v>
          </cell>
          <cell r="IF537">
            <v>161.25</v>
          </cell>
          <cell r="IG537">
            <v>161.25</v>
          </cell>
          <cell r="IH537">
            <v>77</v>
          </cell>
          <cell r="II537">
            <v>77</v>
          </cell>
          <cell r="IJ537">
            <v>74.2</v>
          </cell>
          <cell r="IK537">
            <v>72.8</v>
          </cell>
        </row>
        <row r="538">
          <cell r="X538">
            <v>530</v>
          </cell>
          <cell r="Y538">
            <v>530</v>
          </cell>
          <cell r="Z538">
            <v>530</v>
          </cell>
          <cell r="AA538">
            <v>530</v>
          </cell>
          <cell r="AB538">
            <v>530</v>
          </cell>
          <cell r="AC538">
            <v>530</v>
          </cell>
          <cell r="AD538">
            <v>530</v>
          </cell>
          <cell r="AE538">
            <v>530</v>
          </cell>
          <cell r="AF538">
            <v>530</v>
          </cell>
          <cell r="AG538">
            <v>530</v>
          </cell>
          <cell r="AH538">
            <v>530</v>
          </cell>
          <cell r="AI538">
            <v>530</v>
          </cell>
          <cell r="AJ538">
            <v>530</v>
          </cell>
          <cell r="AK538">
            <v>530</v>
          </cell>
          <cell r="AL538">
            <v>530</v>
          </cell>
          <cell r="AM538">
            <v>530</v>
          </cell>
          <cell r="AN538">
            <v>530</v>
          </cell>
          <cell r="AO538">
            <v>530</v>
          </cell>
          <cell r="AP538">
            <v>530</v>
          </cell>
          <cell r="AQ538">
            <v>530</v>
          </cell>
          <cell r="AR538">
            <v>530</v>
          </cell>
          <cell r="AS538">
            <v>530</v>
          </cell>
          <cell r="AT538">
            <v>530</v>
          </cell>
          <cell r="AU538">
            <v>530</v>
          </cell>
          <cell r="AV538">
            <v>530</v>
          </cell>
          <cell r="AW538">
            <v>530</v>
          </cell>
          <cell r="AX538">
            <v>530</v>
          </cell>
          <cell r="AY538">
            <v>530</v>
          </cell>
          <cell r="AZ538">
            <v>530</v>
          </cell>
          <cell r="BA538">
            <v>530</v>
          </cell>
          <cell r="BB538">
            <v>530</v>
          </cell>
          <cell r="BC538">
            <v>530</v>
          </cell>
          <cell r="BD538">
            <v>530</v>
          </cell>
          <cell r="BE538">
            <v>530</v>
          </cell>
          <cell r="BF538">
            <v>530</v>
          </cell>
          <cell r="BG538">
            <v>530</v>
          </cell>
          <cell r="BH538">
            <v>530</v>
          </cell>
          <cell r="BI538">
            <v>530</v>
          </cell>
          <cell r="BJ538">
            <v>530</v>
          </cell>
          <cell r="BK538">
            <v>530</v>
          </cell>
          <cell r="BL538">
            <v>530</v>
          </cell>
          <cell r="BM538">
            <v>530</v>
          </cell>
          <cell r="BN538">
            <v>530</v>
          </cell>
          <cell r="BO538">
            <v>530</v>
          </cell>
          <cell r="BP538">
            <v>530</v>
          </cell>
          <cell r="BQ538">
            <v>530</v>
          </cell>
          <cell r="BR538">
            <v>530</v>
          </cell>
          <cell r="BS538">
            <v>530</v>
          </cell>
          <cell r="BT538">
            <v>530</v>
          </cell>
          <cell r="BU538">
            <v>530</v>
          </cell>
          <cell r="BV538">
            <v>530</v>
          </cell>
          <cell r="BW538">
            <v>530</v>
          </cell>
          <cell r="BX538">
            <v>530</v>
          </cell>
          <cell r="BY538">
            <v>530</v>
          </cell>
          <cell r="BZ538">
            <v>530</v>
          </cell>
          <cell r="CA538">
            <v>530</v>
          </cell>
          <cell r="CB538">
            <v>530</v>
          </cell>
          <cell r="CC538">
            <v>530</v>
          </cell>
          <cell r="CD538">
            <v>530</v>
          </cell>
          <cell r="CE538">
            <v>530</v>
          </cell>
          <cell r="CF538">
            <v>530</v>
          </cell>
          <cell r="CG538">
            <v>530</v>
          </cell>
          <cell r="CH538">
            <v>530</v>
          </cell>
          <cell r="CI538">
            <v>530</v>
          </cell>
          <cell r="CJ538">
            <v>530</v>
          </cell>
          <cell r="CK538">
            <v>530</v>
          </cell>
          <cell r="CL538">
            <v>530</v>
          </cell>
          <cell r="CM538">
            <v>530</v>
          </cell>
          <cell r="CN538">
            <v>530</v>
          </cell>
          <cell r="CO538">
            <v>530</v>
          </cell>
          <cell r="CP538">
            <v>530</v>
          </cell>
          <cell r="CQ538">
            <v>530</v>
          </cell>
          <cell r="CR538">
            <v>530</v>
          </cell>
          <cell r="CS538">
            <v>530</v>
          </cell>
          <cell r="CT538">
            <v>530</v>
          </cell>
          <cell r="CU538">
            <v>530</v>
          </cell>
          <cell r="CV538">
            <v>530</v>
          </cell>
          <cell r="CW538">
            <v>530</v>
          </cell>
          <cell r="CX538">
            <v>530</v>
          </cell>
          <cell r="CY538">
            <v>530</v>
          </cell>
          <cell r="CZ538">
            <v>530</v>
          </cell>
          <cell r="DA538">
            <v>530</v>
          </cell>
          <cell r="DB538">
            <v>530</v>
          </cell>
          <cell r="DC538">
            <v>530</v>
          </cell>
          <cell r="DD538">
            <v>530</v>
          </cell>
          <cell r="DE538">
            <v>530</v>
          </cell>
          <cell r="DF538">
            <v>530</v>
          </cell>
          <cell r="DG538">
            <v>530</v>
          </cell>
          <cell r="DH538">
            <v>530</v>
          </cell>
          <cell r="DI538">
            <v>530</v>
          </cell>
          <cell r="DJ538">
            <v>530</v>
          </cell>
          <cell r="DK538">
            <v>530</v>
          </cell>
          <cell r="DL538">
            <v>530</v>
          </cell>
          <cell r="DM538">
            <v>530</v>
          </cell>
          <cell r="DN538">
            <v>530</v>
          </cell>
          <cell r="DO538">
            <v>530</v>
          </cell>
          <cell r="DP538">
            <v>530</v>
          </cell>
          <cell r="DQ538">
            <v>530</v>
          </cell>
          <cell r="DR538">
            <v>530</v>
          </cell>
          <cell r="DS538">
            <v>530</v>
          </cell>
          <cell r="DT538">
            <v>530</v>
          </cell>
          <cell r="DU538">
            <v>530</v>
          </cell>
          <cell r="DV538">
            <v>530</v>
          </cell>
          <cell r="DW538">
            <v>530</v>
          </cell>
          <cell r="DX538">
            <v>530</v>
          </cell>
          <cell r="DY538">
            <v>530</v>
          </cell>
          <cell r="DZ538">
            <v>530</v>
          </cell>
          <cell r="EA538">
            <v>530</v>
          </cell>
          <cell r="EB538">
            <v>530</v>
          </cell>
          <cell r="EC538">
            <v>530</v>
          </cell>
          <cell r="ED538">
            <v>530</v>
          </cell>
          <cell r="EE538">
            <v>530</v>
          </cell>
          <cell r="EF538">
            <v>530</v>
          </cell>
          <cell r="EG538">
            <v>530</v>
          </cell>
          <cell r="EH538">
            <v>530</v>
          </cell>
          <cell r="EI538">
            <v>530</v>
          </cell>
          <cell r="EJ538">
            <v>530</v>
          </cell>
          <cell r="EK538">
            <v>530</v>
          </cell>
          <cell r="EL538">
            <v>530</v>
          </cell>
          <cell r="EM538">
            <v>530</v>
          </cell>
          <cell r="EN538">
            <v>530</v>
          </cell>
          <cell r="EO538">
            <v>530</v>
          </cell>
          <cell r="EP538">
            <v>531</v>
          </cell>
          <cell r="EQ538">
            <v>532</v>
          </cell>
          <cell r="ER538">
            <v>533</v>
          </cell>
          <cell r="ES538">
            <v>534</v>
          </cell>
          <cell r="ET538">
            <v>535</v>
          </cell>
          <cell r="EU538">
            <v>536</v>
          </cell>
          <cell r="EV538">
            <v>537</v>
          </cell>
          <cell r="EW538">
            <v>538</v>
          </cell>
          <cell r="EX538">
            <v>539</v>
          </cell>
          <cell r="EY538">
            <v>540</v>
          </cell>
          <cell r="EZ538">
            <v>541</v>
          </cell>
          <cell r="FA538">
            <v>542</v>
          </cell>
          <cell r="FB538">
            <v>530</v>
          </cell>
          <cell r="FC538">
            <v>530</v>
          </cell>
          <cell r="FD538">
            <v>530</v>
          </cell>
          <cell r="FE538">
            <v>530</v>
          </cell>
          <cell r="FF538">
            <v>530</v>
          </cell>
          <cell r="FG538">
            <v>530</v>
          </cell>
          <cell r="FH538">
            <v>530</v>
          </cell>
          <cell r="FI538">
            <v>530</v>
          </cell>
          <cell r="FJ538">
            <v>530</v>
          </cell>
          <cell r="FK538">
            <v>530</v>
          </cell>
          <cell r="FL538">
            <v>530</v>
          </cell>
          <cell r="FM538">
            <v>530</v>
          </cell>
          <cell r="FN538">
            <v>530</v>
          </cell>
          <cell r="FO538">
            <v>530</v>
          </cell>
          <cell r="FP538">
            <v>530</v>
          </cell>
          <cell r="FQ538">
            <v>530</v>
          </cell>
          <cell r="FR538">
            <v>530</v>
          </cell>
          <cell r="FS538">
            <v>530</v>
          </cell>
          <cell r="FT538">
            <v>530</v>
          </cell>
          <cell r="FU538">
            <v>530</v>
          </cell>
          <cell r="FV538">
            <v>530</v>
          </cell>
          <cell r="FW538">
            <v>530</v>
          </cell>
          <cell r="FX538">
            <v>530</v>
          </cell>
          <cell r="FY538">
            <v>530</v>
          </cell>
          <cell r="FZ538">
            <v>530</v>
          </cell>
          <cell r="GA538">
            <v>530</v>
          </cell>
          <cell r="GB538">
            <v>530</v>
          </cell>
          <cell r="GC538">
            <v>530</v>
          </cell>
          <cell r="GD538">
            <v>530</v>
          </cell>
          <cell r="GE538">
            <v>530</v>
          </cell>
          <cell r="GF538">
            <v>530</v>
          </cell>
          <cell r="GG538">
            <v>530</v>
          </cell>
          <cell r="GH538">
            <v>530</v>
          </cell>
          <cell r="GI538">
            <v>530</v>
          </cell>
          <cell r="GJ538">
            <v>530</v>
          </cell>
          <cell r="GK538">
            <v>530</v>
          </cell>
          <cell r="GL538">
            <v>530</v>
          </cell>
          <cell r="GM538">
            <v>530</v>
          </cell>
          <cell r="GN538">
            <v>530</v>
          </cell>
          <cell r="GO538">
            <v>530</v>
          </cell>
          <cell r="GP538">
            <v>530</v>
          </cell>
          <cell r="GQ538">
            <v>530</v>
          </cell>
          <cell r="GR538">
            <v>530</v>
          </cell>
          <cell r="GS538">
            <v>530</v>
          </cell>
          <cell r="GT538">
            <v>530</v>
          </cell>
          <cell r="GU538">
            <v>530</v>
          </cell>
          <cell r="GV538">
            <v>530</v>
          </cell>
          <cell r="GW538">
            <v>530</v>
          </cell>
          <cell r="GX538">
            <v>530</v>
          </cell>
          <cell r="GY538">
            <v>530</v>
          </cell>
          <cell r="GZ538">
            <v>530</v>
          </cell>
          <cell r="HA538">
            <v>530</v>
          </cell>
          <cell r="HB538">
            <v>530</v>
          </cell>
          <cell r="HC538">
            <v>530</v>
          </cell>
          <cell r="HD538">
            <v>530</v>
          </cell>
          <cell r="HE538">
            <v>530</v>
          </cell>
          <cell r="HF538">
            <v>530</v>
          </cell>
          <cell r="HG538">
            <v>530</v>
          </cell>
          <cell r="HH538">
            <v>530</v>
          </cell>
          <cell r="HI538">
            <v>530</v>
          </cell>
          <cell r="HJ538">
            <v>750</v>
          </cell>
          <cell r="HK538">
            <v>750</v>
          </cell>
          <cell r="HL538">
            <v>750</v>
          </cell>
          <cell r="HM538">
            <v>750</v>
          </cell>
          <cell r="HN538">
            <v>750</v>
          </cell>
          <cell r="HO538">
            <v>750</v>
          </cell>
          <cell r="HP538">
            <v>750</v>
          </cell>
          <cell r="HQ538">
            <v>750</v>
          </cell>
          <cell r="HR538">
            <v>750</v>
          </cell>
          <cell r="HS538">
            <v>750</v>
          </cell>
          <cell r="HT538">
            <v>750</v>
          </cell>
          <cell r="HU538">
            <v>750</v>
          </cell>
          <cell r="HV538">
            <v>750</v>
          </cell>
          <cell r="HW538">
            <v>750</v>
          </cell>
          <cell r="HX538">
            <v>750</v>
          </cell>
          <cell r="HY538">
            <v>750</v>
          </cell>
          <cell r="HZ538">
            <v>750</v>
          </cell>
          <cell r="IA538">
            <v>750</v>
          </cell>
          <cell r="IB538">
            <v>750</v>
          </cell>
          <cell r="IC538">
            <v>750</v>
          </cell>
          <cell r="ID538">
            <v>750</v>
          </cell>
          <cell r="IE538">
            <v>750</v>
          </cell>
          <cell r="IF538">
            <v>750</v>
          </cell>
          <cell r="IG538">
            <v>750</v>
          </cell>
          <cell r="IH538">
            <v>530</v>
          </cell>
          <cell r="II538">
            <v>530</v>
          </cell>
          <cell r="IJ538">
            <v>530</v>
          </cell>
          <cell r="IK538">
            <v>530</v>
          </cell>
        </row>
        <row r="539">
          <cell r="X539">
            <v>1494.4411137608056</v>
          </cell>
          <cell r="Y539">
            <v>1405.843434329526</v>
          </cell>
          <cell r="Z539">
            <v>1343.2499455835073</v>
          </cell>
          <cell r="AA539">
            <v>1346.396119590474</v>
          </cell>
          <cell r="AB539">
            <v>1350.1963576473458</v>
          </cell>
          <cell r="AC539">
            <v>1367.5033721095733</v>
          </cell>
          <cell r="AD539">
            <v>1389.8446140053079</v>
          </cell>
          <cell r="AE539">
            <v>1416.1714044318483</v>
          </cell>
          <cell r="AF539">
            <v>1425.5745639675829</v>
          </cell>
          <cell r="AG539">
            <v>1446.4653297495734</v>
          </cell>
          <cell r="AH539">
            <v>1471.8392734936492</v>
          </cell>
          <cell r="AI539">
            <v>1456.7536197260661</v>
          </cell>
          <cell r="AJ539">
            <v>1434.2464980199052</v>
          </cell>
          <cell r="AK539">
            <v>1417.0121297734595</v>
          </cell>
          <cell r="AL539">
            <v>1418.0249450823699</v>
          </cell>
          <cell r="AM539">
            <v>1403.1287339923224</v>
          </cell>
          <cell r="AN539">
            <v>1424.1908248927962</v>
          </cell>
          <cell r="AO539">
            <v>1427.659254164123</v>
          </cell>
          <cell r="AP539">
            <v>1428.3988196617536</v>
          </cell>
          <cell r="AQ539">
            <v>1410.6030846854503</v>
          </cell>
          <cell r="AR539">
            <v>1382.2606648803317</v>
          </cell>
          <cell r="AS539">
            <v>1378.1466795248814</v>
          </cell>
          <cell r="AT539">
            <v>1380.0395678187201</v>
          </cell>
          <cell r="AU539">
            <v>1366.2889302745971</v>
          </cell>
          <cell r="AV539">
            <v>1351.2327607959242</v>
          </cell>
          <cell r="AW539">
            <v>1334.7884341608528</v>
          </cell>
          <cell r="AX539">
            <v>1339.4380992109955</v>
          </cell>
          <cell r="AY539">
            <v>1370.080055277346</v>
          </cell>
          <cell r="AZ539">
            <v>1366.1620429550712</v>
          </cell>
          <cell r="BA539">
            <v>1360.3436499606635</v>
          </cell>
          <cell r="BB539">
            <v>1370.7009997236969</v>
          </cell>
          <cell r="BC539">
            <v>1356.1436499606634</v>
          </cell>
          <cell r="BD539">
            <v>1410.8264349362557</v>
          </cell>
          <cell r="BE539">
            <v>1413.51411597891</v>
          </cell>
          <cell r="BF539">
            <v>1406.7750165950238</v>
          </cell>
          <cell r="BG539">
            <v>1531.0962184481989</v>
          </cell>
          <cell r="BH539">
            <v>1559.4983609600474</v>
          </cell>
          <cell r="BI539">
            <v>1552.2016737562558</v>
          </cell>
          <cell r="BJ539">
            <v>1596.3152219854503</v>
          </cell>
          <cell r="BK539">
            <v>1581.8009985731278</v>
          </cell>
          <cell r="BL539">
            <v>1593.8021888574881</v>
          </cell>
          <cell r="BM539">
            <v>1719.1948790637439</v>
          </cell>
          <cell r="BN539">
            <v>1726.1474876893365</v>
          </cell>
          <cell r="BO539">
            <v>1720.3813698220376</v>
          </cell>
          <cell r="BP539">
            <v>1796.045389536398</v>
          </cell>
          <cell r="BQ539">
            <v>1795.3458656501421</v>
          </cell>
          <cell r="BR539">
            <v>1799.1067662662558</v>
          </cell>
          <cell r="BS539">
            <v>1811.5270154327011</v>
          </cell>
          <cell r="BT539">
            <v>1814.2357835369667</v>
          </cell>
          <cell r="BU539">
            <v>1861.2836710251183</v>
          </cell>
          <cell r="BV539">
            <v>1847.5503666416114</v>
          </cell>
          <cell r="BW539">
            <v>1856.4838503357346</v>
          </cell>
          <cell r="BX539">
            <v>1855.486629343033</v>
          </cell>
          <cell r="BY539">
            <v>1739.6253154779145</v>
          </cell>
          <cell r="BZ539">
            <v>1732.633369411564</v>
          </cell>
          <cell r="CA539">
            <v>1736.9246013072984</v>
          </cell>
          <cell r="CB539">
            <v>1514.5084458964457</v>
          </cell>
          <cell r="CC539">
            <v>1528.054666986493</v>
          </cell>
          <cell r="CD539">
            <v>1582.7199579998103</v>
          </cell>
          <cell r="CE539">
            <v>1587.4546081017061</v>
          </cell>
          <cell r="CF539">
            <v>1676.008627347725</v>
          </cell>
          <cell r="CG539">
            <v>1726.8788676234597</v>
          </cell>
          <cell r="CH539">
            <v>1648.5912324615163</v>
          </cell>
          <cell r="CI539">
            <v>1548.2999605657819</v>
          </cell>
          <cell r="CJ539">
            <v>1513.4736562529856</v>
          </cell>
          <cell r="CK539">
            <v>1512.9497217995261</v>
          </cell>
          <cell r="CL539">
            <v>1526.124131657346</v>
          </cell>
          <cell r="CM539">
            <v>1523.949245685782</v>
          </cell>
          <cell r="CN539">
            <v>1548.0058411737914</v>
          </cell>
          <cell r="CO539">
            <v>1567.1688843017532</v>
          </cell>
          <cell r="CP539">
            <v>1591.1335838278198</v>
          </cell>
          <cell r="CQ539">
            <v>1599.7213508742177</v>
          </cell>
          <cell r="CR539">
            <v>1568.6455026751657</v>
          </cell>
          <cell r="CS539">
            <v>1524.5888570827487</v>
          </cell>
          <cell r="CT539">
            <v>1405.0291947333649</v>
          </cell>
          <cell r="CU539">
            <v>1394.681089188341</v>
          </cell>
          <cell r="CV539">
            <v>1378.7002717949763</v>
          </cell>
          <cell r="CW539">
            <v>1317.3901201454976</v>
          </cell>
          <cell r="CX539">
            <v>1301.9145200033176</v>
          </cell>
          <cell r="CY539">
            <v>1268.5265909037914</v>
          </cell>
          <cell r="CZ539">
            <v>1264.4816063825117</v>
          </cell>
          <cell r="DA539">
            <v>1247.5289977569196</v>
          </cell>
          <cell r="DB539">
            <v>1241.7036456716114</v>
          </cell>
          <cell r="DC539">
            <v>1237.9206151687204</v>
          </cell>
          <cell r="DD539">
            <v>1228.873927964929</v>
          </cell>
          <cell r="DE539">
            <v>1197.5765165905214</v>
          </cell>
          <cell r="DF539">
            <v>1185.7736754739335</v>
          </cell>
          <cell r="DG539">
            <v>1191.1547209241703</v>
          </cell>
          <cell r="DH539">
            <v>1201.0130229146919</v>
          </cell>
          <cell r="DI539">
            <v>1268.9852154343125</v>
          </cell>
          <cell r="DJ539">
            <v>1284.8679172826539</v>
          </cell>
          <cell r="DK539">
            <v>1307.1838070930803</v>
          </cell>
          <cell r="DL539">
            <v>1443.6222309504737</v>
          </cell>
          <cell r="DM539">
            <v>1485.0040005713267</v>
          </cell>
          <cell r="DN539">
            <v>1517.2457185808055</v>
          </cell>
          <cell r="DO539">
            <v>1612.2001869432229</v>
          </cell>
          <cell r="DP539">
            <v>1611.3807462797156</v>
          </cell>
          <cell r="DQ539">
            <v>1580.2933032939336</v>
          </cell>
          <cell r="DR539">
            <v>1693.4667643883411</v>
          </cell>
          <cell r="DS539">
            <v>1720.5372123788625</v>
          </cell>
          <cell r="DT539">
            <v>1656.0248534215166</v>
          </cell>
          <cell r="DU539">
            <v>1686.015834152417</v>
          </cell>
          <cell r="DV539">
            <v>1743.0070634983886</v>
          </cell>
          <cell r="DW539">
            <v>1812.277250882275</v>
          </cell>
          <cell r="DX539">
            <v>1815.2775818275827</v>
          </cell>
          <cell r="DY539">
            <v>1817.1066969451183</v>
          </cell>
          <cell r="DZ539">
            <v>1871.8181585498576</v>
          </cell>
          <cell r="EA539">
            <v>1841.9977562335544</v>
          </cell>
          <cell r="EB539">
            <v>1815.9191284293838</v>
          </cell>
          <cell r="EC539">
            <v>2003.7944595374408</v>
          </cell>
          <cell r="ED539">
            <v>2098.0449855686256</v>
          </cell>
          <cell r="EE539">
            <v>1856.5128242897631</v>
          </cell>
          <cell r="EF539">
            <v>1787.497546248436</v>
          </cell>
          <cell r="EG539">
            <v>1826.6517065714218</v>
          </cell>
          <cell r="EH539">
            <v>1765.507991751706</v>
          </cell>
          <cell r="EI539">
            <v>1671.1470561124643</v>
          </cell>
          <cell r="EJ539">
            <v>1616.6796814248814</v>
          </cell>
          <cell r="EK539">
            <v>1632.3529630988148</v>
          </cell>
          <cell r="EL539">
            <v>1602.7891687228907</v>
          </cell>
          <cell r="EM539">
            <v>1508.9590340186255</v>
          </cell>
          <cell r="EN539">
            <v>1485.3791394962086</v>
          </cell>
          <cell r="EO539">
            <v>1421.7517279003791</v>
          </cell>
          <cell r="EP539">
            <v>1322.4979677336491</v>
          </cell>
          <cell r="EQ539">
            <v>1319.2038520781043</v>
          </cell>
          <cell r="ER539">
            <v>1413.606842449431</v>
          </cell>
          <cell r="ES539">
            <v>1558.3941761860187</v>
          </cell>
          <cell r="ET539">
            <v>1579.0714338796681</v>
          </cell>
          <cell r="EU539">
            <v>1555.7682366936492</v>
          </cell>
          <cell r="EV539">
            <v>1545.8608153078674</v>
          </cell>
          <cell r="EW539">
            <v>1567.1079113812323</v>
          </cell>
          <cell r="EX539">
            <v>1638.1285573059715</v>
          </cell>
          <cell r="EY539">
            <v>1674.7756954271563</v>
          </cell>
          <cell r="EZ539">
            <v>1672.1608137624644</v>
          </cell>
          <cell r="FA539">
            <v>1715.1579538140284</v>
          </cell>
          <cell r="FB539">
            <v>1825.7594687524643</v>
          </cell>
          <cell r="FC539">
            <v>2094.9403581892889</v>
          </cell>
          <cell r="FD539">
            <v>2268.1626748143126</v>
          </cell>
          <cell r="FE539">
            <v>2058.8735065064452</v>
          </cell>
          <cell r="FF539">
            <v>1868.097549726398</v>
          </cell>
          <cell r="FG539">
            <v>1829.4952427852604</v>
          </cell>
          <cell r="FH539">
            <v>1843.5657708561139</v>
          </cell>
          <cell r="FI539">
            <v>1894.0863082198102</v>
          </cell>
          <cell r="FJ539">
            <v>1924.2209673730802</v>
          </cell>
          <cell r="FK539">
            <v>1902.6858953537439</v>
          </cell>
          <cell r="FL539">
            <v>1898.5629158384831</v>
          </cell>
          <cell r="FM539">
            <v>1987.5494893138386</v>
          </cell>
          <cell r="FN539">
            <v>2133.5094576033171</v>
          </cell>
          <cell r="FO539">
            <v>2136.8750556409477</v>
          </cell>
          <cell r="FP539">
            <v>2113.8332264062556</v>
          </cell>
          <cell r="FQ539">
            <v>2144.4235298858766</v>
          </cell>
          <cell r="FR539">
            <v>2241.558215884455</v>
          </cell>
          <cell r="FS539">
            <v>2268.6099866223694</v>
          </cell>
          <cell r="FT539">
            <v>2314.0253914133646</v>
          </cell>
          <cell r="FU539">
            <v>2405.143656053649</v>
          </cell>
          <cell r="FV539">
            <v>2440.4998652553554</v>
          </cell>
          <cell r="FW539">
            <v>2661.9892531029382</v>
          </cell>
          <cell r="FX539">
            <v>2759.0015138110898</v>
          </cell>
          <cell r="FY539">
            <v>2690.4354413779147</v>
          </cell>
          <cell r="FZ539">
            <v>2499.3437610349761</v>
          </cell>
          <cell r="GA539">
            <v>2521.7281382792416</v>
          </cell>
          <cell r="GB539">
            <v>2681.7747322580567</v>
          </cell>
          <cell r="GC539">
            <v>2707.2888231199054</v>
          </cell>
          <cell r="GD539">
            <v>2535.2522601936489</v>
          </cell>
          <cell r="GE539">
            <v>2395.9950218534595</v>
          </cell>
          <cell r="GF539">
            <v>2475.1996286136491</v>
          </cell>
          <cell r="GG539">
            <v>2608.6185018791466</v>
          </cell>
          <cell r="GH539">
            <v>3199.5461167995259</v>
          </cell>
          <cell r="GI539">
            <v>3334.2746684918006</v>
          </cell>
          <cell r="GJ539">
            <v>3063.7484808937438</v>
          </cell>
          <cell r="GK539">
            <v>2818.1550074318479</v>
          </cell>
          <cell r="GL539">
            <v>2830.3347353716586</v>
          </cell>
          <cell r="GM539">
            <v>2771.1647459849287</v>
          </cell>
          <cell r="GN539">
            <v>2722.1182351414218</v>
          </cell>
          <cell r="GO539">
            <v>2828.0035659199998</v>
          </cell>
          <cell r="GP539">
            <v>2908.1186983337439</v>
          </cell>
          <cell r="GQ539">
            <v>3014.6881495029384</v>
          </cell>
          <cell r="GR539">
            <v>3124.2224648853553</v>
          </cell>
          <cell r="GS539">
            <v>3237.7367531827008</v>
          </cell>
          <cell r="GT539">
            <v>3203.3186658816112</v>
          </cell>
          <cell r="GU539">
            <v>2923.0652524881511</v>
          </cell>
          <cell r="GV539">
            <v>2789.1121994060663</v>
          </cell>
          <cell r="GW539">
            <v>2848.8419955732697</v>
          </cell>
          <cell r="GX539">
            <v>2750.9713506759713</v>
          </cell>
          <cell r="GY539">
            <v>2833.2311130739336</v>
          </cell>
          <cell r="GZ539">
            <v>2920.4126308040759</v>
          </cell>
          <cell r="HA539">
            <v>3051.9074781124168</v>
          </cell>
          <cell r="HB539">
            <v>3151.6227159752602</v>
          </cell>
          <cell r="HC539">
            <v>3201.8439494145973</v>
          </cell>
          <cell r="HD539">
            <v>3139.4604237646918</v>
          </cell>
          <cell r="HE539">
            <v>3122.0009986559717</v>
          </cell>
          <cell r="HF539">
            <v>3137.9251951320848</v>
          </cell>
          <cell r="HG539">
            <v>3377.0054685814221</v>
          </cell>
          <cell r="HH539">
            <v>3598.5680772077721</v>
          </cell>
          <cell r="HI539">
            <v>3643.3394165428908</v>
          </cell>
          <cell r="HJ539">
            <v>2950.228272832228</v>
          </cell>
          <cell r="HK539">
            <v>2895.4840427033178</v>
          </cell>
          <cell r="HL539">
            <v>2979.6141291203789</v>
          </cell>
          <cell r="HM539">
            <v>3135.1276427952612</v>
          </cell>
          <cell r="HN539">
            <v>3265.5139620635073</v>
          </cell>
          <cell r="HO539">
            <v>3452.8852347203792</v>
          </cell>
          <cell r="HP539">
            <v>3658.8969043573461</v>
          </cell>
          <cell r="HQ539">
            <v>3417.6506940284362</v>
          </cell>
          <cell r="HR539">
            <v>3462.8155075829386</v>
          </cell>
          <cell r="HS539">
            <v>3486.2401346919432</v>
          </cell>
          <cell r="HT539">
            <v>3484.1245753554504</v>
          </cell>
          <cell r="HU539">
            <v>3509.214202464455</v>
          </cell>
          <cell r="HV539">
            <v>3492.0595753554503</v>
          </cell>
          <cell r="HW539">
            <v>3463.9256940284363</v>
          </cell>
          <cell r="HX539">
            <v>3408.1616262559241</v>
          </cell>
          <cell r="HY539">
            <v>3317.1986771563979</v>
          </cell>
          <cell r="HZ539">
            <v>3244.3249822748812</v>
          </cell>
          <cell r="IA539">
            <v>3173.6405416113744</v>
          </cell>
          <cell r="IB539">
            <v>3176.4451687203791</v>
          </cell>
          <cell r="IC539">
            <v>3181.8249822748812</v>
          </cell>
          <cell r="ID539">
            <v>3190.129795829384</v>
          </cell>
          <cell r="IE539">
            <v>3209.7294229383888</v>
          </cell>
          <cell r="IF539">
            <v>3230.8088636018956</v>
          </cell>
          <cell r="IG539">
            <v>3255.1481178199051</v>
          </cell>
          <cell r="IH539">
            <v>2899.1247652743127</v>
          </cell>
          <cell r="II539">
            <v>2920.6071686332698</v>
          </cell>
          <cell r="IJ539">
            <v>2940.5232761446446</v>
          </cell>
          <cell r="IK539">
            <v>2988.7950730998105</v>
          </cell>
        </row>
        <row r="540">
          <cell r="DF540">
            <v>1390.7270454785266</v>
          </cell>
          <cell r="DR540">
            <v>1789.7702300203946</v>
          </cell>
          <cell r="DV540">
            <v>1390.7270454785266</v>
          </cell>
          <cell r="ED540">
            <v>1689.4394854336849</v>
          </cell>
          <cell r="EG540">
            <v>-414.46872524331206</v>
          </cell>
          <cell r="EH540">
            <v>1789.7702300203946</v>
          </cell>
          <cell r="EJ540">
            <v>-383.4064468675092</v>
          </cell>
          <cell r="EK540">
            <v>-383.4064468675092</v>
          </cell>
          <cell r="EM540">
            <v>-293.98069089443123</v>
          </cell>
          <cell r="EN540">
            <v>-293.98069089443123</v>
          </cell>
          <cell r="EP540">
            <v>-238.28808546764088</v>
          </cell>
          <cell r="EQ540">
            <v>-238.28808546764088</v>
          </cell>
          <cell r="ET540">
            <v>1689.4394854336849</v>
          </cell>
        </row>
        <row r="541">
          <cell r="DR541">
            <v>-414.46872524331206</v>
          </cell>
          <cell r="DU541">
            <v>-383.4064468675092</v>
          </cell>
          <cell r="DX541">
            <v>-293.98069089443123</v>
          </cell>
          <cell r="EA541">
            <v>-238.28808546764088</v>
          </cell>
          <cell r="EH541">
            <v>-414.46872524331206</v>
          </cell>
          <cell r="EK541">
            <v>-383.4064468675092</v>
          </cell>
          <cell r="EN541">
            <v>-293.98069089443123</v>
          </cell>
          <cell r="EQ541">
            <v>-238.28808546764088</v>
          </cell>
          <cell r="GC541">
            <v>9.0828744537702913E-2</v>
          </cell>
          <cell r="GS541">
            <v>9.0828744537702913E-2</v>
          </cell>
        </row>
        <row r="542">
          <cell r="AC542">
            <v>1515.2339026892889</v>
          </cell>
          <cell r="AD542">
            <v>1515.2339026892889</v>
          </cell>
          <cell r="AF542">
            <v>1403.5963027457976</v>
          </cell>
          <cell r="AG542">
            <v>1403.5963027457976</v>
          </cell>
          <cell r="AI542">
            <v>1391.0684498286889</v>
          </cell>
          <cell r="AJ542">
            <v>1391.0684498286889</v>
          </cell>
          <cell r="AL542">
            <v>1463.7056312489574</v>
          </cell>
          <cell r="AM542">
            <v>1463.7056312489574</v>
          </cell>
          <cell r="AO542">
            <v>1346.6141409404424</v>
          </cell>
          <cell r="AP542">
            <v>1346.6141409404424</v>
          </cell>
          <cell r="AR542">
            <v>1391.1731301822431</v>
          </cell>
          <cell r="AS542">
            <v>1391.1731301822431</v>
          </cell>
          <cell r="AU542">
            <v>1447.9597224036017</v>
          </cell>
          <cell r="AV542">
            <v>1447.9597224036017</v>
          </cell>
          <cell r="AX542">
            <v>1436.0040825064771</v>
          </cell>
          <cell r="AY542">
            <v>1436.0040825064771</v>
          </cell>
          <cell r="BA542">
            <v>1415.1148346558293</v>
          </cell>
          <cell r="BB542">
            <v>1415.1148346558293</v>
          </cell>
          <cell r="BD542">
            <v>1422.2203861704422</v>
          </cell>
          <cell r="BE542">
            <v>1422.2203861704422</v>
          </cell>
          <cell r="BG542">
            <v>1380.1489707413111</v>
          </cell>
          <cell r="BH542">
            <v>1380.1489707413111</v>
          </cell>
          <cell r="BJ542">
            <v>1350.7700417437914</v>
          </cell>
          <cell r="BK542">
            <v>1350.7700417437914</v>
          </cell>
          <cell r="BM542">
            <v>1358.560065814471</v>
          </cell>
          <cell r="BN542">
            <v>1358.560065814471</v>
          </cell>
          <cell r="BP542">
            <v>1362.3960998816747</v>
          </cell>
          <cell r="BQ542">
            <v>1362.3960998816747</v>
          </cell>
          <cell r="BS542">
            <v>1410.3718558367298</v>
          </cell>
          <cell r="BT542">
            <v>1410.3718558367298</v>
          </cell>
          <cell r="BV542">
            <v>1547.5987510548341</v>
          </cell>
          <cell r="BW542">
            <v>1547.5987510548341</v>
          </cell>
          <cell r="BY542">
            <v>1590.6394698053555</v>
          </cell>
          <cell r="BZ542">
            <v>1590.6394698053555</v>
          </cell>
          <cell r="CB542">
            <v>1721.9079121917059</v>
          </cell>
          <cell r="CC542">
            <v>1721.9079121917059</v>
          </cell>
          <cell r="CE542">
            <v>1796.8326738175986</v>
          </cell>
          <cell r="CF542">
            <v>1796.8326738175986</v>
          </cell>
          <cell r="CH542">
            <v>1829.015489998262</v>
          </cell>
          <cell r="CI542">
            <v>1829.015489998262</v>
          </cell>
          <cell r="CK542">
            <v>1853.1736154401262</v>
          </cell>
          <cell r="CL542">
            <v>1853.1736154401262</v>
          </cell>
          <cell r="CN542">
            <v>1736.394428732259</v>
          </cell>
          <cell r="CO542">
            <v>1736.394428732259</v>
          </cell>
          <cell r="CQ542">
            <v>1541.761023627583</v>
          </cell>
          <cell r="CR542">
            <v>1541.761023627583</v>
          </cell>
          <cell r="CT542">
            <v>1663.4473676909636</v>
          </cell>
          <cell r="CU542">
            <v>1663.4473676909636</v>
          </cell>
          <cell r="CW542">
            <v>1570.1216164267614</v>
          </cell>
          <cell r="CX542">
            <v>1570.1216164267614</v>
          </cell>
          <cell r="CZ542">
            <v>1521.007699714218</v>
          </cell>
          <cell r="DA542">
            <v>1521.007699714218</v>
          </cell>
          <cell r="DC542">
            <v>1568.769436434455</v>
          </cell>
          <cell r="DD542">
            <v>1568.769436434455</v>
          </cell>
          <cell r="DF542">
            <v>1564.3185702107105</v>
          </cell>
          <cell r="DG542">
            <v>1564.3185702107105</v>
          </cell>
          <cell r="DI542">
            <v>1392.8035185722274</v>
          </cell>
          <cell r="DJ542">
            <v>1392.8035185722274</v>
          </cell>
          <cell r="DL542">
            <v>1295.9437436842024</v>
          </cell>
          <cell r="DM542">
            <v>1295.9437436842024</v>
          </cell>
          <cell r="DO542">
            <v>1251.2380832703475</v>
          </cell>
          <cell r="DP542">
            <v>1251.2380832703475</v>
          </cell>
          <cell r="DR542">
            <v>1221.457019908057</v>
          </cell>
          <cell r="DS542">
            <v>1221.457019908057</v>
          </cell>
          <cell r="DU542">
            <v>1192.647139770932</v>
          </cell>
          <cell r="DV542">
            <v>1192.647139770932</v>
          </cell>
          <cell r="DX542">
            <v>1287.0123132700157</v>
          </cell>
          <cell r="DY542">
            <v>1287.0123132700157</v>
          </cell>
          <cell r="EA542">
            <v>1481.9573167008687</v>
          </cell>
          <cell r="EB542">
            <v>1481.9573167008687</v>
          </cell>
          <cell r="ED542">
            <v>1601.2914121722906</v>
          </cell>
          <cell r="EE542">
            <v>1601.2914121722906</v>
          </cell>
          <cell r="EG542">
            <v>1690.0096100629064</v>
          </cell>
          <cell r="EH542">
            <v>1690.0096100629064</v>
          </cell>
          <cell r="EJ542">
            <v>1747.1000495110268</v>
          </cell>
          <cell r="EK542">
            <v>1747.1000495110268</v>
          </cell>
          <cell r="EM542">
            <v>1834.7341457741861</v>
          </cell>
          <cell r="EN542">
            <v>1834.7341457741861</v>
          </cell>
          <cell r="EP542">
            <v>1887.2371147334597</v>
          </cell>
          <cell r="EQ542">
            <v>1887.2371147334597</v>
          </cell>
          <cell r="ES542">
            <v>1914.0184520356081</v>
          </cell>
          <cell r="ET542">
            <v>1914.0184520356081</v>
          </cell>
          <cell r="EV542">
            <v>1754.4355848118639</v>
          </cell>
          <cell r="EW542">
            <v>1754.4355848118639</v>
          </cell>
          <cell r="EY542">
            <v>1617.2739377488622</v>
          </cell>
          <cell r="EZ542">
            <v>1617.2739377488622</v>
          </cell>
          <cell r="FB542">
            <v>1472.0299671384043</v>
          </cell>
          <cell r="FC542">
            <v>1472.0299671384043</v>
          </cell>
          <cell r="FE542">
            <v>1351.7695540870616</v>
          </cell>
          <cell r="FF542">
            <v>1351.7695540870616</v>
          </cell>
          <cell r="FH542">
            <v>1564.4209483797786</v>
          </cell>
          <cell r="FI542">
            <v>1564.4209483797786</v>
          </cell>
          <cell r="FK542">
            <v>1583.6990946650237</v>
          </cell>
          <cell r="FL542">
            <v>1583.6990946650237</v>
          </cell>
          <cell r="FN542">
            <v>1668.5928751279462</v>
          </cell>
          <cell r="FO542">
            <v>1687.3648210012163</v>
          </cell>
          <cell r="FP542">
            <v>21.632882320528413</v>
          </cell>
          <cell r="FQ542">
            <v>1638.5924554717533</v>
          </cell>
          <cell r="FR542">
            <v>2062.9541672520222</v>
          </cell>
          <cell r="FT542">
            <v>1719.8917718587836</v>
          </cell>
          <cell r="FU542">
            <v>1918.8220996727014</v>
          </cell>
          <cell r="FW542">
            <v>1724.1954342924644</v>
          </cell>
          <cell r="FX542">
            <v>1887.2910154830015</v>
          </cell>
          <cell r="FZ542">
            <v>1746.7524692135546</v>
          </cell>
          <cell r="GA542">
            <v>1929.5994335020221</v>
          </cell>
          <cell r="GB542">
            <v>24.731021209680801</v>
          </cell>
          <cell r="GC542">
            <v>3.0981388891523878</v>
          </cell>
          <cell r="GD542">
            <v>2128.0725798835069</v>
          </cell>
          <cell r="GG542">
            <v>2218.1972441309003</v>
          </cell>
          <cell r="GJ542">
            <v>2386.5563042407898</v>
          </cell>
          <cell r="GM542">
            <v>2703.8087360973145</v>
          </cell>
          <cell r="GN542">
            <v>0.32335790270368525</v>
          </cell>
          <cell r="GP542">
            <v>2567.6407736307583</v>
          </cell>
          <cell r="GS542">
            <v>2642.0908149293523</v>
          </cell>
          <cell r="GV542">
            <v>2608.2483653431914</v>
          </cell>
          <cell r="GY542">
            <v>2679.4826134688151</v>
          </cell>
          <cell r="HB542">
            <v>2616.2263219098572</v>
          </cell>
          <cell r="HE542">
            <v>2532.9259809792416</v>
          </cell>
          <cell r="HH542">
            <v>2405.5943371355138</v>
          </cell>
          <cell r="HK542">
            <v>2418.0578247664766</v>
          </cell>
        </row>
        <row r="543">
          <cell r="Z543">
            <v>1346.6141409404424</v>
          </cell>
          <cell r="AC543">
            <v>1391.1731301822431</v>
          </cell>
          <cell r="AD543">
            <v>1515.2339026892889</v>
          </cell>
          <cell r="AF543">
            <v>1447.9597224036017</v>
          </cell>
          <cell r="AG543">
            <v>1403.5963027457976</v>
          </cell>
          <cell r="AI543">
            <v>1436.0040825064771</v>
          </cell>
          <cell r="AJ543">
            <v>1391.0684498286889</v>
          </cell>
          <cell r="AL543">
            <v>1415.1148346558293</v>
          </cell>
          <cell r="AM543">
            <v>1463.7056312489574</v>
          </cell>
          <cell r="AO543">
            <v>1422.2203861704422</v>
          </cell>
          <cell r="AP543">
            <v>1346.6141409404424</v>
          </cell>
          <cell r="AR543">
            <v>1380.1489707413111</v>
          </cell>
          <cell r="AS543">
            <v>1391.1731301822431</v>
          </cell>
          <cell r="AU543">
            <v>1350.7700417437914</v>
          </cell>
          <cell r="AV543">
            <v>1447.9597224036017</v>
          </cell>
          <cell r="AX543">
            <v>1358.560065814471</v>
          </cell>
          <cell r="AY543">
            <v>1436.0040825064771</v>
          </cell>
          <cell r="BA543">
            <v>1362.3960998816747</v>
          </cell>
          <cell r="BB543">
            <v>1415.1148346558293</v>
          </cell>
          <cell r="BD543">
            <v>1410.3718558367298</v>
          </cell>
          <cell r="BE543">
            <v>1422.2203861704422</v>
          </cell>
          <cell r="BG543">
            <v>1547.5987510548341</v>
          </cell>
          <cell r="BH543">
            <v>1380.1489707413111</v>
          </cell>
          <cell r="BJ543">
            <v>1590.6394698053555</v>
          </cell>
          <cell r="BK543">
            <v>1350.7700417437914</v>
          </cell>
          <cell r="BM543">
            <v>1721.9079121917059</v>
          </cell>
          <cell r="BN543">
            <v>1358.560065814471</v>
          </cell>
          <cell r="BP543">
            <v>1796.8326738175986</v>
          </cell>
          <cell r="BQ543">
            <v>1362.3960998816747</v>
          </cell>
          <cell r="BS543">
            <v>1829.015489998262</v>
          </cell>
          <cell r="BT543">
            <v>1410.3718558367298</v>
          </cell>
          <cell r="BV543">
            <v>1853.1736154401262</v>
          </cell>
          <cell r="BW543">
            <v>1547.5987510548341</v>
          </cell>
          <cell r="BY543">
            <v>1736.394428732259</v>
          </cell>
          <cell r="BZ543">
            <v>1590.6394698053555</v>
          </cell>
          <cell r="CB543">
            <v>1541.761023627583</v>
          </cell>
          <cell r="CC543">
            <v>1721.9079121917059</v>
          </cell>
          <cell r="CE543">
            <v>1663.4473676909636</v>
          </cell>
          <cell r="CF543">
            <v>1796.8326738175986</v>
          </cell>
          <cell r="CH543">
            <v>1570.1216164267614</v>
          </cell>
          <cell r="CI543">
            <v>1829.015489998262</v>
          </cell>
          <cell r="CK543">
            <v>1521.007699714218</v>
          </cell>
          <cell r="CL543">
            <v>1853.1736154401262</v>
          </cell>
          <cell r="CN543">
            <v>1568.769436434455</v>
          </cell>
          <cell r="CO543">
            <v>1736.394428732259</v>
          </cell>
          <cell r="CQ543">
            <v>1564.3185702107105</v>
          </cell>
          <cell r="CR543">
            <v>1541.761023627583</v>
          </cell>
          <cell r="CT543">
            <v>1392.8035185722274</v>
          </cell>
          <cell r="CU543">
            <v>1663.4473676909636</v>
          </cell>
          <cell r="CW543">
            <v>1295.9437436842024</v>
          </cell>
          <cell r="CX543">
            <v>1570.1216164267614</v>
          </cell>
          <cell r="CZ543">
            <v>1251.2380832703475</v>
          </cell>
          <cell r="DA543">
            <v>1521.007699714218</v>
          </cell>
          <cell r="DC543">
            <v>1221.457019908057</v>
          </cell>
          <cell r="DD543">
            <v>1568.769436434455</v>
          </cell>
          <cell r="DF543">
            <v>1192.647139770932</v>
          </cell>
          <cell r="DG543">
            <v>1564.3185702107105</v>
          </cell>
          <cell r="DI543">
            <v>1287.0123132700157</v>
          </cell>
          <cell r="DJ543">
            <v>1392.8035185722274</v>
          </cell>
          <cell r="DL543">
            <v>1481.9573167008687</v>
          </cell>
          <cell r="DM543">
            <v>1295.9437436842024</v>
          </cell>
          <cell r="DO543">
            <v>1601.2914121722906</v>
          </cell>
          <cell r="DP543">
            <v>1251.2380832703475</v>
          </cell>
          <cell r="DR543">
            <v>1690.0096100629064</v>
          </cell>
          <cell r="DS543">
            <v>1221.457019908057</v>
          </cell>
          <cell r="DU543">
            <v>1747.1000495110268</v>
          </cell>
          <cell r="DV543">
            <v>1192.647139770932</v>
          </cell>
          <cell r="DX543">
            <v>1834.7341457741861</v>
          </cell>
          <cell r="DY543">
            <v>1287.0123132700157</v>
          </cell>
          <cell r="EA543">
            <v>1887.2371147334597</v>
          </cell>
          <cell r="EB543">
            <v>1481.9573167008687</v>
          </cell>
          <cell r="ED543">
            <v>1914.0184520356081</v>
          </cell>
          <cell r="EE543">
            <v>1601.2914121722906</v>
          </cell>
          <cell r="EG543">
            <v>1754.4355848118639</v>
          </cell>
          <cell r="EH543">
            <v>1690.0096100629064</v>
          </cell>
          <cell r="EJ543">
            <v>1617.2739377488622</v>
          </cell>
          <cell r="EK543">
            <v>1747.1000495110268</v>
          </cell>
          <cell r="EM543">
            <v>1472.0299671384043</v>
          </cell>
          <cell r="EN543">
            <v>1834.7341457741861</v>
          </cell>
          <cell r="EP543">
            <v>1351.7695540870616</v>
          </cell>
          <cell r="EQ543">
            <v>1887.2371147334597</v>
          </cell>
          <cell r="ES543">
            <v>1564.4112822531122</v>
          </cell>
          <cell r="ET543">
            <v>1914.0184520356081</v>
          </cell>
          <cell r="EV543">
            <v>1583.6990946650237</v>
          </cell>
          <cell r="EW543">
            <v>1754.4355848118639</v>
          </cell>
          <cell r="EY543">
            <v>1687.3648210012163</v>
          </cell>
          <cell r="EZ543">
            <v>1617.2739377488622</v>
          </cell>
          <cell r="FB543">
            <v>2062.9541672520222</v>
          </cell>
          <cell r="FC543">
            <v>1472.0299671384043</v>
          </cell>
          <cell r="FE543">
            <v>1918.8220996727014</v>
          </cell>
          <cell r="FF543">
            <v>1351.7695540870616</v>
          </cell>
          <cell r="FH543">
            <v>1887.2910154830015</v>
          </cell>
          <cell r="FI543">
            <v>1564.4112822531122</v>
          </cell>
          <cell r="FK543">
            <v>1929.5994335020221</v>
          </cell>
          <cell r="FL543">
            <v>1583.6990946650237</v>
          </cell>
          <cell r="FN543">
            <v>2128.0725798835069</v>
          </cell>
          <cell r="FO543">
            <v>1687.3648210012163</v>
          </cell>
          <cell r="FQ543">
            <v>2218.1972441309003</v>
          </cell>
          <cell r="FR543">
            <v>2062.9541672520222</v>
          </cell>
          <cell r="FT543">
            <v>2386.5563042407898</v>
          </cell>
          <cell r="FU543">
            <v>1918.8220996727014</v>
          </cell>
          <cell r="FW543">
            <v>2703.8087360973145</v>
          </cell>
          <cell r="FX543">
            <v>0.32335790270368525</v>
          </cell>
          <cell r="FZ543">
            <v>2567.6155438574247</v>
          </cell>
          <cell r="GA543">
            <v>1929.5994335020221</v>
          </cell>
          <cell r="GC543">
            <v>2546.1787017223378</v>
          </cell>
          <cell r="GD543">
            <v>2128.0725798835069</v>
          </cell>
          <cell r="GF543">
            <v>2761.1214157641075</v>
          </cell>
          <cell r="GG543">
            <v>2218.1972441309003</v>
          </cell>
          <cell r="GI543">
            <v>3072.0593856057972</v>
          </cell>
          <cell r="GJ543">
            <v>2386.5563042407898</v>
          </cell>
          <cell r="GL543">
            <v>2774.5392388326695</v>
          </cell>
          <cell r="GM543">
            <v>2703.8087360973145</v>
          </cell>
          <cell r="GN543">
            <v>0.32335790270368525</v>
          </cell>
          <cell r="GO543">
            <v>2916.9368045855604</v>
          </cell>
          <cell r="GP543">
            <v>2567.6155438574247</v>
          </cell>
          <cell r="GR543">
            <v>3188.4259613165559</v>
          </cell>
          <cell r="GS543">
            <v>2546.1787017223378</v>
          </cell>
          <cell r="GU543">
            <v>2853.6731491558289</v>
          </cell>
          <cell r="GV543">
            <v>2761.1214157641075</v>
          </cell>
          <cell r="GX543">
            <v>2834.8716981846605</v>
          </cell>
          <cell r="GY543">
            <v>3072.0593856057972</v>
          </cell>
          <cell r="HA543">
            <v>3135.1247145007583</v>
          </cell>
          <cell r="HB543">
            <v>2774.4392388326692</v>
          </cell>
          <cell r="HD543">
            <v>3133.1288725175823</v>
          </cell>
          <cell r="HE543">
            <v>2916.8368045855605</v>
          </cell>
          <cell r="HG543">
            <v>3539.6376541106947</v>
          </cell>
          <cell r="HH543">
            <v>3188.3759613165553</v>
          </cell>
          <cell r="HJ543">
            <v>2941.7754815519747</v>
          </cell>
          <cell r="HK543">
            <v>2853.573149155829</v>
          </cell>
          <cell r="HM543">
            <v>3284.5089465263827</v>
          </cell>
          <cell r="HN543">
            <v>2834.8716981846605</v>
          </cell>
          <cell r="HP543">
            <v>3513.1210353229071</v>
          </cell>
          <cell r="HQ543">
            <v>3133.9811120363033</v>
          </cell>
          <cell r="HS543">
            <v>3493.1929708372827</v>
          </cell>
          <cell r="HT543">
            <v>3090.7128979226854</v>
          </cell>
          <cell r="HV543">
            <v>3454.7156318799371</v>
          </cell>
          <cell r="HW543">
            <v>3066.176777857851</v>
          </cell>
          <cell r="HY543">
            <v>3245.0547336808845</v>
          </cell>
          <cell r="HZ543">
            <v>3073.0852263346446</v>
          </cell>
          <cell r="IB543">
            <v>3182.7999822748811</v>
          </cell>
          <cell r="IC543">
            <v>3014.2349013202365</v>
          </cell>
          <cell r="IE543">
            <v>3231.895468120063</v>
          </cell>
          <cell r="IF543">
            <v>2852.048194377709</v>
          </cell>
          <cell r="II543">
            <v>2949.9751726259087</v>
          </cell>
        </row>
        <row r="544">
          <cell r="Z544">
            <v>49.019690056457151</v>
          </cell>
          <cell r="AC544">
            <v>11.887199021623283</v>
          </cell>
          <cell r="AD544">
            <v>-91.496778067581573</v>
          </cell>
          <cell r="AF544">
            <v>-35.434961162842264</v>
          </cell>
          <cell r="AG544">
            <v>1.5345552186611637</v>
          </cell>
          <cell r="AI544">
            <v>-25.471927915238364</v>
          </cell>
          <cell r="AJ544">
            <v>11.974432649585083</v>
          </cell>
          <cell r="AL544">
            <v>-8.0642213730319181</v>
          </cell>
          <cell r="AM544">
            <v>-48.556551867305302</v>
          </cell>
          <cell r="AO544">
            <v>-13.985514301876</v>
          </cell>
          <cell r="AP544">
            <v>49.019690056457151</v>
          </cell>
          <cell r="AR544">
            <v>21.073998555733244</v>
          </cell>
          <cell r="AS544">
            <v>11.887199021623283</v>
          </cell>
          <cell r="AU544">
            <v>45.556439386999728</v>
          </cell>
          <cell r="AV544">
            <v>-35.434961162842264</v>
          </cell>
          <cell r="AX544">
            <v>39.064752661433317</v>
          </cell>
          <cell r="AY544">
            <v>-25.471927915238364</v>
          </cell>
          <cell r="BA544">
            <v>35.868057605430295</v>
          </cell>
          <cell r="BB544">
            <v>-8.0642213730319181</v>
          </cell>
          <cell r="BD544">
            <v>-4.111739023782282</v>
          </cell>
          <cell r="BE544">
            <v>-13.985514301876</v>
          </cell>
          <cell r="BG544">
            <v>-118.46748503886924</v>
          </cell>
          <cell r="BH544">
            <v>21.073998555733244</v>
          </cell>
          <cell r="BJ544">
            <v>-154.3347506643037</v>
          </cell>
          <cell r="BK544">
            <v>45.556439386999728</v>
          </cell>
          <cell r="BM544">
            <v>-263.72511931959576</v>
          </cell>
          <cell r="BN544">
            <v>39.064752661433317</v>
          </cell>
          <cell r="BP544">
            <v>-326.16242067450628</v>
          </cell>
          <cell r="BQ544">
            <v>35.868057605430295</v>
          </cell>
          <cell r="BS544">
            <v>-352.9814341583924</v>
          </cell>
          <cell r="BT544">
            <v>-4.111739023782282</v>
          </cell>
          <cell r="BV544">
            <v>-373.11320535994605</v>
          </cell>
          <cell r="BW544">
            <v>-118.46748503886924</v>
          </cell>
          <cell r="BY544">
            <v>-275.79721643672332</v>
          </cell>
          <cell r="BZ544">
            <v>-154.3347506643037</v>
          </cell>
          <cell r="CB544">
            <v>-113.60271218282662</v>
          </cell>
          <cell r="CC544">
            <v>-263.72511931959576</v>
          </cell>
          <cell r="CE544">
            <v>-215.00799890231045</v>
          </cell>
          <cell r="CF544">
            <v>-326.16242067450628</v>
          </cell>
          <cell r="CH544">
            <v>-137.23653951547533</v>
          </cell>
          <cell r="CI544">
            <v>-352.9814341583924</v>
          </cell>
          <cell r="CK544">
            <v>-96.308275588355812</v>
          </cell>
          <cell r="CL544">
            <v>-373.11320535994605</v>
          </cell>
          <cell r="CN544">
            <v>-136.10972285521996</v>
          </cell>
          <cell r="CO544">
            <v>-275.79721643672332</v>
          </cell>
          <cell r="CQ544">
            <v>-132.40066766876623</v>
          </cell>
          <cell r="CR544">
            <v>-113.60271218282662</v>
          </cell>
          <cell r="CT544">
            <v>10.528542029969685</v>
          </cell>
          <cell r="CU544">
            <v>-215.00799890231045</v>
          </cell>
          <cell r="CW544">
            <v>91.245021103323808</v>
          </cell>
          <cell r="CX544">
            <v>-137.23653951547533</v>
          </cell>
          <cell r="CZ544">
            <v>128.49973811486961</v>
          </cell>
          <cell r="DA544">
            <v>-96.308275588355812</v>
          </cell>
          <cell r="DC544">
            <v>153.31729091677838</v>
          </cell>
          <cell r="DD544">
            <v>-136.10972285521996</v>
          </cell>
          <cell r="DF544">
            <v>177.32552436438255</v>
          </cell>
          <cell r="DG544">
            <v>-132.40066766876623</v>
          </cell>
          <cell r="DI544">
            <v>98.68787978181274</v>
          </cell>
          <cell r="DJ544">
            <v>10.528542029969685</v>
          </cell>
          <cell r="DL544">
            <v>-63.766289743898028</v>
          </cell>
          <cell r="DM544">
            <v>91.245021103323808</v>
          </cell>
          <cell r="DO544">
            <v>-163.21136930341635</v>
          </cell>
          <cell r="DP544">
            <v>128.49973811486961</v>
          </cell>
          <cell r="DR544">
            <v>-237.14320087892949</v>
          </cell>
          <cell r="DS544">
            <v>153.31729091677838</v>
          </cell>
          <cell r="DU544">
            <v>-284.71856708569646</v>
          </cell>
          <cell r="DV544">
            <v>177.32552436438255</v>
          </cell>
          <cell r="DX544">
            <v>-357.74698063832926</v>
          </cell>
          <cell r="DY544">
            <v>98.68787978181274</v>
          </cell>
          <cell r="EA544">
            <v>-401.49945477105723</v>
          </cell>
          <cell r="EB544">
            <v>-63.766289743898028</v>
          </cell>
          <cell r="ED544">
            <v>-423.8172358561809</v>
          </cell>
          <cell r="EE544">
            <v>-163.21136930341635</v>
          </cell>
          <cell r="EG544">
            <v>-290.83151316972737</v>
          </cell>
          <cell r="EH544">
            <v>-237.14320087892949</v>
          </cell>
          <cell r="EJ544">
            <v>-176.53014061722595</v>
          </cell>
          <cell r="EK544">
            <v>-284.71856708569646</v>
          </cell>
          <cell r="EM544">
            <v>-55.493498441844437</v>
          </cell>
          <cell r="EN544">
            <v>-357.74698063832926</v>
          </cell>
          <cell r="EP544">
            <v>44.723512434274539</v>
          </cell>
          <cell r="EQ544">
            <v>-401.49945477105723</v>
          </cell>
          <cell r="ES544">
            <v>-132.47792770410095</v>
          </cell>
          <cell r="ET544">
            <v>-423.8172358561809</v>
          </cell>
          <cell r="EV544">
            <v>-148.55110471402725</v>
          </cell>
          <cell r="EW544">
            <v>-290.83151316972737</v>
          </cell>
          <cell r="EY544">
            <v>-234.93920999418776</v>
          </cell>
          <cell r="EZ544">
            <v>-176.53014061722595</v>
          </cell>
          <cell r="FB544">
            <v>-547.93033186985929</v>
          </cell>
          <cell r="FC544">
            <v>-55.493498441844437</v>
          </cell>
          <cell r="FE544">
            <v>-427.82027555375868</v>
          </cell>
          <cell r="FF544">
            <v>44.723512434274539</v>
          </cell>
          <cell r="FH544">
            <v>-401.54437206234206</v>
          </cell>
          <cell r="FI544">
            <v>-132.47792770410095</v>
          </cell>
          <cell r="FK544">
            <v>-436.80138707819253</v>
          </cell>
          <cell r="FL544">
            <v>-148.55110471402725</v>
          </cell>
          <cell r="FN544">
            <v>-602.19567572942992</v>
          </cell>
          <cell r="FO544">
            <v>-234.93920999418776</v>
          </cell>
          <cell r="FQ544">
            <v>-677.29956260225777</v>
          </cell>
          <cell r="FR544">
            <v>-547.93033186985929</v>
          </cell>
          <cell r="FS544">
            <v>-78.247780468917881</v>
          </cell>
          <cell r="FT544">
            <v>-817.59877936049895</v>
          </cell>
          <cell r="FU544">
            <v>-427.82027555375868</v>
          </cell>
          <cell r="FV544">
            <v>30.027514079025153</v>
          </cell>
          <cell r="FW544">
            <v>-1081.975805907603</v>
          </cell>
          <cell r="FX544">
            <v>1.4770429717383582</v>
          </cell>
          <cell r="FY544">
            <v>6.5689758728541534</v>
          </cell>
          <cell r="FZ544">
            <v>-968.48147904102802</v>
          </cell>
          <cell r="GA544">
            <v>-436.80138707819253</v>
          </cell>
          <cell r="GB544">
            <v>-8.8142537539626176</v>
          </cell>
          <cell r="GC544">
            <v>-950.61744392845571</v>
          </cell>
          <cell r="GD544">
            <v>-602.19567572942992</v>
          </cell>
          <cell r="GE544">
            <v>-41.348572162809347</v>
          </cell>
          <cell r="GF544">
            <v>-1129.736372296597</v>
          </cell>
          <cell r="GG544">
            <v>-677.29956260225777</v>
          </cell>
          <cell r="GH544">
            <v>-18.775971718206961</v>
          </cell>
          <cell r="GI544">
            <v>-1388.8513471646718</v>
          </cell>
          <cell r="GJ544">
            <v>-817.59877936049895</v>
          </cell>
          <cell r="GK544">
            <v>-35.074804189560297</v>
          </cell>
          <cell r="GL544">
            <v>-1140.9178915203988</v>
          </cell>
          <cell r="GM544">
            <v>-1081.975805907603</v>
          </cell>
          <cell r="GN544">
            <v>1.4770429717383582</v>
          </cell>
          <cell r="GO544">
            <v>-1259.5825296478076</v>
          </cell>
          <cell r="GP544">
            <v>-968.48147904102802</v>
          </cell>
          <cell r="GQ544">
            <v>28.368325513865898</v>
          </cell>
          <cell r="GR544">
            <v>-1485.823493590304</v>
          </cell>
          <cell r="GS544">
            <v>-950.61744392845571</v>
          </cell>
          <cell r="GT544">
            <v>-15.510425270540452</v>
          </cell>
          <cell r="GU544">
            <v>-1206.8628167896984</v>
          </cell>
          <cell r="GV544">
            <v>-1129.736372296597</v>
          </cell>
          <cell r="GW544">
            <v>7.050510330450237</v>
          </cell>
          <cell r="GX544">
            <v>-1191.1949409803913</v>
          </cell>
          <cell r="GY544">
            <v>-1388.8513471646718</v>
          </cell>
          <cell r="GZ544">
            <v>-14.840468359504968</v>
          </cell>
          <cell r="HA544">
            <v>-1441.4057879104726</v>
          </cell>
          <cell r="HB544">
            <v>-1140.9178915203988</v>
          </cell>
          <cell r="HC544">
            <v>13.178394074782915</v>
          </cell>
          <cell r="HD544">
            <v>-1439.7425862578261</v>
          </cell>
          <cell r="HE544">
            <v>-1259.5825296478076</v>
          </cell>
          <cell r="HF544">
            <v>17.354237693878247</v>
          </cell>
          <cell r="HG544">
            <v>-1778.4999042520865</v>
          </cell>
          <cell r="HH544">
            <v>-1485.823493590304</v>
          </cell>
          <cell r="HI544">
            <v>26.527425800776626</v>
          </cell>
          <cell r="HJ544">
            <v>-1280.2814271198197</v>
          </cell>
          <cell r="HK544">
            <v>-1206.8628167896984</v>
          </cell>
          <cell r="HL544">
            <v>-2.5965599231172689</v>
          </cell>
          <cell r="HM544">
            <v>-1565.8926479318266</v>
          </cell>
          <cell r="HN544">
            <v>-1191.1949409803913</v>
          </cell>
          <cell r="HP544">
            <v>-1756.4027219289299</v>
          </cell>
          <cell r="HQ544">
            <v>-1440.4527858567603</v>
          </cell>
          <cell r="HS544">
            <v>-1739.7960015242431</v>
          </cell>
          <cell r="HT544">
            <v>-1404.3959407620787</v>
          </cell>
          <cell r="HV544">
            <v>-1707.7315523931215</v>
          </cell>
          <cell r="HW544">
            <v>-1383.9491740413832</v>
          </cell>
          <cell r="HY544">
            <v>-1533.0141372272446</v>
          </cell>
          <cell r="HZ544">
            <v>-1389.7062144387114</v>
          </cell>
          <cell r="IB544">
            <v>-1481.1351777222419</v>
          </cell>
          <cell r="IC544">
            <v>-1340.6642769267046</v>
          </cell>
          <cell r="IE544">
            <v>-1522.0480825932266</v>
          </cell>
          <cell r="IF544">
            <v>-1205.5086878079317</v>
          </cell>
          <cell r="II544">
            <v>-1287.1145030147648</v>
          </cell>
        </row>
        <row r="545">
          <cell r="Z545">
            <v>97.576241923762453</v>
          </cell>
          <cell r="AC545">
            <v>-37.132491034833869</v>
          </cell>
          <cell r="AF545">
            <v>-47.322160184465545</v>
          </cell>
          <cell r="AG545">
            <v>93.031333286242742</v>
          </cell>
          <cell r="AI545">
            <v>9.9630332476038994</v>
          </cell>
          <cell r="AJ545">
            <v>10.43987743092392</v>
          </cell>
          <cell r="AL545">
            <v>17.407706542206448</v>
          </cell>
          <cell r="AM545">
            <v>-60.530984516890385</v>
          </cell>
          <cell r="AO545">
            <v>-5.9212929288440819</v>
          </cell>
          <cell r="AP545">
            <v>97.576241923762453</v>
          </cell>
          <cell r="AR545">
            <v>35.059512857609242</v>
          </cell>
          <cell r="AS545">
            <v>-37.132491034833869</v>
          </cell>
          <cell r="AU545">
            <v>24.482440831266484</v>
          </cell>
          <cell r="AV545">
            <v>-47.322160184465545</v>
          </cell>
          <cell r="AX545">
            <v>-6.4916867255664101</v>
          </cell>
          <cell r="AY545">
            <v>9.9630332476038994</v>
          </cell>
          <cell r="BA545">
            <v>-3.1966950560030227</v>
          </cell>
          <cell r="BB545">
            <v>17.407706542206448</v>
          </cell>
          <cell r="BD545">
            <v>-39.979796629212579</v>
          </cell>
          <cell r="BE545">
            <v>-5.9212929288440819</v>
          </cell>
          <cell r="BG545">
            <v>-114.35574601508696</v>
          </cell>
          <cell r="BH545">
            <v>35.059512857609242</v>
          </cell>
          <cell r="BJ545">
            <v>-35.867265625434456</v>
          </cell>
          <cell r="BK545">
            <v>24.482440831266484</v>
          </cell>
          <cell r="BM545">
            <v>-109.39036865529206</v>
          </cell>
          <cell r="BN545">
            <v>-6.4916867255664101</v>
          </cell>
          <cell r="BP545">
            <v>-62.437301354910517</v>
          </cell>
          <cell r="BQ545">
            <v>-3.1966950560030227</v>
          </cell>
          <cell r="BS545">
            <v>-26.819013483886124</v>
          </cell>
          <cell r="BT545">
            <v>-39.979796629212579</v>
          </cell>
          <cell r="BV545">
            <v>-20.131771201553647</v>
          </cell>
          <cell r="BW545">
            <v>-114.35574601508696</v>
          </cell>
          <cell r="BY545">
            <v>97.315988923222733</v>
          </cell>
          <cell r="BZ545">
            <v>-35.867265625434456</v>
          </cell>
          <cell r="CB545">
            <v>162.1945042538967</v>
          </cell>
          <cell r="CC545">
            <v>-109.39036865529206</v>
          </cell>
          <cell r="CE545">
            <v>-101.40528671948383</v>
          </cell>
          <cell r="CF545">
            <v>-62.437301354910517</v>
          </cell>
          <cell r="CH545">
            <v>77.771459386835119</v>
          </cell>
          <cell r="CI545">
            <v>-26.819013483886124</v>
          </cell>
          <cell r="CK545">
            <v>40.928263927119517</v>
          </cell>
          <cell r="CL545">
            <v>-20.131771201553647</v>
          </cell>
          <cell r="CN545">
            <v>-39.801447266864145</v>
          </cell>
          <cell r="CO545">
            <v>97.315988923222733</v>
          </cell>
          <cell r="CQ545">
            <v>3.7090551864537247</v>
          </cell>
          <cell r="CR545">
            <v>162.1945042538967</v>
          </cell>
          <cell r="CT545">
            <v>142.92920969873592</v>
          </cell>
          <cell r="CU545">
            <v>-101.40528671948383</v>
          </cell>
          <cell r="CW545">
            <v>80.716479073354122</v>
          </cell>
          <cell r="CX545">
            <v>77.771459386835119</v>
          </cell>
          <cell r="CZ545">
            <v>37.254717011545807</v>
          </cell>
          <cell r="DA545">
            <v>40.928263927119517</v>
          </cell>
          <cell r="DC545">
            <v>24.817552801908761</v>
          </cell>
          <cell r="DD545">
            <v>-39.801447266864145</v>
          </cell>
          <cell r="DF545">
            <v>24.008233447604169</v>
          </cell>
          <cell r="DG545">
            <v>3.7090551864537247</v>
          </cell>
          <cell r="DI545">
            <v>-78.637644582569806</v>
          </cell>
          <cell r="DJ545">
            <v>142.92920969873592</v>
          </cell>
          <cell r="DL545">
            <v>-162.45416952571077</v>
          </cell>
          <cell r="DM545">
            <v>80.716479073354122</v>
          </cell>
          <cell r="DO545">
            <v>-99.445079559518319</v>
          </cell>
          <cell r="DP545">
            <v>37.254717011545807</v>
          </cell>
          <cell r="DR545">
            <v>-73.931831575513144</v>
          </cell>
          <cell r="DS545">
            <v>24.817552801908761</v>
          </cell>
          <cell r="DU545">
            <v>-47.575366206766972</v>
          </cell>
          <cell r="DV545">
            <v>24.008233447604169</v>
          </cell>
          <cell r="DX545">
            <v>-73.028413552632799</v>
          </cell>
          <cell r="DY545">
            <v>-78.637644582569806</v>
          </cell>
          <cell r="EA545">
            <v>-43.752474132727968</v>
          </cell>
          <cell r="EB545">
            <v>-162.45416952571077</v>
          </cell>
          <cell r="ED545">
            <v>-22.31778108512367</v>
          </cell>
          <cell r="EE545">
            <v>-99.445079559518319</v>
          </cell>
          <cell r="EG545">
            <v>132.98572268645353</v>
          </cell>
          <cell r="EH545">
            <v>-73.931831575513144</v>
          </cell>
          <cell r="EI545">
            <v>-95.851611716877301</v>
          </cell>
          <cell r="EJ545">
            <v>114.30137255250142</v>
          </cell>
          <cell r="EK545">
            <v>-47.575366206766972</v>
          </cell>
          <cell r="EL545">
            <v>0.71768727136785626</v>
          </cell>
          <cell r="EM545">
            <v>121.03664217538152</v>
          </cell>
          <cell r="EN545">
            <v>-73.028413552632799</v>
          </cell>
          <cell r="EP545">
            <v>100.21701087611898</v>
          </cell>
          <cell r="EQ545">
            <v>-43.752474132727968</v>
          </cell>
          <cell r="ES545">
            <v>-177.20144013837549</v>
          </cell>
          <cell r="ET545">
            <v>-22.31778108512367</v>
          </cell>
          <cell r="EV545">
            <v>-16.073177009926297</v>
          </cell>
          <cell r="EW545">
            <v>132.98572268645353</v>
          </cell>
          <cell r="EY545">
            <v>-86.388105280160516</v>
          </cell>
          <cell r="EZ545">
            <v>114.30137255250142</v>
          </cell>
          <cell r="FB545">
            <v>-312.99112187567152</v>
          </cell>
          <cell r="FC545">
            <v>-78.247780468917881</v>
          </cell>
          <cell r="FE545">
            <v>120.11005631610061</v>
          </cell>
          <cell r="FF545">
            <v>30.027514079025153</v>
          </cell>
          <cell r="FH545">
            <v>26.275903491416614</v>
          </cell>
          <cell r="FI545">
            <v>6.5689758728541534</v>
          </cell>
          <cell r="FK545">
            <v>-35.25701501585047</v>
          </cell>
          <cell r="FL545">
            <v>-8.8142537539626176</v>
          </cell>
          <cell r="FM545">
            <v>-335.71290914652775</v>
          </cell>
          <cell r="FN545">
            <v>-165.39428865123739</v>
          </cell>
          <cell r="FO545">
            <v>-41.348572162809347</v>
          </cell>
          <cell r="FQ545">
            <v>-75.103886872827843</v>
          </cell>
          <cell r="FR545">
            <v>-18.775971718206961</v>
          </cell>
          <cell r="FS545">
            <v>-78.247780468917881</v>
          </cell>
          <cell r="FT545">
            <v>-140.29921675824119</v>
          </cell>
          <cell r="FU545">
            <v>-35.074804189560297</v>
          </cell>
          <cell r="FV545">
            <v>30.027514079025153</v>
          </cell>
          <cell r="FW545">
            <v>-264.37702654710404</v>
          </cell>
          <cell r="FX545">
            <v>-66.094256636776009</v>
          </cell>
          <cell r="FY545">
            <v>-341.24336425890931</v>
          </cell>
          <cell r="FZ545">
            <v>113.49432686657497</v>
          </cell>
          <cell r="GA545">
            <v>28.373581716643741</v>
          </cell>
          <cell r="GB545">
            <v>-419.2484791219162</v>
          </cell>
          <cell r="GC545">
            <v>17.86403511257231</v>
          </cell>
          <cell r="GD545">
            <v>4.4660087781430775</v>
          </cell>
          <cell r="GE545">
            <v>-425.20812769134079</v>
          </cell>
          <cell r="GF545">
            <v>-179.11892836814127</v>
          </cell>
          <cell r="GG545">
            <v>-44.779732092035317</v>
          </cell>
          <cell r="GH545">
            <v>-399.22892410082613</v>
          </cell>
          <cell r="GI545">
            <v>-259.1149748680748</v>
          </cell>
          <cell r="GJ545">
            <v>-64.778743717018699</v>
          </cell>
          <cell r="GK545">
            <v>-314.65420470774075</v>
          </cell>
          <cell r="GL545">
            <v>247.93345564427295</v>
          </cell>
          <cell r="GM545">
            <v>61.983363911068238</v>
          </cell>
          <cell r="GN545">
            <v>-266.19185699968375</v>
          </cell>
          <cell r="GO545">
            <v>-118.66463812740881</v>
          </cell>
          <cell r="GP545">
            <v>-29.666159531852202</v>
          </cell>
          <cell r="GQ545">
            <v>-275.10365809797236</v>
          </cell>
          <cell r="GR545">
            <v>-226.24096394249636</v>
          </cell>
          <cell r="GS545">
            <v>-56.560240985624091</v>
          </cell>
          <cell r="GT545">
            <v>-286.09104018737457</v>
          </cell>
          <cell r="GU545">
            <v>278.9606768006056</v>
          </cell>
          <cell r="GV545">
            <v>69.740169200151399</v>
          </cell>
          <cell r="GW545">
            <v>-163.87502227936398</v>
          </cell>
          <cell r="GX545">
            <v>15.667875809307134</v>
          </cell>
          <cell r="GY545">
            <v>3.9169689523267834</v>
          </cell>
          <cell r="GZ545">
            <v>-133.33518152451938</v>
          </cell>
          <cell r="HA545">
            <v>-250.21084693008129</v>
          </cell>
          <cell r="HB545">
            <v>-62.552711732520322</v>
          </cell>
          <cell r="HC545">
            <v>-101.54972466034792</v>
          </cell>
          <cell r="HD545">
            <v>1.6632016526464213</v>
          </cell>
          <cell r="HE545">
            <v>0.41580041316160532</v>
          </cell>
          <cell r="HF545">
            <v>-1.0077175038015866</v>
          </cell>
          <cell r="HG545">
            <v>-338.75731799426035</v>
          </cell>
          <cell r="HH545">
            <v>-84.689329498565087</v>
          </cell>
          <cell r="HI545">
            <v>-189.41412196314195</v>
          </cell>
          <cell r="HJ545">
            <v>498.2184771322668</v>
          </cell>
          <cell r="HK545">
            <v>124.5546192830667</v>
          </cell>
          <cell r="HL545">
            <v>-199.11648113300112</v>
          </cell>
          <cell r="HM545">
            <v>-285.61122081200688</v>
          </cell>
          <cell r="HN545">
            <v>-71.402805203001719</v>
          </cell>
          <cell r="HO545">
            <v>-184.78238157267333</v>
          </cell>
          <cell r="HP545">
            <v>-190.51007399710329</v>
          </cell>
          <cell r="HQ545">
            <v>-47.627518499275823</v>
          </cell>
          <cell r="HR545">
            <v>-275.4676423235685</v>
          </cell>
          <cell r="HS545">
            <v>16.606720404686712</v>
          </cell>
          <cell r="HT545">
            <v>4.151680101171678</v>
          </cell>
          <cell r="HU545">
            <v>-122.88239477601064</v>
          </cell>
          <cell r="HV545">
            <v>32.064449131121592</v>
          </cell>
          <cell r="HW545">
            <v>8.0161122827803979</v>
          </cell>
          <cell r="HX545">
            <v>-207.47330455947917</v>
          </cell>
          <cell r="HY545">
            <v>174.7174151658769</v>
          </cell>
          <cell r="HZ545">
            <v>43.679353791469225</v>
          </cell>
          <cell r="IA545">
            <v>-168.13196187799531</v>
          </cell>
          <cell r="IB545">
            <v>51.87895950500274</v>
          </cell>
          <cell r="IC545">
            <v>12.969739876250685</v>
          </cell>
          <cell r="ID545">
            <v>-20.150041908547337</v>
          </cell>
          <cell r="IE545">
            <v>-40.912904870984676</v>
          </cell>
          <cell r="IF545">
            <v>-10.228226217746169</v>
          </cell>
          <cell r="IG545">
            <v>24.610962142246308</v>
          </cell>
          <cell r="IH545">
            <v>-19.25130053978387</v>
          </cell>
          <cell r="II545">
            <v>-81.605815206833086</v>
          </cell>
          <cell r="IJ545">
            <v>-20.401453801708271</v>
          </cell>
          <cell r="IK545">
            <v>49.249789863125216</v>
          </cell>
        </row>
        <row r="546">
          <cell r="DT546">
            <v>-95.851611716877301</v>
          </cell>
          <cell r="DU546">
            <v>1.0377759150489072</v>
          </cell>
          <cell r="DV546">
            <v>0.71768727136785626</v>
          </cell>
          <cell r="DW546">
            <v>0.59664245063668653</v>
          </cell>
          <cell r="EG546">
            <v>1789.7702300203948</v>
          </cell>
          <cell r="EH546">
            <v>1789.7702300203948</v>
          </cell>
          <cell r="EI546">
            <v>1789.7702300203946</v>
          </cell>
          <cell r="EJ546">
            <v>-95.851611716877301</v>
          </cell>
          <cell r="EK546">
            <v>1.0377759150489072</v>
          </cell>
          <cell r="EL546">
            <v>0.71768727136785626</v>
          </cell>
          <cell r="EM546">
            <v>0.59664245063668653</v>
          </cell>
          <cell r="ES546">
            <v>1689.4394854336847</v>
          </cell>
          <cell r="ET546">
            <v>1689.4394854336847</v>
          </cell>
          <cell r="EU546">
            <v>1689.4394854336849</v>
          </cell>
          <cell r="EV546">
            <v>27.979035903198707</v>
          </cell>
          <cell r="EY546">
            <v>-179.44571155234331</v>
          </cell>
          <cell r="FB546">
            <v>-592.65384430413383</v>
          </cell>
          <cell r="FC546">
            <v>-148.16346107603346</v>
          </cell>
          <cell r="FE546">
            <v>-295.3423478496577</v>
          </cell>
          <cell r="FF546">
            <v>-73.835586962414425</v>
          </cell>
          <cell r="FG546">
            <v>1546.8136045332701</v>
          </cell>
          <cell r="FH546">
            <v>-252.99326734831482</v>
          </cell>
          <cell r="FI546">
            <v>-63.248316837078704</v>
          </cell>
          <cell r="FK546">
            <v>-201.86217708400477</v>
          </cell>
          <cell r="FL546">
            <v>-50.465544271001193</v>
          </cell>
          <cell r="FN546">
            <v>-54.265343859570635</v>
          </cell>
          <cell r="FO546">
            <v>-13.566335964892659</v>
          </cell>
          <cell r="FQ546">
            <v>-249.47928704849909</v>
          </cell>
          <cell r="FR546">
            <v>-62.369821762124772</v>
          </cell>
          <cell r="FS546">
            <v>-148.16346107603346</v>
          </cell>
          <cell r="FT546">
            <v>-416.05440729815689</v>
          </cell>
          <cell r="FU546">
            <v>-104.01360182453922</v>
          </cell>
          <cell r="FV546">
            <v>-73.835586962414425</v>
          </cell>
          <cell r="FW546">
            <v>-645.17441882941046</v>
          </cell>
          <cell r="FX546">
            <v>-161.29360470735261</v>
          </cell>
          <cell r="FY546">
            <v>-63.248316837078704</v>
          </cell>
          <cell r="FZ546">
            <v>-366.2858033115981</v>
          </cell>
          <cell r="GA546">
            <v>-91.571450827899525</v>
          </cell>
          <cell r="GB546">
            <v>-50.465544271001193</v>
          </cell>
          <cell r="GC546">
            <v>-273.31788132619795</v>
          </cell>
          <cell r="GD546">
            <v>-68.329470331549487</v>
          </cell>
          <cell r="GE546">
            <v>-13.566335964892659</v>
          </cell>
          <cell r="GF546">
            <v>-312.13759293609803</v>
          </cell>
          <cell r="GG546">
            <v>-78.034398234024508</v>
          </cell>
          <cell r="GH546">
            <v>-62.369821762124772</v>
          </cell>
          <cell r="GI546">
            <v>-306.87554125706879</v>
          </cell>
          <cell r="GJ546">
            <v>-76.718885314267197</v>
          </cell>
          <cell r="GK546">
            <v>-104.01360182453922</v>
          </cell>
          <cell r="GL546">
            <v>-172.4364124793708</v>
          </cell>
          <cell r="GM546">
            <v>-43.1091031198427</v>
          </cell>
          <cell r="GN546">
            <v>-161.29360470735261</v>
          </cell>
          <cell r="GO546">
            <v>-308.96508571935192</v>
          </cell>
          <cell r="GP546">
            <v>-77.24127142983798</v>
          </cell>
          <cell r="GQ546">
            <v>-91.571450827899525</v>
          </cell>
          <cell r="GR546">
            <v>-356.08712129370701</v>
          </cell>
          <cell r="GS546">
            <v>-89.021780323426754</v>
          </cell>
          <cell r="GT546">
            <v>-68.329470331549487</v>
          </cell>
          <cell r="GU546">
            <v>181.98853037497338</v>
          </cell>
          <cell r="GV546">
            <v>45.497132593743345</v>
          </cell>
          <cell r="GW546">
            <v>-78.034398234024508</v>
          </cell>
          <cell r="GX546">
            <v>-50.27704945999244</v>
          </cell>
          <cell r="GY546">
            <v>-12.56926236499811</v>
          </cell>
          <cell r="GZ546">
            <v>-76.718885314267197</v>
          </cell>
          <cell r="HA546">
            <v>-181.82325826266492</v>
          </cell>
          <cell r="HB546">
            <v>-45.45581456566623</v>
          </cell>
          <cell r="HC546">
            <v>-43.088269786509272</v>
          </cell>
          <cell r="HD546">
            <v>46.080907332477864</v>
          </cell>
          <cell r="HE546">
            <v>11.520226833119466</v>
          </cell>
          <cell r="HF546">
            <v>-77.220438096504722</v>
          </cell>
          <cell r="HG546">
            <v>-571.63708746238808</v>
          </cell>
          <cell r="HH546">
            <v>-142.90927186559702</v>
          </cell>
          <cell r="HI546">
            <v>-89.011363656760011</v>
          </cell>
          <cell r="HJ546">
            <v>-89.086486139428416</v>
          </cell>
          <cell r="HK546">
            <v>-22.271621534857104</v>
          </cell>
          <cell r="HL546">
            <v>45.517965927076716</v>
          </cell>
          <cell r="HM546">
            <v>-124.486860021354</v>
          </cell>
          <cell r="HN546">
            <v>-31.121715005338501</v>
          </cell>
          <cell r="HO546">
            <v>-12.590095698331538</v>
          </cell>
          <cell r="HP546">
            <v>-316.66013567110372</v>
          </cell>
          <cell r="HQ546">
            <v>-79.165033917775929</v>
          </cell>
          <cell r="HR546">
            <v>-45.238397385571432</v>
          </cell>
          <cell r="HS546">
            <v>38.703902727843342</v>
          </cell>
          <cell r="HT546">
            <v>9.6759756819608356</v>
          </cell>
          <cell r="HU546">
            <v>20.346471540389587</v>
          </cell>
          <cell r="HV546">
            <v>-427.45012527330186</v>
          </cell>
          <cell r="HW546">
            <v>-106.86253131832547</v>
          </cell>
          <cell r="HX546">
            <v>-44.292422646254579</v>
          </cell>
          <cell r="HY546">
            <v>32.878510704581913</v>
          </cell>
          <cell r="HZ546">
            <v>8.2196276761454783</v>
          </cell>
          <cell r="IA546">
            <v>-49.627818364580037</v>
          </cell>
          <cell r="IB546">
            <v>275.26754420668794</v>
          </cell>
          <cell r="IC546">
            <v>68.816886051671986</v>
          </cell>
          <cell r="ID546">
            <v>24.947127232513935</v>
          </cell>
          <cell r="IE546">
            <v>217.74791893101656</v>
          </cell>
          <cell r="IF546">
            <v>54.436979732754139</v>
          </cell>
          <cell r="IG546">
            <v>49.721813238536754</v>
          </cell>
          <cell r="II546">
            <v>96.83467102661848</v>
          </cell>
          <cell r="IJ546">
            <v>24.20866775665462</v>
          </cell>
        </row>
        <row r="547">
          <cell r="AO547">
            <v>1</v>
          </cell>
          <cell r="AP547">
            <v>1</v>
          </cell>
          <cell r="AQ547">
            <v>1.0023422104108852</v>
          </cell>
          <cell r="AR547">
            <v>1.0051713473629222</v>
          </cell>
          <cell r="AS547">
            <v>1.0180557807620312</v>
          </cell>
          <cell r="AT547">
            <v>1.03468801065282</v>
          </cell>
          <cell r="AU547">
            <v>1.0542873343029722</v>
          </cell>
          <cell r="AV547">
            <v>1.0612876394707866</v>
          </cell>
          <cell r="AW547">
            <v>1.0768400434375074</v>
          </cell>
          <cell r="AX547">
            <v>1.0957300079057757</v>
          </cell>
          <cell r="AY547">
            <v>1.0844992955449202</v>
          </cell>
          <cell r="AZ547">
            <v>1.0677435742585264</v>
          </cell>
          <cell r="BA547">
            <v>1.0549132232854177</v>
          </cell>
          <cell r="BB547">
            <v>1.0556672268960192</v>
          </cell>
          <cell r="BC547">
            <v>1.0445775476155361</v>
          </cell>
          <cell r="BD547">
            <v>1.0602574968087031</v>
          </cell>
          <cell r="BE547">
            <v>1.0628396143682317</v>
          </cell>
          <cell r="BF547">
            <v>1.0633901935810299</v>
          </cell>
          <cell r="BG547">
            <v>1.0501419257997326</v>
          </cell>
          <cell r="BH547">
            <v>1.0290420404818093</v>
          </cell>
          <cell r="BI547">
            <v>1.0259793302475921</v>
          </cell>
          <cell r="BJ547">
            <v>1.0273885157086171</v>
          </cell>
          <cell r="BK547">
            <v>1.0171516736455788</v>
          </cell>
          <cell r="BL547">
            <v>1.0059429112494394</v>
          </cell>
          <cell r="BM547">
            <v>0.99370071709254471</v>
          </cell>
          <cell r="BN547">
            <v>0.99716222108547647</v>
          </cell>
          <cell r="BO547">
            <v>1.0199740262652188</v>
          </cell>
          <cell r="BP547">
            <v>1.0170572107200875</v>
          </cell>
          <cell r="BQ547">
            <v>1.0127256319148636</v>
          </cell>
          <cell r="BR547">
            <v>1.0204362964840954</v>
          </cell>
          <cell r="BS547">
            <v>1.0095988869529082</v>
          </cell>
          <cell r="BT547">
            <v>1.0503082018167462</v>
          </cell>
          <cell r="BU547">
            <v>1.0523090811404276</v>
          </cell>
          <cell r="BV547">
            <v>1.047292070415027</v>
          </cell>
          <cell r="BW547">
            <v>1.1398446160242286</v>
          </cell>
          <cell r="BX547">
            <v>1.160988962692719</v>
          </cell>
          <cell r="BY547">
            <v>1.1555568484180954</v>
          </cell>
          <cell r="BZ547">
            <v>1.1883977566751447</v>
          </cell>
          <cell r="CA547">
            <v>1.1775924531201034</v>
          </cell>
          <cell r="CB547">
            <v>1.1865268962770299</v>
          </cell>
          <cell r="CC547">
            <v>1.2798771254123715</v>
          </cell>
          <cell r="CD547">
            <v>1.2850530858867808</v>
          </cell>
          <cell r="CE547">
            <v>1.2807604239840149</v>
          </cell>
          <cell r="CF547">
            <v>1.33708949361334</v>
          </cell>
          <cell r="CG547">
            <v>1.3365687239021211</v>
          </cell>
          <cell r="CH547">
            <v>1.3393685755816089</v>
          </cell>
          <cell r="CI547">
            <v>1.3486149926071833</v>
          </cell>
          <cell r="CJ547">
            <v>1.3506315704698304</v>
          </cell>
          <cell r="CK547">
            <v>1.3856569859875016</v>
          </cell>
          <cell r="CL547">
            <v>1.375433047822709</v>
          </cell>
          <cell r="CM547">
            <v>1.3820836966639731</v>
          </cell>
          <cell r="CN547">
            <v>1.3813413024461432</v>
          </cell>
          <cell r="CO547">
            <v>1.2950868311572661</v>
          </cell>
          <cell r="CP547">
            <v>1.2898815854103078</v>
          </cell>
          <cell r="CQ547">
            <v>1.2930762491509196</v>
          </cell>
          <cell r="CR547">
            <v>1.1274956316775011</v>
          </cell>
          <cell r="CS547">
            <v>1.1375802932362722</v>
          </cell>
          <cell r="CT547">
            <v>1.1782765844909655</v>
          </cell>
          <cell r="CU547">
            <v>1.1818013567178045</v>
          </cell>
          <cell r="CV547">
            <v>1.2477265551793248</v>
          </cell>
          <cell r="CW547">
            <v>1.2855975712497083</v>
          </cell>
          <cell r="CX547">
            <v>1.2273153167673265</v>
          </cell>
          <cell r="CY547">
            <v>1.1526521669749266</v>
          </cell>
          <cell r="CZ547">
            <v>1.1267252689859839</v>
          </cell>
          <cell r="DA547">
            <v>1.1263352191258056</v>
          </cell>
          <cell r="DB547">
            <v>1.1361430809471562</v>
          </cell>
          <cell r="DC547">
            <v>1.1345239586246765</v>
          </cell>
          <cell r="DD547">
            <v>1.15243320594466</v>
          </cell>
          <cell r="DE547">
            <v>1.1666993841722999</v>
          </cell>
          <cell r="DF547">
            <v>1390.7270454785266</v>
          </cell>
          <cell r="DG547">
            <v>1390.7270454785266</v>
          </cell>
          <cell r="DH547">
            <v>1.1677986720436804</v>
          </cell>
          <cell r="DI547">
            <v>1.1350001256992182</v>
          </cell>
          <cell r="DJ547">
            <v>1.0459923704839762</v>
          </cell>
          <cell r="DK547">
            <v>1.0382885878938131</v>
          </cell>
          <cell r="DL547">
            <v>1.0263914592574723</v>
          </cell>
          <cell r="DM547">
            <v>0.98074831454634737</v>
          </cell>
          <cell r="DN547">
            <v>0.96922730150401493</v>
          </cell>
          <cell r="DO547">
            <v>0.9443712207654279</v>
          </cell>
          <cell r="DP547">
            <v>0.94135987910516639</v>
          </cell>
          <cell r="DQ547">
            <v>0.92873928776895909</v>
          </cell>
          <cell r="DR547">
            <v>1789.7702300203948</v>
          </cell>
          <cell r="DS547">
            <v>1789.7702300203946</v>
          </cell>
          <cell r="DT547">
            <v>0.91485127693871338</v>
          </cell>
          <cell r="DU547">
            <v>0.89155150947748196</v>
          </cell>
          <cell r="DV547">
            <v>1390.7270454785266</v>
          </cell>
          <cell r="DW547">
            <v>1390.7270454785266</v>
          </cell>
          <cell r="DX547">
            <v>0.89410986158125039</v>
          </cell>
          <cell r="DY547">
            <v>0.94471264979881742</v>
          </cell>
          <cell r="DZ547">
            <v>0.95653673503370795</v>
          </cell>
          <cell r="EA547">
            <v>0.97315009123282725</v>
          </cell>
          <cell r="EB547">
            <v>1.0747234613312155</v>
          </cell>
          <cell r="EC547">
            <v>1.1055306612547389</v>
          </cell>
          <cell r="ED547">
            <v>1689.4394854336847</v>
          </cell>
          <cell r="EE547">
            <v>1689.4394854336849</v>
          </cell>
          <cell r="EF547">
            <v>1.1996134833861709</v>
          </cell>
          <cell r="EG547">
            <v>1.1764700296395358</v>
          </cell>
          <cell r="EH547">
            <v>1789.7702300203948</v>
          </cell>
          <cell r="EI547">
            <v>1789.7702300203946</v>
          </cell>
          <cell r="EJ547">
            <v>1.2328493731686994</v>
          </cell>
          <cell r="EK547">
            <v>1.2551765512411857</v>
          </cell>
          <cell r="EL547">
            <v>1.2976044177252708</v>
          </cell>
          <cell r="EM547">
            <v>1.3491735152053346</v>
          </cell>
          <cell r="EN547">
            <v>1.3514071508404393</v>
          </cell>
          <cell r="EO547">
            <v>1.352768859525818</v>
          </cell>
          <cell r="EP547">
            <v>1546.8111880016033</v>
          </cell>
          <cell r="EQ547">
            <v>1546.8111880016033</v>
          </cell>
          <cell r="ER547">
            <v>1.3518847586035443</v>
          </cell>
          <cell r="ES547">
            <v>1.4917510074173077</v>
          </cell>
          <cell r="ET547">
            <v>1689.4394854336847</v>
          </cell>
          <cell r="EU547">
            <v>1689.4394854336849</v>
          </cell>
          <cell r="EV547">
            <v>1.3307259398190021</v>
          </cell>
          <cell r="EW547">
            <v>1.3598747668498321</v>
          </cell>
          <cell r="EX547">
            <v>1.3143555282146466</v>
          </cell>
          <cell r="EY547">
            <v>1.2441072948538394</v>
          </cell>
          <cell r="EZ547">
            <v>1.2035583449978078</v>
          </cell>
          <cell r="FA547">
            <v>1.2152265246433502</v>
          </cell>
          <cell r="FB547">
            <v>1.1932173710430636</v>
          </cell>
          <cell r="FC547">
            <v>1.1233642993844561</v>
          </cell>
          <cell r="FD547">
            <v>1.1058099383365025</v>
          </cell>
          <cell r="FE547">
            <v>1.0584416791342364</v>
          </cell>
          <cell r="FF547">
            <v>1546.8111880016033</v>
          </cell>
          <cell r="FG547">
            <v>1546.8111880016033</v>
          </cell>
          <cell r="FH547">
            <v>1.0523781125748424</v>
          </cell>
          <cell r="FI547">
            <v>1.1601777319998674</v>
          </cell>
          <cell r="FJ547">
            <v>1.1755711870762173</v>
          </cell>
          <cell r="FK547">
            <v>1.1582120228695219</v>
          </cell>
          <cell r="FL547">
            <v>1.1508363133685786</v>
          </cell>
          <cell r="FM547">
            <v>1.1666539920837153</v>
          </cell>
          <cell r="FN547">
            <v>1.2195262413313326</v>
          </cell>
          <cell r="FO547">
            <v>1.2468086828766887</v>
          </cell>
          <cell r="FP547">
            <v>1.2448620000025969</v>
          </cell>
          <cell r="FQ547">
            <v>1.2768717835822911</v>
          </cell>
          <cell r="FR547">
            <v>1.3592105287295249</v>
          </cell>
          <cell r="FS547">
            <v>1.5596057644202974</v>
          </cell>
          <cell r="FT547">
            <v>1.688563384850184</v>
          </cell>
          <cell r="FU547">
            <v>1.532755324707697</v>
          </cell>
          <cell r="FV547">
            <v>1.3907296671543115</v>
          </cell>
          <cell r="FW547">
            <v>1.3619916745952507</v>
          </cell>
          <cell r="FX547">
            <v>1.3724666633470584</v>
          </cell>
          <cell r="FY547">
            <v>1.4100773385082996</v>
          </cell>
          <cell r="FZ547">
            <v>1.4325114798625205</v>
          </cell>
          <cell r="GA547">
            <v>1.4164794136859005</v>
          </cell>
          <cell r="GB547">
            <v>1.4134100076317131</v>
          </cell>
          <cell r="GC547">
            <v>1.4796572267497452</v>
          </cell>
          <cell r="GD547">
            <v>1.588319035201242</v>
          </cell>
          <cell r="GE547">
            <v>1.5908245987031773</v>
          </cell>
          <cell r="GF547">
            <v>1.5736708073998895</v>
          </cell>
          <cell r="GG547">
            <v>1.5964441591355061</v>
          </cell>
          <cell r="GH547">
            <v>1.6687573472491175</v>
          </cell>
          <cell r="GI547">
            <v>1.6888963919792948</v>
          </cell>
          <cell r="GJ547">
            <v>1.7227064843901057</v>
          </cell>
          <cell r="GK547">
            <v>1.7905406688915633</v>
          </cell>
          <cell r="GL547">
            <v>1.8168620615094857</v>
          </cell>
          <cell r="GM547">
            <v>1.9817527347425807</v>
          </cell>
          <cell r="GN547">
            <v>2.0539747817466543</v>
          </cell>
          <cell r="GO547">
            <v>2.0029298718558226</v>
          </cell>
          <cell r="GP547">
            <v>1.8606691697644269</v>
          </cell>
          <cell r="GQ547">
            <v>1.8773335123299066</v>
          </cell>
          <cell r="GR547">
            <v>1.9965386415207051</v>
          </cell>
          <cell r="GS547">
            <v>2.0183900556079055</v>
          </cell>
          <cell r="GT547">
            <v>1.9414459653295775</v>
          </cell>
          <cell r="GU547">
            <v>1.9409812252116592</v>
          </cell>
          <cell r="GV547">
            <v>1.9339807769832316</v>
          </cell>
          <cell r="GW547">
            <v>1.9446961129152427</v>
          </cell>
          <cell r="GX547">
            <v>1.9465569928622708</v>
          </cell>
          <cell r="GY547">
            <v>1.9673802296825311</v>
          </cell>
          <cell r="GZ547">
            <v>1.9913954551212922</v>
          </cell>
          <cell r="HA547">
            <v>2.0255520025608296</v>
          </cell>
          <cell r="HB547">
            <v>1.9524174707882505</v>
          </cell>
          <cell r="HC547">
            <v>1.9473051451742966</v>
          </cell>
          <cell r="HD547">
            <v>1.9433291492992857</v>
          </cell>
          <cell r="HE547">
            <v>1.934288956468823</v>
          </cell>
          <cell r="HF547">
            <v>1.8814531786471749</v>
          </cell>
          <cell r="HG547">
            <v>1.8412675434787167</v>
          </cell>
          <cell r="HH547">
            <v>1.7993893375419572</v>
          </cell>
          <cell r="HI547">
            <v>1.7878694467630496</v>
          </cell>
          <cell r="HJ547">
            <v>1.7853697686569461</v>
          </cell>
          <cell r="HK547">
            <v>1.7888756207654217</v>
          </cell>
          <cell r="HL547">
            <v>1.7910892065538548</v>
          </cell>
          <cell r="HM547">
            <v>1.8204995450416106</v>
          </cell>
        </row>
        <row r="548">
          <cell r="Z548">
            <v>1</v>
          </cell>
          <cell r="AA548">
            <v>1.0023422104108852</v>
          </cell>
          <cell r="AB548">
            <v>1.0051713473629222</v>
          </cell>
          <cell r="AC548">
            <v>1.0180557807620312</v>
          </cell>
          <cell r="AD548">
            <v>1.03468801065282</v>
          </cell>
          <cell r="AE548">
            <v>1.0542873343029722</v>
          </cell>
          <cell r="AF548">
            <v>1.0612876394707866</v>
          </cell>
          <cell r="AG548">
            <v>1.0768400434375074</v>
          </cell>
          <cell r="AH548">
            <v>1.0957300079057757</v>
          </cell>
          <cell r="AI548">
            <v>1.0844992955449202</v>
          </cell>
          <cell r="AJ548">
            <v>1.0677435742585264</v>
          </cell>
          <cell r="AK548">
            <v>1.0549132232854177</v>
          </cell>
          <cell r="AL548">
            <v>1.0556672268960192</v>
          </cell>
          <cell r="AM548">
            <v>1.0445775476155361</v>
          </cell>
          <cell r="AN548">
            <v>1.0602574968087031</v>
          </cell>
          <cell r="AO548">
            <v>1.0628396143682317</v>
          </cell>
          <cell r="AP548">
            <v>1.0633901935810299</v>
          </cell>
          <cell r="AQ548">
            <v>1.0501419257997326</v>
          </cell>
          <cell r="AR548">
            <v>1.0290420404818093</v>
          </cell>
          <cell r="AS548">
            <v>1.0259793302475921</v>
          </cell>
          <cell r="AT548">
            <v>1.0273885157086171</v>
          </cell>
          <cell r="AU548">
            <v>1.0171516736455788</v>
          </cell>
          <cell r="AV548">
            <v>1.0059429112494394</v>
          </cell>
          <cell r="AW548">
            <v>0.99370071709254471</v>
          </cell>
          <cell r="AX548">
            <v>0.99716222108547647</v>
          </cell>
          <cell r="AY548">
            <v>1.0199740262652188</v>
          </cell>
          <cell r="AZ548">
            <v>1.0170572107200875</v>
          </cell>
          <cell r="BA548">
            <v>1.0127256319148636</v>
          </cell>
          <cell r="BB548">
            <v>1.0204362964840954</v>
          </cell>
          <cell r="BC548">
            <v>1.0095988869529082</v>
          </cell>
          <cell r="BD548">
            <v>1.0503082018167462</v>
          </cell>
          <cell r="BE548">
            <v>1.0523090811404276</v>
          </cell>
          <cell r="BF548">
            <v>1.047292070415027</v>
          </cell>
          <cell r="BG548">
            <v>1.1398446160242286</v>
          </cell>
          <cell r="BH548">
            <v>1.160988962692719</v>
          </cell>
          <cell r="BI548">
            <v>1.1555568484180954</v>
          </cell>
          <cell r="BJ548">
            <v>1.1883977566751447</v>
          </cell>
          <cell r="BK548">
            <v>1.1775924531201034</v>
          </cell>
          <cell r="BL548">
            <v>1.1865268962770299</v>
          </cell>
          <cell r="BM548">
            <v>1.2798771254123715</v>
          </cell>
          <cell r="BN548">
            <v>1.2850530858867808</v>
          </cell>
          <cell r="BO548">
            <v>1.2807604239840149</v>
          </cell>
          <cell r="BP548">
            <v>1.33708949361334</v>
          </cell>
          <cell r="BQ548">
            <v>1.3365687239021211</v>
          </cell>
          <cell r="BR548">
            <v>1.3393685755816089</v>
          </cell>
          <cell r="BS548">
            <v>1.3486149926071833</v>
          </cell>
          <cell r="BT548">
            <v>1.3506315704698304</v>
          </cell>
          <cell r="BU548">
            <v>1.3856569859875016</v>
          </cell>
          <cell r="BV548">
            <v>1.375433047822709</v>
          </cell>
          <cell r="BW548">
            <v>1.3820836966639731</v>
          </cell>
          <cell r="BX548">
            <v>1.3813413024461432</v>
          </cell>
          <cell r="BY548">
            <v>1.2950868311572661</v>
          </cell>
          <cell r="BZ548">
            <v>1.2898815854103078</v>
          </cell>
          <cell r="CA548">
            <v>1.2930762491509196</v>
          </cell>
          <cell r="CB548">
            <v>1.1274956316775011</v>
          </cell>
          <cell r="CC548">
            <v>1.1375802932362722</v>
          </cell>
          <cell r="CD548">
            <v>1.1782765844909655</v>
          </cell>
          <cell r="CE548">
            <v>1.1818013567178045</v>
          </cell>
          <cell r="CF548">
            <v>1.2477265551793248</v>
          </cell>
          <cell r="CG548">
            <v>1.2855975712497083</v>
          </cell>
          <cell r="CH548">
            <v>1.2273153167673265</v>
          </cell>
          <cell r="CI548">
            <v>1.1526521669749266</v>
          </cell>
          <cell r="CJ548">
            <v>1.1267252689859839</v>
          </cell>
          <cell r="CK548">
            <v>1.1263352191258056</v>
          </cell>
          <cell r="CL548">
            <v>1.1361430809471562</v>
          </cell>
          <cell r="CM548">
            <v>1.1345239586246765</v>
          </cell>
          <cell r="CN548">
            <v>1.15243320594466</v>
          </cell>
          <cell r="CO548">
            <v>1.1666993841722999</v>
          </cell>
          <cell r="CP548">
            <v>1.184540218340848</v>
          </cell>
          <cell r="CQ548">
            <v>1.1909334938996028</v>
          </cell>
          <cell r="CR548">
            <v>1.1677986720436804</v>
          </cell>
          <cell r="CS548">
            <v>1.1350001256992182</v>
          </cell>
          <cell r="CT548">
            <v>1.0459923704839762</v>
          </cell>
          <cell r="CU548">
            <v>1.0382885878938131</v>
          </cell>
          <cell r="CV548">
            <v>1.0263914592574723</v>
          </cell>
          <cell r="CW548">
            <v>0.98074831454634737</v>
          </cell>
          <cell r="CX548">
            <v>0.96922730150401493</v>
          </cell>
          <cell r="CY548">
            <v>0.9443712207654279</v>
          </cell>
          <cell r="CZ548">
            <v>0.94135987910516639</v>
          </cell>
          <cell r="DA548">
            <v>0.92873928776895909</v>
          </cell>
          <cell r="DB548">
            <v>0.92440252817744639</v>
          </cell>
          <cell r="DC548">
            <v>0.92158620161415161</v>
          </cell>
          <cell r="DD548">
            <v>0.91485127693871338</v>
          </cell>
          <cell r="DE548">
            <v>0.89155150947748196</v>
          </cell>
          <cell r="DF548">
            <v>0.88276472995413657</v>
          </cell>
          <cell r="DG548">
            <v>0.88677071965689391</v>
          </cell>
          <cell r="DH548">
            <v>0.89410986158125039</v>
          </cell>
          <cell r="DI548">
            <v>0.94471264979881742</v>
          </cell>
          <cell r="DJ548">
            <v>0.95653673503370795</v>
          </cell>
          <cell r="DK548">
            <v>0.97315009123282725</v>
          </cell>
          <cell r="DL548">
            <v>1.0747234613312155</v>
          </cell>
          <cell r="DM548">
            <v>1.1055306612547389</v>
          </cell>
          <cell r="DN548">
            <v>1.1295334301478155</v>
          </cell>
          <cell r="DO548">
            <v>1.2002235267114667</v>
          </cell>
          <cell r="DP548">
            <v>1.1996134833861709</v>
          </cell>
          <cell r="DQ548">
            <v>1.1764700296395358</v>
          </cell>
          <cell r="DR548">
            <v>1.2607234937595324</v>
          </cell>
          <cell r="DS548">
            <v>1.2808764430148267</v>
          </cell>
          <cell r="DT548">
            <v>1.2328493731686994</v>
          </cell>
          <cell r="DU548">
            <v>1.2551765512411857</v>
          </cell>
          <cell r="DV548">
            <v>1.2976044177252708</v>
          </cell>
          <cell r="DW548">
            <v>1.3491735152053346</v>
          </cell>
          <cell r="DX548">
            <v>1.3514071508404393</v>
          </cell>
          <cell r="DY548">
            <v>1.352768859525818</v>
          </cell>
          <cell r="DZ548">
            <v>1.3934995230814922</v>
          </cell>
          <cell r="EA548">
            <v>1.3712993343419726</v>
          </cell>
          <cell r="EB548">
            <v>1.3518847586035443</v>
          </cell>
          <cell r="EC548">
            <v>1.4917510074173077</v>
          </cell>
          <cell r="ED548">
            <v>1.5619170449005571</v>
          </cell>
          <cell r="EE548">
            <v>1.3821052667032081</v>
          </cell>
          <cell r="EF548">
            <v>1.3307259398190021</v>
          </cell>
          <cell r="EG548">
            <v>1.3598747668498321</v>
          </cell>
          <cell r="EH548">
            <v>1.3143555282146466</v>
          </cell>
          <cell r="EI548">
            <v>1.2441072948538394</v>
          </cell>
          <cell r="EJ548">
            <v>1.2035583449978078</v>
          </cell>
          <cell r="EK548">
            <v>1.2152265246433502</v>
          </cell>
          <cell r="EL548">
            <v>1.1932173710430636</v>
          </cell>
          <cell r="EM548">
            <v>1.1233642993844561</v>
          </cell>
          <cell r="EN548">
            <v>1.1058099383365025</v>
          </cell>
          <cell r="EO548">
            <v>1.0584416791342364</v>
          </cell>
          <cell r="EP548">
            <v>0.98455091852555898</v>
          </cell>
          <cell r="EQ548">
            <v>0.9820985710183987</v>
          </cell>
          <cell r="ER548">
            <v>1.0523781125748424</v>
          </cell>
          <cell r="ES548">
            <v>1.160166937888133</v>
          </cell>
          <cell r="ET548">
            <v>1.1755603929644829</v>
          </cell>
          <cell r="EU548">
            <v>1.1582120228695219</v>
          </cell>
          <cell r="EV548">
            <v>1.1508363133685786</v>
          </cell>
          <cell r="EW548">
            <v>1.1666539920837153</v>
          </cell>
          <cell r="EX548">
            <v>1.2195262413313326</v>
          </cell>
          <cell r="EY548">
            <v>1.2468086828766887</v>
          </cell>
          <cell r="EZ548">
            <v>1.2448620000025969</v>
          </cell>
          <cell r="FA548">
            <v>1.2768717835822911</v>
          </cell>
          <cell r="FB548">
            <v>1.3592105287295249</v>
          </cell>
          <cell r="FC548">
            <v>1.5596057644202974</v>
          </cell>
          <cell r="FD548">
            <v>1.688563384850184</v>
          </cell>
          <cell r="FE548">
            <v>1.532755324707697</v>
          </cell>
          <cell r="FF548">
            <v>1.3907296671543115</v>
          </cell>
          <cell r="FG548">
            <v>1.3619916745952507</v>
          </cell>
          <cell r="FH548">
            <v>1.3724666633470584</v>
          </cell>
          <cell r="FI548">
            <v>1.4100773385082996</v>
          </cell>
          <cell r="FJ548">
            <v>1.4325114798625205</v>
          </cell>
          <cell r="FK548">
            <v>1.4164794136859005</v>
          </cell>
          <cell r="FL548">
            <v>1.4134100076317131</v>
          </cell>
          <cell r="FM548">
            <v>1.4796572267497452</v>
          </cell>
          <cell r="FN548">
            <v>1.588319035201242</v>
          </cell>
          <cell r="FO548">
            <v>1.5908245987031773</v>
          </cell>
          <cell r="FP548">
            <v>1.5736708073998895</v>
          </cell>
          <cell r="FQ548">
            <v>1.5964441591355061</v>
          </cell>
          <cell r="FR548">
            <v>1.6687573472491175</v>
          </cell>
          <cell r="FS548">
            <v>1.6888963919792948</v>
          </cell>
          <cell r="FT548">
            <v>1.7227064843901057</v>
          </cell>
          <cell r="FU548">
            <v>1.7905406688915633</v>
          </cell>
          <cell r="FV548">
            <v>1.8168620615094857</v>
          </cell>
          <cell r="FW548">
            <v>1.9817527347425807</v>
          </cell>
          <cell r="FX548">
            <v>2.0539747817466543</v>
          </cell>
          <cell r="FY548">
            <v>2.0029298718558226</v>
          </cell>
          <cell r="FZ548">
            <v>1.8606691697644269</v>
          </cell>
          <cell r="GA548">
            <v>1.8773335123299066</v>
          </cell>
          <cell r="GB548">
            <v>1.996482293615947</v>
          </cell>
          <cell r="GC548">
            <v>2.0154765924400317</v>
          </cell>
          <cell r="GD548">
            <v>1.8874017218681787</v>
          </cell>
          <cell r="GE548">
            <v>1.7837298484405597</v>
          </cell>
          <cell r="GF548">
            <v>1.8426947544289112</v>
          </cell>
          <cell r="GG548">
            <v>1.9420201805747803</v>
          </cell>
          <cell r="GH548">
            <v>2.3819439764872978</v>
          </cell>
          <cell r="GI548">
            <v>2.4822444098766687</v>
          </cell>
          <cell r="GJ548">
            <v>2.280847649364953</v>
          </cell>
          <cell r="GK548">
            <v>2.0980123741658834</v>
          </cell>
          <cell r="GL548">
            <v>2.1070797320167856</v>
          </cell>
          <cell r="GM548">
            <v>2.0630298591087124</v>
          </cell>
          <cell r="GN548">
            <v>2.0265165422798024</v>
          </cell>
          <cell r="GO548">
            <v>2.1053442624123959</v>
          </cell>
          <cell r="GP548">
            <v>2.1649870211388382</v>
          </cell>
          <cell r="GQ548">
            <v>2.2443240436487484</v>
          </cell>
          <cell r="GR548">
            <v>2.3258682981209384</v>
          </cell>
          <cell r="GS548">
            <v>2.4103754955122882</v>
          </cell>
          <cell r="GT548">
            <v>2.3847525000197121</v>
          </cell>
          <cell r="GU548">
            <v>2.1761141789723824</v>
          </cell>
          <cell r="GV548">
            <v>2.0763910756716815</v>
          </cell>
          <cell r="GW548">
            <v>2.1208577040632104</v>
          </cell>
          <cell r="GX548">
            <v>2.0479966217165564</v>
          </cell>
          <cell r="GY548">
            <v>2.1092359782997638</v>
          </cell>
          <cell r="GZ548">
            <v>2.1741394000469882</v>
          </cell>
          <cell r="HA548">
            <v>2.2720324598909025</v>
          </cell>
          <cell r="HB548">
            <v>2.3462667736094316</v>
          </cell>
          <cell r="HC548">
            <v>2.3836546280474389</v>
          </cell>
          <cell r="HD548">
            <v>2.3372123960153308</v>
          </cell>
          <cell r="HE548">
            <v>2.3242144985159672</v>
          </cell>
          <cell r="HF548">
            <v>2.3360694749695088</v>
          </cell>
          <cell r="HG548">
            <v>2.5140559131863225</v>
          </cell>
          <cell r="HH548">
            <v>2.6790010965863509</v>
          </cell>
          <cell r="HI548">
            <v>2.7123317060401781</v>
          </cell>
          <cell r="HJ548">
            <v>2.1963360449276994</v>
          </cell>
          <cell r="HK548">
            <v>2.1555809864153916</v>
          </cell>
          <cell r="HL548">
            <v>2.2182127301900136</v>
          </cell>
          <cell r="HM548">
            <v>2.3339868005230873</v>
          </cell>
          <cell r="HN548">
            <v>2.4310546021611557</v>
          </cell>
          <cell r="HO548">
            <v>2.5705455980647347</v>
          </cell>
          <cell r="HP548">
            <v>2.7239136814317328</v>
          </cell>
          <cell r="HQ548">
            <v>2.5443147831610817</v>
          </cell>
          <cell r="HR548">
            <v>2.5779383196466039</v>
          </cell>
          <cell r="HS548">
            <v>2.5953770898367852</v>
          </cell>
          <cell r="HT548">
            <v>2.5938021340041431</v>
          </cell>
          <cell r="HU548">
            <v>2.6124804352328139</v>
          </cell>
          <cell r="HV548">
            <v>2.5997094485929804</v>
          </cell>
          <cell r="HW548">
            <v>2.5787648124740539</v>
          </cell>
          <cell r="HX548">
            <v>2.537250522482188</v>
          </cell>
          <cell r="HY548">
            <v>2.4695319646675347</v>
          </cell>
          <cell r="HZ548">
            <v>2.4152801888747129</v>
          </cell>
          <cell r="IA548">
            <v>2.3626582320334628</v>
          </cell>
          <cell r="IB548">
            <v>2.364746173386616</v>
          </cell>
          <cell r="IC548">
            <v>2.3687512459884728</v>
          </cell>
          <cell r="ID548">
            <v>2.3749338731174063</v>
          </cell>
          <cell r="IE548">
            <v>2.3895250720029497</v>
          </cell>
          <cell r="IF548">
            <v>2.4052179374542488</v>
          </cell>
          <cell r="IG548">
            <v>2.423337613764704</v>
          </cell>
          <cell r="IH548">
            <v>2.1582913699765194</v>
          </cell>
          <cell r="II548">
            <v>2.1742842262796884</v>
          </cell>
          <cell r="IJ548">
            <v>2.189111033142296</v>
          </cell>
          <cell r="IK548">
            <v>2.2250476040789855</v>
          </cell>
        </row>
        <row r="550">
          <cell r="AO550">
            <v>74.312322487677733</v>
          </cell>
          <cell r="AP550">
            <v>74.312322487677733</v>
          </cell>
          <cell r="AQ550">
            <v>77.878225141848347</v>
          </cell>
          <cell r="AR550">
            <v>78.504299653649298</v>
          </cell>
          <cell r="AS550">
            <v>78.667623439336495</v>
          </cell>
          <cell r="AT550">
            <v>84.220632152701427</v>
          </cell>
          <cell r="AU550">
            <v>91.787967556208528</v>
          </cell>
          <cell r="AV550">
            <v>91.597423139573451</v>
          </cell>
          <cell r="AW550">
            <v>95.898282829336495</v>
          </cell>
          <cell r="AX550">
            <v>101.69627722123222</v>
          </cell>
          <cell r="AY550">
            <v>96.252151031658769</v>
          </cell>
          <cell r="AZ550">
            <v>88.95702193763033</v>
          </cell>
          <cell r="BA550">
            <v>84.329514676492906</v>
          </cell>
          <cell r="BB550">
            <v>90.726362949241704</v>
          </cell>
          <cell r="BC550">
            <v>89.256448878056872</v>
          </cell>
          <cell r="BD550">
            <v>92.468483329905212</v>
          </cell>
          <cell r="BE550">
            <v>93.421205413080571</v>
          </cell>
          <cell r="BF550">
            <v>88.848139413838879</v>
          </cell>
          <cell r="BG550">
            <v>88.63037436625595</v>
          </cell>
          <cell r="BH550">
            <v>84.955589188293843</v>
          </cell>
          <cell r="BI550">
            <v>82.478511772037933</v>
          </cell>
          <cell r="BJ550">
            <v>80.926935808009475</v>
          </cell>
          <cell r="BK550">
            <v>79.402580474928925</v>
          </cell>
          <cell r="BL550">
            <v>74.611749428104275</v>
          </cell>
          <cell r="BM550">
            <v>66.663325191327019</v>
          </cell>
          <cell r="BN550">
            <v>71.073067404881513</v>
          </cell>
          <cell r="BO550">
            <v>78.504299653649298</v>
          </cell>
          <cell r="BP550">
            <v>76.871061796777255</v>
          </cell>
          <cell r="BQ550">
            <v>78.014328296587678</v>
          </cell>
          <cell r="BR550">
            <v>80.191978772417059</v>
          </cell>
          <cell r="BS550">
            <v>78.014328296587678</v>
          </cell>
          <cell r="BT550">
            <v>79.157594796398101</v>
          </cell>
          <cell r="BU550">
            <v>81.06303896274882</v>
          </cell>
          <cell r="BV550">
            <v>81.144700855592433</v>
          </cell>
          <cell r="BW550">
            <v>87.732093544976294</v>
          </cell>
          <cell r="BX550">
            <v>93.366764151184839</v>
          </cell>
          <cell r="BY550">
            <v>90.644701056398091</v>
          </cell>
          <cell r="BZ550">
            <v>88.63037436625595</v>
          </cell>
          <cell r="CA550">
            <v>85.527222438199061</v>
          </cell>
          <cell r="CB550">
            <v>88.657594997203788</v>
          </cell>
          <cell r="CC550">
            <v>87.4054459736019</v>
          </cell>
          <cell r="CD550">
            <v>88.548712473412337</v>
          </cell>
          <cell r="CE550">
            <v>86.180517580947878</v>
          </cell>
          <cell r="CF550">
            <v>83.56733700995261</v>
          </cell>
          <cell r="CG550">
            <v>84.819486033554512</v>
          </cell>
          <cell r="CH550">
            <v>84.90114792639811</v>
          </cell>
          <cell r="CI550">
            <v>83.785102057535568</v>
          </cell>
          <cell r="CJ550">
            <v>83.975646474170631</v>
          </cell>
          <cell r="CK550">
            <v>95.5716352579621</v>
          </cell>
          <cell r="CL550">
            <v>95.925503460284375</v>
          </cell>
          <cell r="CM550">
            <v>103.19341192336493</v>
          </cell>
          <cell r="CN550">
            <v>99.818053685829383</v>
          </cell>
          <cell r="CO550">
            <v>96.14326850786729</v>
          </cell>
          <cell r="CP550">
            <v>94.455589389099529</v>
          </cell>
          <cell r="CQ550">
            <v>94.265044972464466</v>
          </cell>
          <cell r="CR550">
            <v>96.52435734113746</v>
          </cell>
          <cell r="CS550">
            <v>103.73782454232229</v>
          </cell>
          <cell r="CT550">
            <v>126.22206570526066</v>
          </cell>
          <cell r="CU550">
            <v>139.07020351265402</v>
          </cell>
          <cell r="CV550">
            <v>159.18624978312795</v>
          </cell>
          <cell r="CW550">
            <v>164.73925849649291</v>
          </cell>
          <cell r="CX550">
            <v>127.4469940979147</v>
          </cell>
          <cell r="CY550">
            <v>104.66332599454977</v>
          </cell>
          <cell r="CZ550">
            <v>104.09169274464456</v>
          </cell>
          <cell r="DA550">
            <v>94.428368758151649</v>
          </cell>
          <cell r="DB550">
            <v>95.734959043649312</v>
          </cell>
          <cell r="DC550">
            <v>93.176219734549747</v>
          </cell>
          <cell r="DD550">
            <v>94.618913174786741</v>
          </cell>
          <cell r="DE550">
            <v>100.33524567383886</v>
          </cell>
          <cell r="DF550">
            <v>104.69054662549762</v>
          </cell>
          <cell r="DG550">
            <v>107.84813981545024</v>
          </cell>
          <cell r="DH550">
            <v>97.041549329146932</v>
          </cell>
          <cell r="DI550">
            <v>90.998569258720366</v>
          </cell>
          <cell r="DJ550">
            <v>81.389686534123229</v>
          </cell>
          <cell r="DK550">
            <v>80.654729498530813</v>
          </cell>
          <cell r="DL550">
            <v>73.931233654407592</v>
          </cell>
          <cell r="DM550">
            <v>78.613182177440748</v>
          </cell>
          <cell r="DN550">
            <v>74.176219332938402</v>
          </cell>
          <cell r="DO550">
            <v>65.901147524786737</v>
          </cell>
          <cell r="DP550">
            <v>66.418339512796209</v>
          </cell>
          <cell r="DQ550">
            <v>65.275073012985786</v>
          </cell>
          <cell r="DR550">
            <v>67.207737810284357</v>
          </cell>
          <cell r="DS550">
            <v>69.439829548009484</v>
          </cell>
          <cell r="DT550">
            <v>66.717766453222765</v>
          </cell>
          <cell r="DU550">
            <v>56.373926693033177</v>
          </cell>
          <cell r="DV550">
            <v>58.823783478341241</v>
          </cell>
          <cell r="DW550">
            <v>60.429800704265404</v>
          </cell>
          <cell r="DX550">
            <v>65.111749227298574</v>
          </cell>
          <cell r="DY550">
            <v>76.326649177819917</v>
          </cell>
          <cell r="DZ550">
            <v>76.571634856350713</v>
          </cell>
          <cell r="EA550">
            <v>84.057308367014215</v>
          </cell>
          <cell r="EB550">
            <v>100.85243766184834</v>
          </cell>
          <cell r="EC550">
            <v>110.08023155317535</v>
          </cell>
          <cell r="ED550">
            <v>116.88538929014219</v>
          </cell>
          <cell r="EE550">
            <v>122.92836936056872</v>
          </cell>
          <cell r="EF550">
            <v>117.538684432891</v>
          </cell>
          <cell r="EG550">
            <v>116.25931477834123</v>
          </cell>
          <cell r="EH550">
            <v>149.57736705853083</v>
          </cell>
          <cell r="EI550">
            <v>160.00286871156399</v>
          </cell>
          <cell r="EJ550">
            <v>138.93410035791467</v>
          </cell>
          <cell r="EK550">
            <v>126.65759580042656</v>
          </cell>
          <cell r="EL550">
            <v>139.56017486971564</v>
          </cell>
          <cell r="EM550">
            <v>150.96561923687204</v>
          </cell>
          <cell r="EN550">
            <v>149.03295443957344</v>
          </cell>
          <cell r="EO550">
            <v>158.75071968796212</v>
          </cell>
          <cell r="EP550">
            <v>173.64040481644551</v>
          </cell>
          <cell r="EQ550">
            <v>167.67908663886257</v>
          </cell>
          <cell r="ER550">
            <v>164.68481723459718</v>
          </cell>
          <cell r="ES550">
            <v>207.802296656019</v>
          </cell>
          <cell r="ET550">
            <v>204.34527652563983</v>
          </cell>
          <cell r="EU550">
            <v>159.21347041407583</v>
          </cell>
          <cell r="EV550">
            <v>146.77364207090048</v>
          </cell>
          <cell r="EW550">
            <v>147.48137847554503</v>
          </cell>
          <cell r="EX550">
            <v>139.07020351265402</v>
          </cell>
          <cell r="EY550">
            <v>116.64040361161139</v>
          </cell>
          <cell r="EZ550">
            <v>105.45272429203793</v>
          </cell>
          <cell r="FA550">
            <v>112.58452960037914</v>
          </cell>
          <cell r="FB550">
            <v>112.63897086227489</v>
          </cell>
          <cell r="FC550">
            <v>106.70487331563982</v>
          </cell>
          <cell r="FD550">
            <v>89.17478698521326</v>
          </cell>
          <cell r="FE550">
            <v>80.681950129478679</v>
          </cell>
          <cell r="FF550">
            <v>78.722064701232227</v>
          </cell>
          <cell r="FG550">
            <v>84.792265402606631</v>
          </cell>
          <cell r="FH550">
            <v>102.97564687578199</v>
          </cell>
          <cell r="FI550">
            <v>112.01289635047394</v>
          </cell>
          <cell r="FJ550">
            <v>110.32521723170616</v>
          </cell>
          <cell r="FK550">
            <v>101.69627722123222</v>
          </cell>
          <cell r="FL550">
            <v>100.41690756668247</v>
          </cell>
          <cell r="FM550">
            <v>112.88395654080568</v>
          </cell>
          <cell r="FN550">
            <v>127.77364166928911</v>
          </cell>
          <cell r="FO550">
            <v>130.06017466890995</v>
          </cell>
          <cell r="FP550">
            <v>128.12750987161138</v>
          </cell>
          <cell r="FQ550">
            <v>142.17335544071088</v>
          </cell>
          <cell r="FR550">
            <v>162.58882865161138</v>
          </cell>
          <cell r="FS550">
            <v>196.20630787222748</v>
          </cell>
          <cell r="FT550">
            <v>168.2234992578199</v>
          </cell>
          <cell r="FU550">
            <v>136.72922925113744</v>
          </cell>
          <cell r="FV550">
            <v>146.7464214399526</v>
          </cell>
          <cell r="FW550">
            <v>151.67335564151657</v>
          </cell>
          <cell r="FX550">
            <v>143.67049014284362</v>
          </cell>
          <cell r="FY550">
            <v>149.19627822526064</v>
          </cell>
          <cell r="FZ550">
            <v>141.49283966701421</v>
          </cell>
          <cell r="GA550">
            <v>150.58453040360189</v>
          </cell>
          <cell r="GB550">
            <v>148.24355614208531</v>
          </cell>
          <cell r="GC550">
            <v>170.75501793597155</v>
          </cell>
          <cell r="GD550">
            <v>200.53438819293839</v>
          </cell>
          <cell r="GE550">
            <v>178.73066280369667</v>
          </cell>
          <cell r="GF550">
            <v>159.5673386163981</v>
          </cell>
          <cell r="GG550">
            <v>165.03868543691942</v>
          </cell>
          <cell r="GH550">
            <v>184.12034773137444</v>
          </cell>
          <cell r="GI550">
            <v>182.62321302924173</v>
          </cell>
          <cell r="GJ550">
            <v>202.00430226412323</v>
          </cell>
          <cell r="GK550">
            <v>228.05444608123224</v>
          </cell>
          <cell r="GL550">
            <v>217.79226821388627</v>
          </cell>
          <cell r="GM550">
            <v>246.21060692345975</v>
          </cell>
          <cell r="GN550">
            <v>234.8323831872512</v>
          </cell>
          <cell r="GO550">
            <v>211.01433110786732</v>
          </cell>
          <cell r="GP550">
            <v>200.28940251440758</v>
          </cell>
          <cell r="GQ550">
            <v>206.2235000610427</v>
          </cell>
          <cell r="GR550">
            <v>238.39828584142182</v>
          </cell>
          <cell r="GS550">
            <v>233.77077858028437</v>
          </cell>
          <cell r="GT550">
            <v>231.37536305687206</v>
          </cell>
          <cell r="GU550">
            <v>232.7363946042654</v>
          </cell>
          <cell r="GV550">
            <v>231.37536305687206</v>
          </cell>
          <cell r="GW550">
            <v>236.8194892464455</v>
          </cell>
          <cell r="GX550">
            <v>242.26361543601894</v>
          </cell>
          <cell r="GY550">
            <v>246.34671007819907</v>
          </cell>
          <cell r="GZ550">
            <v>249.06877317298583</v>
          </cell>
          <cell r="HA550">
            <v>255.87393090995263</v>
          </cell>
          <cell r="HB550">
            <v>253.15186781516587</v>
          </cell>
          <cell r="HC550">
            <v>236.8194892464455</v>
          </cell>
          <cell r="HD550">
            <v>220.48711067772516</v>
          </cell>
          <cell r="HE550">
            <v>215.04298448815163</v>
          </cell>
          <cell r="HF550">
            <v>212.32092139336493</v>
          </cell>
          <cell r="HG550">
            <v>202.79370056161139</v>
          </cell>
          <cell r="HH550">
            <v>198.71060591943129</v>
          </cell>
          <cell r="HI550">
            <v>197.34957437203792</v>
          </cell>
          <cell r="HJ550">
            <v>197.34957437203792</v>
          </cell>
          <cell r="HK550">
            <v>198.7378265503792</v>
          </cell>
          <cell r="HL550">
            <v>200.07163746682463</v>
          </cell>
          <cell r="HM550">
            <v>209.59885829857819</v>
          </cell>
        </row>
        <row r="551">
          <cell r="Z551">
            <v>74.312322487677733</v>
          </cell>
          <cell r="AA551">
            <v>77.878225141848347</v>
          </cell>
          <cell r="AB551">
            <v>78.504299653649298</v>
          </cell>
          <cell r="AC551">
            <v>78.667623439336495</v>
          </cell>
          <cell r="AD551">
            <v>84.220632152701427</v>
          </cell>
          <cell r="AE551">
            <v>91.787967556208528</v>
          </cell>
          <cell r="AF551">
            <v>91.597423139573451</v>
          </cell>
          <cell r="AG551">
            <v>95.898282829336495</v>
          </cell>
          <cell r="AH551">
            <v>101.69627722123222</v>
          </cell>
          <cell r="AI551">
            <v>96.252151031658769</v>
          </cell>
          <cell r="AJ551">
            <v>88.95702193763033</v>
          </cell>
          <cell r="AK551">
            <v>84.329514676492906</v>
          </cell>
          <cell r="AL551">
            <v>90.726362949241704</v>
          </cell>
          <cell r="AM551">
            <v>89.256448878056872</v>
          </cell>
          <cell r="AN551">
            <v>92.468483329905212</v>
          </cell>
          <cell r="AO551">
            <v>93.421205413080571</v>
          </cell>
          <cell r="AP551">
            <v>88.848139413838879</v>
          </cell>
          <cell r="AQ551">
            <v>88.63037436625595</v>
          </cell>
          <cell r="AR551">
            <v>84.955589188293843</v>
          </cell>
          <cell r="AS551">
            <v>82.478511772037933</v>
          </cell>
          <cell r="AT551">
            <v>80.926935808009475</v>
          </cell>
          <cell r="AU551">
            <v>79.402580474928925</v>
          </cell>
          <cell r="AV551">
            <v>74.611749428104275</v>
          </cell>
          <cell r="AW551">
            <v>66.663325191327019</v>
          </cell>
          <cell r="AX551">
            <v>71.073067404881513</v>
          </cell>
          <cell r="AY551">
            <v>78.504299653649298</v>
          </cell>
          <cell r="AZ551">
            <v>76.871061796777255</v>
          </cell>
          <cell r="BA551">
            <v>78.014328296587678</v>
          </cell>
          <cell r="BB551">
            <v>80.191978772417059</v>
          </cell>
          <cell r="BC551">
            <v>78.014328296587678</v>
          </cell>
          <cell r="BD551">
            <v>79.157594796398101</v>
          </cell>
          <cell r="BE551">
            <v>81.06303896274882</v>
          </cell>
          <cell r="BF551">
            <v>81.144700855592433</v>
          </cell>
          <cell r="BG551">
            <v>87.732093544976294</v>
          </cell>
          <cell r="BH551">
            <v>93.366764151184839</v>
          </cell>
          <cell r="BI551">
            <v>90.644701056398091</v>
          </cell>
          <cell r="BJ551">
            <v>88.63037436625595</v>
          </cell>
          <cell r="BK551">
            <v>85.527222438199061</v>
          </cell>
          <cell r="BL551">
            <v>88.657594997203788</v>
          </cell>
          <cell r="BM551">
            <v>87.4054459736019</v>
          </cell>
          <cell r="BN551">
            <v>88.548712473412337</v>
          </cell>
          <cell r="BO551">
            <v>86.180517580947878</v>
          </cell>
          <cell r="BP551">
            <v>83.56733700995261</v>
          </cell>
          <cell r="BQ551">
            <v>84.819486033554512</v>
          </cell>
          <cell r="BR551">
            <v>84.90114792639811</v>
          </cell>
          <cell r="BS551">
            <v>83.785102057535568</v>
          </cell>
          <cell r="BT551">
            <v>83.975646474170631</v>
          </cell>
          <cell r="BU551">
            <v>95.5716352579621</v>
          </cell>
          <cell r="BV551">
            <v>95.925503460284375</v>
          </cell>
          <cell r="BW551">
            <v>103.19341192336493</v>
          </cell>
          <cell r="BX551">
            <v>99.818053685829383</v>
          </cell>
          <cell r="BY551">
            <v>96.14326850786729</v>
          </cell>
          <cell r="BZ551">
            <v>94.455589389099529</v>
          </cell>
          <cell r="CA551">
            <v>94.265044972464466</v>
          </cell>
          <cell r="CB551">
            <v>96.52435734113746</v>
          </cell>
          <cell r="CC551">
            <v>103.73782454232229</v>
          </cell>
          <cell r="CD551">
            <v>126.22206570526066</v>
          </cell>
          <cell r="CE551">
            <v>139.07020351265402</v>
          </cell>
          <cell r="CF551">
            <v>159.18624978312795</v>
          </cell>
          <cell r="CG551">
            <v>164.73925849649291</v>
          </cell>
          <cell r="CH551">
            <v>127.4469940979147</v>
          </cell>
          <cell r="CI551">
            <v>104.66332599454977</v>
          </cell>
          <cell r="CJ551">
            <v>104.09169274464456</v>
          </cell>
          <cell r="CK551">
            <v>94.428368758151649</v>
          </cell>
          <cell r="CL551">
            <v>95.734959043649312</v>
          </cell>
          <cell r="CM551">
            <v>93.176219734549747</v>
          </cell>
          <cell r="CN551">
            <v>94.618913174786741</v>
          </cell>
          <cell r="CO551">
            <v>100.33524567383886</v>
          </cell>
          <cell r="CP551">
            <v>104.69054662549762</v>
          </cell>
          <cell r="CQ551">
            <v>107.84813981545024</v>
          </cell>
          <cell r="CR551">
            <v>97.041549329146932</v>
          </cell>
          <cell r="CS551">
            <v>90.998569258720366</v>
          </cell>
          <cell r="CT551">
            <v>81.389686534123229</v>
          </cell>
          <cell r="CU551">
            <v>80.654729498530813</v>
          </cell>
          <cell r="CV551">
            <v>73.931233654407592</v>
          </cell>
          <cell r="CW551">
            <v>78.613182177440748</v>
          </cell>
          <cell r="CX551">
            <v>74.176219332938402</v>
          </cell>
          <cell r="CY551">
            <v>65.901147524786737</v>
          </cell>
          <cell r="CZ551">
            <v>66.418339512796209</v>
          </cell>
          <cell r="DA551">
            <v>65.275073012985786</v>
          </cell>
          <cell r="DB551">
            <v>67.207737810284357</v>
          </cell>
          <cell r="DC551">
            <v>69.439829548009484</v>
          </cell>
          <cell r="DD551">
            <v>66.717766453222765</v>
          </cell>
          <cell r="DE551">
            <v>56.373926693033177</v>
          </cell>
          <cell r="DF551">
            <v>58.823783478341241</v>
          </cell>
          <cell r="DG551">
            <v>60.429800704265404</v>
          </cell>
          <cell r="DH551">
            <v>65.111749227298574</v>
          </cell>
          <cell r="DI551">
            <v>76.326649177819917</v>
          </cell>
          <cell r="DJ551">
            <v>76.571634856350713</v>
          </cell>
          <cell r="DK551">
            <v>84.057308367014215</v>
          </cell>
          <cell r="DL551">
            <v>100.85243766184834</v>
          </cell>
          <cell r="DM551">
            <v>110.08023155317535</v>
          </cell>
          <cell r="DN551">
            <v>116.88538929014219</v>
          </cell>
          <cell r="DO551">
            <v>122.92836936056872</v>
          </cell>
          <cell r="DP551">
            <v>117.538684432891</v>
          </cell>
          <cell r="DQ551">
            <v>116.25931477834123</v>
          </cell>
          <cell r="DR551">
            <v>149.57736705853083</v>
          </cell>
          <cell r="DS551">
            <v>160.00286871156399</v>
          </cell>
          <cell r="DT551">
            <v>138.93410035791467</v>
          </cell>
          <cell r="DU551">
            <v>126.65759580042656</v>
          </cell>
          <cell r="DV551">
            <v>139.56017486971564</v>
          </cell>
          <cell r="DW551">
            <v>150.96561923687204</v>
          </cell>
          <cell r="DX551">
            <v>149.03295443957344</v>
          </cell>
          <cell r="DY551">
            <v>158.75071968796212</v>
          </cell>
          <cell r="DZ551">
            <v>173.64040481644551</v>
          </cell>
          <cell r="EA551">
            <v>167.67908663886257</v>
          </cell>
          <cell r="EB551">
            <v>164.68481723459718</v>
          </cell>
          <cell r="EC551">
            <v>207.802296656019</v>
          </cell>
          <cell r="ED551">
            <v>204.34527652563983</v>
          </cell>
          <cell r="EE551">
            <v>159.21347041407583</v>
          </cell>
          <cell r="EF551">
            <v>146.77364207090048</v>
          </cell>
          <cell r="EG551">
            <v>147.48137847554503</v>
          </cell>
          <cell r="EH551">
            <v>139.07020351265402</v>
          </cell>
          <cell r="EI551">
            <v>116.64040361161139</v>
          </cell>
          <cell r="EJ551">
            <v>105.45272429203793</v>
          </cell>
          <cell r="EK551">
            <v>112.58452960037914</v>
          </cell>
          <cell r="EL551">
            <v>112.63897086227489</v>
          </cell>
          <cell r="EM551">
            <v>106.70487331563982</v>
          </cell>
          <cell r="EN551">
            <v>89.17478698521326</v>
          </cell>
          <cell r="EO551">
            <v>80.681950129478679</v>
          </cell>
          <cell r="EP551">
            <v>78.722064701232227</v>
          </cell>
          <cell r="EQ551">
            <v>84.792265402606631</v>
          </cell>
          <cell r="ER551">
            <v>102.97564687578199</v>
          </cell>
          <cell r="ES551">
            <v>112.01289635047394</v>
          </cell>
          <cell r="ET551">
            <v>110.32521723170616</v>
          </cell>
          <cell r="EU551">
            <v>101.69627722123222</v>
          </cell>
          <cell r="EV551">
            <v>100.41690756668247</v>
          </cell>
          <cell r="EW551">
            <v>112.88395654080568</v>
          </cell>
          <cell r="EX551">
            <v>127.77364166928911</v>
          </cell>
          <cell r="EY551">
            <v>130.06017466890995</v>
          </cell>
          <cell r="EZ551">
            <v>128.12750987161138</v>
          </cell>
          <cell r="FA551">
            <v>142.17335544071088</v>
          </cell>
          <cell r="FB551">
            <v>162.58882865161138</v>
          </cell>
          <cell r="FC551">
            <v>196.20630787222748</v>
          </cell>
          <cell r="FD551">
            <v>168.2234992578199</v>
          </cell>
          <cell r="FE551">
            <v>136.72922925113744</v>
          </cell>
          <cell r="FF551">
            <v>146.7464214399526</v>
          </cell>
          <cell r="FG551">
            <v>151.67335564151657</v>
          </cell>
          <cell r="FH551">
            <v>143.67049014284362</v>
          </cell>
          <cell r="FI551">
            <v>149.19627822526064</v>
          </cell>
          <cell r="FJ551">
            <v>141.49283966701421</v>
          </cell>
          <cell r="FK551">
            <v>150.58453040360189</v>
          </cell>
          <cell r="FL551">
            <v>148.24355614208531</v>
          </cell>
          <cell r="FM551">
            <v>170.75501793597155</v>
          </cell>
          <cell r="FN551">
            <v>200.53438819293839</v>
          </cell>
          <cell r="FO551">
            <v>178.73066280369667</v>
          </cell>
          <cell r="FP551">
            <v>159.5673386163981</v>
          </cell>
          <cell r="FQ551">
            <v>165.03868543691942</v>
          </cell>
          <cell r="FR551">
            <v>184.12034773137444</v>
          </cell>
          <cell r="FS551">
            <v>182.62321302924173</v>
          </cell>
          <cell r="FT551">
            <v>202.00430226412323</v>
          </cell>
          <cell r="FU551">
            <v>228.05444608123224</v>
          </cell>
          <cell r="FV551">
            <v>217.79226821388627</v>
          </cell>
          <cell r="FW551">
            <v>246.21060692345975</v>
          </cell>
          <cell r="FX551">
            <v>234.8323831872512</v>
          </cell>
          <cell r="FY551">
            <v>211.01433110786732</v>
          </cell>
          <cell r="FZ551">
            <v>200.28940251440758</v>
          </cell>
          <cell r="GA551">
            <v>206.2235000610427</v>
          </cell>
          <cell r="GB551">
            <v>238.39828584142182</v>
          </cell>
          <cell r="GC551">
            <v>232.54585018763035</v>
          </cell>
          <cell r="GD551">
            <v>216.56733982123225</v>
          </cell>
          <cell r="GE551">
            <v>222.17478979649286</v>
          </cell>
          <cell r="GF551">
            <v>228.05444608123224</v>
          </cell>
          <cell r="GG551">
            <v>254.97565008867298</v>
          </cell>
          <cell r="GH551">
            <v>306.9398345681517</v>
          </cell>
          <cell r="GI551">
            <v>308.57307242502367</v>
          </cell>
          <cell r="GJ551">
            <v>271.19914613360191</v>
          </cell>
          <cell r="GK551">
            <v>287.06877397620855</v>
          </cell>
          <cell r="GL551">
            <v>269.7020114314692</v>
          </cell>
          <cell r="GM551">
            <v>250.51146661322278</v>
          </cell>
          <cell r="GN551">
            <v>250.86533481554503</v>
          </cell>
          <cell r="GO551">
            <v>275.69055023999999</v>
          </cell>
          <cell r="GP551">
            <v>282.68625239360188</v>
          </cell>
          <cell r="GQ551">
            <v>297.90258509345972</v>
          </cell>
          <cell r="GR551">
            <v>315.43267142388623</v>
          </cell>
          <cell r="GS551">
            <v>307.78367412753556</v>
          </cell>
          <cell r="GT551">
            <v>273.97565049028435</v>
          </cell>
          <cell r="GU551">
            <v>252.82522024379145</v>
          </cell>
          <cell r="GV551">
            <v>257.07163867165877</v>
          </cell>
          <cell r="GW551">
            <v>262.24355855175361</v>
          </cell>
          <cell r="GX551">
            <v>242.64470426928906</v>
          </cell>
          <cell r="GY551">
            <v>265.59169615834122</v>
          </cell>
          <cell r="GZ551">
            <v>281.48854463189576</v>
          </cell>
          <cell r="HA551">
            <v>298.96418970042657</v>
          </cell>
          <cell r="HB551">
            <v>312.49284328151663</v>
          </cell>
          <cell r="HC551">
            <v>309.1447056749289</v>
          </cell>
          <cell r="HD551">
            <v>323.57164007729858</v>
          </cell>
          <cell r="HE551">
            <v>323.05444808928911</v>
          </cell>
          <cell r="HF551">
            <v>351.85387563213266</v>
          </cell>
          <cell r="HG551">
            <v>388.71060993554511</v>
          </cell>
          <cell r="HH551">
            <v>424.85960783431278</v>
          </cell>
          <cell r="HI551">
            <v>417.04728675227489</v>
          </cell>
          <cell r="HJ551">
            <v>271.02928939648729</v>
          </cell>
          <cell r="HK551">
            <v>255.90224036613839</v>
          </cell>
          <cell r="HL551">
            <v>264.70539241467867</v>
          </cell>
          <cell r="HM551">
            <v>284.80891719491666</v>
          </cell>
          <cell r="HN551">
            <v>304.85854512587775</v>
          </cell>
          <cell r="HO551">
            <v>325.35731346747872</v>
          </cell>
          <cell r="HP551">
            <v>334.32215606384932</v>
          </cell>
          <cell r="HQ551">
            <v>330.56734223090052</v>
          </cell>
          <cell r="HR551">
            <v>332.36390387345978</v>
          </cell>
          <cell r="HS551">
            <v>335.95702715857823</v>
          </cell>
          <cell r="HT551">
            <v>341.34671208625599</v>
          </cell>
          <cell r="HU551">
            <v>344.93983537137444</v>
          </cell>
          <cell r="HV551">
            <v>341.34671208625599</v>
          </cell>
          <cell r="HW551">
            <v>330.56734223090052</v>
          </cell>
          <cell r="HX551">
            <v>321.58453401810431</v>
          </cell>
          <cell r="HY551">
            <v>301.82235594995262</v>
          </cell>
          <cell r="HZ551">
            <v>289.24642445203796</v>
          </cell>
          <cell r="IA551">
            <v>283.85673952436019</v>
          </cell>
          <cell r="IB551">
            <v>287.4498628094787</v>
          </cell>
          <cell r="IC551">
            <v>289.24642445203796</v>
          </cell>
          <cell r="ID551">
            <v>291.04298609459721</v>
          </cell>
          <cell r="IE551">
            <v>294.63610937971566</v>
          </cell>
          <cell r="IF551">
            <v>300.02579430739343</v>
          </cell>
          <cell r="IG551">
            <v>307.21204087763039</v>
          </cell>
          <cell r="IH551">
            <v>356.59026541706169</v>
          </cell>
          <cell r="II551">
            <v>367.47851779620856</v>
          </cell>
          <cell r="IJ551">
            <v>378.36677017535544</v>
          </cell>
          <cell r="IK551">
            <v>386.53295945971564</v>
          </cell>
        </row>
        <row r="552">
          <cell r="Z552">
            <v>266.92034347499992</v>
          </cell>
          <cell r="AA552">
            <v>266.92034347499992</v>
          </cell>
          <cell r="AB552">
            <v>266.92034347499992</v>
          </cell>
          <cell r="AC552">
            <v>283.81403610000001</v>
          </cell>
          <cell r="AD552">
            <v>283.81403610000001</v>
          </cell>
          <cell r="AE552">
            <v>283.81403610000001</v>
          </cell>
          <cell r="AF552">
            <v>290.57151314999993</v>
          </cell>
          <cell r="AG552">
            <v>290.57151314999993</v>
          </cell>
          <cell r="AH552">
            <v>290.57151314999993</v>
          </cell>
          <cell r="AI552">
            <v>277.05655904999992</v>
          </cell>
          <cell r="AJ552">
            <v>277.05655904999992</v>
          </cell>
          <cell r="AK552">
            <v>277.05655904999992</v>
          </cell>
          <cell r="AL552">
            <v>277.05655904999992</v>
          </cell>
          <cell r="AM552">
            <v>277.05655904999992</v>
          </cell>
          <cell r="AN552">
            <v>277.05655904999992</v>
          </cell>
          <cell r="AO552">
            <v>283.81403610000001</v>
          </cell>
          <cell r="AP552">
            <v>283.81403610000001</v>
          </cell>
          <cell r="AQ552">
            <v>283.81403610000001</v>
          </cell>
          <cell r="AR552">
            <v>287.19277462499997</v>
          </cell>
          <cell r="AS552">
            <v>287.19277462499997</v>
          </cell>
          <cell r="AT552">
            <v>287.19277462499997</v>
          </cell>
          <cell r="AU552">
            <v>287.19277462499997</v>
          </cell>
          <cell r="AV552">
            <v>287.19277462499997</v>
          </cell>
          <cell r="AW552">
            <v>287.19277462499997</v>
          </cell>
          <cell r="AX552">
            <v>300.70772872499998</v>
          </cell>
          <cell r="AY552">
            <v>300.70772872499998</v>
          </cell>
          <cell r="AZ552">
            <v>300.70772872499998</v>
          </cell>
          <cell r="BA552">
            <v>300.70772872499998</v>
          </cell>
          <cell r="BB552">
            <v>300.70772872499998</v>
          </cell>
          <cell r="BC552">
            <v>300.70772872499998</v>
          </cell>
          <cell r="BD552">
            <v>324.35889839999993</v>
          </cell>
          <cell r="BE552">
            <v>324.35889839999993</v>
          </cell>
          <cell r="BF552">
            <v>324.35889839999993</v>
          </cell>
          <cell r="BG552">
            <v>378.41871479999992</v>
          </cell>
          <cell r="BH552">
            <v>378.41871479999992</v>
          </cell>
          <cell r="BI552">
            <v>378.41871479999992</v>
          </cell>
          <cell r="BJ552">
            <v>398.69114594999996</v>
          </cell>
          <cell r="BK552">
            <v>398.69114594999996</v>
          </cell>
          <cell r="BL552">
            <v>398.69114594999996</v>
          </cell>
          <cell r="BM552">
            <v>486.5383475999999</v>
          </cell>
          <cell r="BN552">
            <v>486.5383475999999</v>
          </cell>
          <cell r="BO552">
            <v>486.5383475999999</v>
          </cell>
          <cell r="BP552">
            <v>540.59816399999988</v>
          </cell>
          <cell r="BQ552">
            <v>540.59816399999988</v>
          </cell>
          <cell r="BR552">
            <v>540.59816399999988</v>
          </cell>
          <cell r="BS552">
            <v>554.11311809999984</v>
          </cell>
          <cell r="BT552">
            <v>554.11311809999984</v>
          </cell>
          <cell r="BU552">
            <v>554.11311809999984</v>
          </cell>
          <cell r="BV552">
            <v>554.11311809999984</v>
          </cell>
          <cell r="BW552">
            <v>554.11311809999984</v>
          </cell>
          <cell r="BX552">
            <v>554.11311809999984</v>
          </cell>
          <cell r="BY552">
            <v>466.26591644999991</v>
          </cell>
          <cell r="BZ552">
            <v>466.26591644999991</v>
          </cell>
          <cell r="CA552">
            <v>466.26591644999991</v>
          </cell>
          <cell r="CB552">
            <v>297.32899019999996</v>
          </cell>
          <cell r="CC552">
            <v>297.32899019999996</v>
          </cell>
          <cell r="CD552">
            <v>297.32899019999996</v>
          </cell>
          <cell r="CE552">
            <v>256.78412789999993</v>
          </cell>
          <cell r="CF552">
            <v>256.78412789999993</v>
          </cell>
          <cell r="CG552">
            <v>256.78412789999993</v>
          </cell>
          <cell r="CH552">
            <v>277.05655904999992</v>
          </cell>
          <cell r="CI552">
            <v>277.05655904999992</v>
          </cell>
          <cell r="CJ552">
            <v>277.05655904999992</v>
          </cell>
          <cell r="CK552">
            <v>290.57151314999993</v>
          </cell>
          <cell r="CL552">
            <v>290.57151314999993</v>
          </cell>
          <cell r="CM552">
            <v>290.57151314999993</v>
          </cell>
          <cell r="CN552">
            <v>304.08646724999994</v>
          </cell>
          <cell r="CO552">
            <v>304.08646724999994</v>
          </cell>
          <cell r="CP552">
            <v>304.08646724999994</v>
          </cell>
          <cell r="CQ552">
            <v>290.57151314999993</v>
          </cell>
          <cell r="CR552">
            <v>290.57151314999993</v>
          </cell>
          <cell r="CS552">
            <v>290.57151314999993</v>
          </cell>
          <cell r="CT552">
            <v>256.78412789999993</v>
          </cell>
          <cell r="CU552">
            <v>256.78412789999993</v>
          </cell>
          <cell r="CV552">
            <v>256.78412789999993</v>
          </cell>
          <cell r="CW552">
            <v>212.86052707499994</v>
          </cell>
          <cell r="CX552">
            <v>212.86052707499994</v>
          </cell>
          <cell r="CY552">
            <v>212.86052707499994</v>
          </cell>
          <cell r="CZ552">
            <v>212.86052707499994</v>
          </cell>
          <cell r="DA552">
            <v>212.86052707499994</v>
          </cell>
          <cell r="DB552">
            <v>212.86052707499994</v>
          </cell>
          <cell r="DC552">
            <v>199.34557297499998</v>
          </cell>
          <cell r="DD552">
            <v>199.34557297499998</v>
          </cell>
          <cell r="DE552">
            <v>199.34557297499998</v>
          </cell>
          <cell r="DF552">
            <v>192.58809592499998</v>
          </cell>
          <cell r="DG552">
            <v>192.58809592499998</v>
          </cell>
          <cell r="DH552">
            <v>192.58809592499998</v>
          </cell>
          <cell r="DI552">
            <v>212.86052707499994</v>
          </cell>
          <cell r="DJ552">
            <v>212.86052707499994</v>
          </cell>
          <cell r="DK552">
            <v>212.86052707499994</v>
          </cell>
          <cell r="DL552">
            <v>246.64791232499994</v>
          </cell>
          <cell r="DM552">
            <v>246.64791232499994</v>
          </cell>
          <cell r="DN552">
            <v>246.64791232499994</v>
          </cell>
          <cell r="DO552">
            <v>283.81403610000001</v>
          </cell>
          <cell r="DP552">
            <v>283.81403610000001</v>
          </cell>
          <cell r="DQ552">
            <v>283.81403610000001</v>
          </cell>
          <cell r="DR552">
            <v>283.81403610000001</v>
          </cell>
          <cell r="DS552">
            <v>283.81403610000001</v>
          </cell>
          <cell r="DT552">
            <v>283.81403610000001</v>
          </cell>
          <cell r="DU552">
            <v>314.22268282499994</v>
          </cell>
          <cell r="DV552">
            <v>314.22268282499994</v>
          </cell>
          <cell r="DW552">
            <v>314.22268282499994</v>
          </cell>
          <cell r="DX552">
            <v>334.49511397499992</v>
          </cell>
          <cell r="DY552">
            <v>334.49511397499992</v>
          </cell>
          <cell r="DZ552">
            <v>334.49511397499992</v>
          </cell>
          <cell r="EA552">
            <v>317.60142135000001</v>
          </cell>
          <cell r="EB552">
            <v>317.60142135000001</v>
          </cell>
          <cell r="EC552">
            <v>317.60142135000001</v>
          </cell>
          <cell r="ED552">
            <v>317.60142135000001</v>
          </cell>
          <cell r="EE552">
            <v>317.60142135000001</v>
          </cell>
          <cell r="EF552">
            <v>317.60142135000001</v>
          </cell>
          <cell r="EG552">
            <v>348.01006807499994</v>
          </cell>
          <cell r="EH552">
            <v>348.01006807499994</v>
          </cell>
          <cell r="EI552">
            <v>348.01006807499994</v>
          </cell>
          <cell r="EJ552">
            <v>348.01006807499994</v>
          </cell>
          <cell r="EK552">
            <v>348.01006807499994</v>
          </cell>
          <cell r="EL552">
            <v>348.01006807499994</v>
          </cell>
          <cell r="EM552">
            <v>304.08646724999994</v>
          </cell>
          <cell r="EN552">
            <v>304.08646724999994</v>
          </cell>
          <cell r="EO552">
            <v>304.08646724999994</v>
          </cell>
          <cell r="EP552">
            <v>236.51169675</v>
          </cell>
          <cell r="EQ552">
            <v>236.51169675</v>
          </cell>
          <cell r="ER552">
            <v>250.02665084999995</v>
          </cell>
          <cell r="ES552">
            <v>304.08646724999994</v>
          </cell>
          <cell r="ET552">
            <v>304.08646724999994</v>
          </cell>
          <cell r="EU552">
            <v>297.32899019999996</v>
          </cell>
          <cell r="EV552">
            <v>293.95025167499995</v>
          </cell>
          <cell r="EW552">
            <v>293.95025167499995</v>
          </cell>
          <cell r="EX552">
            <v>293.95025167499995</v>
          </cell>
          <cell r="EY552">
            <v>297.32899019999996</v>
          </cell>
          <cell r="EZ552">
            <v>297.32899019999996</v>
          </cell>
          <cell r="FA552">
            <v>300.70772872499998</v>
          </cell>
          <cell r="FB552">
            <v>324.35889839999993</v>
          </cell>
          <cell r="FC552">
            <v>405.44862299999994</v>
          </cell>
          <cell r="FD552">
            <v>496.67456317499989</v>
          </cell>
          <cell r="FE552">
            <v>489.91708612499991</v>
          </cell>
          <cell r="FF552">
            <v>334.49511397499992</v>
          </cell>
          <cell r="FG552">
            <v>317.60142135000001</v>
          </cell>
          <cell r="FH552">
            <v>348.01006807499994</v>
          </cell>
          <cell r="FI552">
            <v>375.0399762749999</v>
          </cell>
          <cell r="FJ552">
            <v>398.69114594999996</v>
          </cell>
          <cell r="FK552">
            <v>364.90376069999996</v>
          </cell>
          <cell r="FL552">
            <v>375.0399762749999</v>
          </cell>
          <cell r="FM552">
            <v>378.41871479999992</v>
          </cell>
          <cell r="FN552">
            <v>388.55493037499991</v>
          </cell>
          <cell r="FO552">
            <v>439.23600825</v>
          </cell>
          <cell r="FP552">
            <v>452.7509623499999</v>
          </cell>
          <cell r="FQ552">
            <v>456.12970087499997</v>
          </cell>
          <cell r="FR552">
            <v>469.64465497499987</v>
          </cell>
          <cell r="FS552">
            <v>476.4021320249999</v>
          </cell>
          <cell r="FT552">
            <v>476.4021320249999</v>
          </cell>
          <cell r="FU552">
            <v>483.15960907499988</v>
          </cell>
          <cell r="FV552">
            <v>540.59816399999988</v>
          </cell>
          <cell r="FW552">
            <v>571.00681072499992</v>
          </cell>
          <cell r="FX552">
            <v>614.93041154999992</v>
          </cell>
          <cell r="FY552">
            <v>621.68788859999984</v>
          </cell>
          <cell r="FZ552">
            <v>554.11311809999984</v>
          </cell>
          <cell r="GA552">
            <v>571.00681072499992</v>
          </cell>
          <cell r="GB552">
            <v>601.41545744999996</v>
          </cell>
          <cell r="GC552">
            <v>601.41545744999996</v>
          </cell>
          <cell r="GD552">
            <v>540.59816399999988</v>
          </cell>
          <cell r="GE552">
            <v>503.43204022499987</v>
          </cell>
          <cell r="GF552">
            <v>530.46194842499983</v>
          </cell>
          <cell r="GG552">
            <v>543.9769025249999</v>
          </cell>
          <cell r="GH552">
            <v>810.89724599999988</v>
          </cell>
          <cell r="GI552">
            <v>810.89724599999988</v>
          </cell>
          <cell r="GJ552">
            <v>696.02013614999987</v>
          </cell>
          <cell r="GK552">
            <v>560.87059514999987</v>
          </cell>
          <cell r="GL552">
            <v>608.17293449999988</v>
          </cell>
          <cell r="GM552">
            <v>655.47527384999989</v>
          </cell>
          <cell r="GN552">
            <v>631.82410417499989</v>
          </cell>
          <cell r="GO552">
            <v>662.23275089999993</v>
          </cell>
          <cell r="GP552">
            <v>706.15635172499992</v>
          </cell>
          <cell r="GQ552">
            <v>770.3523836999999</v>
          </cell>
          <cell r="GR552">
            <v>807.51850747499986</v>
          </cell>
          <cell r="GS552">
            <v>871.71453944999973</v>
          </cell>
          <cell r="GT552">
            <v>929.15309437499991</v>
          </cell>
          <cell r="GU552">
            <v>824.41220009999984</v>
          </cell>
          <cell r="GV552">
            <v>662.23275089999993</v>
          </cell>
          <cell r="GW552">
            <v>682.50518204999992</v>
          </cell>
          <cell r="GX552">
            <v>709.53509024999983</v>
          </cell>
          <cell r="GY552">
            <v>685.88392057499993</v>
          </cell>
          <cell r="GZ552">
            <v>702.77761319999991</v>
          </cell>
          <cell r="HA552">
            <v>746.7012140249999</v>
          </cell>
          <cell r="HB552">
            <v>783.86733779999975</v>
          </cell>
          <cell r="HC552">
            <v>821.03346157499993</v>
          </cell>
          <cell r="HD552">
            <v>750.0799525499998</v>
          </cell>
          <cell r="HE552">
            <v>756.83742959999984</v>
          </cell>
          <cell r="HF552">
            <v>699.39887467499989</v>
          </cell>
          <cell r="HG552">
            <v>696.02013614999987</v>
          </cell>
          <cell r="HH552">
            <v>729.80752139999993</v>
          </cell>
          <cell r="HI552">
            <v>733.18625992499983</v>
          </cell>
          <cell r="HJ552">
            <v>604.98749999999995</v>
          </cell>
          <cell r="HK552">
            <v>599.46249999999998</v>
          </cell>
          <cell r="HL552">
            <v>643.66250000000002</v>
          </cell>
          <cell r="HM552">
            <v>693.38749999999993</v>
          </cell>
          <cell r="HN552">
            <v>709.96249999999998</v>
          </cell>
          <cell r="HO552">
            <v>787.3125</v>
          </cell>
          <cell r="HP552">
            <v>881.23749999999995</v>
          </cell>
          <cell r="HQ552">
            <v>784.55</v>
          </cell>
          <cell r="HR552">
            <v>784.55</v>
          </cell>
          <cell r="HS552">
            <v>779.02499999999998</v>
          </cell>
          <cell r="HT552">
            <v>767.97500000000002</v>
          </cell>
          <cell r="HU552">
            <v>765.21249999999998</v>
          </cell>
          <cell r="HV552">
            <v>762.44999999999993</v>
          </cell>
          <cell r="HW552">
            <v>779.02499999999998</v>
          </cell>
          <cell r="HX552">
            <v>779.02499999999998</v>
          </cell>
          <cell r="HY552">
            <v>767.97500000000002</v>
          </cell>
          <cell r="HZ552">
            <v>765.21249999999998</v>
          </cell>
          <cell r="IA552">
            <v>732.0625</v>
          </cell>
          <cell r="IB552">
            <v>734.82499999999993</v>
          </cell>
          <cell r="IC552">
            <v>737.58749999999998</v>
          </cell>
          <cell r="ID552">
            <v>745.875</v>
          </cell>
          <cell r="IE552">
            <v>740.35</v>
          </cell>
          <cell r="IF552">
            <v>737.58749999999998</v>
          </cell>
          <cell r="IG552">
            <v>712.72500000000002</v>
          </cell>
          <cell r="IH552">
            <v>786.43517907899991</v>
          </cell>
          <cell r="II552">
            <v>799.40953501499996</v>
          </cell>
          <cell r="IJ552">
            <v>800.22043226099993</v>
          </cell>
          <cell r="IK552">
            <v>766.02759838799989</v>
          </cell>
        </row>
        <row r="553">
          <cell r="Z553">
            <v>135.10543619999996</v>
          </cell>
          <cell r="AA553">
            <v>135.10543619999996</v>
          </cell>
          <cell r="AB553">
            <v>135.10543619999996</v>
          </cell>
          <cell r="AC553">
            <v>127.06344594999999</v>
          </cell>
          <cell r="AD553">
            <v>127.06344594999999</v>
          </cell>
          <cell r="AE553">
            <v>127.06344594999999</v>
          </cell>
          <cell r="AF553">
            <v>127.06344594999999</v>
          </cell>
          <cell r="AG553">
            <v>127.06344594999999</v>
          </cell>
          <cell r="AH553">
            <v>127.06344594999999</v>
          </cell>
          <cell r="AI553">
            <v>138.3222323</v>
          </cell>
          <cell r="AJ553">
            <v>138.3222323</v>
          </cell>
          <cell r="AK553">
            <v>138.3222323</v>
          </cell>
          <cell r="AL553">
            <v>128.67184399999999</v>
          </cell>
          <cell r="AM553">
            <v>128.67184399999999</v>
          </cell>
          <cell r="AN553">
            <v>128.67184399999999</v>
          </cell>
          <cell r="AO553">
            <v>115.80465959999998</v>
          </cell>
          <cell r="AP553">
            <v>115.80465959999998</v>
          </cell>
          <cell r="AQ553">
            <v>115.80465959999998</v>
          </cell>
          <cell r="AR553">
            <v>102.93747519999998</v>
          </cell>
          <cell r="AS553">
            <v>102.93747519999998</v>
          </cell>
          <cell r="AT553">
            <v>102.93747519999998</v>
          </cell>
          <cell r="AU553">
            <v>102.93747519999998</v>
          </cell>
          <cell r="AV553">
            <v>102.93747519999998</v>
          </cell>
          <cell r="AW553">
            <v>102.93747519999998</v>
          </cell>
          <cell r="AX553">
            <v>90.070290799999981</v>
          </cell>
          <cell r="AY553">
            <v>90.070290799999981</v>
          </cell>
          <cell r="AZ553">
            <v>90.070290799999981</v>
          </cell>
          <cell r="BA553">
            <v>90.070290799999981</v>
          </cell>
          <cell r="BB553">
            <v>90.070290799999981</v>
          </cell>
          <cell r="BC553">
            <v>90.070290799999981</v>
          </cell>
          <cell r="BD553">
            <v>102.93747519999998</v>
          </cell>
          <cell r="BE553">
            <v>102.93747519999998</v>
          </cell>
          <cell r="BF553">
            <v>102.93747519999998</v>
          </cell>
          <cell r="BG553">
            <v>135.10543619999996</v>
          </cell>
          <cell r="BH553">
            <v>135.10543619999996</v>
          </cell>
          <cell r="BI553">
            <v>135.10543619999996</v>
          </cell>
          <cell r="BJ553">
            <v>157.62300889999997</v>
          </cell>
          <cell r="BK553">
            <v>157.62300889999997</v>
          </cell>
          <cell r="BL553">
            <v>157.62300889999997</v>
          </cell>
          <cell r="BM553">
            <v>170.49019329999996</v>
          </cell>
          <cell r="BN553">
            <v>170.49019329999996</v>
          </cell>
          <cell r="BO553">
            <v>170.49019329999996</v>
          </cell>
          <cell r="BP553">
            <v>189.79096989999996</v>
          </cell>
          <cell r="BQ553">
            <v>189.79096989999996</v>
          </cell>
          <cell r="BR553">
            <v>189.79096989999996</v>
          </cell>
          <cell r="BS553">
            <v>189.79096989999996</v>
          </cell>
          <cell r="BT553">
            <v>189.79096989999996</v>
          </cell>
          <cell r="BU553">
            <v>189.79096989999996</v>
          </cell>
          <cell r="BV553">
            <v>176.92378549999995</v>
          </cell>
          <cell r="BW553">
            <v>176.92378549999995</v>
          </cell>
          <cell r="BX553">
            <v>176.92378549999995</v>
          </cell>
          <cell r="BY553">
            <v>173.70698939999994</v>
          </cell>
          <cell r="BZ553">
            <v>173.70698939999994</v>
          </cell>
          <cell r="CA553">
            <v>173.70698939999994</v>
          </cell>
          <cell r="CB553">
            <v>151.18941669999998</v>
          </cell>
          <cell r="CC553">
            <v>151.18941669999998</v>
          </cell>
          <cell r="CD553">
            <v>151.18941669999998</v>
          </cell>
          <cell r="CE553">
            <v>159.23140694999995</v>
          </cell>
          <cell r="CF553">
            <v>159.23140694999995</v>
          </cell>
          <cell r="CG553">
            <v>159.23140694999995</v>
          </cell>
          <cell r="CH553">
            <v>170.49019329999996</v>
          </cell>
          <cell r="CI553">
            <v>170.49019329999996</v>
          </cell>
          <cell r="CJ553">
            <v>170.49019329999996</v>
          </cell>
          <cell r="CK553">
            <v>180.14058159999996</v>
          </cell>
          <cell r="CL553">
            <v>180.14058159999996</v>
          </cell>
          <cell r="CM553">
            <v>180.14058159999996</v>
          </cell>
          <cell r="CN553">
            <v>186.57417379999995</v>
          </cell>
          <cell r="CO553">
            <v>186.57417379999995</v>
          </cell>
          <cell r="CP553">
            <v>186.57417379999995</v>
          </cell>
          <cell r="CQ553">
            <v>186.57417379999995</v>
          </cell>
          <cell r="CR553">
            <v>186.57417379999995</v>
          </cell>
          <cell r="CS553">
            <v>186.57417379999995</v>
          </cell>
          <cell r="CT553">
            <v>154.40621279999996</v>
          </cell>
          <cell r="CU553">
            <v>154.40621279999996</v>
          </cell>
          <cell r="CV553">
            <v>154.40621279999996</v>
          </cell>
          <cell r="CW553">
            <v>135.10543619999996</v>
          </cell>
          <cell r="CX553">
            <v>135.10543619999996</v>
          </cell>
          <cell r="CY553">
            <v>135.10543619999996</v>
          </cell>
          <cell r="CZ553">
            <v>122.23825179999997</v>
          </cell>
          <cell r="DA553">
            <v>122.23825179999997</v>
          </cell>
          <cell r="DB553">
            <v>122.23825179999997</v>
          </cell>
          <cell r="DC553">
            <v>115.80465959999998</v>
          </cell>
          <cell r="DD553">
            <v>115.80465959999998</v>
          </cell>
          <cell r="DE553">
            <v>115.80465959999998</v>
          </cell>
          <cell r="DF553">
            <v>115.80465959999998</v>
          </cell>
          <cell r="DG553">
            <v>115.80465959999998</v>
          </cell>
          <cell r="DH553">
            <v>115.80465959999998</v>
          </cell>
          <cell r="DI553">
            <v>115.80465959999998</v>
          </cell>
          <cell r="DJ553">
            <v>115.80465959999998</v>
          </cell>
          <cell r="DK553">
            <v>115.80465959999998</v>
          </cell>
          <cell r="DL553">
            <v>147.97262059999997</v>
          </cell>
          <cell r="DM553">
            <v>147.97262059999997</v>
          </cell>
          <cell r="DN553">
            <v>147.97262059999997</v>
          </cell>
          <cell r="DO553">
            <v>180.14058159999996</v>
          </cell>
          <cell r="DP553">
            <v>180.14058159999996</v>
          </cell>
          <cell r="DQ553">
            <v>180.14058159999996</v>
          </cell>
          <cell r="DR553">
            <v>180.14058159999996</v>
          </cell>
          <cell r="DS553">
            <v>167.27339719999995</v>
          </cell>
          <cell r="DT553">
            <v>167.27339719999995</v>
          </cell>
          <cell r="DU553">
            <v>183.35737769999997</v>
          </cell>
          <cell r="DV553">
            <v>189.79096989999996</v>
          </cell>
          <cell r="DW553">
            <v>183.35737769999997</v>
          </cell>
          <cell r="DX553">
            <v>170.49019329999996</v>
          </cell>
          <cell r="DY553">
            <v>161.80484382999995</v>
          </cell>
          <cell r="DZ553">
            <v>149.25933903999999</v>
          </cell>
          <cell r="EA553">
            <v>140.50965364799995</v>
          </cell>
          <cell r="EB553">
            <v>146.36422254999997</v>
          </cell>
          <cell r="EC553">
            <v>150.54605747999997</v>
          </cell>
          <cell r="ED553">
            <v>143.01875460599996</v>
          </cell>
          <cell r="EE553">
            <v>153.18383028199995</v>
          </cell>
          <cell r="EF553">
            <v>160.51812538999997</v>
          </cell>
          <cell r="EG553">
            <v>153.11949435999998</v>
          </cell>
          <cell r="EH553">
            <v>137.16418570399998</v>
          </cell>
          <cell r="EI553">
            <v>148.80898758599997</v>
          </cell>
          <cell r="EJ553">
            <v>148.80898758599997</v>
          </cell>
          <cell r="EK553">
            <v>143.01875460599996</v>
          </cell>
          <cell r="EL553">
            <v>137.16418570399998</v>
          </cell>
          <cell r="EM553">
            <v>131.30961680199997</v>
          </cell>
          <cell r="EN553">
            <v>125.45504789999995</v>
          </cell>
          <cell r="EO553">
            <v>116.70536250799999</v>
          </cell>
          <cell r="EP553">
            <v>105.06056062599997</v>
          </cell>
          <cell r="EQ553">
            <v>99.205991723999972</v>
          </cell>
          <cell r="ER553">
            <v>105.06056062599997</v>
          </cell>
          <cell r="ES553">
            <v>116.70536250799999</v>
          </cell>
          <cell r="ET553">
            <v>137.16418570399998</v>
          </cell>
          <cell r="EU553">
            <v>145.91387109599998</v>
          </cell>
          <cell r="EV553">
            <v>145.91387109599998</v>
          </cell>
          <cell r="EW553">
            <v>137.16418570399998</v>
          </cell>
          <cell r="EX553">
            <v>148.80898758599997</v>
          </cell>
          <cell r="EY553">
            <v>160.51812538999997</v>
          </cell>
          <cell r="EZ553">
            <v>151.76843999799996</v>
          </cell>
          <cell r="FA553">
            <v>145.91387109599998</v>
          </cell>
          <cell r="FB553">
            <v>148.80898758599997</v>
          </cell>
          <cell r="FC553">
            <v>178.017496174</v>
          </cell>
          <cell r="FD553">
            <v>213.01623774199993</v>
          </cell>
          <cell r="FE553">
            <v>227.62049203599994</v>
          </cell>
          <cell r="FF553">
            <v>207.22600476199997</v>
          </cell>
          <cell r="FG553">
            <v>160.51812538999997</v>
          </cell>
          <cell r="FH553">
            <v>180.91261266399997</v>
          </cell>
          <cell r="FI553">
            <v>195.51686695799998</v>
          </cell>
          <cell r="FJ553">
            <v>210.12112125199994</v>
          </cell>
          <cell r="FK553">
            <v>215.97569015399995</v>
          </cell>
          <cell r="FL553">
            <v>207.22600476199997</v>
          </cell>
          <cell r="FM553">
            <v>207.22600476199997</v>
          </cell>
          <cell r="FN553">
            <v>204.26655234999996</v>
          </cell>
          <cell r="FO553">
            <v>218.87080664399994</v>
          </cell>
          <cell r="FP553">
            <v>248.07931523199994</v>
          </cell>
          <cell r="FQ553">
            <v>248.07931523199994</v>
          </cell>
          <cell r="FR553">
            <v>250.97443172199993</v>
          </cell>
          <cell r="FS553">
            <v>250.97443172199993</v>
          </cell>
          <cell r="FT553">
            <v>250.97443172199993</v>
          </cell>
          <cell r="FU553">
            <v>253.86954821199993</v>
          </cell>
          <cell r="FV553">
            <v>271.43325491799993</v>
          </cell>
          <cell r="FW553">
            <v>332.68105266199996</v>
          </cell>
          <cell r="FX553">
            <v>344.32585454399992</v>
          </cell>
          <cell r="FY553">
            <v>344.32585454399992</v>
          </cell>
          <cell r="FZ553">
            <v>315.18168187799995</v>
          </cell>
          <cell r="GA553">
            <v>294.72285868199992</v>
          </cell>
          <cell r="GB553">
            <v>312.22222946599993</v>
          </cell>
          <cell r="GC553">
            <v>326.82648375999992</v>
          </cell>
          <cell r="GD553">
            <v>309.32711297599991</v>
          </cell>
          <cell r="GE553">
            <v>233.47506093799998</v>
          </cell>
          <cell r="GF553">
            <v>233.47506093799998</v>
          </cell>
          <cell r="GG553">
            <v>242.22474632999993</v>
          </cell>
          <cell r="GH553">
            <v>242.22474632999993</v>
          </cell>
          <cell r="GI553">
            <v>282.17735389199993</v>
          </cell>
          <cell r="GJ553">
            <v>274.32837140799995</v>
          </cell>
          <cell r="GK553">
            <v>248.07931523199994</v>
          </cell>
          <cell r="GL553">
            <v>248.07931523199994</v>
          </cell>
          <cell r="GM553">
            <v>253.86954821199993</v>
          </cell>
          <cell r="GN553">
            <v>259.72411711399991</v>
          </cell>
          <cell r="GO553">
            <v>247.75763562199992</v>
          </cell>
          <cell r="GP553">
            <v>247.75763562199992</v>
          </cell>
          <cell r="GQ553">
            <v>253.86954821199993</v>
          </cell>
          <cell r="GR553">
            <v>265.57868601599995</v>
          </cell>
          <cell r="GS553">
            <v>283.07805680000001</v>
          </cell>
          <cell r="GT553">
            <v>288.93262570199988</v>
          </cell>
          <cell r="GU553">
            <v>288.93262570199988</v>
          </cell>
          <cell r="GV553">
            <v>271.36891899599993</v>
          </cell>
          <cell r="GW553">
            <v>262.61923360399993</v>
          </cell>
          <cell r="GX553">
            <v>262.61923360399993</v>
          </cell>
          <cell r="GY553">
            <v>262.61923360399993</v>
          </cell>
          <cell r="GZ553">
            <v>262.61923360399993</v>
          </cell>
          <cell r="HA553">
            <v>277.22348789799997</v>
          </cell>
          <cell r="HB553">
            <v>277.22348789799997</v>
          </cell>
          <cell r="HC553">
            <v>288.93262570199988</v>
          </cell>
          <cell r="HD553">
            <v>288.93262570199988</v>
          </cell>
          <cell r="HE553">
            <v>288.93262570199988</v>
          </cell>
          <cell r="HF553">
            <v>303.47254407399993</v>
          </cell>
          <cell r="HG553">
            <v>382.86307182199994</v>
          </cell>
          <cell r="HH553">
            <v>407.1177144159999</v>
          </cell>
          <cell r="HI553">
            <v>463.99066946399995</v>
          </cell>
          <cell r="HJ553">
            <v>214.55699999999999</v>
          </cell>
          <cell r="HK553">
            <v>197.03425000000001</v>
          </cell>
          <cell r="HL553">
            <v>172.7285</v>
          </cell>
          <cell r="HM553">
            <v>178.11324999999999</v>
          </cell>
          <cell r="HN553">
            <v>167.34375</v>
          </cell>
          <cell r="HO553">
            <v>161.92925</v>
          </cell>
          <cell r="HP553">
            <v>170.02125000000001</v>
          </cell>
          <cell r="HQ553">
            <v>170.02125000000001</v>
          </cell>
          <cell r="HR553">
            <v>162.73249999999999</v>
          </cell>
          <cell r="HS553">
            <v>167.99825000000001</v>
          </cell>
          <cell r="HT553">
            <v>162.61349999999999</v>
          </cell>
          <cell r="HU553">
            <v>159.51949999999999</v>
          </cell>
          <cell r="HV553">
            <v>154.90825000000001</v>
          </cell>
          <cell r="HW553">
            <v>152.61750000000001</v>
          </cell>
          <cell r="HX553">
            <v>150.86225000000002</v>
          </cell>
          <cell r="HY553">
            <v>142.08599999999998</v>
          </cell>
          <cell r="HZ553">
            <v>138.30775</v>
          </cell>
          <cell r="IA553">
            <v>135.36249999999998</v>
          </cell>
          <cell r="IB553">
            <v>136.70125000000002</v>
          </cell>
          <cell r="IC553">
            <v>138.30775</v>
          </cell>
          <cell r="ID553">
            <v>138.57550000000001</v>
          </cell>
          <cell r="IE553">
            <v>136.55250000000001</v>
          </cell>
          <cell r="IF553">
            <v>134.946</v>
          </cell>
          <cell r="IG553">
            <v>135.48149999999998</v>
          </cell>
          <cell r="IH553">
            <v>307.59004308199997</v>
          </cell>
          <cell r="II553">
            <v>292.40676548999994</v>
          </cell>
          <cell r="IJ553">
            <v>277.22348789799997</v>
          </cell>
          <cell r="IK553">
            <v>265.83602970399994</v>
          </cell>
        </row>
        <row r="554">
          <cell r="Z554">
            <v>32.265047506999998</v>
          </cell>
          <cell r="AA554">
            <v>32.055534211499996</v>
          </cell>
          <cell r="AB554">
            <v>32.055534211499996</v>
          </cell>
          <cell r="AC554">
            <v>32.881263081999997</v>
          </cell>
          <cell r="AD554">
            <v>32.881263081999997</v>
          </cell>
          <cell r="AE554">
            <v>32.881263081999997</v>
          </cell>
          <cell r="AF554">
            <v>33.571424525999994</v>
          </cell>
          <cell r="AG554">
            <v>33.571424525999994</v>
          </cell>
          <cell r="AH554">
            <v>33.571424525999994</v>
          </cell>
          <cell r="AI554">
            <v>33.029154819999995</v>
          </cell>
          <cell r="AJ554">
            <v>33.029154819999995</v>
          </cell>
          <cell r="AK554">
            <v>33.029154819999995</v>
          </cell>
          <cell r="AL554">
            <v>33.053803442999993</v>
          </cell>
          <cell r="AM554">
            <v>33.053803442999993</v>
          </cell>
          <cell r="AN554">
            <v>33.053803442999993</v>
          </cell>
          <cell r="AO554">
            <v>33.361911230499992</v>
          </cell>
          <cell r="AP554">
            <v>33.361911230499992</v>
          </cell>
          <cell r="AQ554">
            <v>33.361911230499992</v>
          </cell>
          <cell r="AR554">
            <v>33.583748837499996</v>
          </cell>
          <cell r="AS554">
            <v>33.583748837499996</v>
          </cell>
          <cell r="AT554">
            <v>33.583748837499996</v>
          </cell>
          <cell r="AU554">
            <v>33.47283003399999</v>
          </cell>
          <cell r="AV554">
            <v>33.47283003399999</v>
          </cell>
          <cell r="AW554">
            <v>33.47283003399999</v>
          </cell>
          <cell r="AX554">
            <v>34.236937347000001</v>
          </cell>
          <cell r="AY554">
            <v>34.236937347000001</v>
          </cell>
          <cell r="AZ554">
            <v>34.236937347000001</v>
          </cell>
          <cell r="BA554">
            <v>34.261585969999999</v>
          </cell>
          <cell r="BB554">
            <v>34.261585969999999</v>
          </cell>
          <cell r="BC554">
            <v>34.261585969999999</v>
          </cell>
          <cell r="BD554">
            <v>35.678881792499993</v>
          </cell>
          <cell r="BE554">
            <v>35.678881792499993</v>
          </cell>
          <cell r="BF554">
            <v>35.678881792499993</v>
          </cell>
          <cell r="BG554">
            <v>39.105040389500004</v>
          </cell>
          <cell r="BH554">
            <v>39.105040389500004</v>
          </cell>
          <cell r="BI554">
            <v>39.105040389500004</v>
          </cell>
          <cell r="BJ554">
            <v>40.386768785499996</v>
          </cell>
          <cell r="BK554">
            <v>40.386768785499996</v>
          </cell>
          <cell r="BL554">
            <v>40.386768785499996</v>
          </cell>
          <cell r="BM554">
            <v>45.661574107499987</v>
          </cell>
          <cell r="BN554">
            <v>45.661574107499987</v>
          </cell>
          <cell r="BO554">
            <v>45.661574107499987</v>
          </cell>
          <cell r="BP554">
            <v>49.321894622999999</v>
          </cell>
          <cell r="BQ554">
            <v>49.321894622999999</v>
          </cell>
          <cell r="BR554">
            <v>49.321894622999999</v>
          </cell>
          <cell r="BS554">
            <v>50.159947805000002</v>
          </cell>
          <cell r="BT554">
            <v>50.159947805000002</v>
          </cell>
          <cell r="BU554">
            <v>50.159947805000002</v>
          </cell>
          <cell r="BV554">
            <v>50.307839543</v>
          </cell>
          <cell r="BW554">
            <v>45.304169073999986</v>
          </cell>
          <cell r="BX554">
            <v>50.307839543</v>
          </cell>
          <cell r="BY554">
            <v>45.304169073999986</v>
          </cell>
          <cell r="BZ554">
            <v>45.304169073999986</v>
          </cell>
          <cell r="CA554">
            <v>45.304169073999986</v>
          </cell>
          <cell r="CB554">
            <v>34.939423102499994</v>
          </cell>
          <cell r="CC554">
            <v>34.939423102499994</v>
          </cell>
          <cell r="CD554">
            <v>32.585479605999993</v>
          </cell>
          <cell r="CE554">
            <v>33.201695180999998</v>
          </cell>
          <cell r="CF554">
            <v>33.189370869499996</v>
          </cell>
          <cell r="CG554">
            <v>33.214019492499993</v>
          </cell>
          <cell r="CH554">
            <v>34.286234592999996</v>
          </cell>
          <cell r="CI554">
            <v>34.286234592999996</v>
          </cell>
          <cell r="CJ554">
            <v>34.286234592999996</v>
          </cell>
          <cell r="CK554">
            <v>34.877801545000004</v>
          </cell>
          <cell r="CL554">
            <v>34.877801545000004</v>
          </cell>
          <cell r="CM554">
            <v>34.877801545000004</v>
          </cell>
          <cell r="CN554">
            <v>35.2845038245</v>
          </cell>
          <cell r="CO554">
            <v>35.2845038245</v>
          </cell>
          <cell r="CP554">
            <v>35.2845038245</v>
          </cell>
          <cell r="CQ554">
            <v>34.434126330999995</v>
          </cell>
          <cell r="CR554">
            <v>34.434126330999995</v>
          </cell>
          <cell r="CS554">
            <v>34.434126330999995</v>
          </cell>
          <cell r="CT554">
            <v>31.870669538999994</v>
          </cell>
          <cell r="CU554">
            <v>31.870669538999994</v>
          </cell>
          <cell r="CV554">
            <v>31.870669538999994</v>
          </cell>
          <cell r="CW554">
            <v>29.331861369999995</v>
          </cell>
          <cell r="CX554">
            <v>29.331861369999995</v>
          </cell>
          <cell r="CY554">
            <v>29.331861369999995</v>
          </cell>
          <cell r="CZ554">
            <v>29.196293943499999</v>
          </cell>
          <cell r="DA554">
            <v>29.196293943499999</v>
          </cell>
          <cell r="DB554">
            <v>29.196293943499999</v>
          </cell>
          <cell r="DC554">
            <v>28.222673335</v>
          </cell>
          <cell r="DD554">
            <v>28.222673335</v>
          </cell>
          <cell r="DE554">
            <v>28.222673335</v>
          </cell>
          <cell r="DF554">
            <v>26.497269724999995</v>
          </cell>
          <cell r="DG554">
            <v>26.497269724999995</v>
          </cell>
          <cell r="DH554">
            <v>26.497269724999995</v>
          </cell>
          <cell r="DI554">
            <v>27.680403628999994</v>
          </cell>
          <cell r="DJ554">
            <v>27.680403628999994</v>
          </cell>
          <cell r="DK554">
            <v>27.680403628999994</v>
          </cell>
          <cell r="DL554">
            <v>30.132941617499995</v>
          </cell>
          <cell r="DM554">
            <v>30.132941617499995</v>
          </cell>
          <cell r="DN554">
            <v>30.132941617499995</v>
          </cell>
          <cell r="DO554">
            <v>33.004506196999998</v>
          </cell>
          <cell r="DP554">
            <v>33.004506196999998</v>
          </cell>
          <cell r="DQ554">
            <v>33.004506196999998</v>
          </cell>
          <cell r="DR554">
            <v>32.856614458999992</v>
          </cell>
          <cell r="DS554">
            <v>32.856614458999992</v>
          </cell>
          <cell r="DT554">
            <v>32.856614458999992</v>
          </cell>
          <cell r="DU554">
            <v>35.420071250999996</v>
          </cell>
          <cell r="DV554">
            <v>35.420071250999996</v>
          </cell>
          <cell r="DW554">
            <v>35.420071250999996</v>
          </cell>
          <cell r="DX554">
            <v>36.578556531999993</v>
          </cell>
          <cell r="DY554">
            <v>36.578556531999993</v>
          </cell>
          <cell r="DZ554">
            <v>36.578556531999993</v>
          </cell>
          <cell r="EA554">
            <v>36.233475809999995</v>
          </cell>
          <cell r="EB554">
            <v>36.233475809999995</v>
          </cell>
          <cell r="EC554">
            <v>36.233475809999995</v>
          </cell>
          <cell r="ED554">
            <v>36.701799646999987</v>
          </cell>
          <cell r="EE554">
            <v>36.701799646999987</v>
          </cell>
          <cell r="EF554">
            <v>36.701799646999987</v>
          </cell>
          <cell r="EG554">
            <v>37.995852354499995</v>
          </cell>
          <cell r="EH554">
            <v>37.995852354499995</v>
          </cell>
          <cell r="EI554">
            <v>37.995852354499995</v>
          </cell>
          <cell r="EJ554">
            <v>37.847960616499996</v>
          </cell>
          <cell r="EK554">
            <v>37.847960616499996</v>
          </cell>
          <cell r="EL554">
            <v>37.847960616499996</v>
          </cell>
          <cell r="EM554">
            <v>34.865477233499995</v>
          </cell>
          <cell r="EN554">
            <v>34.877801545000004</v>
          </cell>
          <cell r="EO554">
            <v>34.877801545000004</v>
          </cell>
          <cell r="EP554">
            <v>29.529050353999995</v>
          </cell>
          <cell r="EQ554">
            <v>29.529050353999995</v>
          </cell>
          <cell r="ER554">
            <v>30.354779224499993</v>
          </cell>
          <cell r="ES554">
            <v>33.682343329499993</v>
          </cell>
          <cell r="ET554">
            <v>33.682343329499993</v>
          </cell>
          <cell r="EU554">
            <v>33.275641049999997</v>
          </cell>
          <cell r="EV554">
            <v>33.152397934999996</v>
          </cell>
          <cell r="EW554">
            <v>32.905911704999994</v>
          </cell>
          <cell r="EX554">
            <v>32.905911704999994</v>
          </cell>
          <cell r="EY554">
            <v>33.238668115499998</v>
          </cell>
          <cell r="EZ554">
            <v>33.029154819999995</v>
          </cell>
          <cell r="FA554">
            <v>33.398884164999991</v>
          </cell>
          <cell r="FB554">
            <v>34.372504773499998</v>
          </cell>
          <cell r="FC554">
            <v>39.314553684999993</v>
          </cell>
          <cell r="FD554">
            <v>44.860493859999991</v>
          </cell>
          <cell r="FE554">
            <v>44.860493859999991</v>
          </cell>
          <cell r="FF554">
            <v>35.309152447499997</v>
          </cell>
          <cell r="FG554">
            <v>34.273910281499994</v>
          </cell>
          <cell r="FH554">
            <v>35.863746464999998</v>
          </cell>
          <cell r="FI554">
            <v>37.465906959999998</v>
          </cell>
          <cell r="FJ554">
            <v>38.944824339999997</v>
          </cell>
          <cell r="FK554">
            <v>36.972934499999994</v>
          </cell>
          <cell r="FL554">
            <v>37.589150074999999</v>
          </cell>
          <cell r="FM554">
            <v>37.835636304999994</v>
          </cell>
          <cell r="FN554">
            <v>38.45185188</v>
          </cell>
          <cell r="FO554">
            <v>41.656172869999992</v>
          </cell>
          <cell r="FP554">
            <v>42.395631559999998</v>
          </cell>
          <cell r="FQ554">
            <v>42.765360905000001</v>
          </cell>
          <cell r="FR554">
            <v>43.628062709999995</v>
          </cell>
          <cell r="FS554">
            <v>43.997792054999998</v>
          </cell>
          <cell r="FT554">
            <v>44.121035169999992</v>
          </cell>
          <cell r="FU554">
            <v>44.490764514999995</v>
          </cell>
          <cell r="FV554">
            <v>48.064814849999991</v>
          </cell>
          <cell r="FW554">
            <v>50.159947805000002</v>
          </cell>
          <cell r="FX554">
            <v>52.87129633499999</v>
          </cell>
          <cell r="FY554">
            <v>53.364268794999987</v>
          </cell>
          <cell r="FZ554">
            <v>49.420489115000002</v>
          </cell>
          <cell r="GA554">
            <v>51.392378954999998</v>
          </cell>
          <cell r="GB554">
            <v>53.253349991499988</v>
          </cell>
          <cell r="GC554">
            <v>53.364268794999987</v>
          </cell>
          <cell r="GD554">
            <v>49.66697534499999</v>
          </cell>
          <cell r="GE554">
            <v>47.448599274999992</v>
          </cell>
          <cell r="GF554">
            <v>49.420489115000002</v>
          </cell>
          <cell r="GG554">
            <v>50.283190919999996</v>
          </cell>
          <cell r="GH554">
            <v>66.674525214999989</v>
          </cell>
          <cell r="GI554">
            <v>67.105876117499989</v>
          </cell>
          <cell r="GJ554">
            <v>60.019397005000002</v>
          </cell>
          <cell r="GK554">
            <v>51.762108299999994</v>
          </cell>
          <cell r="GL554">
            <v>55.089672404999995</v>
          </cell>
          <cell r="GM554">
            <v>58.047507164999999</v>
          </cell>
          <cell r="GN554">
            <v>56.568589784999993</v>
          </cell>
          <cell r="GO554">
            <v>58.417236509999995</v>
          </cell>
          <cell r="GP554">
            <v>61.12858503999999</v>
          </cell>
          <cell r="GQ554">
            <v>65.072364719999982</v>
          </cell>
          <cell r="GR554">
            <v>67.475605462499985</v>
          </cell>
          <cell r="GS554">
            <v>71.419385142500005</v>
          </cell>
          <cell r="GT554">
            <v>74.931813919999996</v>
          </cell>
          <cell r="GU554">
            <v>68.424577447999994</v>
          </cell>
          <cell r="GV554">
            <v>58.515831001999992</v>
          </cell>
          <cell r="GW554">
            <v>59.748262151999981</v>
          </cell>
          <cell r="GX554">
            <v>58.059831476500001</v>
          </cell>
          <cell r="GY554">
            <v>56.617887030999988</v>
          </cell>
          <cell r="GZ554">
            <v>57.653129196999991</v>
          </cell>
          <cell r="HA554">
            <v>60.463072218999997</v>
          </cell>
          <cell r="HB554">
            <v>62.73074553499999</v>
          </cell>
          <cell r="HC554">
            <v>64.998418850999983</v>
          </cell>
          <cell r="HD554">
            <v>61.214855220499999</v>
          </cell>
          <cell r="HE554">
            <v>61.63388181149999</v>
          </cell>
          <cell r="HF554">
            <v>58.1337773455</v>
          </cell>
          <cell r="HG554">
            <v>58.220047525999995</v>
          </cell>
          <cell r="HH554">
            <v>60.290531857999994</v>
          </cell>
          <cell r="HI554">
            <v>60.500045153499997</v>
          </cell>
          <cell r="HJ554">
            <v>0</v>
          </cell>
          <cell r="HK554">
            <v>0</v>
          </cell>
          <cell r="HL554">
            <v>0</v>
          </cell>
          <cell r="HM554">
            <v>0</v>
          </cell>
          <cell r="HN554">
            <v>0</v>
          </cell>
          <cell r="HO554">
            <v>0</v>
          </cell>
          <cell r="HP554">
            <v>0</v>
          </cell>
          <cell r="HQ554">
            <v>0</v>
          </cell>
          <cell r="HR554">
            <v>0</v>
          </cell>
          <cell r="HS554">
            <v>0</v>
          </cell>
          <cell r="HT554">
            <v>0</v>
          </cell>
          <cell r="HU554">
            <v>0</v>
          </cell>
          <cell r="HV554">
            <v>0</v>
          </cell>
          <cell r="HW554">
            <v>0</v>
          </cell>
          <cell r="HX554">
            <v>0</v>
          </cell>
          <cell r="HY554">
            <v>0</v>
          </cell>
          <cell r="HZ554">
            <v>0</v>
          </cell>
          <cell r="IA554">
            <v>0</v>
          </cell>
          <cell r="IB554">
            <v>0</v>
          </cell>
          <cell r="IC554">
            <v>0</v>
          </cell>
          <cell r="ID554">
            <v>0</v>
          </cell>
          <cell r="IE554">
            <v>0</v>
          </cell>
          <cell r="IF554">
            <v>0</v>
          </cell>
          <cell r="IG554">
            <v>0</v>
          </cell>
          <cell r="IH554">
            <v>65.417445441999988</v>
          </cell>
          <cell r="II554">
            <v>66.255498623999983</v>
          </cell>
          <cell r="IJ554">
            <v>65.824147721499983</v>
          </cell>
          <cell r="IK554">
            <v>62.915610207499988</v>
          </cell>
        </row>
        <row r="555">
          <cell r="Z555">
            <v>12.959999999999999</v>
          </cell>
          <cell r="AA555">
            <v>10.98</v>
          </cell>
          <cell r="AB555">
            <v>11.52</v>
          </cell>
          <cell r="AC555">
            <v>13.139999999999999</v>
          </cell>
          <cell r="AD555">
            <v>14.31</v>
          </cell>
          <cell r="AE555">
            <v>14.85</v>
          </cell>
          <cell r="AF555">
            <v>15.12</v>
          </cell>
          <cell r="AG555">
            <v>17.369999999999997</v>
          </cell>
          <cell r="AH555">
            <v>19.529999999999998</v>
          </cell>
          <cell r="AI555">
            <v>21.419999999999998</v>
          </cell>
          <cell r="AJ555">
            <v>21.87</v>
          </cell>
          <cell r="AK555">
            <v>21.24</v>
          </cell>
          <cell r="AL555">
            <v>18.809999999999999</v>
          </cell>
          <cell r="AM555">
            <v>15.75</v>
          </cell>
          <cell r="AN555">
            <v>18.989999999999998</v>
          </cell>
          <cell r="AO555">
            <v>21.059999999999995</v>
          </cell>
          <cell r="AP555">
            <v>25.559999999999995</v>
          </cell>
          <cell r="AQ555">
            <v>20.429999999999996</v>
          </cell>
          <cell r="AR555">
            <v>18.720000000000002</v>
          </cell>
          <cell r="AS555">
            <v>20.07</v>
          </cell>
          <cell r="AT555">
            <v>22.23</v>
          </cell>
          <cell r="AU555">
            <v>19.71</v>
          </cell>
          <cell r="AV555">
            <v>19.889999999999997</v>
          </cell>
          <cell r="AW555">
            <v>22.679999999999996</v>
          </cell>
          <cell r="AX555">
            <v>19.349999999999998</v>
          </cell>
          <cell r="AY555">
            <v>21.419999999999998</v>
          </cell>
          <cell r="AZ555">
            <v>21.599999999999998</v>
          </cell>
          <cell r="BA555">
            <v>18.54</v>
          </cell>
          <cell r="BB555">
            <v>19.349999999999998</v>
          </cell>
          <cell r="BC555">
            <v>16.649999999999999</v>
          </cell>
          <cell r="BD555">
            <v>18.36</v>
          </cell>
          <cell r="BE555">
            <v>16.919999999999998</v>
          </cell>
          <cell r="BF555">
            <v>14.399999999999999</v>
          </cell>
          <cell r="BG555">
            <v>13.319999999999999</v>
          </cell>
          <cell r="BH555">
            <v>16.02</v>
          </cell>
          <cell r="BI555">
            <v>16.02</v>
          </cell>
          <cell r="BJ555">
            <v>15.209999999999997</v>
          </cell>
          <cell r="BK555">
            <v>13.41</v>
          </cell>
          <cell r="BL555">
            <v>13.589999999999998</v>
          </cell>
          <cell r="BM555">
            <v>14.58</v>
          </cell>
          <cell r="BN555">
            <v>15.569999999999999</v>
          </cell>
          <cell r="BO555">
            <v>16.11</v>
          </cell>
          <cell r="BP555">
            <v>14.13</v>
          </cell>
          <cell r="BQ555">
            <v>13.139999999999999</v>
          </cell>
          <cell r="BR555">
            <v>15.029999999999998</v>
          </cell>
          <cell r="BS555">
            <v>15.389999999999999</v>
          </cell>
          <cell r="BT555">
            <v>16.649999999999999</v>
          </cell>
          <cell r="BU555">
            <v>20.07</v>
          </cell>
          <cell r="BV555">
            <v>20.519999999999996</v>
          </cell>
          <cell r="BW555">
            <v>18</v>
          </cell>
          <cell r="BX555">
            <v>19.169999999999998</v>
          </cell>
          <cell r="BY555">
            <v>21.419999999999998</v>
          </cell>
          <cell r="BZ555">
            <v>20.519999999999996</v>
          </cell>
          <cell r="CA555">
            <v>21.779999999999998</v>
          </cell>
          <cell r="CB555">
            <v>24.12</v>
          </cell>
          <cell r="CC555">
            <v>21.059999999999995</v>
          </cell>
          <cell r="CD555">
            <v>16.740000000000002</v>
          </cell>
          <cell r="CE555">
            <v>17.099999999999998</v>
          </cell>
          <cell r="CF555">
            <v>24.389999999999997</v>
          </cell>
          <cell r="CG555">
            <v>34.11</v>
          </cell>
          <cell r="CH555">
            <v>34.65</v>
          </cell>
          <cell r="CI555">
            <v>26.19</v>
          </cell>
          <cell r="CJ555">
            <v>16.29</v>
          </cell>
          <cell r="CK555">
            <v>17.009999999999998</v>
          </cell>
          <cell r="CL555">
            <v>19.71</v>
          </cell>
          <cell r="CM555">
            <v>21.51</v>
          </cell>
          <cell r="CN555">
            <v>20.16</v>
          </cell>
          <cell r="CO555">
            <v>20.429999999999996</v>
          </cell>
          <cell r="CP555">
            <v>23.76</v>
          </cell>
          <cell r="CQ555">
            <v>28.799999999999997</v>
          </cell>
          <cell r="CR555">
            <v>30.15</v>
          </cell>
          <cell r="CS555">
            <v>23.04</v>
          </cell>
          <cell r="CT555">
            <v>20.88</v>
          </cell>
          <cell r="CU555">
            <v>18.899999999999999</v>
          </cell>
          <cell r="CV555">
            <v>20.970000000000002</v>
          </cell>
          <cell r="CW555">
            <v>21.51</v>
          </cell>
          <cell r="CX555">
            <v>21.330000000000002</v>
          </cell>
          <cell r="CY555">
            <v>19.349999999999998</v>
          </cell>
          <cell r="CZ555">
            <v>22.23</v>
          </cell>
          <cell r="DA555">
            <v>18.449999999999996</v>
          </cell>
          <cell r="DB555">
            <v>14.85</v>
          </cell>
          <cell r="DC555">
            <v>19.169999999999998</v>
          </cell>
          <cell r="DD555">
            <v>19.169999999999998</v>
          </cell>
          <cell r="DE555">
            <v>19.8</v>
          </cell>
          <cell r="DF555">
            <v>17.009999999999998</v>
          </cell>
          <cell r="DG555">
            <v>17.189999999999998</v>
          </cell>
          <cell r="DH555">
            <v>15.66</v>
          </cell>
          <cell r="DI555">
            <v>17.73</v>
          </cell>
          <cell r="DJ555">
            <v>22.05</v>
          </cell>
          <cell r="DK555">
            <v>21.15</v>
          </cell>
          <cell r="DL555">
            <v>21.419999999999998</v>
          </cell>
          <cell r="DM555">
            <v>24.57</v>
          </cell>
          <cell r="DN555">
            <v>27.09</v>
          </cell>
          <cell r="DO555">
            <v>23.669999999999998</v>
          </cell>
          <cell r="DP555">
            <v>28.169999999999998</v>
          </cell>
          <cell r="DQ555">
            <v>20.07</v>
          </cell>
          <cell r="DR555">
            <v>22.139999999999997</v>
          </cell>
          <cell r="DS555">
            <v>24.389999999999997</v>
          </cell>
          <cell r="DT555">
            <v>24.389999999999997</v>
          </cell>
          <cell r="DU555">
            <v>27</v>
          </cell>
          <cell r="DV555">
            <v>28.62</v>
          </cell>
          <cell r="DW555">
            <v>40.32</v>
          </cell>
          <cell r="DX555">
            <v>40.049999999999997</v>
          </cell>
          <cell r="DY555">
            <v>35.190000000000005</v>
          </cell>
          <cell r="DZ555">
            <v>42.39</v>
          </cell>
          <cell r="EA555">
            <v>48.33</v>
          </cell>
          <cell r="EB555">
            <v>41.309999999999995</v>
          </cell>
          <cell r="EC555">
            <v>55.08</v>
          </cell>
          <cell r="ED555">
            <v>89.36999999999999</v>
          </cell>
          <cell r="EE555">
            <v>56.789999999999992</v>
          </cell>
          <cell r="EF555">
            <v>45.63</v>
          </cell>
          <cell r="EG555">
            <v>48.96</v>
          </cell>
          <cell r="EH555">
            <v>44.73</v>
          </cell>
          <cell r="EI555">
            <v>34.65</v>
          </cell>
          <cell r="EJ555">
            <v>29.61</v>
          </cell>
          <cell r="EK555">
            <v>29.519999999999996</v>
          </cell>
          <cell r="EL555">
            <v>22.139999999999997</v>
          </cell>
          <cell r="EM555">
            <v>17.459999999999997</v>
          </cell>
          <cell r="EN555">
            <v>29.25</v>
          </cell>
          <cell r="EO555">
            <v>22.23</v>
          </cell>
          <cell r="EP555">
            <v>24.3</v>
          </cell>
          <cell r="EQ555">
            <v>19.260000000000002</v>
          </cell>
          <cell r="ER555">
            <v>22.41</v>
          </cell>
          <cell r="ES555">
            <v>31.679999999999996</v>
          </cell>
          <cell r="ET555">
            <v>31.139999999999997</v>
          </cell>
          <cell r="EU555">
            <v>31.139999999999997</v>
          </cell>
          <cell r="EV555">
            <v>30.330000000000002</v>
          </cell>
          <cell r="EW555">
            <v>27.63</v>
          </cell>
          <cell r="EX555">
            <v>30.779999999999998</v>
          </cell>
          <cell r="EY555">
            <v>33.839999999999996</v>
          </cell>
          <cell r="EZ555">
            <v>37.979999999999997</v>
          </cell>
          <cell r="FA555">
            <v>38.07</v>
          </cell>
          <cell r="FB555">
            <v>44.73</v>
          </cell>
          <cell r="FC555">
            <v>51.75</v>
          </cell>
          <cell r="FD555">
            <v>82.35</v>
          </cell>
          <cell r="FE555">
            <v>46.98</v>
          </cell>
          <cell r="FF555">
            <v>46.61999999999999</v>
          </cell>
          <cell r="FG555">
            <v>54.18</v>
          </cell>
          <cell r="FH555">
            <v>48.42</v>
          </cell>
          <cell r="FI555">
            <v>43.02</v>
          </cell>
          <cell r="FJ555">
            <v>45</v>
          </cell>
          <cell r="FK555">
            <v>40.589999999999996</v>
          </cell>
          <cell r="FL555">
            <v>40.68</v>
          </cell>
          <cell r="FM555">
            <v>44.1</v>
          </cell>
          <cell r="FN555">
            <v>55.440000000000005</v>
          </cell>
          <cell r="FO555">
            <v>51.39</v>
          </cell>
          <cell r="FP555">
            <v>46.35</v>
          </cell>
          <cell r="FQ555">
            <v>48.96</v>
          </cell>
          <cell r="FR555">
            <v>53.82</v>
          </cell>
          <cell r="FS555">
            <v>60.75</v>
          </cell>
          <cell r="FT555">
            <v>56.07</v>
          </cell>
          <cell r="FU555">
            <v>54.9</v>
          </cell>
          <cell r="FV555">
            <v>46.35</v>
          </cell>
          <cell r="FW555">
            <v>51.21</v>
          </cell>
          <cell r="FX555">
            <v>68.759999999999991</v>
          </cell>
          <cell r="FY555">
            <v>66.78</v>
          </cell>
          <cell r="FZ555">
            <v>55.26</v>
          </cell>
          <cell r="GA555">
            <v>55.8</v>
          </cell>
          <cell r="GB555">
            <v>56.25</v>
          </cell>
          <cell r="GC555">
            <v>65.789999999999992</v>
          </cell>
          <cell r="GD555">
            <v>61.38</v>
          </cell>
          <cell r="GE555">
            <v>56.160000000000004</v>
          </cell>
          <cell r="GF555">
            <v>63.63</v>
          </cell>
          <cell r="GG555">
            <v>68.849999999999994</v>
          </cell>
          <cell r="GH555">
            <v>94.23</v>
          </cell>
          <cell r="GI555">
            <v>114.21</v>
          </cell>
          <cell r="GJ555">
            <v>115.10999999999999</v>
          </cell>
          <cell r="GK555">
            <v>88.2</v>
          </cell>
          <cell r="GL555">
            <v>92.52</v>
          </cell>
          <cell r="GM555">
            <v>71.28</v>
          </cell>
          <cell r="GN555">
            <v>62.82</v>
          </cell>
          <cell r="GO555">
            <v>63.63</v>
          </cell>
          <cell r="GP555">
            <v>63.449999999999996</v>
          </cell>
          <cell r="GQ555">
            <v>53.36999999999999</v>
          </cell>
          <cell r="GR555">
            <v>53.01</v>
          </cell>
          <cell r="GS555">
            <v>62.910000000000004</v>
          </cell>
          <cell r="GT555">
            <v>60.57</v>
          </cell>
          <cell r="GU555">
            <v>37.71</v>
          </cell>
          <cell r="GV555">
            <v>64.17</v>
          </cell>
          <cell r="GW555">
            <v>72.63000000000001</v>
          </cell>
          <cell r="GX555">
            <v>52.109999999999992</v>
          </cell>
          <cell r="GY555">
            <v>62.55</v>
          </cell>
          <cell r="GZ555">
            <v>67.14</v>
          </cell>
          <cell r="HA555">
            <v>66.509999999999991</v>
          </cell>
          <cell r="HB555">
            <v>67.86</v>
          </cell>
          <cell r="HC555">
            <v>69.03</v>
          </cell>
          <cell r="HD555">
            <v>62.55</v>
          </cell>
          <cell r="HE555">
            <v>54.539999999999992</v>
          </cell>
          <cell r="HF555">
            <v>49.14</v>
          </cell>
          <cell r="HG555">
            <v>57.42</v>
          </cell>
          <cell r="HH555">
            <v>64.97999999999999</v>
          </cell>
          <cell r="HI555">
            <v>64.349999999999994</v>
          </cell>
          <cell r="HJ555">
            <v>64.17</v>
          </cell>
          <cell r="HK555">
            <v>72.63000000000001</v>
          </cell>
          <cell r="HL555">
            <v>80.91</v>
          </cell>
          <cell r="HM555">
            <v>86.219999999999985</v>
          </cell>
          <cell r="HN555">
            <v>101.07000000000001</v>
          </cell>
          <cell r="HO555">
            <v>107.36999999999999</v>
          </cell>
          <cell r="HP555">
            <v>117.44999999999999</v>
          </cell>
          <cell r="HQ555">
            <v>82.8</v>
          </cell>
          <cell r="HR555">
            <v>99.45</v>
          </cell>
          <cell r="HS555">
            <v>105.75</v>
          </cell>
          <cell r="HT555">
            <v>108</v>
          </cell>
          <cell r="HU555">
            <v>115.64999999999999</v>
          </cell>
          <cell r="HV555">
            <v>116.55</v>
          </cell>
          <cell r="HW555">
            <v>113.39999999999999</v>
          </cell>
          <cell r="HX555">
            <v>106.64999999999999</v>
          </cell>
          <cell r="HY555">
            <v>107.55</v>
          </cell>
          <cell r="HZ555">
            <v>100.8</v>
          </cell>
          <cell r="IA555">
            <v>99</v>
          </cell>
          <cell r="IB555">
            <v>94.95</v>
          </cell>
          <cell r="IC555">
            <v>94.05</v>
          </cell>
          <cell r="ID555">
            <v>91.8</v>
          </cell>
          <cell r="IE555">
            <v>97.649999999999991</v>
          </cell>
          <cell r="IF555">
            <v>100.35</v>
          </cell>
          <cell r="IG555">
            <v>109.35</v>
          </cell>
          <cell r="IH555">
            <v>58.949999999999996</v>
          </cell>
          <cell r="II555">
            <v>64.349999999999994</v>
          </cell>
          <cell r="IJ555">
            <v>65.7</v>
          </cell>
          <cell r="IK555">
            <v>73.349999999999994</v>
          </cell>
        </row>
        <row r="556">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cell r="BM556">
            <v>0</v>
          </cell>
          <cell r="BN556">
            <v>0</v>
          </cell>
          <cell r="BO556">
            <v>0</v>
          </cell>
          <cell r="BP556">
            <v>0</v>
          </cell>
          <cell r="BQ556">
            <v>0</v>
          </cell>
          <cell r="BR556">
            <v>0</v>
          </cell>
          <cell r="BS556">
            <v>0</v>
          </cell>
          <cell r="BT556">
            <v>0</v>
          </cell>
          <cell r="BU556">
            <v>0</v>
          </cell>
          <cell r="BV556">
            <v>0</v>
          </cell>
          <cell r="BW556">
            <v>0</v>
          </cell>
          <cell r="BX556">
            <v>0</v>
          </cell>
          <cell r="BY556">
            <v>0</v>
          </cell>
          <cell r="BZ556">
            <v>0</v>
          </cell>
          <cell r="CA556">
            <v>0</v>
          </cell>
          <cell r="CB556">
            <v>0</v>
          </cell>
          <cell r="CC556">
            <v>0</v>
          </cell>
          <cell r="CD556">
            <v>0</v>
          </cell>
          <cell r="CE556">
            <v>0</v>
          </cell>
          <cell r="CF556">
            <v>0</v>
          </cell>
          <cell r="CG556">
            <v>0</v>
          </cell>
          <cell r="CH556">
            <v>0</v>
          </cell>
          <cell r="CI556">
            <v>0</v>
          </cell>
          <cell r="CJ556">
            <v>0</v>
          </cell>
          <cell r="CK556">
            <v>0</v>
          </cell>
          <cell r="CL556">
            <v>0</v>
          </cell>
          <cell r="CM556">
            <v>0</v>
          </cell>
          <cell r="CN556">
            <v>0</v>
          </cell>
          <cell r="CO556">
            <v>0</v>
          </cell>
          <cell r="CP556">
            <v>0</v>
          </cell>
          <cell r="CQ556">
            <v>0</v>
          </cell>
          <cell r="CR556">
            <v>0</v>
          </cell>
          <cell r="CS556">
            <v>0</v>
          </cell>
          <cell r="CT556">
            <v>0</v>
          </cell>
          <cell r="CU556">
            <v>0</v>
          </cell>
          <cell r="CV556">
            <v>0</v>
          </cell>
          <cell r="CW556">
            <v>0</v>
          </cell>
          <cell r="CX556">
            <v>0</v>
          </cell>
          <cell r="CY556">
            <v>0</v>
          </cell>
          <cell r="CZ556">
            <v>0</v>
          </cell>
          <cell r="DA556">
            <v>0</v>
          </cell>
          <cell r="DB556">
            <v>0</v>
          </cell>
          <cell r="DC556">
            <v>0</v>
          </cell>
          <cell r="DD556">
            <v>0</v>
          </cell>
          <cell r="DE556">
            <v>0</v>
          </cell>
          <cell r="DF556">
            <v>0</v>
          </cell>
          <cell r="DG556">
            <v>0</v>
          </cell>
          <cell r="DH556">
            <v>0</v>
          </cell>
          <cell r="DI556">
            <v>0</v>
          </cell>
          <cell r="DJ556">
            <v>0</v>
          </cell>
          <cell r="DK556">
            <v>0</v>
          </cell>
          <cell r="DL556">
            <v>0</v>
          </cell>
          <cell r="DM556">
            <v>0</v>
          </cell>
          <cell r="DN556">
            <v>0</v>
          </cell>
          <cell r="DO556">
            <v>0</v>
          </cell>
          <cell r="DP556">
            <v>0</v>
          </cell>
          <cell r="DQ556">
            <v>0</v>
          </cell>
          <cell r="DR556">
            <v>0</v>
          </cell>
          <cell r="DS556">
            <v>0</v>
          </cell>
          <cell r="DT556">
            <v>0</v>
          </cell>
          <cell r="DU556">
            <v>0</v>
          </cell>
          <cell r="DV556">
            <v>0</v>
          </cell>
          <cell r="DW556">
            <v>0</v>
          </cell>
          <cell r="DX556">
            <v>0</v>
          </cell>
          <cell r="DY556">
            <v>0</v>
          </cell>
          <cell r="DZ556">
            <v>0</v>
          </cell>
          <cell r="EA556">
            <v>0</v>
          </cell>
          <cell r="EB556">
            <v>0</v>
          </cell>
          <cell r="EC556">
            <v>0</v>
          </cell>
          <cell r="ED556">
            <v>0</v>
          </cell>
          <cell r="EE556">
            <v>0</v>
          </cell>
          <cell r="EF556">
            <v>0</v>
          </cell>
          <cell r="EG556">
            <v>0</v>
          </cell>
          <cell r="EH556">
            <v>0</v>
          </cell>
          <cell r="EI556">
            <v>0</v>
          </cell>
          <cell r="EJ556">
            <v>0</v>
          </cell>
          <cell r="EK556">
            <v>0</v>
          </cell>
          <cell r="EL556">
            <v>0</v>
          </cell>
          <cell r="EM556">
            <v>0</v>
          </cell>
          <cell r="EN556">
            <v>0</v>
          </cell>
          <cell r="EO556">
            <v>0</v>
          </cell>
          <cell r="EP556">
            <v>0</v>
          </cell>
          <cell r="EQ556">
            <v>0</v>
          </cell>
          <cell r="ER556">
            <v>0</v>
          </cell>
          <cell r="ES556">
            <v>0</v>
          </cell>
          <cell r="ET556">
            <v>0</v>
          </cell>
          <cell r="EU556">
            <v>0</v>
          </cell>
          <cell r="EV556">
            <v>0</v>
          </cell>
          <cell r="EW556">
            <v>0</v>
          </cell>
          <cell r="EX556">
            <v>0</v>
          </cell>
          <cell r="EY556">
            <v>0</v>
          </cell>
          <cell r="EZ556">
            <v>0</v>
          </cell>
          <cell r="FA556">
            <v>0</v>
          </cell>
          <cell r="FB556">
            <v>0</v>
          </cell>
          <cell r="FC556">
            <v>0</v>
          </cell>
          <cell r="FD556">
            <v>0</v>
          </cell>
          <cell r="FE556">
            <v>0</v>
          </cell>
          <cell r="FF556">
            <v>0</v>
          </cell>
          <cell r="FG556">
            <v>0</v>
          </cell>
          <cell r="FH556">
            <v>0</v>
          </cell>
          <cell r="FI556">
            <v>0</v>
          </cell>
          <cell r="FJ556">
            <v>0</v>
          </cell>
          <cell r="FK556">
            <v>0</v>
          </cell>
          <cell r="FL556">
            <v>0</v>
          </cell>
          <cell r="FM556">
            <v>0</v>
          </cell>
          <cell r="FN556">
            <v>0</v>
          </cell>
          <cell r="FO556">
            <v>0</v>
          </cell>
          <cell r="FP556">
            <v>0</v>
          </cell>
          <cell r="FQ556">
            <v>0</v>
          </cell>
          <cell r="FR556">
            <v>0</v>
          </cell>
          <cell r="FS556">
            <v>0</v>
          </cell>
          <cell r="FT556">
            <v>0</v>
          </cell>
          <cell r="FU556">
            <v>0</v>
          </cell>
          <cell r="FV556">
            <v>0</v>
          </cell>
          <cell r="FW556">
            <v>0</v>
          </cell>
          <cell r="FX556">
            <v>0</v>
          </cell>
          <cell r="FY556">
            <v>0</v>
          </cell>
          <cell r="FZ556">
            <v>0</v>
          </cell>
          <cell r="GA556">
            <v>0</v>
          </cell>
          <cell r="GB556">
            <v>0</v>
          </cell>
          <cell r="GC556">
            <v>0</v>
          </cell>
          <cell r="GD556">
            <v>0</v>
          </cell>
          <cell r="GE556">
            <v>0</v>
          </cell>
          <cell r="GF556">
            <v>0</v>
          </cell>
          <cell r="GG556">
            <v>0</v>
          </cell>
          <cell r="GH556">
            <v>0</v>
          </cell>
          <cell r="GI556">
            <v>0</v>
          </cell>
          <cell r="GJ556">
            <v>0</v>
          </cell>
          <cell r="GK556">
            <v>0</v>
          </cell>
          <cell r="GL556">
            <v>0</v>
          </cell>
          <cell r="GM556">
            <v>0</v>
          </cell>
          <cell r="GN556">
            <v>0</v>
          </cell>
          <cell r="GO556">
            <v>0</v>
          </cell>
          <cell r="GP556">
            <v>0</v>
          </cell>
          <cell r="GQ556">
            <v>0</v>
          </cell>
          <cell r="GR556">
            <v>0</v>
          </cell>
          <cell r="GS556">
            <v>0</v>
          </cell>
          <cell r="GT556">
            <v>0</v>
          </cell>
          <cell r="GU556">
            <v>0</v>
          </cell>
          <cell r="GV556">
            <v>0</v>
          </cell>
          <cell r="GW556">
            <v>0</v>
          </cell>
          <cell r="GX556">
            <v>0</v>
          </cell>
          <cell r="GY556">
            <v>0</v>
          </cell>
          <cell r="GZ556">
            <v>0</v>
          </cell>
          <cell r="HA556">
            <v>0</v>
          </cell>
          <cell r="HB556">
            <v>0</v>
          </cell>
          <cell r="HC556">
            <v>0</v>
          </cell>
          <cell r="HD556">
            <v>0</v>
          </cell>
          <cell r="HE556">
            <v>0</v>
          </cell>
          <cell r="HF556">
            <v>0</v>
          </cell>
          <cell r="HG556">
            <v>0</v>
          </cell>
          <cell r="HH556">
            <v>0</v>
          </cell>
          <cell r="HI556">
            <v>0</v>
          </cell>
          <cell r="HJ556">
            <v>0</v>
          </cell>
          <cell r="HK556">
            <v>0</v>
          </cell>
          <cell r="HL556">
            <v>0</v>
          </cell>
          <cell r="HM556">
            <v>0</v>
          </cell>
          <cell r="HN556">
            <v>0</v>
          </cell>
          <cell r="HO556">
            <v>0</v>
          </cell>
          <cell r="HP556">
            <v>0</v>
          </cell>
          <cell r="HQ556">
            <v>0</v>
          </cell>
          <cell r="HR556">
            <v>0</v>
          </cell>
          <cell r="HS556">
            <v>0</v>
          </cell>
          <cell r="HT556">
            <v>0</v>
          </cell>
          <cell r="HU556">
            <v>0</v>
          </cell>
          <cell r="HV556">
            <v>0</v>
          </cell>
          <cell r="HW556">
            <v>0</v>
          </cell>
          <cell r="HX556">
            <v>0</v>
          </cell>
          <cell r="HY556">
            <v>0</v>
          </cell>
          <cell r="HZ556">
            <v>0</v>
          </cell>
          <cell r="IA556">
            <v>0</v>
          </cell>
          <cell r="IB556">
            <v>0</v>
          </cell>
          <cell r="IC556">
            <v>0</v>
          </cell>
          <cell r="ID556">
            <v>0</v>
          </cell>
          <cell r="IE556">
            <v>0</v>
          </cell>
          <cell r="IF556">
            <v>0</v>
          </cell>
          <cell r="IG556">
            <v>0</v>
          </cell>
          <cell r="IH556">
            <v>0</v>
          </cell>
          <cell r="II556">
            <v>0</v>
          </cell>
          <cell r="IJ556">
            <v>0</v>
          </cell>
          <cell r="IK556">
            <v>0</v>
          </cell>
        </row>
        <row r="557">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cell r="BM557">
            <v>0</v>
          </cell>
          <cell r="BN557">
            <v>0</v>
          </cell>
          <cell r="BO557">
            <v>0</v>
          </cell>
          <cell r="BP557">
            <v>0</v>
          </cell>
          <cell r="BQ557">
            <v>0</v>
          </cell>
          <cell r="BR557">
            <v>0</v>
          </cell>
          <cell r="BS557">
            <v>0</v>
          </cell>
          <cell r="BT557">
            <v>0</v>
          </cell>
          <cell r="BU557">
            <v>0</v>
          </cell>
          <cell r="BV557">
            <v>0</v>
          </cell>
          <cell r="BW557">
            <v>0</v>
          </cell>
          <cell r="BX557">
            <v>0</v>
          </cell>
          <cell r="BY557">
            <v>0</v>
          </cell>
          <cell r="BZ557">
            <v>0</v>
          </cell>
          <cell r="CA557">
            <v>0</v>
          </cell>
          <cell r="CB557">
            <v>0</v>
          </cell>
          <cell r="CC557">
            <v>0</v>
          </cell>
          <cell r="CD557">
            <v>0</v>
          </cell>
          <cell r="CE557">
            <v>0</v>
          </cell>
          <cell r="CF557">
            <v>0</v>
          </cell>
          <cell r="CG557">
            <v>0</v>
          </cell>
          <cell r="CH557">
            <v>0</v>
          </cell>
          <cell r="CI557">
            <v>0</v>
          </cell>
          <cell r="CJ557">
            <v>0</v>
          </cell>
          <cell r="CK557">
            <v>0</v>
          </cell>
          <cell r="CL557">
            <v>0</v>
          </cell>
          <cell r="CM557">
            <v>0</v>
          </cell>
          <cell r="CN557">
            <v>0</v>
          </cell>
          <cell r="CO557">
            <v>0</v>
          </cell>
          <cell r="CP557">
            <v>0</v>
          </cell>
          <cell r="CQ557">
            <v>0</v>
          </cell>
          <cell r="CR557">
            <v>0</v>
          </cell>
          <cell r="CS557">
            <v>0</v>
          </cell>
          <cell r="CT557">
            <v>0</v>
          </cell>
          <cell r="CU557">
            <v>0</v>
          </cell>
          <cell r="CV557">
            <v>0</v>
          </cell>
          <cell r="CW557">
            <v>0</v>
          </cell>
          <cell r="CX557">
            <v>0</v>
          </cell>
          <cell r="CY557">
            <v>0</v>
          </cell>
          <cell r="CZ557">
            <v>0</v>
          </cell>
          <cell r="DA557">
            <v>0</v>
          </cell>
          <cell r="DB557">
            <v>0</v>
          </cell>
          <cell r="DC557">
            <v>0</v>
          </cell>
          <cell r="DD557">
            <v>0</v>
          </cell>
          <cell r="DE557">
            <v>0</v>
          </cell>
          <cell r="DF557">
            <v>0</v>
          </cell>
          <cell r="DG557">
            <v>0</v>
          </cell>
          <cell r="DH557">
            <v>0</v>
          </cell>
          <cell r="DI557">
            <v>0</v>
          </cell>
          <cell r="DJ557">
            <v>0</v>
          </cell>
          <cell r="DK557">
            <v>0</v>
          </cell>
          <cell r="DL557">
            <v>0</v>
          </cell>
          <cell r="DM557">
            <v>0</v>
          </cell>
          <cell r="DN557">
            <v>0</v>
          </cell>
          <cell r="DO557">
            <v>0</v>
          </cell>
          <cell r="DP557">
            <v>0</v>
          </cell>
          <cell r="DQ557">
            <v>0</v>
          </cell>
          <cell r="DR557">
            <v>0</v>
          </cell>
          <cell r="DS557">
            <v>0</v>
          </cell>
          <cell r="DT557">
            <v>0</v>
          </cell>
          <cell r="DU557">
            <v>0</v>
          </cell>
          <cell r="DV557">
            <v>0</v>
          </cell>
          <cell r="DW557">
            <v>0</v>
          </cell>
          <cell r="DX557">
            <v>0</v>
          </cell>
          <cell r="DY557">
            <v>0</v>
          </cell>
          <cell r="DZ557">
            <v>0</v>
          </cell>
          <cell r="EA557">
            <v>0</v>
          </cell>
          <cell r="EB557">
            <v>0</v>
          </cell>
          <cell r="EC557">
            <v>0</v>
          </cell>
          <cell r="ED557">
            <v>0</v>
          </cell>
          <cell r="EE557">
            <v>0</v>
          </cell>
          <cell r="EF557">
            <v>0</v>
          </cell>
          <cell r="EG557">
            <v>0</v>
          </cell>
          <cell r="EH557">
            <v>0</v>
          </cell>
          <cell r="EI557">
            <v>0</v>
          </cell>
          <cell r="EJ557">
            <v>0</v>
          </cell>
          <cell r="EK557">
            <v>0</v>
          </cell>
          <cell r="EL557">
            <v>0</v>
          </cell>
          <cell r="EM557">
            <v>0</v>
          </cell>
          <cell r="EN557">
            <v>0</v>
          </cell>
          <cell r="EO557">
            <v>0</v>
          </cell>
          <cell r="EP557">
            <v>0</v>
          </cell>
          <cell r="EQ557">
            <v>0</v>
          </cell>
          <cell r="ER557">
            <v>0</v>
          </cell>
          <cell r="ES557">
            <v>0</v>
          </cell>
          <cell r="ET557">
            <v>0</v>
          </cell>
          <cell r="EU557">
            <v>0</v>
          </cell>
          <cell r="EV557">
            <v>0</v>
          </cell>
          <cell r="EW557">
            <v>0</v>
          </cell>
          <cell r="EX557">
            <v>0</v>
          </cell>
          <cell r="EY557">
            <v>0</v>
          </cell>
          <cell r="EZ557">
            <v>0</v>
          </cell>
          <cell r="FA557">
            <v>0</v>
          </cell>
          <cell r="FB557">
            <v>0</v>
          </cell>
          <cell r="FC557">
            <v>0</v>
          </cell>
          <cell r="FD557">
            <v>0</v>
          </cell>
          <cell r="FE557">
            <v>0</v>
          </cell>
          <cell r="FF557">
            <v>0</v>
          </cell>
          <cell r="FG557">
            <v>0</v>
          </cell>
          <cell r="FH557">
            <v>0</v>
          </cell>
          <cell r="FI557">
            <v>0</v>
          </cell>
          <cell r="FJ557">
            <v>0</v>
          </cell>
          <cell r="FK557">
            <v>0</v>
          </cell>
          <cell r="FL557">
            <v>0</v>
          </cell>
          <cell r="FM557">
            <v>0</v>
          </cell>
          <cell r="FN557">
            <v>0</v>
          </cell>
          <cell r="FO557">
            <v>0</v>
          </cell>
          <cell r="FP557">
            <v>0</v>
          </cell>
          <cell r="FQ557">
            <v>0</v>
          </cell>
          <cell r="FR557">
            <v>0</v>
          </cell>
          <cell r="FS557">
            <v>0</v>
          </cell>
          <cell r="FT557">
            <v>0</v>
          </cell>
          <cell r="FU557">
            <v>0</v>
          </cell>
          <cell r="FV557">
            <v>0</v>
          </cell>
          <cell r="FW557">
            <v>0</v>
          </cell>
          <cell r="FX557">
            <v>0</v>
          </cell>
          <cell r="FY557">
            <v>0</v>
          </cell>
          <cell r="FZ557">
            <v>0</v>
          </cell>
          <cell r="GA557">
            <v>0</v>
          </cell>
          <cell r="GB557">
            <v>0</v>
          </cell>
          <cell r="GC557">
            <v>0</v>
          </cell>
          <cell r="GD557">
            <v>0</v>
          </cell>
          <cell r="GE557">
            <v>0</v>
          </cell>
          <cell r="GF557">
            <v>0</v>
          </cell>
          <cell r="GG557">
            <v>0</v>
          </cell>
          <cell r="GH557">
            <v>0</v>
          </cell>
          <cell r="GI557">
            <v>0</v>
          </cell>
          <cell r="GJ557">
            <v>0</v>
          </cell>
          <cell r="GK557">
            <v>0</v>
          </cell>
          <cell r="GL557">
            <v>0</v>
          </cell>
          <cell r="GM557">
            <v>0</v>
          </cell>
          <cell r="GN557">
            <v>0</v>
          </cell>
          <cell r="GO557">
            <v>0</v>
          </cell>
          <cell r="GP557">
            <v>0</v>
          </cell>
          <cell r="GQ557">
            <v>0</v>
          </cell>
          <cell r="GR557">
            <v>0</v>
          </cell>
          <cell r="GS557">
            <v>0</v>
          </cell>
          <cell r="GT557">
            <v>0</v>
          </cell>
          <cell r="GU557">
            <v>0</v>
          </cell>
          <cell r="GV557">
            <v>0</v>
          </cell>
          <cell r="GW557">
            <v>0</v>
          </cell>
          <cell r="GX557">
            <v>0</v>
          </cell>
          <cell r="GY557">
            <v>0</v>
          </cell>
          <cell r="GZ557">
            <v>0</v>
          </cell>
          <cell r="HA557">
            <v>0</v>
          </cell>
          <cell r="HB557">
            <v>0</v>
          </cell>
          <cell r="HC557">
            <v>0</v>
          </cell>
          <cell r="HD557">
            <v>0</v>
          </cell>
          <cell r="HE557">
            <v>0</v>
          </cell>
          <cell r="HF557">
            <v>0</v>
          </cell>
          <cell r="HG557">
            <v>0</v>
          </cell>
          <cell r="HH557">
            <v>0</v>
          </cell>
          <cell r="HI557">
            <v>0</v>
          </cell>
          <cell r="HJ557">
            <v>0</v>
          </cell>
          <cell r="HK557">
            <v>0</v>
          </cell>
          <cell r="HL557">
            <v>0</v>
          </cell>
          <cell r="HM557">
            <v>0</v>
          </cell>
          <cell r="HN557">
            <v>0</v>
          </cell>
          <cell r="HO557">
            <v>0</v>
          </cell>
          <cell r="HP557">
            <v>0</v>
          </cell>
          <cell r="HQ557">
            <v>0</v>
          </cell>
          <cell r="HR557">
            <v>0</v>
          </cell>
          <cell r="HS557">
            <v>0</v>
          </cell>
          <cell r="HT557">
            <v>0</v>
          </cell>
          <cell r="HU557">
            <v>0</v>
          </cell>
          <cell r="HV557">
            <v>0</v>
          </cell>
          <cell r="HW557">
            <v>0</v>
          </cell>
          <cell r="HX557">
            <v>0</v>
          </cell>
          <cell r="HY557">
            <v>0</v>
          </cell>
          <cell r="HZ557">
            <v>0</v>
          </cell>
          <cell r="IA557">
            <v>0</v>
          </cell>
          <cell r="IB557">
            <v>0</v>
          </cell>
          <cell r="IC557">
            <v>0</v>
          </cell>
          <cell r="ID557">
            <v>0</v>
          </cell>
          <cell r="IE557">
            <v>0</v>
          </cell>
          <cell r="IF557">
            <v>0</v>
          </cell>
          <cell r="IG557">
            <v>0</v>
          </cell>
          <cell r="IH557">
            <v>0</v>
          </cell>
          <cell r="II557">
            <v>0</v>
          </cell>
          <cell r="IJ557">
            <v>0</v>
          </cell>
          <cell r="IK557">
            <v>0</v>
          </cell>
        </row>
        <row r="558">
          <cell r="Z558">
            <v>521.56314966967761</v>
          </cell>
          <cell r="AA558">
            <v>522.93953902834824</v>
          </cell>
          <cell r="AB558">
            <v>524.10561354014919</v>
          </cell>
          <cell r="AC558">
            <v>535.56636857133651</v>
          </cell>
          <cell r="AD558">
            <v>542.28937728470135</v>
          </cell>
          <cell r="AE558">
            <v>550.39671268820859</v>
          </cell>
          <cell r="AF558">
            <v>557.92380676557332</v>
          </cell>
          <cell r="AG558">
            <v>564.47466645533643</v>
          </cell>
          <cell r="AH558">
            <v>572.43266084723211</v>
          </cell>
          <cell r="AI558">
            <v>566.08009720165865</v>
          </cell>
          <cell r="AJ558">
            <v>559.23496810763027</v>
          </cell>
          <cell r="AK558">
            <v>553.97746084649282</v>
          </cell>
          <cell r="AL558">
            <v>548.3185694422416</v>
          </cell>
          <cell r="AM558">
            <v>543.78865537105673</v>
          </cell>
          <cell r="AN558">
            <v>550.2406898229051</v>
          </cell>
          <cell r="AO558">
            <v>547.4618123435805</v>
          </cell>
          <cell r="AP558">
            <v>547.38874634433876</v>
          </cell>
          <cell r="AQ558">
            <v>542.04098129675583</v>
          </cell>
          <cell r="AR558">
            <v>527.38958785079387</v>
          </cell>
          <cell r="AS558">
            <v>526.26251043453794</v>
          </cell>
          <cell r="AT558">
            <v>526.8709344705095</v>
          </cell>
          <cell r="AU558">
            <v>522.71566033392889</v>
          </cell>
          <cell r="AV558">
            <v>518.10482928710428</v>
          </cell>
          <cell r="AW558">
            <v>512.94640505032692</v>
          </cell>
          <cell r="AX558">
            <v>515.43802427688149</v>
          </cell>
          <cell r="AY558">
            <v>524.93925652564917</v>
          </cell>
          <cell r="AZ558">
            <v>523.48601866877721</v>
          </cell>
          <cell r="BA558">
            <v>521.59393379158769</v>
          </cell>
          <cell r="BB558">
            <v>524.58158426741693</v>
          </cell>
          <cell r="BC558">
            <v>519.7039337915877</v>
          </cell>
          <cell r="BD558">
            <v>560.49285018889805</v>
          </cell>
          <cell r="BE558">
            <v>560.95829435524865</v>
          </cell>
          <cell r="BF558">
            <v>558.51995624809229</v>
          </cell>
          <cell r="BG558">
            <v>653.68128493447625</v>
          </cell>
          <cell r="BH558">
            <v>662.01595554068467</v>
          </cell>
          <cell r="BI558">
            <v>659.293892445898</v>
          </cell>
          <cell r="BJ558">
            <v>700.54129800175588</v>
          </cell>
          <cell r="BK558">
            <v>695.63814607369886</v>
          </cell>
          <cell r="BL558">
            <v>698.94851863270367</v>
          </cell>
          <cell r="BM558">
            <v>804.67556098110185</v>
          </cell>
          <cell r="BN558">
            <v>806.80882748091221</v>
          </cell>
          <cell r="BO558">
            <v>804.98063258844775</v>
          </cell>
          <cell r="BP558">
            <v>877.40836553295253</v>
          </cell>
          <cell r="BQ558">
            <v>877.67051455655439</v>
          </cell>
          <cell r="BR558">
            <v>879.64217644939799</v>
          </cell>
          <cell r="BS558">
            <v>893.23913786253536</v>
          </cell>
          <cell r="BT558">
            <v>894.68968227917037</v>
          </cell>
          <cell r="BU558">
            <v>909.70567106296187</v>
          </cell>
          <cell r="BV558">
            <v>897.79024660328423</v>
          </cell>
          <cell r="BW558">
            <v>897.53448459736467</v>
          </cell>
          <cell r="BX558">
            <v>900.33279682882915</v>
          </cell>
          <cell r="BY558">
            <v>802.84034343186704</v>
          </cell>
          <cell r="BZ558">
            <v>800.25266431309944</v>
          </cell>
          <cell r="CA558">
            <v>801.32211989646419</v>
          </cell>
          <cell r="CB558">
            <v>604.1021873436373</v>
          </cell>
          <cell r="CC558">
            <v>608.25565454482216</v>
          </cell>
          <cell r="CD558">
            <v>624.06595221126065</v>
          </cell>
          <cell r="CE558">
            <v>605.38743354365397</v>
          </cell>
          <cell r="CF558">
            <v>632.78115550262771</v>
          </cell>
          <cell r="CG558">
            <v>648.0788128389928</v>
          </cell>
          <cell r="CH558">
            <v>643.92998104091453</v>
          </cell>
          <cell r="CI558">
            <v>612.6863129375497</v>
          </cell>
          <cell r="CJ558">
            <v>602.21467968764443</v>
          </cell>
          <cell r="CK558">
            <v>617.02826505315147</v>
          </cell>
          <cell r="CL558">
            <v>621.03485533864932</v>
          </cell>
          <cell r="CM558">
            <v>620.27611602954971</v>
          </cell>
          <cell r="CN558">
            <v>640.72405804928655</v>
          </cell>
          <cell r="CO558">
            <v>646.71039054833875</v>
          </cell>
          <cell r="CP558">
            <v>654.3956914999975</v>
          </cell>
          <cell r="CQ558">
            <v>648.22795309645005</v>
          </cell>
          <cell r="CR558">
            <v>638.77136261014675</v>
          </cell>
          <cell r="CS558">
            <v>625.61838253972019</v>
          </cell>
          <cell r="CT558">
            <v>545.33069677312312</v>
          </cell>
          <cell r="CU558">
            <v>542.6157397375307</v>
          </cell>
          <cell r="CV558">
            <v>537.9622438934075</v>
          </cell>
          <cell r="CW558">
            <v>477.42100682244069</v>
          </cell>
          <cell r="CX558">
            <v>472.80404397793825</v>
          </cell>
          <cell r="CY558">
            <v>462.54897216978662</v>
          </cell>
          <cell r="CZ558">
            <v>452.94341233129614</v>
          </cell>
          <cell r="DA558">
            <v>448.02014583148565</v>
          </cell>
          <cell r="DB558">
            <v>446.35281062878425</v>
          </cell>
          <cell r="DC558">
            <v>431.98273545800947</v>
          </cell>
          <cell r="DD558">
            <v>429.2606723632228</v>
          </cell>
          <cell r="DE558">
            <v>419.54683260303318</v>
          </cell>
          <cell r="DF558">
            <v>410.72380872834117</v>
          </cell>
          <cell r="DG558">
            <v>412.50982595426541</v>
          </cell>
          <cell r="DH558">
            <v>415.66177447729859</v>
          </cell>
          <cell r="DI558">
            <v>450.40223948181989</v>
          </cell>
          <cell r="DJ558">
            <v>454.96722516035067</v>
          </cell>
          <cell r="DK558">
            <v>461.55289867101413</v>
          </cell>
          <cell r="DL558">
            <v>547.02591220434817</v>
          </cell>
          <cell r="DM558">
            <v>559.40370609567526</v>
          </cell>
          <cell r="DN558">
            <v>568.72886383264211</v>
          </cell>
          <cell r="DO558">
            <v>643.55749325756858</v>
          </cell>
          <cell r="DP558">
            <v>642.66780832989082</v>
          </cell>
          <cell r="DQ558">
            <v>633.28843867534113</v>
          </cell>
          <cell r="DR558">
            <v>668.52859921753077</v>
          </cell>
          <cell r="DS558">
            <v>668.33691647056389</v>
          </cell>
          <cell r="DT558">
            <v>647.26814811691463</v>
          </cell>
          <cell r="DU558">
            <v>686.65772757642651</v>
          </cell>
          <cell r="DV558">
            <v>707.61389884571554</v>
          </cell>
          <cell r="DW558">
            <v>724.28575101287197</v>
          </cell>
          <cell r="DX558">
            <v>730.64681824657328</v>
          </cell>
          <cell r="DY558">
            <v>726.81923402496204</v>
          </cell>
          <cell r="DZ558">
            <v>736.36341436344537</v>
          </cell>
          <cell r="EA558">
            <v>710.35363744686254</v>
          </cell>
          <cell r="EB558">
            <v>706.19393694459711</v>
          </cell>
          <cell r="EC558">
            <v>767.26325129601901</v>
          </cell>
          <cell r="ED558">
            <v>791.03725212863992</v>
          </cell>
          <cell r="EE558">
            <v>723.49052169307572</v>
          </cell>
          <cell r="EF558">
            <v>707.22498845790051</v>
          </cell>
          <cell r="EG558">
            <v>735.56679326504502</v>
          </cell>
          <cell r="EH558">
            <v>706.97030964615396</v>
          </cell>
          <cell r="EI558">
            <v>686.10531162711129</v>
          </cell>
          <cell r="EJ558">
            <v>669.72974056953785</v>
          </cell>
          <cell r="EK558">
            <v>670.98131289787909</v>
          </cell>
          <cell r="EL558">
            <v>657.80118525777482</v>
          </cell>
          <cell r="EM558">
            <v>594.4264346011397</v>
          </cell>
          <cell r="EN558">
            <v>582.84410368021315</v>
          </cell>
          <cell r="EO558">
            <v>558.58158143247863</v>
          </cell>
          <cell r="EP558">
            <v>474.12337243123221</v>
          </cell>
          <cell r="EQ558">
            <v>469.29900423060656</v>
          </cell>
          <cell r="ER558">
            <v>510.82763757628192</v>
          </cell>
          <cell r="ES558">
            <v>598.16706943797385</v>
          </cell>
          <cell r="ET558">
            <v>616.39821351520607</v>
          </cell>
          <cell r="EU558">
            <v>609.35477956723207</v>
          </cell>
          <cell r="EV558">
            <v>603.7634282726824</v>
          </cell>
          <cell r="EW558">
            <v>604.5343056248056</v>
          </cell>
          <cell r="EX558">
            <v>634.21879263528899</v>
          </cell>
          <cell r="EY558">
            <v>654.98595837440985</v>
          </cell>
          <cell r="EZ558">
            <v>648.23409488961136</v>
          </cell>
          <cell r="FA558">
            <v>660.26383942671089</v>
          </cell>
          <cell r="FB558">
            <v>714.85921941111133</v>
          </cell>
          <cell r="FC558">
            <v>870.73698073122739</v>
          </cell>
          <cell r="FD558">
            <v>1005.1247940348197</v>
          </cell>
          <cell r="FE558">
            <v>946.10730127213742</v>
          </cell>
          <cell r="FF558">
            <v>770.3966926244525</v>
          </cell>
          <cell r="FG558">
            <v>718.2468126630165</v>
          </cell>
          <cell r="FH558">
            <v>756.87691734684347</v>
          </cell>
          <cell r="FI558">
            <v>800.23902841826043</v>
          </cell>
          <cell r="FJ558">
            <v>834.24993120901411</v>
          </cell>
          <cell r="FK558">
            <v>809.02691575760173</v>
          </cell>
          <cell r="FL558">
            <v>808.77868725408518</v>
          </cell>
          <cell r="FM558">
            <v>838.3353738029715</v>
          </cell>
          <cell r="FN558">
            <v>887.24772279793842</v>
          </cell>
          <cell r="FO558">
            <v>929.88365056769658</v>
          </cell>
          <cell r="FP558">
            <v>949.14324775839805</v>
          </cell>
          <cell r="FQ558">
            <v>960.97306244891945</v>
          </cell>
          <cell r="FR558">
            <v>1002.1874971383743</v>
          </cell>
          <cell r="FS558">
            <v>1014.7475688312416</v>
          </cell>
          <cell r="FT558">
            <v>1029.5719011811232</v>
          </cell>
          <cell r="FU558">
            <v>1064.4743678832322</v>
          </cell>
          <cell r="FV558">
            <v>1124.238501981886</v>
          </cell>
          <cell r="FW558">
            <v>1251.2684181154598</v>
          </cell>
          <cell r="FX558">
            <v>1315.7199456162509</v>
          </cell>
          <cell r="FY558">
            <v>1297.1723430468671</v>
          </cell>
          <cell r="FZ558">
            <v>1174.2646916074073</v>
          </cell>
          <cell r="GA558">
            <v>1179.1455484230426</v>
          </cell>
          <cell r="GB558">
            <v>1261.5393227489219</v>
          </cell>
          <cell r="GC558">
            <v>1279.9420601926302</v>
          </cell>
          <cell r="GD558">
            <v>1177.5395921422323</v>
          </cell>
          <cell r="GE558">
            <v>1062.6904902344927</v>
          </cell>
          <cell r="GF558">
            <v>1105.041944559232</v>
          </cell>
          <cell r="GG558">
            <v>1160.3104898636727</v>
          </cell>
          <cell r="GH558">
            <v>1520.9663521131515</v>
          </cell>
          <cell r="GI558">
            <v>1582.9635484345235</v>
          </cell>
          <cell r="GJ558">
            <v>1416.6770506966016</v>
          </cell>
          <cell r="GK558">
            <v>1235.9807926582084</v>
          </cell>
          <cell r="GL558">
            <v>1273.5639335684691</v>
          </cell>
          <cell r="GM558">
            <v>1289.1837958402225</v>
          </cell>
          <cell r="GN558">
            <v>1261.8021458895448</v>
          </cell>
          <cell r="GO558">
            <v>1307.728173272</v>
          </cell>
          <cell r="GP558">
            <v>1361.1788247806016</v>
          </cell>
          <cell r="GQ558">
            <v>1440.5668817254596</v>
          </cell>
          <cell r="GR558">
            <v>1509.015470377386</v>
          </cell>
          <cell r="GS558">
            <v>1596.9056555200355</v>
          </cell>
          <cell r="GT558">
            <v>1627.5631844872839</v>
          </cell>
          <cell r="GU558">
            <v>1472.304623493791</v>
          </cell>
          <cell r="GV558">
            <v>1313.3591395696587</v>
          </cell>
          <cell r="GW558">
            <v>1339.7462363577536</v>
          </cell>
          <cell r="GX558">
            <v>1324.9688595997886</v>
          </cell>
          <cell r="GY558">
            <v>1333.262737368341</v>
          </cell>
          <cell r="GZ558">
            <v>1371.6785206328957</v>
          </cell>
          <cell r="HA558">
            <v>1449.8619638424266</v>
          </cell>
          <cell r="HB558">
            <v>1504.1744145145165</v>
          </cell>
          <cell r="HC558">
            <v>1553.1392118029285</v>
          </cell>
          <cell r="HD558">
            <v>1486.3490735497983</v>
          </cell>
          <cell r="HE558">
            <v>1484.998385202789</v>
          </cell>
          <cell r="HF558">
            <v>1461.9990717266326</v>
          </cell>
          <cell r="HG558">
            <v>1583.2338654335449</v>
          </cell>
          <cell r="HH558">
            <v>1687.0553755083124</v>
          </cell>
          <cell r="HI558">
            <v>1739.0742612947745</v>
          </cell>
          <cell r="HJ558">
            <v>1154.7437893964873</v>
          </cell>
          <cell r="HK558">
            <v>1125.0289903661385</v>
          </cell>
          <cell r="HL558">
            <v>1162.0063924146787</v>
          </cell>
          <cell r="HM558">
            <v>1242.5296671949166</v>
          </cell>
          <cell r="HN558">
            <v>1283.2347951258778</v>
          </cell>
          <cell r="HO558">
            <v>1381.9690634674785</v>
          </cell>
          <cell r="HP558">
            <v>1503.0309060638492</v>
          </cell>
          <cell r="HQ558">
            <v>1367.9385922309004</v>
          </cell>
          <cell r="HR558">
            <v>1379.0964038734598</v>
          </cell>
          <cell r="HS558">
            <v>1388.7302771585782</v>
          </cell>
          <cell r="HT558">
            <v>1379.9352120862559</v>
          </cell>
          <cell r="HU558">
            <v>1385.3218353713746</v>
          </cell>
          <cell r="HV558">
            <v>1375.2549620862558</v>
          </cell>
          <cell r="HW558">
            <v>1375.6098422309008</v>
          </cell>
          <cell r="HX558">
            <v>1358.1217840181043</v>
          </cell>
          <cell r="HY558">
            <v>1319.4333559499526</v>
          </cell>
          <cell r="HZ558">
            <v>1293.5666744520379</v>
          </cell>
          <cell r="IA558">
            <v>1250.2817395243601</v>
          </cell>
          <cell r="IB558">
            <v>1253.9261128094788</v>
          </cell>
          <cell r="IC558">
            <v>1259.1916744520379</v>
          </cell>
          <cell r="ID558">
            <v>1267.293486094597</v>
          </cell>
          <cell r="IE558">
            <v>1269.1886093797159</v>
          </cell>
          <cell r="IF558">
            <v>1272.9092943073933</v>
          </cell>
          <cell r="IG558">
            <v>1264.7685408776301</v>
          </cell>
          <cell r="IH558">
            <v>1357.91846352582</v>
          </cell>
          <cell r="II558">
            <v>1348.7029012387536</v>
          </cell>
          <cell r="IJ558">
            <v>1350.3362295381135</v>
          </cell>
          <cell r="IK558">
            <v>1354.3067728362605</v>
          </cell>
        </row>
        <row r="559">
          <cell r="AO559">
            <v>821.68679591382966</v>
          </cell>
          <cell r="AP559">
            <v>821.68679591382966</v>
          </cell>
          <cell r="AQ559">
            <v>823.45658056212574</v>
          </cell>
          <cell r="AR559">
            <v>826.09074410719666</v>
          </cell>
          <cell r="AS559">
            <v>831.93700353823681</v>
          </cell>
          <cell r="AT559">
            <v>847.55523672060656</v>
          </cell>
          <cell r="AU559">
            <v>865.77469174363966</v>
          </cell>
          <cell r="AV559">
            <v>867.65075720200957</v>
          </cell>
          <cell r="AW559">
            <v>881.99066329423692</v>
          </cell>
          <cell r="AX559">
            <v>899.4066126464171</v>
          </cell>
          <cell r="AY559">
            <v>890.67352252440742</v>
          </cell>
          <cell r="AZ559">
            <v>875.01152991227491</v>
          </cell>
          <cell r="BA559">
            <v>863.03466892696667</v>
          </cell>
          <cell r="BB559">
            <v>869.70637564012827</v>
          </cell>
          <cell r="BC559">
            <v>859.34007862126566</v>
          </cell>
          <cell r="BD559">
            <v>873.95013506989108</v>
          </cell>
          <cell r="BE559">
            <v>880.19744182054251</v>
          </cell>
          <cell r="BF559">
            <v>881.01007331741482</v>
          </cell>
          <cell r="BG559">
            <v>868.56210338869448</v>
          </cell>
          <cell r="BH559">
            <v>854.87107702953779</v>
          </cell>
          <cell r="BI559">
            <v>851.88416909034345</v>
          </cell>
          <cell r="BJ559">
            <v>853.16863334821062</v>
          </cell>
          <cell r="BK559">
            <v>843.57326994066818</v>
          </cell>
          <cell r="BL559">
            <v>833.12793150881987</v>
          </cell>
          <cell r="BM559">
            <v>821.84202911052591</v>
          </cell>
          <cell r="BN559">
            <v>824.00007493411397</v>
          </cell>
          <cell r="BO559">
            <v>845.14079875169682</v>
          </cell>
          <cell r="BP559">
            <v>842.67602428629402</v>
          </cell>
          <cell r="BQ559">
            <v>838.74971616907578</v>
          </cell>
          <cell r="BR559">
            <v>846.11941545627997</v>
          </cell>
          <cell r="BS559">
            <v>836.43971616907572</v>
          </cell>
          <cell r="BT559">
            <v>850.33358474735769</v>
          </cell>
          <cell r="BU559">
            <v>852.55582162366136</v>
          </cell>
          <cell r="BV559">
            <v>848.25506034693149</v>
          </cell>
          <cell r="BW559">
            <v>877.41493351372264</v>
          </cell>
          <cell r="BX559">
            <v>897.48240541936275</v>
          </cell>
          <cell r="BY559">
            <v>892.90778131035779</v>
          </cell>
          <cell r="BZ559">
            <v>895.77392398369443</v>
          </cell>
          <cell r="CA559">
            <v>886.16285249942894</v>
          </cell>
          <cell r="CB559">
            <v>894.85367022478442</v>
          </cell>
          <cell r="CC559">
            <v>914.51931808264203</v>
          </cell>
          <cell r="CD559">
            <v>919.33866020842424</v>
          </cell>
          <cell r="CE559">
            <v>915.40073723358989</v>
          </cell>
          <cell r="CF559">
            <v>918.6370240034455</v>
          </cell>
          <cell r="CG559">
            <v>917.67535109358766</v>
          </cell>
          <cell r="CH559">
            <v>919.46458981685782</v>
          </cell>
          <cell r="CI559">
            <v>918.28787757016573</v>
          </cell>
          <cell r="CJ559">
            <v>919.54610125779629</v>
          </cell>
          <cell r="CK559">
            <v>951.57799996215647</v>
          </cell>
          <cell r="CL559">
            <v>949.76012003832716</v>
          </cell>
          <cell r="CM559">
            <v>958.94936573836992</v>
          </cell>
          <cell r="CN559">
            <v>955.15383251420383</v>
          </cell>
          <cell r="CO559">
            <v>936.78497204604741</v>
          </cell>
          <cell r="CP559">
            <v>932.38070509846455</v>
          </cell>
          <cell r="CQ559">
            <v>935.60248141083423</v>
          </cell>
          <cell r="CR559">
            <v>910.40625855280837</v>
          </cell>
          <cell r="CS559">
            <v>919.79901244167081</v>
          </cell>
          <cell r="CT559">
            <v>958.65400578854963</v>
          </cell>
          <cell r="CU559">
            <v>982.0671745580521</v>
          </cell>
          <cell r="CV559">
            <v>1043.2274718450972</v>
          </cell>
          <cell r="CW559">
            <v>1078.8000547844667</v>
          </cell>
          <cell r="CX559">
            <v>1004.6612514206017</v>
          </cell>
          <cell r="CY559">
            <v>935.61364762823223</v>
          </cell>
          <cell r="CZ559">
            <v>911.25897656534119</v>
          </cell>
          <cell r="DA559">
            <v>895.92145674637459</v>
          </cell>
          <cell r="DB559">
            <v>905.08927631869665</v>
          </cell>
          <cell r="DC559">
            <v>903.67312965623228</v>
          </cell>
          <cell r="DD559">
            <v>907.28178312450484</v>
          </cell>
          <cell r="DE559">
            <v>920.45849375341447</v>
          </cell>
          <cell r="DF559">
            <v>936.73789232782235</v>
          </cell>
          <cell r="DG559">
            <v>951.49339777776765</v>
          </cell>
          <cell r="DH559">
            <v>929.87414006501899</v>
          </cell>
          <cell r="DI559">
            <v>898.97047454302856</v>
          </cell>
          <cell r="DJ559">
            <v>859.69849796024175</v>
          </cell>
          <cell r="DK559">
            <v>852.06534945081034</v>
          </cell>
          <cell r="DL559">
            <v>840.73802790156878</v>
          </cell>
          <cell r="DM559">
            <v>839.96911332305694</v>
          </cell>
          <cell r="DN559">
            <v>829.1104760253794</v>
          </cell>
          <cell r="DO559">
            <v>805.97761873400486</v>
          </cell>
          <cell r="DP559">
            <v>811.53819405121556</v>
          </cell>
          <cell r="DQ559">
            <v>799.50885192543387</v>
          </cell>
          <cell r="DR559">
            <v>795.35083504282716</v>
          </cell>
          <cell r="DS559">
            <v>805.93787971071083</v>
          </cell>
          <cell r="DT559">
            <v>799.61325560170621</v>
          </cell>
          <cell r="DU559">
            <v>778.02968398748817</v>
          </cell>
          <cell r="DV559">
            <v>775.04986674559234</v>
          </cell>
          <cell r="DW559">
            <v>778.64489496990495</v>
          </cell>
          <cell r="DX559">
            <v>785.35124843739322</v>
          </cell>
          <cell r="DY559">
            <v>818.58297595249269</v>
          </cell>
          <cell r="DZ559">
            <v>829.90069212230333</v>
          </cell>
          <cell r="EA559">
            <v>845.63090842206611</v>
          </cell>
          <cell r="EB559">
            <v>896.59631874612558</v>
          </cell>
          <cell r="EC559">
            <v>925.60029447565148</v>
          </cell>
          <cell r="ED559">
            <v>948.51685474816338</v>
          </cell>
          <cell r="EE559">
            <v>968.64269368565431</v>
          </cell>
          <cell r="EF559">
            <v>968.71293794982478</v>
          </cell>
          <cell r="EG559">
            <v>947.00486461859248</v>
          </cell>
          <cell r="EH559">
            <v>1024.9381651708104</v>
          </cell>
          <cell r="EI559">
            <v>1052.2002959082986</v>
          </cell>
          <cell r="EJ559">
            <v>1008.756705304602</v>
          </cell>
          <cell r="EK559">
            <v>999.35810657599052</v>
          </cell>
          <cell r="EL559">
            <v>1035.393164652673</v>
          </cell>
          <cell r="EM559">
            <v>1087.991499869403</v>
          </cell>
          <cell r="EN559">
            <v>1084.6307635810094</v>
          </cell>
          <cell r="EO559">
            <v>1090.2874629201563</v>
          </cell>
          <cell r="EP559">
            <v>1135.4547441864122</v>
          </cell>
          <cell r="EQ559">
            <v>1131.6441187866917</v>
          </cell>
          <cell r="ER559">
            <v>1109.7251914847866</v>
          </cell>
          <cell r="ES559">
            <v>1236.5312082414218</v>
          </cell>
          <cell r="ET559">
            <v>1307.0077334399857</v>
          </cell>
          <cell r="EU559">
            <v>1133.0223025966875</v>
          </cell>
          <cell r="EV559">
            <v>1080.2725577905355</v>
          </cell>
          <cell r="EW559">
            <v>1091.0849133063766</v>
          </cell>
          <cell r="EX559">
            <v>1058.537682105552</v>
          </cell>
          <cell r="EY559">
            <v>985.04174448535298</v>
          </cell>
          <cell r="EZ559">
            <v>946.94994085534358</v>
          </cell>
          <cell r="FA559">
            <v>961.37165020093573</v>
          </cell>
          <cell r="FB559">
            <v>944.98798346511592</v>
          </cell>
          <cell r="FC559">
            <v>914.53259941748581</v>
          </cell>
          <cell r="FD559">
            <v>902.53503581599546</v>
          </cell>
          <cell r="FE559">
            <v>863.17014646790051</v>
          </cell>
          <cell r="FF559">
            <v>848.37459530241699</v>
          </cell>
          <cell r="FG559">
            <v>849.90484784749776</v>
          </cell>
          <cell r="FH559">
            <v>902.77920487314918</v>
          </cell>
          <cell r="FI559">
            <v>960.229281626545</v>
          </cell>
          <cell r="FJ559">
            <v>962.67539524296194</v>
          </cell>
          <cell r="FK559">
            <v>946.41345712641714</v>
          </cell>
          <cell r="FL559">
            <v>942.09738703518497</v>
          </cell>
          <cell r="FM559">
            <v>962.57360575642667</v>
          </cell>
          <cell r="FN559">
            <v>1003.9097646706825</v>
          </cell>
          <cell r="FO559">
            <v>1019.7897370527464</v>
          </cell>
          <cell r="FP559">
            <v>1023.926718872853</v>
          </cell>
          <cell r="FQ559">
            <v>1054.8941143873176</v>
          </cell>
          <cell r="FR559">
            <v>1110.9002493413529</v>
          </cell>
          <cell r="FS559">
            <v>1224.2033774580614</v>
          </cell>
          <cell r="FT559">
            <v>1263.0378807794928</v>
          </cell>
          <cell r="FU559">
            <v>1112.7662052343078</v>
          </cell>
          <cell r="FV559">
            <v>1097.7008571019455</v>
          </cell>
          <cell r="FW559">
            <v>1111.2484301222439</v>
          </cell>
          <cell r="FX559">
            <v>1086.6888535092703</v>
          </cell>
          <cell r="FY559">
            <v>1093.8472798015498</v>
          </cell>
          <cell r="FZ559">
            <v>1089.9710361640659</v>
          </cell>
          <cell r="GA559">
            <v>1093.6589795961422</v>
          </cell>
          <cell r="GB559">
            <v>1089.7842285843981</v>
          </cell>
          <cell r="GC559">
            <v>1149.214115510867</v>
          </cell>
          <cell r="GD559">
            <v>1246.2617348053786</v>
          </cell>
          <cell r="GE559">
            <v>1206.9914050732511</v>
          </cell>
          <cell r="GF559">
            <v>1164.6899786478575</v>
          </cell>
          <cell r="GG559">
            <v>1183.4504674369573</v>
          </cell>
          <cell r="GH559">
            <v>1239.3707187460807</v>
          </cell>
          <cell r="GI559">
            <v>1253.8624177911279</v>
          </cell>
          <cell r="GJ559">
            <v>1284.4534902322414</v>
          </cell>
          <cell r="GK559">
            <v>1340.6692881704168</v>
          </cell>
          <cell r="GL559">
            <v>1316.2613632734694</v>
          </cell>
          <cell r="GM559">
            <v>1410.7208349874784</v>
          </cell>
          <cell r="GN559">
            <v>1443.2815681948389</v>
          </cell>
          <cell r="GO559">
            <v>1393.2630983310476</v>
          </cell>
          <cell r="GP559">
            <v>1325.0790694275688</v>
          </cell>
          <cell r="GQ559">
            <v>1342.5825898561991</v>
          </cell>
          <cell r="GR559">
            <v>1420.246762907135</v>
          </cell>
          <cell r="GS559">
            <v>1430.035343776327</v>
          </cell>
          <cell r="GT559">
            <v>1405.4023655094029</v>
          </cell>
          <cell r="GU559">
            <v>1406.0887867029053</v>
          </cell>
          <cell r="GV559">
            <v>1399.2732234334028</v>
          </cell>
          <cell r="GW559">
            <v>1409.1224716514125</v>
          </cell>
          <cell r="GX559">
            <v>1416.727657741422</v>
          </cell>
          <cell r="GY559">
            <v>1429.5784610429291</v>
          </cell>
          <cell r="GZ559">
            <v>1439.9123496109339</v>
          </cell>
          <cell r="HA559">
            <v>1465.8947692554459</v>
          </cell>
          <cell r="HB559">
            <v>1449.328954853441</v>
          </cell>
          <cell r="HC559">
            <v>1419.4531590174124</v>
          </cell>
          <cell r="HD559">
            <v>1388.9813194103838</v>
          </cell>
          <cell r="HE559">
            <v>1376.169591574374</v>
          </cell>
          <cell r="HF559">
            <v>1359.6637221933695</v>
          </cell>
          <cell r="HG559">
            <v>1331.0963957558531</v>
          </cell>
          <cell r="HH559">
            <v>1307.863279536346</v>
          </cell>
          <cell r="HI559">
            <v>1299.0821051228438</v>
          </cell>
          <cell r="HJ559">
            <v>1291.9784512508438</v>
          </cell>
          <cell r="HK559">
            <v>1297.5415983234363</v>
          </cell>
          <cell r="HL559">
            <v>1301.1009674758482</v>
          </cell>
          <cell r="HM559">
            <v>1329.9722064113651</v>
          </cell>
        </row>
        <row r="560">
          <cell r="Z560">
            <v>821.68679591382966</v>
          </cell>
          <cell r="AA560">
            <v>823.45658056212574</v>
          </cell>
          <cell r="AB560">
            <v>826.09074410719666</v>
          </cell>
          <cell r="AC560">
            <v>831.93700353823681</v>
          </cell>
          <cell r="AD560">
            <v>847.55523672060656</v>
          </cell>
          <cell r="AE560">
            <v>865.77469174363966</v>
          </cell>
          <cell r="AF560">
            <v>867.65075720200957</v>
          </cell>
          <cell r="AG560">
            <v>881.99066329423692</v>
          </cell>
          <cell r="AH560">
            <v>899.4066126464171</v>
          </cell>
          <cell r="AI560">
            <v>890.67352252440742</v>
          </cell>
          <cell r="AJ560">
            <v>875.01152991227491</v>
          </cell>
          <cell r="AK560">
            <v>863.03466892696667</v>
          </cell>
          <cell r="AL560">
            <v>869.70637564012827</v>
          </cell>
          <cell r="AM560">
            <v>859.34007862126566</v>
          </cell>
          <cell r="AN560">
            <v>873.95013506989108</v>
          </cell>
          <cell r="AO560">
            <v>880.19744182054251</v>
          </cell>
          <cell r="AP560">
            <v>881.01007331741482</v>
          </cell>
          <cell r="AQ560">
            <v>868.56210338869448</v>
          </cell>
          <cell r="AR560">
            <v>854.87107702953779</v>
          </cell>
          <cell r="AS560">
            <v>851.88416909034345</v>
          </cell>
          <cell r="AT560">
            <v>853.16863334821062</v>
          </cell>
          <cell r="AU560">
            <v>843.57326994066818</v>
          </cell>
          <cell r="AV560">
            <v>833.12793150881987</v>
          </cell>
          <cell r="AW560">
            <v>821.84202911052591</v>
          </cell>
          <cell r="AX560">
            <v>824.00007493411397</v>
          </cell>
          <cell r="AY560">
            <v>845.14079875169682</v>
          </cell>
          <cell r="AZ560">
            <v>842.67602428629402</v>
          </cell>
          <cell r="BA560">
            <v>838.74971616907578</v>
          </cell>
          <cell r="BB560">
            <v>846.11941545627997</v>
          </cell>
          <cell r="BC560">
            <v>836.43971616907572</v>
          </cell>
          <cell r="BD560">
            <v>850.33358474735769</v>
          </cell>
          <cell r="BE560">
            <v>852.55582162366136</v>
          </cell>
          <cell r="BF560">
            <v>848.25506034693149</v>
          </cell>
          <cell r="BG560">
            <v>877.41493351372264</v>
          </cell>
          <cell r="BH560">
            <v>897.48240541936275</v>
          </cell>
          <cell r="BI560">
            <v>892.90778131035779</v>
          </cell>
          <cell r="BJ560">
            <v>895.77392398369443</v>
          </cell>
          <cell r="BK560">
            <v>886.16285249942894</v>
          </cell>
          <cell r="BL560">
            <v>894.85367022478442</v>
          </cell>
          <cell r="BM560">
            <v>914.51931808264203</v>
          </cell>
          <cell r="BN560">
            <v>919.33866020842424</v>
          </cell>
          <cell r="BO560">
            <v>915.40073723358989</v>
          </cell>
          <cell r="BP560">
            <v>918.6370240034455</v>
          </cell>
          <cell r="BQ560">
            <v>917.67535109358766</v>
          </cell>
          <cell r="BR560">
            <v>919.46458981685782</v>
          </cell>
          <cell r="BS560">
            <v>918.28787757016573</v>
          </cell>
          <cell r="BT560">
            <v>919.54610125779629</v>
          </cell>
          <cell r="BU560">
            <v>951.57799996215647</v>
          </cell>
          <cell r="BV560">
            <v>949.76012003832716</v>
          </cell>
          <cell r="BW560">
            <v>958.94936573836992</v>
          </cell>
          <cell r="BX560">
            <v>955.15383251420383</v>
          </cell>
          <cell r="BY560">
            <v>936.78497204604741</v>
          </cell>
          <cell r="BZ560">
            <v>932.38070509846455</v>
          </cell>
          <cell r="CA560">
            <v>935.60248141083423</v>
          </cell>
          <cell r="CB560">
            <v>910.40625855280837</v>
          </cell>
          <cell r="CC560">
            <v>919.79901244167081</v>
          </cell>
          <cell r="CD560">
            <v>958.65400578854963</v>
          </cell>
          <cell r="CE560">
            <v>982.0671745580521</v>
          </cell>
          <cell r="CF560">
            <v>1043.2274718450972</v>
          </cell>
          <cell r="CG560">
            <v>1078.8000547844667</v>
          </cell>
          <cell r="CH560">
            <v>1004.6612514206017</v>
          </cell>
          <cell r="CI560">
            <v>935.61364762823223</v>
          </cell>
          <cell r="CJ560">
            <v>911.25897656534119</v>
          </cell>
          <cell r="CK560">
            <v>895.92145674637459</v>
          </cell>
          <cell r="CL560">
            <v>905.08927631869665</v>
          </cell>
          <cell r="CM560">
            <v>903.67312965623228</v>
          </cell>
          <cell r="CN560">
            <v>907.28178312450484</v>
          </cell>
          <cell r="CO560">
            <v>920.45849375341447</v>
          </cell>
          <cell r="CP560">
            <v>936.73789232782235</v>
          </cell>
          <cell r="CQ560">
            <v>951.49339777776765</v>
          </cell>
          <cell r="CR560">
            <v>929.87414006501899</v>
          </cell>
          <cell r="CS560">
            <v>898.97047454302856</v>
          </cell>
          <cell r="CT560">
            <v>859.69849796024175</v>
          </cell>
          <cell r="CU560">
            <v>852.06534945081034</v>
          </cell>
          <cell r="CV560">
            <v>840.73802790156878</v>
          </cell>
          <cell r="CW560">
            <v>839.96911332305694</v>
          </cell>
          <cell r="CX560">
            <v>829.1104760253794</v>
          </cell>
          <cell r="CY560">
            <v>805.97761873400486</v>
          </cell>
          <cell r="CZ560">
            <v>811.53819405121556</v>
          </cell>
          <cell r="DA560">
            <v>799.50885192543387</v>
          </cell>
          <cell r="DB560">
            <v>795.35083504282716</v>
          </cell>
          <cell r="DC560">
            <v>805.93787971071083</v>
          </cell>
          <cell r="DD560">
            <v>799.61325560170621</v>
          </cell>
          <cell r="DE560">
            <v>778.02968398748817</v>
          </cell>
          <cell r="DF560">
            <v>775.04986674559234</v>
          </cell>
          <cell r="DG560">
            <v>778.64489496990495</v>
          </cell>
          <cell r="DH560">
            <v>785.35124843739322</v>
          </cell>
          <cell r="DI560">
            <v>818.58297595249269</v>
          </cell>
          <cell r="DJ560">
            <v>829.90069212230333</v>
          </cell>
          <cell r="DK560">
            <v>845.63090842206611</v>
          </cell>
          <cell r="DL560">
            <v>896.59631874612558</v>
          </cell>
          <cell r="DM560">
            <v>925.60029447565148</v>
          </cell>
          <cell r="DN560">
            <v>948.51685474816338</v>
          </cell>
          <cell r="DO560">
            <v>968.64269368565431</v>
          </cell>
          <cell r="DP560">
            <v>968.71293794982478</v>
          </cell>
          <cell r="DQ560">
            <v>947.00486461859248</v>
          </cell>
          <cell r="DR560">
            <v>1024.9381651708104</v>
          </cell>
          <cell r="DS560">
            <v>1052.2002959082986</v>
          </cell>
          <cell r="DT560">
            <v>1008.756705304602</v>
          </cell>
          <cell r="DU560">
            <v>999.35810657599052</v>
          </cell>
          <cell r="DV560">
            <v>1035.393164652673</v>
          </cell>
          <cell r="DW560">
            <v>1087.991499869403</v>
          </cell>
          <cell r="DX560">
            <v>1084.6307635810094</v>
          </cell>
          <cell r="DY560">
            <v>1090.2874629201563</v>
          </cell>
          <cell r="DZ560">
            <v>1135.4547441864122</v>
          </cell>
          <cell r="EA560">
            <v>1131.6441187866917</v>
          </cell>
          <cell r="EB560">
            <v>1109.7251914847866</v>
          </cell>
          <cell r="EC560">
            <v>1236.5312082414218</v>
          </cell>
          <cell r="ED560">
            <v>1307.0077334399857</v>
          </cell>
          <cell r="EE560">
            <v>1133.0223025966875</v>
          </cell>
          <cell r="EF560">
            <v>1080.2725577905355</v>
          </cell>
          <cell r="EG560">
            <v>1091.0849133063766</v>
          </cell>
          <cell r="EH560">
            <v>1058.537682105552</v>
          </cell>
          <cell r="EI560">
            <v>985.04174448535298</v>
          </cell>
          <cell r="EJ560">
            <v>946.94994085534358</v>
          </cell>
          <cell r="EK560">
            <v>961.37165020093573</v>
          </cell>
          <cell r="EL560">
            <v>944.98798346511592</v>
          </cell>
          <cell r="EM560">
            <v>914.53259941748581</v>
          </cell>
          <cell r="EN560">
            <v>902.53503581599546</v>
          </cell>
          <cell r="EO560">
            <v>863.17014646790051</v>
          </cell>
          <cell r="EP560">
            <v>848.37459530241699</v>
          </cell>
          <cell r="EQ560">
            <v>849.90484784749776</v>
          </cell>
          <cell r="ER560">
            <v>902.77920487314918</v>
          </cell>
          <cell r="ES560">
            <v>960.22710674804489</v>
          </cell>
          <cell r="ET560">
            <v>962.67322036446205</v>
          </cell>
          <cell r="EU560">
            <v>946.41345712641714</v>
          </cell>
          <cell r="EV560">
            <v>942.09738703518497</v>
          </cell>
          <cell r="EW560">
            <v>962.57360575642667</v>
          </cell>
          <cell r="EX560">
            <v>1003.9097646706825</v>
          </cell>
          <cell r="EY560">
            <v>1019.7897370527464</v>
          </cell>
          <cell r="EZ560">
            <v>1023.926718872853</v>
          </cell>
          <cell r="FA560">
            <v>1054.8941143873176</v>
          </cell>
          <cell r="FB560">
            <v>1110.9002493413529</v>
          </cell>
          <cell r="FC560">
            <v>1224.2033774580614</v>
          </cell>
          <cell r="FD560">
            <v>1263.0378807794928</v>
          </cell>
          <cell r="FE560">
            <v>1112.7662052343078</v>
          </cell>
          <cell r="FF560">
            <v>1097.7008571019455</v>
          </cell>
          <cell r="FG560">
            <v>1111.2484301222439</v>
          </cell>
          <cell r="FH560">
            <v>1086.6888535092703</v>
          </cell>
          <cell r="FI560">
            <v>1093.8472798015498</v>
          </cell>
          <cell r="FJ560">
            <v>1089.9710361640659</v>
          </cell>
          <cell r="FK560">
            <v>1093.6589795961422</v>
          </cell>
          <cell r="FL560">
            <v>1089.7842285843981</v>
          </cell>
          <cell r="FM560">
            <v>1149.214115510867</v>
          </cell>
          <cell r="FN560">
            <v>1246.2617348053786</v>
          </cell>
          <cell r="FO560">
            <v>1206.9914050732511</v>
          </cell>
          <cell r="FP560">
            <v>1164.6899786478575</v>
          </cell>
          <cell r="FQ560">
            <v>1183.4504674369573</v>
          </cell>
          <cell r="FR560">
            <v>1239.3707187460807</v>
          </cell>
          <cell r="FS560">
            <v>1253.8624177911279</v>
          </cell>
          <cell r="FT560">
            <v>1284.4534902322414</v>
          </cell>
          <cell r="FU560">
            <v>1340.6692881704168</v>
          </cell>
          <cell r="FV560">
            <v>1316.2613632734694</v>
          </cell>
          <cell r="FW560">
            <v>1410.7208349874784</v>
          </cell>
          <cell r="FX560">
            <v>1443.2815681948389</v>
          </cell>
          <cell r="FY560">
            <v>1393.2630983310476</v>
          </cell>
          <cell r="FZ560">
            <v>1325.0790694275688</v>
          </cell>
          <cell r="GA560">
            <v>1342.5825898561991</v>
          </cell>
          <cell r="GB560">
            <v>1420.2354095091348</v>
          </cell>
          <cell r="GC560">
            <v>1427.3467629272752</v>
          </cell>
          <cell r="GD560">
            <v>1357.7126680514166</v>
          </cell>
          <cell r="GE560">
            <v>1333.3045316189668</v>
          </cell>
          <cell r="GF560">
            <v>1370.1576840544171</v>
          </cell>
          <cell r="GG560">
            <v>1448.3080120154739</v>
          </cell>
          <cell r="GH560">
            <v>1678.5797646863743</v>
          </cell>
          <cell r="GI560">
            <v>1751.3111200572771</v>
          </cell>
          <cell r="GJ560">
            <v>1647.0714301971423</v>
          </cell>
          <cell r="GK560">
            <v>1582.1742147736395</v>
          </cell>
          <cell r="GL560">
            <v>1556.7708018031894</v>
          </cell>
          <cell r="GM560">
            <v>1481.9809501447062</v>
          </cell>
          <cell r="GN560">
            <v>1460.316089251877</v>
          </cell>
          <cell r="GO560">
            <v>1520.2753926479998</v>
          </cell>
          <cell r="GP560">
            <v>1546.9398735531422</v>
          </cell>
          <cell r="GQ560">
            <v>1574.1212677774788</v>
          </cell>
          <cell r="GR560">
            <v>1615.2069945079693</v>
          </cell>
          <cell r="GS560">
            <v>1640.8310976626653</v>
          </cell>
          <cell r="GT560">
            <v>1575.7554813943273</v>
          </cell>
          <cell r="GU560">
            <v>1450.7606289943601</v>
          </cell>
          <cell r="GV560">
            <v>1475.7530598364076</v>
          </cell>
          <cell r="GW560">
            <v>1509.0957592155162</v>
          </cell>
          <cell r="GX560">
            <v>1426.0024910761827</v>
          </cell>
          <cell r="GY560">
            <v>1499.9683757055925</v>
          </cell>
          <cell r="GZ560">
            <v>1548.7341101711802</v>
          </cell>
          <cell r="HA560">
            <v>1602.0455142699902</v>
          </cell>
          <cell r="HB560">
            <v>1647.4483014607438</v>
          </cell>
          <cell r="HC560">
            <v>1648.7047376116689</v>
          </cell>
          <cell r="HD560">
            <v>1653.1113502148935</v>
          </cell>
          <cell r="HE560">
            <v>1637.0026134531827</v>
          </cell>
          <cell r="HF560">
            <v>1675.9261234054522</v>
          </cell>
          <cell r="HG560">
            <v>1793.7716031478772</v>
          </cell>
          <cell r="HH560">
            <v>1911.5127016994597</v>
          </cell>
          <cell r="HI560">
            <v>1904.2651552481163</v>
          </cell>
          <cell r="HJ560">
            <v>1795.4844834357407</v>
          </cell>
          <cell r="HK560">
            <v>1770.4550523371793</v>
          </cell>
          <cell r="HL560">
            <v>1817.6077367057003</v>
          </cell>
          <cell r="HM560">
            <v>1892.5979756003446</v>
          </cell>
          <cell r="HN560">
            <v>1982.2791669376295</v>
          </cell>
          <cell r="HO560">
            <v>2070.9161712529008</v>
          </cell>
          <cell r="HP560">
            <v>2155.8659982934969</v>
          </cell>
          <cell r="HQ560">
            <v>2049.712101797536</v>
          </cell>
          <cell r="HR560">
            <v>2083.719103709479</v>
          </cell>
          <cell r="HS560">
            <v>2097.509857533365</v>
          </cell>
          <cell r="HT560">
            <v>2104.1893632691945</v>
          </cell>
          <cell r="HU560">
            <v>2123.8923670930803</v>
          </cell>
          <cell r="HV560">
            <v>2116.8046132691943</v>
          </cell>
          <cell r="HW560">
            <v>2088.3158517975353</v>
          </cell>
          <cell r="HX560">
            <v>2050.0398422378198</v>
          </cell>
          <cell r="HY560">
            <v>1997.7653212064454</v>
          </cell>
          <cell r="HZ560">
            <v>1950.7583078228433</v>
          </cell>
          <cell r="IA560">
            <v>1923.3588020870143</v>
          </cell>
          <cell r="IB560">
            <v>1922.5190559109003</v>
          </cell>
          <cell r="IC560">
            <v>1922.6333078228433</v>
          </cell>
          <cell r="ID560">
            <v>1922.8363097347869</v>
          </cell>
          <cell r="IE560">
            <v>1940.5408135586729</v>
          </cell>
          <cell r="IF560">
            <v>1957.8995692945023</v>
          </cell>
          <cell r="IG560">
            <v>1990.379576942275</v>
          </cell>
          <cell r="IH560">
            <v>1541.2063017484927</v>
          </cell>
          <cell r="II560">
            <v>1571.9042673945162</v>
          </cell>
          <cell r="IJ560">
            <v>1590.1870466065311</v>
          </cell>
          <cell r="IK560">
            <v>1634.4883002635499</v>
          </cell>
        </row>
        <row r="562">
          <cell r="AO562">
            <v>1</v>
          </cell>
          <cell r="AP562">
            <v>1</v>
          </cell>
          <cell r="AQ562">
            <v>1.0026389697192801</v>
          </cell>
          <cell r="AR562">
            <v>1.0048746999708125</v>
          </cell>
          <cell r="AS562">
            <v>1.0268485588188652</v>
          </cell>
          <cell r="AT562">
            <v>1.0397386733095508</v>
          </cell>
          <cell r="AU562">
            <v>1.0552829758712674</v>
          </cell>
          <cell r="AV562">
            <v>1.0697147739807233</v>
          </cell>
          <cell r="AW562">
            <v>1.0822748248468781</v>
          </cell>
          <cell r="AX562">
            <v>1.0975327938903885</v>
          </cell>
          <cell r="AY562">
            <v>1.0853529386809153</v>
          </cell>
          <cell r="AZ562">
            <v>1.0722286811516715</v>
          </cell>
          <cell r="BA562">
            <v>1.0621483921886434</v>
          </cell>
          <cell r="BB562">
            <v>1.051298524041641</v>
          </cell>
          <cell r="BC562">
            <v>1.0426132592294053</v>
          </cell>
          <cell r="BD562">
            <v>1.0549838311456434</v>
          </cell>
          <cell r="BE562">
            <v>1.0496558522018002</v>
          </cell>
          <cell r="BF562">
            <v>1.0495157617845841</v>
          </cell>
          <cell r="BG562">
            <v>1.0392624203608853</v>
          </cell>
          <cell r="BH562">
            <v>1.0111711078223342</v>
          </cell>
          <cell r="BI562">
            <v>1.0090101472234696</v>
          </cell>
          <cell r="BJ562">
            <v>1.0101766867620794</v>
          </cell>
          <cell r="BK562">
            <v>1.0022097241052808</v>
          </cell>
          <cell r="BL562">
            <v>0.99336931609381607</v>
          </cell>
          <cell r="BM562">
            <v>0.98347900033810298</v>
          </cell>
          <cell r="BN562">
            <v>0.98825621519335605</v>
          </cell>
          <cell r="BO562">
            <v>1.006473054812461</v>
          </cell>
          <cell r="BP562">
            <v>1.0036867424401386</v>
          </cell>
          <cell r="BQ562">
            <v>1.0000590228085124</v>
          </cell>
          <cell r="BR562">
            <v>1.0057872850097844</v>
          </cell>
          <cell r="BS562">
            <v>0.99643530053979579</v>
          </cell>
          <cell r="BT562">
            <v>1.0746404352835814</v>
          </cell>
          <cell r="BU562">
            <v>1.0755328376065703</v>
          </cell>
          <cell r="BV562">
            <v>1.0708577793538914</v>
          </cell>
          <cell r="BW562">
            <v>1.2533118671218877</v>
          </cell>
          <cell r="BX562">
            <v>1.2692920425071446</v>
          </cell>
          <cell r="BY562">
            <v>1.2640729945423668</v>
          </cell>
          <cell r="BZ562">
            <v>1.343157196679694</v>
          </cell>
          <cell r="CA562">
            <v>1.3337563179344025</v>
          </cell>
          <cell r="CB562">
            <v>1.3401033395004418</v>
          </cell>
          <cell r="CC562">
            <v>1.5428152113329483</v>
          </cell>
          <cell r="CD562">
            <v>1.5469053517141493</v>
          </cell>
          <cell r="CE562">
            <v>1.5434001292044259</v>
          </cell>
          <cell r="CF562">
            <v>1.6822667899153592</v>
          </cell>
          <cell r="CG562">
            <v>1.6827694117431624</v>
          </cell>
          <cell r="CH562">
            <v>1.6865497054508225</v>
          </cell>
          <cell r="CI562">
            <v>1.7126193413554081</v>
          </cell>
          <cell r="CJ562">
            <v>1.7154004895587533</v>
          </cell>
          <cell r="CK562">
            <v>1.7441908456130522</v>
          </cell>
          <cell r="CL562">
            <v>1.721345242990965</v>
          </cell>
          <cell r="CM562">
            <v>1.7208548670775563</v>
          </cell>
          <cell r="CN562">
            <v>1.7262201085315139</v>
          </cell>
          <cell r="CO562">
            <v>1.5392965241895082</v>
          </cell>
          <cell r="CP562">
            <v>1.5343351324186241</v>
          </cell>
          <cell r="CQ562">
            <v>1.5363856139069003</v>
          </cell>
          <cell r="CR562">
            <v>1.1582532004537405</v>
          </cell>
          <cell r="CS562">
            <v>1.1662166986491467</v>
          </cell>
          <cell r="CT562">
            <v>1.196529993743809</v>
          </cell>
          <cell r="CU562">
            <v>1.1607174201763772</v>
          </cell>
          <cell r="CV562">
            <v>1.213239769533925</v>
          </cell>
          <cell r="CW562">
            <v>1.2425701724698948</v>
          </cell>
          <cell r="CX562">
            <v>1.2346155617948387</v>
          </cell>
          <cell r="CY562">
            <v>1.1747116592220583</v>
          </cell>
          <cell r="CZ562">
            <v>1.1546342567895105</v>
          </cell>
          <cell r="DA562">
            <v>1.1830365420638611</v>
          </cell>
          <cell r="DB562">
            <v>1.1907184311851216</v>
          </cell>
          <cell r="DC562">
            <v>1.1892636901636746</v>
          </cell>
          <cell r="DD562">
            <v>1.2284688027807895</v>
          </cell>
          <cell r="DE562">
            <v>1.23994647811664</v>
          </cell>
          <cell r="DF562">
            <v>1.254681608381357</v>
          </cell>
          <cell r="DG562">
            <v>1.2428561210794766</v>
          </cell>
          <cell r="DH562">
            <v>1.2247248737083913</v>
          </cell>
          <cell r="DI562">
            <v>1.1995064891680787</v>
          </cell>
          <cell r="DJ562">
            <v>1.0455698358262049</v>
          </cell>
          <cell r="DK562">
            <v>1.0403644124037259</v>
          </cell>
          <cell r="DL562">
            <v>1.0314422026059853</v>
          </cell>
          <cell r="DM562">
            <v>0.91536567935216751</v>
          </cell>
          <cell r="DN562">
            <v>0.90651351476303488</v>
          </cell>
          <cell r="DO562">
            <v>0.88685132847812098</v>
          </cell>
          <cell r="DP562">
            <v>0.8684344601764129</v>
          </cell>
          <cell r="DQ562">
            <v>0.85899501549377277</v>
          </cell>
          <cell r="DR562">
            <v>0.85579821141787638</v>
          </cell>
          <cell r="DS562">
            <v>0.82824627416948027</v>
          </cell>
          <cell r="DT562">
            <v>0.82302722620470237</v>
          </cell>
          <cell r="DU562">
            <v>0.80440275136145145</v>
          </cell>
          <cell r="DV562">
            <v>0.7874862497253986</v>
          </cell>
          <cell r="DW562">
            <v>0.79091060443116212</v>
          </cell>
          <cell r="DX562">
            <v>0.7969538774749525</v>
          </cell>
          <cell r="DY562">
            <v>0.86356223549741551</v>
          </cell>
          <cell r="DZ562">
            <v>0.872314743571312</v>
          </cell>
          <cell r="EA562">
            <v>0.88494154344172926</v>
          </cell>
          <cell r="EB562">
            <v>1.0488200950369997</v>
          </cell>
          <cell r="EC562">
            <v>1.072552204752125</v>
          </cell>
          <cell r="ED562">
            <v>1.0904314543556921</v>
          </cell>
          <cell r="EE562">
            <v>1.2339013859877828</v>
          </cell>
          <cell r="EF562">
            <v>1.2321955811811334</v>
          </cell>
          <cell r="EG562">
            <v>1.2142123903431878</v>
          </cell>
          <cell r="EH562">
            <v>1.2817788213007975</v>
          </cell>
          <cell r="EI562">
            <v>1.2814113054072986</v>
          </cell>
          <cell r="EJ562">
            <v>1.2410158741599171</v>
          </cell>
          <cell r="EK562">
            <v>1.3165380414841588</v>
          </cell>
          <cell r="EL562">
            <v>1.3567175888363081</v>
          </cell>
          <cell r="EM562">
            <v>1.3886827538939148</v>
          </cell>
          <cell r="EN562">
            <v>1.4008789131465957</v>
          </cell>
          <cell r="EO562">
            <v>1.3935402347448811</v>
          </cell>
          <cell r="EP562">
            <v>1.4118394193106003</v>
          </cell>
          <cell r="EQ562">
            <v>1.3619705262857469</v>
          </cell>
          <cell r="ER562">
            <v>1.3539950768988416</v>
          </cell>
          <cell r="ES562">
            <v>1.4710840897827062</v>
          </cell>
          <cell r="ET562">
            <v>1.5166662994301434</v>
          </cell>
          <cell r="EU562">
            <v>1.3871580500870988</v>
          </cell>
          <cell r="EV562">
            <v>1.3559719257501386</v>
          </cell>
          <cell r="EW562">
            <v>1.4103120470280592</v>
          </cell>
          <cell r="EX562">
            <v>1.3554836266593999</v>
          </cell>
          <cell r="EY562">
            <v>1.3154788869989058</v>
          </cell>
          <cell r="EZ562">
            <v>1.2840817856738898</v>
          </cell>
          <cell r="FA562">
            <v>1.2864814420321542</v>
          </cell>
          <cell r="FB562">
            <v>1.2612110070935438</v>
          </cell>
          <cell r="FC562">
            <v>1.1397017503587221</v>
          </cell>
          <cell r="FD562">
            <v>1.1174947924318401</v>
          </cell>
          <cell r="FE562">
            <v>1.070975934143825</v>
          </cell>
          <cell r="FF562">
            <v>0.90904308084554952</v>
          </cell>
          <cell r="FG562">
            <v>0.89979325519417619</v>
          </cell>
          <cell r="FH562">
            <v>0.97941665913284937</v>
          </cell>
          <cell r="FI562">
            <v>1.1468973491097285</v>
          </cell>
          <cell r="FJ562">
            <v>1.181852165393775</v>
          </cell>
          <cell r="FK562">
            <v>1.1683240657495755</v>
          </cell>
          <cell r="FL562">
            <v>1.1576036931578944</v>
          </cell>
          <cell r="FM562">
            <v>1.1590817066115124</v>
          </cell>
          <cell r="FN562">
            <v>1.2159961704291413</v>
          </cell>
          <cell r="FO562">
            <v>1.2558133349513536</v>
          </cell>
          <cell r="FP562">
            <v>1.2428678968216187</v>
          </cell>
          <cell r="FQ562">
            <v>1.265932686856571</v>
          </cell>
          <cell r="FR562">
            <v>1.3706091388240411</v>
          </cell>
          <cell r="FS562">
            <v>1.6694756546406557</v>
          </cell>
          <cell r="FT562">
            <v>1.9271392058112176</v>
          </cell>
          <cell r="FU562">
            <v>1.8139841778916648</v>
          </cell>
          <cell r="FV562">
            <v>1.477091878734855</v>
          </cell>
          <cell r="FW562">
            <v>1.3771042166569951</v>
          </cell>
          <cell r="FX562">
            <v>1.4511702328398728</v>
          </cell>
          <cell r="FY562">
            <v>1.5343089881351415</v>
          </cell>
          <cell r="FZ562">
            <v>1.5995185467711261</v>
          </cell>
          <cell r="GA562">
            <v>1.5511581220222019</v>
          </cell>
          <cell r="GB562">
            <v>1.5506821901936712</v>
          </cell>
          <cell r="GC562">
            <v>1.6073516204776273</v>
          </cell>
          <cell r="GD562">
            <v>1.7011319211486862</v>
          </cell>
          <cell r="GE562">
            <v>1.7828783554908378</v>
          </cell>
          <cell r="GF562">
            <v>1.8198050386794398</v>
          </cell>
          <cell r="GG562">
            <v>1.8424865005465474</v>
          </cell>
          <cell r="GH562">
            <v>1.9215074872009099</v>
          </cell>
          <cell r="GI562">
            <v>1.945589080581926</v>
          </cell>
          <cell r="GJ562">
            <v>1.9740119711931019</v>
          </cell>
          <cell r="GK562">
            <v>2.0409309372362623</v>
          </cell>
          <cell r="GL562">
            <v>2.1555175105716375</v>
          </cell>
          <cell r="GM562">
            <v>2.3990736671253088</v>
          </cell>
          <cell r="GN562">
            <v>2.522647442499605</v>
          </cell>
          <cell r="GO562">
            <v>2.4870858761176038</v>
          </cell>
          <cell r="GP562">
            <v>2.2514333927753643</v>
          </cell>
          <cell r="GQ562">
            <v>2.2607915248035306</v>
          </cell>
          <cell r="GR562">
            <v>2.4188895620212723</v>
          </cell>
          <cell r="GS562">
            <v>2.4563985960217622</v>
          </cell>
          <cell r="GT562">
            <v>2.3054635331012516</v>
          </cell>
          <cell r="GU562">
            <v>2.3029505424261303</v>
          </cell>
          <cell r="GV562">
            <v>2.2979889410667704</v>
          </cell>
          <cell r="GW562">
            <v>2.306701454963604</v>
          </cell>
          <cell r="GX562">
            <v>2.2969124980450406</v>
          </cell>
          <cell r="GY562">
            <v>2.3259022923465671</v>
          </cell>
          <cell r="GZ562">
            <v>2.3679385476105219</v>
          </cell>
          <cell r="HA562">
            <v>2.4060899408935201</v>
          </cell>
          <cell r="HB562">
            <v>2.249498852214205</v>
          </cell>
          <cell r="HC562">
            <v>2.2936136727260683</v>
          </cell>
          <cell r="HD562">
            <v>2.3417978348552295</v>
          </cell>
          <cell r="HE562">
            <v>2.3430795383437713</v>
          </cell>
          <cell r="HF562">
            <v>2.2386515580746869</v>
          </cell>
          <cell r="HG562">
            <v>2.189928741227201</v>
          </cell>
          <cell r="HH562">
            <v>2.1266194724510372</v>
          </cell>
          <cell r="HI562">
            <v>2.1137870508111414</v>
          </cell>
          <cell r="HJ562">
            <v>2.1209692326703706</v>
          </cell>
          <cell r="HK562">
            <v>2.1193320168908443</v>
          </cell>
          <cell r="HL562">
            <v>2.118208528463938</v>
          </cell>
          <cell r="HM562">
            <v>2.1385976158534299</v>
          </cell>
        </row>
        <row r="563">
          <cell r="Z563">
            <v>1</v>
          </cell>
          <cell r="AA563">
            <v>1.0026389697192801</v>
          </cell>
          <cell r="AB563">
            <v>1.0048746999708125</v>
          </cell>
          <cell r="AC563">
            <v>1.0268485588188652</v>
          </cell>
          <cell r="AD563">
            <v>1.0397386733095508</v>
          </cell>
          <cell r="AE563">
            <v>1.0552829758712674</v>
          </cell>
          <cell r="AF563">
            <v>1.0697147739807233</v>
          </cell>
          <cell r="AG563">
            <v>1.0822748248468781</v>
          </cell>
          <cell r="AH563">
            <v>1.0975327938903885</v>
          </cell>
          <cell r="AI563">
            <v>1.0853529386809153</v>
          </cell>
          <cell r="AJ563">
            <v>1.0722286811516715</v>
          </cell>
          <cell r="AK563">
            <v>1.0621483921886434</v>
          </cell>
          <cell r="AL563">
            <v>1.051298524041641</v>
          </cell>
          <cell r="AM563">
            <v>1.0426132592294053</v>
          </cell>
          <cell r="AN563">
            <v>1.0549838311456434</v>
          </cell>
          <cell r="AO563">
            <v>1.0496558522018002</v>
          </cell>
          <cell r="AP563">
            <v>1.0495157617845841</v>
          </cell>
          <cell r="AQ563">
            <v>1.0392624203608853</v>
          </cell>
          <cell r="AR563">
            <v>1.0111711078223342</v>
          </cell>
          <cell r="AS563">
            <v>1.0090101472234696</v>
          </cell>
          <cell r="AT563">
            <v>1.0101766867620794</v>
          </cell>
          <cell r="AU563">
            <v>1.0022097241052808</v>
          </cell>
          <cell r="AV563">
            <v>0.99336931609381607</v>
          </cell>
          <cell r="AW563">
            <v>0.98347900033810298</v>
          </cell>
          <cell r="AX563">
            <v>0.98825621519335605</v>
          </cell>
          <cell r="AY563">
            <v>1.006473054812461</v>
          </cell>
          <cell r="AZ563">
            <v>1.0036867424401386</v>
          </cell>
          <cell r="BA563">
            <v>1.0000590228085124</v>
          </cell>
          <cell r="BB563">
            <v>1.0057872850097844</v>
          </cell>
          <cell r="BC563">
            <v>0.99643530053979579</v>
          </cell>
          <cell r="BD563">
            <v>1.0746404352835814</v>
          </cell>
          <cell r="BE563">
            <v>1.0755328376065703</v>
          </cell>
          <cell r="BF563">
            <v>1.0708577793538914</v>
          </cell>
          <cell r="BG563">
            <v>1.2533118671218877</v>
          </cell>
          <cell r="BH563">
            <v>1.2692920425071446</v>
          </cell>
          <cell r="BI563">
            <v>1.2640729945423668</v>
          </cell>
          <cell r="BJ563">
            <v>1.343157196679694</v>
          </cell>
          <cell r="BK563">
            <v>1.3337563179344025</v>
          </cell>
          <cell r="BL563">
            <v>1.3401033395004418</v>
          </cell>
          <cell r="BM563">
            <v>1.5428152113329483</v>
          </cell>
          <cell r="BN563">
            <v>1.5469053517141493</v>
          </cell>
          <cell r="BO563">
            <v>1.5434001292044259</v>
          </cell>
          <cell r="BP563">
            <v>1.6822667899153592</v>
          </cell>
          <cell r="BQ563">
            <v>1.6827694117431624</v>
          </cell>
          <cell r="BR563">
            <v>1.6865497054508225</v>
          </cell>
          <cell r="BS563">
            <v>1.7126193413554081</v>
          </cell>
          <cell r="BT563">
            <v>1.7154004895587533</v>
          </cell>
          <cell r="BU563">
            <v>1.7441908456130522</v>
          </cell>
          <cell r="BV563">
            <v>1.721345242990965</v>
          </cell>
          <cell r="BW563">
            <v>1.7208548670775563</v>
          </cell>
          <cell r="BX563">
            <v>1.7262201085315139</v>
          </cell>
          <cell r="BY563">
            <v>1.5392965241895082</v>
          </cell>
          <cell r="BZ563">
            <v>1.5343351324186241</v>
          </cell>
          <cell r="CA563">
            <v>1.5363856139069003</v>
          </cell>
          <cell r="CB563">
            <v>1.1582532004537405</v>
          </cell>
          <cell r="CC563">
            <v>1.1662166986491467</v>
          </cell>
          <cell r="CD563">
            <v>1.196529993743809</v>
          </cell>
          <cell r="CE563">
            <v>1.1607174201763772</v>
          </cell>
          <cell r="CF563">
            <v>1.213239769533925</v>
          </cell>
          <cell r="CG563">
            <v>1.2425701724698948</v>
          </cell>
          <cell r="CH563">
            <v>1.2346155617948387</v>
          </cell>
          <cell r="CI563">
            <v>1.1747116592220583</v>
          </cell>
          <cell r="CJ563">
            <v>1.1546342567895105</v>
          </cell>
          <cell r="CK563">
            <v>1.1830365420638611</v>
          </cell>
          <cell r="CL563">
            <v>1.1907184311851216</v>
          </cell>
          <cell r="CM563">
            <v>1.1892636901636746</v>
          </cell>
          <cell r="CN563">
            <v>1.2284688027807895</v>
          </cell>
          <cell r="CO563">
            <v>1.23994647811664</v>
          </cell>
          <cell r="CP563">
            <v>1.254681608381357</v>
          </cell>
          <cell r="CQ563">
            <v>1.2428561210794766</v>
          </cell>
          <cell r="CR563">
            <v>1.2247248737083913</v>
          </cell>
          <cell r="CS563">
            <v>1.1995064891680787</v>
          </cell>
          <cell r="CT563">
            <v>1.0455698358262049</v>
          </cell>
          <cell r="CU563">
            <v>1.0403644124037259</v>
          </cell>
          <cell r="CV563">
            <v>1.0314422026059853</v>
          </cell>
          <cell r="CW563">
            <v>0.91536567935216751</v>
          </cell>
          <cell r="CX563">
            <v>0.90651351476303488</v>
          </cell>
          <cell r="CY563">
            <v>0.88685132847812098</v>
          </cell>
          <cell r="CZ563">
            <v>0.8684344601764129</v>
          </cell>
          <cell r="DA563">
            <v>0.85899501549377277</v>
          </cell>
          <cell r="DB563">
            <v>0.85579821141787638</v>
          </cell>
          <cell r="DC563">
            <v>0.82824627416948027</v>
          </cell>
          <cell r="DD563">
            <v>0.82302722620470237</v>
          </cell>
          <cell r="DE563">
            <v>0.80440275136145145</v>
          </cell>
          <cell r="DF563">
            <v>0.7874862497253986</v>
          </cell>
          <cell r="DG563">
            <v>0.79091060443116212</v>
          </cell>
          <cell r="DH563">
            <v>0.7969538774749525</v>
          </cell>
          <cell r="DI563">
            <v>0.86356223549741551</v>
          </cell>
          <cell r="DJ563">
            <v>0.872314743571312</v>
          </cell>
          <cell r="DK563">
            <v>0.88494154344172926</v>
          </cell>
          <cell r="DL563">
            <v>1.0488200950369997</v>
          </cell>
          <cell r="DM563">
            <v>1.072552204752125</v>
          </cell>
          <cell r="DN563">
            <v>1.0904314543556921</v>
          </cell>
          <cell r="DO563">
            <v>1.2339013859877828</v>
          </cell>
          <cell r="DP563">
            <v>1.2321955811811334</v>
          </cell>
          <cell r="DQ563">
            <v>1.2142123903431878</v>
          </cell>
          <cell r="DR563">
            <v>1.2817788213007975</v>
          </cell>
          <cell r="DS563">
            <v>1.2814113054072986</v>
          </cell>
          <cell r="DT563">
            <v>1.2410158741599171</v>
          </cell>
          <cell r="DU563">
            <v>1.3165380414841588</v>
          </cell>
          <cell r="DV563">
            <v>1.3567175888363081</v>
          </cell>
          <cell r="DW563">
            <v>1.3886827538939148</v>
          </cell>
          <cell r="DX563">
            <v>1.4008789131465957</v>
          </cell>
          <cell r="DY563">
            <v>1.3935402347448811</v>
          </cell>
          <cell r="DZ563">
            <v>1.4118394193106003</v>
          </cell>
          <cell r="EA563">
            <v>1.3619705262857469</v>
          </cell>
          <cell r="EB563">
            <v>1.3539950768988416</v>
          </cell>
          <cell r="EC563">
            <v>1.4710840897827062</v>
          </cell>
          <cell r="ED563">
            <v>1.5166662994301434</v>
          </cell>
          <cell r="EE563">
            <v>1.3871580500870988</v>
          </cell>
          <cell r="EF563">
            <v>1.3559719257501386</v>
          </cell>
          <cell r="EG563">
            <v>1.4103120470280592</v>
          </cell>
          <cell r="EH563">
            <v>1.3554836266593999</v>
          </cell>
          <cell r="EI563">
            <v>1.3154788869989058</v>
          </cell>
          <cell r="EJ563">
            <v>1.2840817856738898</v>
          </cell>
          <cell r="EK563">
            <v>1.2864814420321542</v>
          </cell>
          <cell r="EL563">
            <v>1.2612110070935438</v>
          </cell>
          <cell r="EM563">
            <v>1.1397017503587221</v>
          </cell>
          <cell r="EN563">
            <v>1.1174947924318401</v>
          </cell>
          <cell r="EO563">
            <v>1.070975934143825</v>
          </cell>
          <cell r="EP563">
            <v>0.90904308084554952</v>
          </cell>
          <cell r="EQ563">
            <v>0.89979325519417619</v>
          </cell>
          <cell r="ER563">
            <v>0.97941665913284937</v>
          </cell>
          <cell r="ES563">
            <v>1.1468737195425174</v>
          </cell>
          <cell r="ET563">
            <v>1.1818285358265639</v>
          </cell>
          <cell r="EU563">
            <v>1.1683240657495755</v>
          </cell>
          <cell r="EV563">
            <v>1.1576036931578944</v>
          </cell>
          <cell r="EW563">
            <v>1.1590817066115124</v>
          </cell>
          <cell r="EX563">
            <v>1.2159961704291413</v>
          </cell>
          <cell r="EY563">
            <v>1.2558133349513536</v>
          </cell>
          <cell r="EZ563">
            <v>1.2428678968216187</v>
          </cell>
          <cell r="FA563">
            <v>1.265932686856571</v>
          </cell>
          <cell r="FB563">
            <v>1.3706091388240411</v>
          </cell>
          <cell r="FC563">
            <v>1.6694756546406557</v>
          </cell>
          <cell r="FD563">
            <v>1.9271392058112176</v>
          </cell>
          <cell r="FE563">
            <v>1.8139841778916648</v>
          </cell>
          <cell r="FF563">
            <v>1.477091878734855</v>
          </cell>
          <cell r="FG563">
            <v>1.3771042166569951</v>
          </cell>
          <cell r="FH563">
            <v>1.4511702328398728</v>
          </cell>
          <cell r="FI563">
            <v>1.5343089881351415</v>
          </cell>
          <cell r="FJ563">
            <v>1.5995185467711261</v>
          </cell>
          <cell r="FK563">
            <v>1.5511581220222019</v>
          </cell>
          <cell r="FL563">
            <v>1.5506821901936712</v>
          </cell>
          <cell r="FM563">
            <v>1.6073516204776273</v>
          </cell>
          <cell r="FN563">
            <v>1.7011319211486862</v>
          </cell>
          <cell r="FO563">
            <v>1.7828783554908378</v>
          </cell>
          <cell r="FP563">
            <v>1.8198050386794398</v>
          </cell>
          <cell r="FQ563">
            <v>1.8424865005465474</v>
          </cell>
          <cell r="FR563">
            <v>1.9215074872009099</v>
          </cell>
          <cell r="FS563">
            <v>1.945589080581926</v>
          </cell>
          <cell r="FT563">
            <v>1.9740119711931019</v>
          </cell>
          <cell r="FU563">
            <v>2.0409309372362623</v>
          </cell>
          <cell r="FV563">
            <v>2.1555175105716375</v>
          </cell>
          <cell r="FW563">
            <v>2.3990736671253088</v>
          </cell>
          <cell r="FX563">
            <v>2.522647442499605</v>
          </cell>
          <cell r="FY563">
            <v>2.4870858761176038</v>
          </cell>
          <cell r="FZ563">
            <v>2.2514333927753643</v>
          </cell>
          <cell r="GA563">
            <v>2.2607915248035306</v>
          </cell>
          <cell r="GB563">
            <v>2.4187662098978704</v>
          </cell>
          <cell r="GC563">
            <v>2.454050024437612</v>
          </cell>
          <cell r="GD563">
            <v>2.2577124033551934</v>
          </cell>
          <cell r="GE563">
            <v>2.0375106847704405</v>
          </cell>
          <cell r="GF563">
            <v>2.1187116943731357</v>
          </cell>
          <cell r="GG563">
            <v>2.2246788152087316</v>
          </cell>
          <cell r="GH563">
            <v>2.9161691217572168</v>
          </cell>
          <cell r="GI563">
            <v>3.0350371751475622</v>
          </cell>
          <cell r="GJ563">
            <v>2.7162138498354951</v>
          </cell>
          <cell r="GK563">
            <v>2.369762498445287</v>
          </cell>
          <cell r="GL563">
            <v>2.4418211569875234</v>
          </cell>
          <cell r="GM563">
            <v>2.4717693277538939</v>
          </cell>
          <cell r="GN563">
            <v>2.4192701242192509</v>
          </cell>
          <cell r="GO563">
            <v>2.5073247105364431</v>
          </cell>
          <cell r="GP563">
            <v>2.6098063592925977</v>
          </cell>
          <cell r="GQ563">
            <v>2.7620181422667915</v>
          </cell>
          <cell r="GR563">
            <v>2.8932555364256332</v>
          </cell>
          <cell r="GS563">
            <v>3.0617685634642826</v>
          </cell>
          <cell r="GT563">
            <v>3.1205486536348879</v>
          </cell>
          <cell r="GU563">
            <v>2.822869338883025</v>
          </cell>
          <cell r="GV563">
            <v>2.5181210375032257</v>
          </cell>
          <cell r="GW563">
            <v>2.5687133709623793</v>
          </cell>
          <cell r="GX563">
            <v>2.540380508935367</v>
          </cell>
          <cell r="GY563">
            <v>2.5562824716675983</v>
          </cell>
          <cell r="GZ563">
            <v>2.6299375665278939</v>
          </cell>
          <cell r="HA563">
            <v>2.7798397274820315</v>
          </cell>
          <cell r="HB563">
            <v>2.8839737152963307</v>
          </cell>
          <cell r="HC563">
            <v>2.9778545757816297</v>
          </cell>
          <cell r="HD563">
            <v>2.84979695074537</v>
          </cell>
          <cell r="HE563">
            <v>2.8472072579193628</v>
          </cell>
          <cell r="HF563">
            <v>2.8031103666978057</v>
          </cell>
          <cell r="HG563">
            <v>3.0355554575438406</v>
          </cell>
          <cell r="HH563">
            <v>3.2346138268717368</v>
          </cell>
          <cell r="HI563">
            <v>3.3343503320665677</v>
          </cell>
          <cell r="HJ563">
            <v>2.2140057059779297</v>
          </cell>
          <cell r="HK563">
            <v>2.1570331245193506</v>
          </cell>
          <cell r="HL563">
            <v>2.227930391843469</v>
          </cell>
          <cell r="HM563">
            <v>2.3823187431509489</v>
          </cell>
          <cell r="HN563">
            <v>2.4603632291479771</v>
          </cell>
          <cell r="HO563">
            <v>2.6496677618860209</v>
          </cell>
          <cell r="HP563">
            <v>2.8817812512555117</v>
          </cell>
          <cell r="HQ563">
            <v>2.6227669518010601</v>
          </cell>
          <cell r="HR563">
            <v>2.6441599732398369</v>
          </cell>
          <cell r="HS563">
            <v>2.6626311272913066</v>
          </cell>
          <cell r="HT563">
            <v>2.6457682314408379</v>
          </cell>
          <cell r="HU563">
            <v>2.6560960762828865</v>
          </cell>
          <cell r="HV563">
            <v>2.6367947255423396</v>
          </cell>
          <cell r="HW563">
            <v>2.6374751419883053</v>
          </cell>
          <cell r="HX563">
            <v>2.6039450541669704</v>
          </cell>
          <cell r="HY563">
            <v>2.5297672137795613</v>
          </cell>
          <cell r="HZ563">
            <v>2.4801726795140615</v>
          </cell>
          <cell r="IA563">
            <v>2.3971818950710051</v>
          </cell>
          <cell r="IB563">
            <v>2.4041693006947091</v>
          </cell>
          <cell r="IC563">
            <v>2.4142650324309218</v>
          </cell>
          <cell r="ID563">
            <v>2.4297987442119213</v>
          </cell>
          <cell r="IE563">
            <v>2.4334322894236933</v>
          </cell>
          <cell r="IF563">
            <v>2.4405660083799381</v>
          </cell>
          <cell r="IG563">
            <v>2.4249576329896927</v>
          </cell>
          <cell r="IH563">
            <v>3.0197358345150493</v>
          </cell>
          <cell r="II563">
            <v>3.0483371341172059</v>
          </cell>
          <cell r="IJ563">
            <v>3.0434183071813345</v>
          </cell>
          <cell r="IK563">
            <v>2.9807746171174707</v>
          </cell>
        </row>
        <row r="564">
          <cell r="Z564">
            <v>1</v>
          </cell>
          <cell r="AA564">
            <v>1.0021538433586825</v>
          </cell>
          <cell r="AB564">
            <v>1.0053596433766094</v>
          </cell>
          <cell r="AC564">
            <v>1.0124745921139058</v>
          </cell>
          <cell r="AD564">
            <v>1.0314821181688913</v>
          </cell>
          <cell r="AE564">
            <v>1.0536553539001172</v>
          </cell>
          <cell r="AF564">
            <v>1.0559385419319798</v>
          </cell>
          <cell r="AG564">
            <v>1.0733903327646162</v>
          </cell>
          <cell r="AH564">
            <v>1.094585695083675</v>
          </cell>
          <cell r="AI564">
            <v>1.0839574482073244</v>
          </cell>
          <cell r="AJ564">
            <v>1.0648966665445083</v>
          </cell>
          <cell r="AK564">
            <v>1.0503207222250084</v>
          </cell>
          <cell r="AL564">
            <v>1.0584402475068304</v>
          </cell>
          <cell r="AM564">
            <v>1.0458243735869703</v>
          </cell>
          <cell r="AN564">
            <v>1.0636049397604561</v>
          </cell>
          <cell r="AO564">
            <v>1.0712079665849332</v>
          </cell>
          <cell r="AP564">
            <v>1.0721969462069905</v>
          </cell>
          <cell r="AQ564">
            <v>1.0570476581928434</v>
          </cell>
          <cell r="AR564">
            <v>1.0403855596569525</v>
          </cell>
          <cell r="AS564">
            <v>1.0367504666336158</v>
          </cell>
          <cell r="AT564">
            <v>1.0383136708426339</v>
          </cell>
          <cell r="AU564">
            <v>1.0266360298542923</v>
          </cell>
          <cell r="AV564">
            <v>1.0139239618451774</v>
          </cell>
          <cell r="AW564">
            <v>1.0001889201548184</v>
          </cell>
          <cell r="AX564">
            <v>1.0028152807514834</v>
          </cell>
          <cell r="AY564">
            <v>1.0285437260942998</v>
          </cell>
          <cell r="AZ564">
            <v>1.0255440740642807</v>
          </cell>
          <cell r="BA564">
            <v>1.0207657228278444</v>
          </cell>
          <cell r="BB564">
            <v>1.0297347111623936</v>
          </cell>
          <cell r="BC564">
            <v>1.0179544326726571</v>
          </cell>
          <cell r="BD564">
            <v>1.03486339195906</v>
          </cell>
          <cell r="BE564">
            <v>1.0375678736269591</v>
          </cell>
          <cell r="BF564">
            <v>1.0323338096282224</v>
          </cell>
          <cell r="BG564">
            <v>1.0678216296976217</v>
          </cell>
          <cell r="BH564">
            <v>1.0922439180992776</v>
          </cell>
          <cell r="BI564">
            <v>1.0866765606441571</v>
          </cell>
          <cell r="BJ564">
            <v>1.0901646812852452</v>
          </cell>
          <cell r="BK564">
            <v>1.0784679234304757</v>
          </cell>
          <cell r="BL564">
            <v>1.0890447244312635</v>
          </cell>
          <cell r="BM564">
            <v>1.1129779894607772</v>
          </cell>
          <cell r="BN564">
            <v>1.1188431708775266</v>
          </cell>
          <cell r="BO564">
            <v>1.1140506842580296</v>
          </cell>
          <cell r="BP564">
            <v>1.1179892734941588</v>
          </cell>
          <cell r="BQ564">
            <v>1.1168189091720835</v>
          </cell>
          <cell r="BR564">
            <v>1.11899642830975</v>
          </cell>
          <cell r="BS564">
            <v>1.1175643592384885</v>
          </cell>
          <cell r="BT564">
            <v>1.1190956284445748</v>
          </cell>
          <cell r="BU564">
            <v>1.1580787286521621</v>
          </cell>
          <cell r="BV564">
            <v>1.1558663529235154</v>
          </cell>
          <cell r="BW564">
            <v>1.1670497451183759</v>
          </cell>
          <cell r="BX564">
            <v>1.1624305480678199</v>
          </cell>
          <cell r="BY564">
            <v>1.1400754846062879</v>
          </cell>
          <cell r="BZ564">
            <v>1.1347154533030166</v>
          </cell>
          <cell r="CA564">
            <v>1.1386363831857789</v>
          </cell>
          <cell r="CB564">
            <v>1.1079723601257465</v>
          </cell>
          <cell r="CC564">
            <v>1.119403423562048</v>
          </cell>
          <cell r="CD564">
            <v>1.1666902894823732</v>
          </cell>
          <cell r="CE564">
            <v>1.1951843201591881</v>
          </cell>
          <cell r="CF564">
            <v>1.2696169355926956</v>
          </cell>
          <cell r="CG564">
            <v>1.3129090794074298</v>
          </cell>
          <cell r="CH564">
            <v>1.2226815088385097</v>
          </cell>
          <cell r="CI564">
            <v>1.1386499725697796</v>
          </cell>
          <cell r="CJ564">
            <v>1.109010125387125</v>
          </cell>
          <cell r="CK564">
            <v>1.0903442299446782</v>
          </cell>
          <cell r="CL564">
            <v>1.1015015463551558</v>
          </cell>
          <cell r="CM564">
            <v>1.0997780835107889</v>
          </cell>
          <cell r="CN564">
            <v>1.1041698462678613</v>
          </cell>
          <cell r="CO564">
            <v>1.1202060180725395</v>
          </cell>
          <cell r="CP564">
            <v>1.1400181881784286</v>
          </cell>
          <cell r="CQ564">
            <v>1.1579757670555908</v>
          </cell>
          <cell r="CR564">
            <v>1.131664941787059</v>
          </cell>
          <cell r="CS564">
            <v>1.0940549112064637</v>
          </cell>
          <cell r="CT564">
            <v>1.0462605730497809</v>
          </cell>
          <cell r="CU564">
            <v>1.0369709647131369</v>
          </cell>
          <cell r="CV564">
            <v>1.0231855155546847</v>
          </cell>
          <cell r="CW564">
            <v>1.0222497398037105</v>
          </cell>
          <cell r="CX564">
            <v>1.0090346834687707</v>
          </cell>
          <cell r="CY564">
            <v>0.98088179430660805</v>
          </cell>
          <cell r="CZ564">
            <v>0.98764906298472588</v>
          </cell>
          <cell r="DA564">
            <v>0.973009248659362</v>
          </cell>
          <cell r="DB564">
            <v>0.96794890583374504</v>
          </cell>
          <cell r="DC564">
            <v>0.98083343156852865</v>
          </cell>
          <cell r="DD564">
            <v>0.97313630884432722</v>
          </cell>
          <cell r="DE564">
            <v>0.94686891386907501</v>
          </cell>
          <cell r="DF564">
            <v>0.94324245028621811</v>
          </cell>
          <cell r="DG564">
            <v>0.94761763100250851</v>
          </cell>
          <cell r="DH564">
            <v>0.95577932168664548</v>
          </cell>
          <cell r="DI564">
            <v>0.99622262402563611</v>
          </cell>
          <cell r="DJ564">
            <v>1.0099963833535122</v>
          </cell>
          <cell r="DK564">
            <v>1.0291401938394389</v>
          </cell>
          <cell r="DL564">
            <v>1.091165542886674</v>
          </cell>
          <cell r="DM564">
            <v>1.1264636344146868</v>
          </cell>
          <cell r="DN564">
            <v>1.154353288217661</v>
          </cell>
          <cell r="DO564">
            <v>1.1788466098063428</v>
          </cell>
          <cell r="DP564">
            <v>1.1789320976887327</v>
          </cell>
          <cell r="DQ564">
            <v>1.152513183037573</v>
          </cell>
          <cell r="DR564">
            <v>1.2473586897924251</v>
          </cell>
          <cell r="DS564">
            <v>1.2805369407672007</v>
          </cell>
          <cell r="DT564">
            <v>1.2276657119489485</v>
          </cell>
          <cell r="DU564">
            <v>1.2162275352916749</v>
          </cell>
          <cell r="DV564">
            <v>1.2600825153837019</v>
          </cell>
          <cell r="DW564">
            <v>1.324095148272896</v>
          </cell>
          <cell r="DX564">
            <v>1.3200051028868605</v>
          </cell>
          <cell r="DY564">
            <v>1.3268893553383749</v>
          </cell>
          <cell r="DZ564">
            <v>1.3818583307324892</v>
          </cell>
          <cell r="EA564">
            <v>1.3772207663726013</v>
          </cell>
          <cell r="EB564">
            <v>1.3505452405993921</v>
          </cell>
          <cell r="EC564">
            <v>1.5048692693987222</v>
          </cell>
          <cell r="ED564">
            <v>1.5906398154864005</v>
          </cell>
          <cell r="EE564">
            <v>1.3788980280942809</v>
          </cell>
          <cell r="EF564">
            <v>1.3147011284136831</v>
          </cell>
          <cell r="EG564">
            <v>1.3278598594163107</v>
          </cell>
          <cell r="EH564">
            <v>1.2882495950641526</v>
          </cell>
          <cell r="EI564">
            <v>1.1988043977143992</v>
          </cell>
          <cell r="EJ564">
            <v>1.1524463403384788</v>
          </cell>
          <cell r="EK564">
            <v>1.1699976864442092</v>
          </cell>
          <cell r="EL564">
            <v>1.1500586210761221</v>
          </cell>
          <cell r="EM564">
            <v>1.1129941529611642</v>
          </cell>
          <cell r="EN564">
            <v>1.0983930133771365</v>
          </cell>
          <cell r="EO564">
            <v>1.050485599574392</v>
          </cell>
          <cell r="EP564">
            <v>1.0324792847120134</v>
          </cell>
          <cell r="EQ564">
            <v>1.0343416154111198</v>
          </cell>
          <cell r="ER564">
            <v>1.0986901692501136</v>
          </cell>
          <cell r="ES564">
            <v>1.1686047670756827</v>
          </cell>
          <cell r="ET564">
            <v>1.1715817086896667</v>
          </cell>
          <cell r="EU564">
            <v>1.1517934349594534</v>
          </cell>
          <cell r="EV564">
            <v>1.146540739999895</v>
          </cell>
          <cell r="EW564">
            <v>1.1714604768425314</v>
          </cell>
          <cell r="EX564">
            <v>1.2217669429069937</v>
          </cell>
          <cell r="EY564">
            <v>1.2410930078517313</v>
          </cell>
          <cell r="EZ564">
            <v>1.2461277508227506</v>
          </cell>
          <cell r="FA564">
            <v>1.2838153413602431</v>
          </cell>
          <cell r="FB564">
            <v>1.3519752962634355</v>
          </cell>
          <cell r="FC564">
            <v>1.489866191772715</v>
          </cell>
          <cell r="FD564">
            <v>1.5371281211532912</v>
          </cell>
          <cell r="FE564">
            <v>1.35424618086598</v>
          </cell>
          <cell r="FF564">
            <v>1.3359115207408803</v>
          </cell>
          <cell r="FG564">
            <v>1.352399035311723</v>
          </cell>
          <cell r="FH564">
            <v>1.3225098162867783</v>
          </cell>
          <cell r="FI564">
            <v>1.3312216835431072</v>
          </cell>
          <cell r="FJ564">
            <v>1.3265042612153297</v>
          </cell>
          <cell r="FK564">
            <v>1.3309925205501711</v>
          </cell>
          <cell r="FL564">
            <v>1.3262769147609423</v>
          </cell>
          <cell r="FM564">
            <v>1.3986036056874707</v>
          </cell>
          <cell r="FN564">
            <v>1.5167114051277444</v>
          </cell>
          <cell r="FO564">
            <v>1.4689190712026829</v>
          </cell>
          <cell r="FP564">
            <v>1.4174378661550242</v>
          </cell>
          <cell r="FQ564">
            <v>1.4402695447001752</v>
          </cell>
          <cell r="FR564">
            <v>1.5083249784581589</v>
          </cell>
          <cell r="FS564">
            <v>1.5259615026387994</v>
          </cell>
          <cell r="FT564">
            <v>1.5631911047125335</v>
          </cell>
          <cell r="FU564">
            <v>1.6316062212967737</v>
          </cell>
          <cell r="FV564">
            <v>1.6019015637334226</v>
          </cell>
          <cell r="FW564">
            <v>1.7168595649861469</v>
          </cell>
          <cell r="FX564">
            <v>1.7564862613980667</v>
          </cell>
          <cell r="FY564">
            <v>1.6956133471532129</v>
          </cell>
          <cell r="FZ564">
            <v>1.6126327890591172</v>
          </cell>
          <cell r="GA564">
            <v>1.6339347261422901</v>
          </cell>
          <cell r="GB564">
            <v>1.7284388851954668</v>
          </cell>
          <cell r="GC564">
            <v>1.7370934643532487</v>
          </cell>
          <cell r="GD564">
            <v>1.6523481633186667</v>
          </cell>
          <cell r="GE564">
            <v>1.6226432483147637</v>
          </cell>
          <cell r="GF564">
            <v>1.6674938563794393</v>
          </cell>
          <cell r="GG564">
            <v>1.7626034873844536</v>
          </cell>
          <cell r="GH564">
            <v>2.0428462195495802</v>
          </cell>
          <cell r="GI564">
            <v>2.1313609136308149</v>
          </cell>
          <cell r="GJ564">
            <v>2.0045003015600007</v>
          </cell>
          <cell r="GK564">
            <v>1.9255198241491058</v>
          </cell>
          <cell r="GL564">
            <v>1.8946036489144802</v>
          </cell>
          <cell r="GM564">
            <v>1.8035837468904898</v>
          </cell>
          <cell r="GN564">
            <v>1.7772174221539034</v>
          </cell>
          <cell r="GO564">
            <v>1.8501884175432595</v>
          </cell>
          <cell r="GP564">
            <v>1.8826393234574623</v>
          </cell>
          <cell r="GQ564">
            <v>1.915719317391291</v>
          </cell>
          <cell r="GR564">
            <v>1.9657210053030427</v>
          </cell>
          <cell r="GS564">
            <v>1.9969057624174593</v>
          </cell>
          <cell r="GT564">
            <v>1.9177081696218188</v>
          </cell>
          <cell r="GU564">
            <v>1.7655883436473057</v>
          </cell>
          <cell r="GV564">
            <v>1.7960043500457685</v>
          </cell>
          <cell r="GW564">
            <v>1.8365827061115085</v>
          </cell>
          <cell r="GX564">
            <v>1.7354574737814426</v>
          </cell>
          <cell r="GY564">
            <v>1.8254746007417824</v>
          </cell>
          <cell r="GZ564">
            <v>1.8848229250766688</v>
          </cell>
          <cell r="HA564">
            <v>1.9497033690170151</v>
          </cell>
          <cell r="HB564">
            <v>2.0049589571760769</v>
          </cell>
          <cell r="HC564">
            <v>2.0064880509343959</v>
          </cell>
          <cell r="HD564">
            <v>2.0118509369210495</v>
          </cell>
          <cell r="HE564">
            <v>1.9922464637302693</v>
          </cell>
          <cell r="HF564">
            <v>2.0396167149571753</v>
          </cell>
          <cell r="HG564">
            <v>2.1830356920278295</v>
          </cell>
          <cell r="HH564">
            <v>2.3263276362784833</v>
          </cell>
          <cell r="HI564">
            <v>2.3175073090109835</v>
          </cell>
          <cell r="HJ564">
            <v>2.1851202822833642</v>
          </cell>
          <cell r="HK564">
            <v>2.1546592462498899</v>
          </cell>
          <cell r="HL564">
            <v>2.2120444745424788</v>
          </cell>
          <cell r="HM564">
            <v>2.3033082495812938</v>
          </cell>
          <cell r="HN564">
            <v>2.4124510419241436</v>
          </cell>
          <cell r="HO564">
            <v>2.5203230495504734</v>
          </cell>
          <cell r="HP564">
            <v>2.6237077302622041</v>
          </cell>
          <cell r="HQ564">
            <v>2.4945175120137741</v>
          </cell>
          <cell r="HR564">
            <v>2.535904330058139</v>
          </cell>
          <cell r="HS564">
            <v>2.5526877977887463</v>
          </cell>
          <cell r="HT564">
            <v>2.5608168145492032</v>
          </cell>
          <cell r="HU564">
            <v>2.584795542115311</v>
          </cell>
          <cell r="HV564">
            <v>2.5761696838696477</v>
          </cell>
          <cell r="HW564">
            <v>2.5414986125888008</v>
          </cell>
          <cell r="HX564">
            <v>2.4949163749891969</v>
          </cell>
          <cell r="HY564">
            <v>2.4312978267889207</v>
          </cell>
          <cell r="HZ564">
            <v>2.3740898813559852</v>
          </cell>
          <cell r="IA564">
            <v>2.3407444438096059</v>
          </cell>
          <cell r="IB564">
            <v>2.3397224653863309</v>
          </cell>
          <cell r="IC564">
            <v>2.3398615109600351</v>
          </cell>
          <cell r="ID564">
            <v>2.3401085660581002</v>
          </cell>
          <cell r="IE564">
            <v>2.3616551016869174</v>
          </cell>
          <cell r="IF564">
            <v>2.3827808588758526</v>
          </cell>
          <cell r="IG564">
            <v>2.4223093115774081</v>
          </cell>
          <cell r="IH564">
            <v>1.8756615165447044</v>
          </cell>
          <cell r="II564">
            <v>1.9130212085814775</v>
          </cell>
          <cell r="IJ564">
            <v>1.9352715104032099</v>
          </cell>
          <cell r="IK564">
            <v>1.9891865226406278</v>
          </cell>
        </row>
        <row r="565">
          <cell r="CX565">
            <v>1.1688975842427458</v>
          </cell>
          <cell r="CY565">
            <v>1.1688975842427458</v>
          </cell>
          <cell r="DA565">
            <v>1.1323340862325459</v>
          </cell>
          <cell r="DB565">
            <v>1.1323340862325459</v>
          </cell>
          <cell r="DD565">
            <v>1.1678909361526026</v>
          </cell>
          <cell r="DE565">
            <v>1.1678909361526026</v>
          </cell>
          <cell r="DG565">
            <v>1.1645774305475003</v>
          </cell>
          <cell r="DH565">
            <v>1.1645774305475003</v>
          </cell>
          <cell r="DJ565">
            <v>1.0368908058784205</v>
          </cell>
          <cell r="DK565">
            <v>1.0368908058784205</v>
          </cell>
          <cell r="DM565">
            <v>0.96478227893859669</v>
          </cell>
          <cell r="DN565">
            <v>0.96478227893859669</v>
          </cell>
          <cell r="DP565">
            <v>0.93150056501719058</v>
          </cell>
          <cell r="DQ565">
            <v>0.93150056501719058</v>
          </cell>
          <cell r="DS565">
            <v>0.90932966267678239</v>
          </cell>
          <cell r="DT565">
            <v>0.90932966267678239</v>
          </cell>
          <cell r="DV565">
            <v>0.88788177039742688</v>
          </cell>
          <cell r="DW565">
            <v>0.88788177039742688</v>
          </cell>
          <cell r="DY565">
            <v>0.95813315868845095</v>
          </cell>
          <cell r="DZ565">
            <v>0.95813315868845095</v>
          </cell>
          <cell r="EB565">
            <v>1.1032625175779234</v>
          </cell>
          <cell r="EC565">
            <v>1.1032625175779234</v>
          </cell>
          <cell r="EE565">
            <v>1.1921023465790579</v>
          </cell>
          <cell r="EF565">
            <v>1.1921023465790579</v>
          </cell>
          <cell r="EH565">
            <v>1.2581497699810196</v>
          </cell>
          <cell r="EI565">
            <v>1.2581497699810196</v>
          </cell>
          <cell r="EK565">
            <v>1.3006514947239305</v>
          </cell>
          <cell r="EL565">
            <v>1.3006514947239305</v>
          </cell>
          <cell r="EN565">
            <v>1.3658918444825832</v>
          </cell>
          <cell r="EO565">
            <v>1.3658918444825832</v>
          </cell>
          <cell r="EQ565">
            <v>1.4049783667876081</v>
          </cell>
          <cell r="ER565">
            <v>1.4049783667876081</v>
          </cell>
          <cell r="ET565">
            <v>1.4249160838075892</v>
          </cell>
          <cell r="EU565">
            <v>1.4249160838075892</v>
          </cell>
          <cell r="EW565">
            <v>1.3061125299727727</v>
          </cell>
          <cell r="EX565">
            <v>1.3061125299727727</v>
          </cell>
          <cell r="EZ565">
            <v>1.2040007468947405</v>
          </cell>
          <cell r="FA565">
            <v>1.2040007468947405</v>
          </cell>
          <cell r="FC565">
            <v>1.0958719722850649</v>
          </cell>
          <cell r="FD565">
            <v>1.0958719722850649</v>
          </cell>
          <cell r="FF565">
            <v>1.0063425340395999</v>
          </cell>
          <cell r="FG565">
            <v>1.0063425340395999</v>
          </cell>
          <cell r="FI565">
            <v>1.164653647315202</v>
          </cell>
          <cell r="FJ565">
            <v>1.164653647315202</v>
          </cell>
          <cell r="FL565">
            <v>1.1790055155945423</v>
          </cell>
          <cell r="FM565">
            <v>1.1790055155945423</v>
          </cell>
          <cell r="FO565">
            <v>1.2422058013954433</v>
          </cell>
          <cell r="FP565">
            <v>1.2561808221538591</v>
          </cell>
        </row>
        <row r="566">
          <cell r="CI566">
            <v>1.1688975842427458</v>
          </cell>
          <cell r="CL566">
            <v>1.1323340862325459</v>
          </cell>
          <cell r="CO566">
            <v>1.1678909361526026</v>
          </cell>
          <cell r="CR566">
            <v>1.1645774305475003</v>
          </cell>
          <cell r="CU566">
            <v>1.0368908058784205</v>
          </cell>
          <cell r="CX566">
            <v>0.96478227893859669</v>
          </cell>
          <cell r="CY566">
            <v>1.1688975842427458</v>
          </cell>
          <cell r="DA566">
            <v>0.93150056501719058</v>
          </cell>
          <cell r="DB566">
            <v>1.1323340862325459</v>
          </cell>
          <cell r="DD566">
            <v>0.90932966267678239</v>
          </cell>
          <cell r="DE566">
            <v>1.1678909361526026</v>
          </cell>
          <cell r="DG566">
            <v>0.88788177039742688</v>
          </cell>
          <cell r="DH566">
            <v>1.1645774305475003</v>
          </cell>
          <cell r="DJ566">
            <v>0.95813315868845095</v>
          </cell>
          <cell r="DK566">
            <v>1.0368908058784205</v>
          </cell>
          <cell r="DM566">
            <v>1.1032625175779234</v>
          </cell>
          <cell r="DN566">
            <v>0.96478227893859669</v>
          </cell>
          <cell r="DP566">
            <v>1.1921023465790579</v>
          </cell>
          <cell r="DQ566">
            <v>0.93150056501719058</v>
          </cell>
          <cell r="DS566">
            <v>1.2581497699810196</v>
          </cell>
          <cell r="DT566">
            <v>0.90932966267678239</v>
          </cell>
          <cell r="DV566">
            <v>1.3006514947239305</v>
          </cell>
          <cell r="DW566">
            <v>0.88788177039742688</v>
          </cell>
          <cell r="DY566">
            <v>1.3658918444825832</v>
          </cell>
          <cell r="DZ566">
            <v>0.95813315868845095</v>
          </cell>
          <cell r="EB566">
            <v>1.4049783667876081</v>
          </cell>
          <cell r="EC566">
            <v>1.1032625175779234</v>
          </cell>
          <cell r="EE566">
            <v>1.4249160838075892</v>
          </cell>
          <cell r="EF566">
            <v>1.1921023465790579</v>
          </cell>
          <cell r="EH566">
            <v>1.3061125299727727</v>
          </cell>
          <cell r="EI566">
            <v>1.2581497699810196</v>
          </cell>
          <cell r="EK566">
            <v>1.2040007468947405</v>
          </cell>
          <cell r="EL566">
            <v>1.3006514947239305</v>
          </cell>
          <cell r="EN566">
            <v>1.0958719722850649</v>
          </cell>
          <cell r="EO566">
            <v>1.3658918444825832</v>
          </cell>
          <cell r="EQ566">
            <v>1.0063425340395999</v>
          </cell>
          <cell r="ER566">
            <v>1.4049783667876081</v>
          </cell>
          <cell r="ET566">
            <v>1.1646464512407126</v>
          </cell>
          <cell r="EU566">
            <v>1.4249160838075892</v>
          </cell>
          <cell r="EW566">
            <v>1.1790055155945423</v>
          </cell>
          <cell r="EX566">
            <v>1.3061125299727727</v>
          </cell>
          <cell r="EZ566">
            <v>1.2561808221538591</v>
          </cell>
          <cell r="FA566">
            <v>1.2040007468947405</v>
          </cell>
          <cell r="FC566">
            <v>1.1093908256447957</v>
          </cell>
          <cell r="FD566">
            <v>1.0958719722850649</v>
          </cell>
          <cell r="FF566">
            <v>0.92941766505752499</v>
          </cell>
          <cell r="FG566">
            <v>1.0063425340395999</v>
          </cell>
          <cell r="FI566">
            <v>1.165691193417693</v>
          </cell>
          <cell r="FJ566">
            <v>1.1646464512407126</v>
          </cell>
          <cell r="FL566">
            <v>1.1775605233995161</v>
          </cell>
          <cell r="FM566">
            <v>1.1790055155945423</v>
          </cell>
          <cell r="FO566">
            <v>1.236935442127659</v>
          </cell>
          <cell r="FP566">
            <v>1.2561808221538591</v>
          </cell>
        </row>
        <row r="567">
          <cell r="CI567">
            <v>1.1879871592688025</v>
          </cell>
          <cell r="CL567">
            <v>1.1876728878042191</v>
          </cell>
          <cell r="CO567">
            <v>1.2410322964262621</v>
          </cell>
          <cell r="CR567">
            <v>1.2223624946519822</v>
          </cell>
          <cell r="CU567">
            <v>1.0391254836119721</v>
          </cell>
          <cell r="CX567">
            <v>0.90291017419777442</v>
          </cell>
          <cell r="CY567">
            <v>1.1879871592688025</v>
          </cell>
          <cell r="DA567">
            <v>0.86107589569602061</v>
          </cell>
          <cell r="DB567">
            <v>1.1876728878042191</v>
          </cell>
          <cell r="DD567">
            <v>0.81855875057854466</v>
          </cell>
          <cell r="DE567">
            <v>1.2410322964262621</v>
          </cell>
          <cell r="DG567">
            <v>0.79178357721050441</v>
          </cell>
          <cell r="DH567">
            <v>1.2223624946519822</v>
          </cell>
          <cell r="DJ567">
            <v>0.87360617417015229</v>
          </cell>
          <cell r="DK567">
            <v>1.0391254836119721</v>
          </cell>
          <cell r="DM567">
            <v>1.0706012513816054</v>
          </cell>
          <cell r="DN567">
            <v>0.90291017419777442</v>
          </cell>
          <cell r="DP567">
            <v>1.2267697858373678</v>
          </cell>
          <cell r="DQ567">
            <v>0.86107589569602061</v>
          </cell>
          <cell r="DS567">
            <v>1.2680686669560044</v>
          </cell>
          <cell r="DT567">
            <v>0.81855875057854466</v>
          </cell>
          <cell r="DV567">
            <v>1.353979461404794</v>
          </cell>
          <cell r="DW567">
            <v>0.79178357721050441</v>
          </cell>
          <cell r="DY567">
            <v>1.402086189067359</v>
          </cell>
          <cell r="DZ567">
            <v>0.87360617417015229</v>
          </cell>
          <cell r="EB567">
            <v>1.3956832309890981</v>
          </cell>
          <cell r="EC567">
            <v>1.0706012513816054</v>
          </cell>
          <cell r="EE567">
            <v>1.4199320917557934</v>
          </cell>
          <cell r="EF567">
            <v>1.2267697858373678</v>
          </cell>
          <cell r="EH567">
            <v>1.3604248535621217</v>
          </cell>
          <cell r="EI567">
            <v>1.2680686669560044</v>
          </cell>
          <cell r="EK567">
            <v>1.2772580782665293</v>
          </cell>
          <cell r="EL567">
            <v>1.353979461404794</v>
          </cell>
          <cell r="EN567">
            <v>1.1093908256447957</v>
          </cell>
          <cell r="EO567">
            <v>1.402086189067359</v>
          </cell>
          <cell r="EQ567">
            <v>0.92941766505752499</v>
          </cell>
          <cell r="ER567">
            <v>1.3956832309890981</v>
          </cell>
          <cell r="ET567">
            <v>1.1656754403728857</v>
          </cell>
          <cell r="EU567">
            <v>1.4199320917557934</v>
          </cell>
          <cell r="EW567">
            <v>1.1775605233995161</v>
          </cell>
          <cell r="EX567">
            <v>1.3604248535621217</v>
          </cell>
          <cell r="EZ567">
            <v>1.2548713062098478</v>
          </cell>
          <cell r="FA567">
            <v>1.2772580782665293</v>
          </cell>
          <cell r="FC567">
            <v>1.0872909219708975</v>
          </cell>
          <cell r="FD567">
            <v>1.1093908256447957</v>
          </cell>
          <cell r="FF567">
            <v>1.055170356457749</v>
          </cell>
          <cell r="FG567">
            <v>0.92941766505752499</v>
          </cell>
          <cell r="FI567">
            <v>1.1639950681390081</v>
          </cell>
          <cell r="FJ567">
            <v>1.1656754403728857</v>
          </cell>
          <cell r="FL567">
            <v>1.1799227199164735</v>
          </cell>
          <cell r="FM567">
            <v>1.1775605233995161</v>
          </cell>
          <cell r="FO567">
            <v>1.2455511456230319</v>
          </cell>
          <cell r="FP567">
            <v>1.2548713062098478</v>
          </cell>
        </row>
        <row r="568">
          <cell r="CI568">
            <v>1.1567805355984715</v>
          </cell>
          <cell r="CL568">
            <v>1.0972079532702077</v>
          </cell>
          <cell r="CO568">
            <v>1.121464684172943</v>
          </cell>
          <cell r="CR568">
            <v>1.1278985400163712</v>
          </cell>
          <cell r="CU568">
            <v>1.0354723511058674</v>
          </cell>
          <cell r="CX568">
            <v>1.0040554058596964</v>
          </cell>
          <cell r="CY568">
            <v>1.1567805355984715</v>
          </cell>
          <cell r="DA568">
            <v>0.97620240582594431</v>
          </cell>
          <cell r="DB568">
            <v>1.0972079532702077</v>
          </cell>
          <cell r="DD568">
            <v>0.96694621809397685</v>
          </cell>
          <cell r="DE568">
            <v>1.121464684172943</v>
          </cell>
          <cell r="DG568">
            <v>0.94887980099179059</v>
          </cell>
          <cell r="DH568">
            <v>1.1278985400163712</v>
          </cell>
          <cell r="DJ568">
            <v>1.0117864004061958</v>
          </cell>
          <cell r="DK568">
            <v>1.0354723511058674</v>
          </cell>
          <cell r="DM568">
            <v>1.1239941551730073</v>
          </cell>
          <cell r="DN568">
            <v>1.0040554058596964</v>
          </cell>
          <cell r="DP568">
            <v>1.1700972968442163</v>
          </cell>
          <cell r="DQ568">
            <v>0.97620240582594431</v>
          </cell>
          <cell r="DS568">
            <v>1.2518537808361916</v>
          </cell>
          <cell r="DT568">
            <v>0.96694621809397685</v>
          </cell>
          <cell r="DV568">
            <v>1.2668017329827574</v>
          </cell>
          <cell r="DW568">
            <v>0.94887980099179059</v>
          </cell>
          <cell r="DY568">
            <v>1.3429175963192417</v>
          </cell>
          <cell r="DZ568">
            <v>1.0117864004061958</v>
          </cell>
          <cell r="EB568">
            <v>1.4108784254569053</v>
          </cell>
          <cell r="EC568">
            <v>1.1239941551730073</v>
          </cell>
          <cell r="EE568">
            <v>1.4280796573314547</v>
          </cell>
          <cell r="EF568">
            <v>1.1700972968442163</v>
          </cell>
          <cell r="EH568">
            <v>1.2716379507316209</v>
          </cell>
          <cell r="EI568">
            <v>1.2518537808361916</v>
          </cell>
          <cell r="EK568">
            <v>1.1575008826196034</v>
          </cell>
          <cell r="EL568">
            <v>1.2668017329827574</v>
          </cell>
          <cell r="EN568">
            <v>1.0872909219708975</v>
          </cell>
          <cell r="EO568">
            <v>1.3429175963192417</v>
          </cell>
          <cell r="EQ568">
            <v>1.055170356457749</v>
          </cell>
          <cell r="ER568">
            <v>1.4108784254569053</v>
          </cell>
          <cell r="ET568">
            <v>1.1639933035749344</v>
          </cell>
          <cell r="EU568">
            <v>1.4280796573314547</v>
          </cell>
          <cell r="EW568">
            <v>1.1799227199164735</v>
          </cell>
          <cell r="EX568">
            <v>1.2716379507316209</v>
          </cell>
          <cell r="EZ568">
            <v>1.2570120333449084</v>
          </cell>
          <cell r="FA568">
            <v>1.1575008826196034</v>
          </cell>
          <cell r="FD568">
            <v>1.0872909219708975</v>
          </cell>
          <cell r="FG568">
            <v>1.055170356457749</v>
          </cell>
          <cell r="FJ568">
            <v>1.1639933035749344</v>
          </cell>
          <cell r="FM568">
            <v>1.1799227199164735</v>
          </cell>
          <cell r="FP568">
            <v>1.2570120333449084</v>
          </cell>
        </row>
        <row r="570">
          <cell r="X570" t="str">
            <v>3Q90</v>
          </cell>
          <cell r="Y570" t="str">
            <v>3Q90</v>
          </cell>
          <cell r="Z570" t="str">
            <v xml:space="preserve"> </v>
          </cell>
          <cell r="AA570" t="str">
            <v xml:space="preserve"> </v>
          </cell>
          <cell r="AB570" t="str">
            <v>4Q90</v>
          </cell>
          <cell r="AC570" t="str">
            <v xml:space="preserve"> </v>
          </cell>
          <cell r="AD570" t="str">
            <v xml:space="preserve"> </v>
          </cell>
          <cell r="AE570" t="str">
            <v>1Q91</v>
          </cell>
          <cell r="AF570" t="str">
            <v xml:space="preserve"> </v>
          </cell>
          <cell r="AG570" t="str">
            <v xml:space="preserve"> </v>
          </cell>
          <cell r="AH570" t="str">
            <v>2Q91</v>
          </cell>
          <cell r="AI570" t="str">
            <v xml:space="preserve"> </v>
          </cell>
          <cell r="AJ570" t="str">
            <v xml:space="preserve"> </v>
          </cell>
          <cell r="AK570" t="str">
            <v>3Q91</v>
          </cell>
          <cell r="AL570" t="str">
            <v xml:space="preserve"> </v>
          </cell>
          <cell r="AM570" t="str">
            <v xml:space="preserve"> </v>
          </cell>
          <cell r="AN570" t="str">
            <v>4Q91</v>
          </cell>
          <cell r="AO570" t="str">
            <v xml:space="preserve"> </v>
          </cell>
          <cell r="AP570" t="str">
            <v xml:space="preserve"> </v>
          </cell>
          <cell r="AQ570" t="str">
            <v>1Q92</v>
          </cell>
          <cell r="AR570" t="str">
            <v xml:space="preserve"> </v>
          </cell>
          <cell r="AS570" t="str">
            <v xml:space="preserve"> </v>
          </cell>
          <cell r="AT570" t="str">
            <v>2Q92</v>
          </cell>
          <cell r="AU570" t="str">
            <v xml:space="preserve"> </v>
          </cell>
          <cell r="AV570" t="str">
            <v xml:space="preserve"> </v>
          </cell>
          <cell r="AW570" t="str">
            <v>3Q92</v>
          </cell>
          <cell r="AX570" t="str">
            <v xml:space="preserve"> </v>
          </cell>
          <cell r="AY570" t="str">
            <v xml:space="preserve"> </v>
          </cell>
          <cell r="AZ570" t="str">
            <v>4Q92</v>
          </cell>
          <cell r="BA570" t="str">
            <v xml:space="preserve"> </v>
          </cell>
          <cell r="BB570" t="str">
            <v xml:space="preserve"> </v>
          </cell>
          <cell r="BC570" t="str">
            <v>1Q93</v>
          </cell>
          <cell r="BD570" t="str">
            <v xml:space="preserve"> </v>
          </cell>
          <cell r="BE570" t="str">
            <v xml:space="preserve"> </v>
          </cell>
          <cell r="BF570" t="str">
            <v xml:space="preserve"> 2Q93</v>
          </cell>
          <cell r="BG570" t="str">
            <v xml:space="preserve"> </v>
          </cell>
          <cell r="BH570" t="str">
            <v xml:space="preserve"> </v>
          </cell>
          <cell r="BI570" t="str">
            <v xml:space="preserve"> 3Q93</v>
          </cell>
          <cell r="BJ570" t="str">
            <v xml:space="preserve"> </v>
          </cell>
          <cell r="BK570" t="str">
            <v xml:space="preserve"> </v>
          </cell>
          <cell r="BL570" t="str">
            <v>4Q93</v>
          </cell>
          <cell r="BM570" t="str">
            <v xml:space="preserve"> </v>
          </cell>
          <cell r="BN570" t="str">
            <v xml:space="preserve"> </v>
          </cell>
          <cell r="BO570" t="str">
            <v>1Q94</v>
          </cell>
          <cell r="BP570" t="str">
            <v xml:space="preserve"> </v>
          </cell>
          <cell r="BQ570" t="str">
            <v xml:space="preserve"> </v>
          </cell>
          <cell r="BR570" t="str">
            <v>2Q94</v>
          </cell>
          <cell r="BS570" t="str">
            <v xml:space="preserve"> </v>
          </cell>
          <cell r="BT570" t="str">
            <v xml:space="preserve"> </v>
          </cell>
          <cell r="BU570" t="str">
            <v>3Q94</v>
          </cell>
          <cell r="BV570" t="str">
            <v xml:space="preserve"> </v>
          </cell>
          <cell r="BW570" t="str">
            <v xml:space="preserve"> </v>
          </cell>
          <cell r="BX570" t="str">
            <v>4Q94</v>
          </cell>
          <cell r="BY570" t="str">
            <v xml:space="preserve"> </v>
          </cell>
          <cell r="BZ570">
            <v>0</v>
          </cell>
          <cell r="CA570" t="str">
            <v>1Q95</v>
          </cell>
          <cell r="CB570">
            <v>0</v>
          </cell>
          <cell r="CC570">
            <v>0</v>
          </cell>
          <cell r="CD570" t="str">
            <v>2Q95</v>
          </cell>
          <cell r="CE570">
            <v>0</v>
          </cell>
          <cell r="CF570">
            <v>0</v>
          </cell>
          <cell r="CG570" t="str">
            <v>3Q95</v>
          </cell>
          <cell r="CH570">
            <v>0</v>
          </cell>
          <cell r="CI570">
            <v>0</v>
          </cell>
          <cell r="CJ570" t="str">
            <v>4Q95</v>
          </cell>
          <cell r="CK570">
            <v>0</v>
          </cell>
          <cell r="CL570">
            <v>0</v>
          </cell>
          <cell r="CM570" t="str">
            <v>1Q96</v>
          </cell>
          <cell r="CN570">
            <v>0</v>
          </cell>
          <cell r="CO570">
            <v>0</v>
          </cell>
          <cell r="CP570" t="str">
            <v>2Q96</v>
          </cell>
          <cell r="CQ570">
            <v>0</v>
          </cell>
          <cell r="CR570">
            <v>0</v>
          </cell>
          <cell r="CS570" t="str">
            <v>3Q96</v>
          </cell>
          <cell r="CT570">
            <v>0</v>
          </cell>
          <cell r="CU570">
            <v>0</v>
          </cell>
          <cell r="CV570" t="str">
            <v>4Q96</v>
          </cell>
          <cell r="CW570">
            <v>0</v>
          </cell>
          <cell r="CX570">
            <v>0</v>
          </cell>
          <cell r="CY570" t="str">
            <v>1Q97</v>
          </cell>
          <cell r="CZ570">
            <v>0</v>
          </cell>
          <cell r="DA570">
            <v>0</v>
          </cell>
          <cell r="DB570" t="str">
            <v>2Q97</v>
          </cell>
          <cell r="DC570">
            <v>0</v>
          </cell>
          <cell r="DD570">
            <v>0</v>
          </cell>
          <cell r="DE570" t="str">
            <v>3Q97</v>
          </cell>
          <cell r="DF570">
            <v>0</v>
          </cell>
          <cell r="DG570">
            <v>0</v>
          </cell>
          <cell r="DH570" t="str">
            <v>4Q97</v>
          </cell>
          <cell r="DI570">
            <v>0</v>
          </cell>
          <cell r="DJ570">
            <v>0</v>
          </cell>
          <cell r="DK570" t="str">
            <v>1Q98</v>
          </cell>
          <cell r="DL570">
            <v>0</v>
          </cell>
          <cell r="DM570">
            <v>0</v>
          </cell>
          <cell r="DN570" t="str">
            <v>2Q98</v>
          </cell>
          <cell r="DO570">
            <v>0</v>
          </cell>
          <cell r="DP570">
            <v>0</v>
          </cell>
          <cell r="DQ570" t="str">
            <v>3Q98</v>
          </cell>
          <cell r="DR570">
            <v>0</v>
          </cell>
          <cell r="DS570">
            <v>0</v>
          </cell>
          <cell r="DT570" t="str">
            <v>4Q98</v>
          </cell>
          <cell r="DU570">
            <v>0</v>
          </cell>
          <cell r="DV570">
            <v>0</v>
          </cell>
          <cell r="DW570" t="str">
            <v>1Q99</v>
          </cell>
          <cell r="DX570">
            <v>0</v>
          </cell>
          <cell r="DY570">
            <v>0</v>
          </cell>
          <cell r="DZ570" t="str">
            <v>2Q99</v>
          </cell>
          <cell r="EA570">
            <v>0</v>
          </cell>
          <cell r="EB570">
            <v>0</v>
          </cell>
          <cell r="EC570" t="str">
            <v>3Q99</v>
          </cell>
          <cell r="ED570">
            <v>0</v>
          </cell>
          <cell r="EE570">
            <v>0</v>
          </cell>
          <cell r="EF570" t="str">
            <v>4Q99</v>
          </cell>
          <cell r="EG570">
            <v>0</v>
          </cell>
          <cell r="EH570">
            <v>0</v>
          </cell>
          <cell r="EI570" t="str">
            <v>1Q00</v>
          </cell>
          <cell r="EJ570">
            <v>0</v>
          </cell>
          <cell r="EK570">
            <v>0</v>
          </cell>
          <cell r="EL570" t="str">
            <v>2Q00</v>
          </cell>
          <cell r="EM570">
            <v>0</v>
          </cell>
          <cell r="EN570">
            <v>0</v>
          </cell>
          <cell r="EO570" t="str">
            <v>3Q00</v>
          </cell>
          <cell r="EP570">
            <v>0</v>
          </cell>
          <cell r="EQ570">
            <v>0</v>
          </cell>
          <cell r="ER570" t="str">
            <v>4Q00</v>
          </cell>
          <cell r="ES570">
            <v>0</v>
          </cell>
          <cell r="ET570">
            <v>0</v>
          </cell>
          <cell r="EU570" t="str">
            <v>1Q01</v>
          </cell>
          <cell r="EV570">
            <v>0</v>
          </cell>
          <cell r="EW570">
            <v>0</v>
          </cell>
          <cell r="EX570" t="str">
            <v>2Q01</v>
          </cell>
          <cell r="EY570">
            <v>0</v>
          </cell>
          <cell r="EZ570">
            <v>0</v>
          </cell>
          <cell r="FA570" t="str">
            <v>3Q01</v>
          </cell>
          <cell r="FB570">
            <v>0</v>
          </cell>
          <cell r="FC570">
            <v>0</v>
          </cell>
          <cell r="FD570" t="str">
            <v>4Q01</v>
          </cell>
          <cell r="FE570">
            <v>0</v>
          </cell>
          <cell r="FF570">
            <v>0</v>
          </cell>
          <cell r="FG570" t="str">
            <v>1Q02</v>
          </cell>
          <cell r="FH570">
            <v>0</v>
          </cell>
          <cell r="FI570">
            <v>0</v>
          </cell>
          <cell r="FJ570" t="str">
            <v>2Q02</v>
          </cell>
          <cell r="FK570">
            <v>0</v>
          </cell>
          <cell r="FL570">
            <v>0</v>
          </cell>
          <cell r="FM570" t="str">
            <v>3Q02</v>
          </cell>
          <cell r="FN570">
            <v>0</v>
          </cell>
          <cell r="FO570">
            <v>0</v>
          </cell>
          <cell r="FP570" t="str">
            <v>4Q02</v>
          </cell>
          <cell r="FQ570">
            <v>0</v>
          </cell>
          <cell r="FR570">
            <v>0</v>
          </cell>
          <cell r="FS570" t="str">
            <v>1Q03</v>
          </cell>
          <cell r="FT570">
            <v>0</v>
          </cell>
          <cell r="FU570">
            <v>0</v>
          </cell>
          <cell r="FV570" t="str">
            <v>2Q03</v>
          </cell>
          <cell r="FW570">
            <v>0</v>
          </cell>
          <cell r="FX570">
            <v>0</v>
          </cell>
          <cell r="FY570" t="str">
            <v>3Q03</v>
          </cell>
          <cell r="FZ570">
            <v>0</v>
          </cell>
          <cell r="GA570">
            <v>0</v>
          </cell>
          <cell r="GB570" t="str">
            <v>4Q03</v>
          </cell>
          <cell r="GC570">
            <v>0</v>
          </cell>
          <cell r="GD570">
            <v>0</v>
          </cell>
          <cell r="GE570" t="str">
            <v>1Q04</v>
          </cell>
          <cell r="GF570">
            <v>0</v>
          </cell>
          <cell r="GG570">
            <v>0</v>
          </cell>
          <cell r="GH570" t="str">
            <v>2Q04</v>
          </cell>
          <cell r="GI570">
            <v>0</v>
          </cell>
          <cell r="GJ570">
            <v>0</v>
          </cell>
          <cell r="GK570" t="str">
            <v>3Q04</v>
          </cell>
          <cell r="GL570">
            <v>0</v>
          </cell>
          <cell r="GM570">
            <v>0</v>
          </cell>
          <cell r="GN570" t="str">
            <v>4Q04</v>
          </cell>
          <cell r="GO570">
            <v>0</v>
          </cell>
          <cell r="GP570">
            <v>0</v>
          </cell>
          <cell r="GQ570" t="str">
            <v>1Q05</v>
          </cell>
          <cell r="GR570">
            <v>0</v>
          </cell>
          <cell r="GS570">
            <v>0</v>
          </cell>
          <cell r="GT570" t="str">
            <v>2Q05E</v>
          </cell>
          <cell r="GU570">
            <v>0</v>
          </cell>
          <cell r="GV570">
            <v>0</v>
          </cell>
          <cell r="GW570" t="str">
            <v>3Q05E</v>
          </cell>
          <cell r="GX570">
            <v>0</v>
          </cell>
          <cell r="GY570">
            <v>0</v>
          </cell>
          <cell r="GZ570" t="str">
            <v>4Q05E</v>
          </cell>
          <cell r="HA570">
            <v>0</v>
          </cell>
          <cell r="HB570">
            <v>0</v>
          </cell>
          <cell r="HC570" t="str">
            <v>1Q06E</v>
          </cell>
          <cell r="HD570">
            <v>0</v>
          </cell>
          <cell r="HE570">
            <v>0</v>
          </cell>
          <cell r="HF570" t="str">
            <v>2Q06E</v>
          </cell>
          <cell r="HG570">
            <v>0</v>
          </cell>
          <cell r="HH570">
            <v>0</v>
          </cell>
          <cell r="HI570" t="str">
            <v>3Q06E</v>
          </cell>
          <cell r="HJ570">
            <v>0</v>
          </cell>
          <cell r="HK570">
            <v>0</v>
          </cell>
          <cell r="HL570" t="str">
            <v>4Q06E</v>
          </cell>
          <cell r="HM570">
            <v>0</v>
          </cell>
        </row>
        <row r="571">
          <cell r="X571" t="str">
            <v>4Q91</v>
          </cell>
          <cell r="Y571" t="str">
            <v xml:space="preserve"> </v>
          </cell>
          <cell r="Z571" t="str">
            <v xml:space="preserve"> </v>
          </cell>
          <cell r="AA571" t="str">
            <v>1Q92</v>
          </cell>
          <cell r="AB571" t="str">
            <v xml:space="preserve"> </v>
          </cell>
          <cell r="AC571" t="str">
            <v xml:space="preserve"> </v>
          </cell>
          <cell r="AD571" t="str">
            <v>2Q92</v>
          </cell>
          <cell r="AE571" t="str">
            <v xml:space="preserve"> </v>
          </cell>
          <cell r="AF571" t="str">
            <v xml:space="preserve"> </v>
          </cell>
          <cell r="AG571" t="str">
            <v>3Q92</v>
          </cell>
          <cell r="AH571" t="str">
            <v xml:space="preserve"> </v>
          </cell>
          <cell r="AI571" t="str">
            <v xml:space="preserve"> </v>
          </cell>
          <cell r="AJ571" t="str">
            <v>4Q92</v>
          </cell>
          <cell r="AK571" t="str">
            <v xml:space="preserve"> </v>
          </cell>
          <cell r="AL571" t="str">
            <v xml:space="preserve"> </v>
          </cell>
          <cell r="AM571" t="str">
            <v>1Q93</v>
          </cell>
          <cell r="AN571" t="str">
            <v xml:space="preserve"> </v>
          </cell>
          <cell r="AO571" t="str">
            <v xml:space="preserve"> </v>
          </cell>
          <cell r="AP571" t="str">
            <v xml:space="preserve"> 2Q93</v>
          </cell>
          <cell r="AQ571" t="str">
            <v xml:space="preserve"> </v>
          </cell>
          <cell r="AR571" t="str">
            <v xml:space="preserve"> </v>
          </cell>
          <cell r="AS571" t="str">
            <v xml:space="preserve"> 3Q93</v>
          </cell>
          <cell r="AT571" t="str">
            <v xml:space="preserve"> </v>
          </cell>
          <cell r="AU571" t="str">
            <v xml:space="preserve"> </v>
          </cell>
          <cell r="AV571" t="str">
            <v>4Q93</v>
          </cell>
          <cell r="AW571" t="str">
            <v xml:space="preserve"> </v>
          </cell>
          <cell r="AX571" t="str">
            <v xml:space="preserve"> </v>
          </cell>
          <cell r="AY571" t="str">
            <v>1Q94</v>
          </cell>
          <cell r="AZ571" t="str">
            <v xml:space="preserve"> </v>
          </cell>
          <cell r="BA571" t="str">
            <v xml:space="preserve"> </v>
          </cell>
          <cell r="BB571" t="str">
            <v>2Q94</v>
          </cell>
          <cell r="BC571" t="str">
            <v xml:space="preserve"> </v>
          </cell>
          <cell r="BD571" t="str">
            <v xml:space="preserve"> </v>
          </cell>
          <cell r="BE571" t="str">
            <v>3Q94</v>
          </cell>
          <cell r="BF571" t="str">
            <v xml:space="preserve"> </v>
          </cell>
          <cell r="BG571" t="str">
            <v xml:space="preserve"> </v>
          </cell>
          <cell r="BH571" t="str">
            <v>4Q94</v>
          </cell>
          <cell r="BI571" t="str">
            <v xml:space="preserve"> </v>
          </cell>
          <cell r="BJ571">
            <v>0</v>
          </cell>
          <cell r="BK571" t="str">
            <v>1Q95</v>
          </cell>
          <cell r="BL571">
            <v>0</v>
          </cell>
          <cell r="BM571">
            <v>0</v>
          </cell>
          <cell r="BN571" t="str">
            <v>2Q95</v>
          </cell>
          <cell r="BO571">
            <v>0</v>
          </cell>
          <cell r="BP571">
            <v>0</v>
          </cell>
          <cell r="BQ571" t="str">
            <v>3Q95</v>
          </cell>
          <cell r="BR571">
            <v>0</v>
          </cell>
          <cell r="BS571">
            <v>0</v>
          </cell>
          <cell r="BT571" t="str">
            <v>4Q95</v>
          </cell>
          <cell r="BU571">
            <v>0</v>
          </cell>
          <cell r="BV571">
            <v>0</v>
          </cell>
          <cell r="BW571" t="str">
            <v>1Q96</v>
          </cell>
          <cell r="BX571">
            <v>0</v>
          </cell>
          <cell r="BY571">
            <v>0</v>
          </cell>
          <cell r="BZ571" t="str">
            <v>2Q96</v>
          </cell>
          <cell r="CA571">
            <v>0</v>
          </cell>
          <cell r="CB571">
            <v>0</v>
          </cell>
          <cell r="CC571" t="str">
            <v>3Q96</v>
          </cell>
          <cell r="CD571">
            <v>0</v>
          </cell>
          <cell r="CE571">
            <v>0</v>
          </cell>
          <cell r="CF571" t="str">
            <v>4Q96</v>
          </cell>
          <cell r="CG571">
            <v>0</v>
          </cell>
          <cell r="CH571">
            <v>0</v>
          </cell>
          <cell r="CI571" t="str">
            <v>1Q97</v>
          </cell>
          <cell r="CJ571">
            <v>0</v>
          </cell>
          <cell r="CK571">
            <v>0</v>
          </cell>
          <cell r="CL571" t="str">
            <v>2Q97</v>
          </cell>
          <cell r="CM571">
            <v>0</v>
          </cell>
          <cell r="CN571">
            <v>0</v>
          </cell>
          <cell r="CO571" t="str">
            <v>3Q97</v>
          </cell>
          <cell r="CP571">
            <v>0</v>
          </cell>
          <cell r="CQ571">
            <v>0</v>
          </cell>
          <cell r="CR571" t="str">
            <v>4Q97</v>
          </cell>
          <cell r="CS571">
            <v>0</v>
          </cell>
          <cell r="CT571">
            <v>0</v>
          </cell>
          <cell r="CU571" t="str">
            <v>1Q98</v>
          </cell>
          <cell r="CV571">
            <v>0</v>
          </cell>
          <cell r="CW571">
            <v>0</v>
          </cell>
          <cell r="CX571" t="str">
            <v>2Q98</v>
          </cell>
          <cell r="CY571">
            <v>0</v>
          </cell>
          <cell r="CZ571">
            <v>0</v>
          </cell>
          <cell r="DA571" t="str">
            <v>3Q98</v>
          </cell>
          <cell r="DB571">
            <v>0</v>
          </cell>
          <cell r="DC571">
            <v>0</v>
          </cell>
          <cell r="DD571" t="str">
            <v>4Q98</v>
          </cell>
          <cell r="DE571">
            <v>0</v>
          </cell>
          <cell r="DF571">
            <v>0</v>
          </cell>
          <cell r="DG571" t="str">
            <v>1Q99</v>
          </cell>
          <cell r="DH571">
            <v>0</v>
          </cell>
          <cell r="DI571">
            <v>0</v>
          </cell>
          <cell r="DJ571" t="str">
            <v>2Q99</v>
          </cell>
          <cell r="DK571">
            <v>0</v>
          </cell>
          <cell r="DL571">
            <v>0</v>
          </cell>
          <cell r="DM571" t="str">
            <v>3Q99</v>
          </cell>
          <cell r="DN571">
            <v>0</v>
          </cell>
          <cell r="DO571">
            <v>0</v>
          </cell>
          <cell r="DP571" t="str">
            <v>4Q99</v>
          </cell>
          <cell r="DQ571">
            <v>0</v>
          </cell>
          <cell r="DR571">
            <v>0</v>
          </cell>
          <cell r="DS571" t="str">
            <v>1Q00</v>
          </cell>
          <cell r="DT571">
            <v>0</v>
          </cell>
          <cell r="DU571">
            <v>0</v>
          </cell>
          <cell r="DV571" t="str">
            <v>2Q00</v>
          </cell>
          <cell r="DW571">
            <v>0</v>
          </cell>
          <cell r="DX571">
            <v>0</v>
          </cell>
          <cell r="DY571" t="str">
            <v>3Q00</v>
          </cell>
          <cell r="DZ571">
            <v>0</v>
          </cell>
          <cell r="EA571">
            <v>0</v>
          </cell>
          <cell r="EB571" t="str">
            <v>4Q00</v>
          </cell>
          <cell r="EC571">
            <v>0</v>
          </cell>
          <cell r="ED571">
            <v>0</v>
          </cell>
          <cell r="EE571" t="str">
            <v>1Q01</v>
          </cell>
          <cell r="EF571">
            <v>0</v>
          </cell>
          <cell r="EG571">
            <v>0</v>
          </cell>
          <cell r="EH571" t="str">
            <v>2Q01</v>
          </cell>
          <cell r="EI571">
            <v>0</v>
          </cell>
          <cell r="EJ571">
            <v>0</v>
          </cell>
          <cell r="EK571" t="str">
            <v>3Q01</v>
          </cell>
          <cell r="EL571">
            <v>0</v>
          </cell>
          <cell r="EM571">
            <v>0</v>
          </cell>
          <cell r="EN571" t="str">
            <v>4Q01</v>
          </cell>
          <cell r="EO571">
            <v>0</v>
          </cell>
          <cell r="EP571">
            <v>0</v>
          </cell>
          <cell r="EQ571" t="str">
            <v>1Q02</v>
          </cell>
          <cell r="ER571">
            <v>0</v>
          </cell>
          <cell r="ES571">
            <v>0</v>
          </cell>
          <cell r="ET571" t="str">
            <v>2Q02</v>
          </cell>
          <cell r="EU571">
            <v>0</v>
          </cell>
          <cell r="EV571">
            <v>0</v>
          </cell>
          <cell r="EW571" t="str">
            <v>3Q02</v>
          </cell>
          <cell r="EX571">
            <v>0</v>
          </cell>
          <cell r="EY571">
            <v>0</v>
          </cell>
          <cell r="EZ571" t="str">
            <v>4Q02</v>
          </cell>
          <cell r="FA571">
            <v>0</v>
          </cell>
          <cell r="FB571">
            <v>0</v>
          </cell>
          <cell r="FC571" t="str">
            <v>1Q03</v>
          </cell>
          <cell r="FD571">
            <v>0</v>
          </cell>
          <cell r="FE571">
            <v>0</v>
          </cell>
          <cell r="FF571" t="str">
            <v>2Q03</v>
          </cell>
          <cell r="FG571">
            <v>0</v>
          </cell>
          <cell r="FH571">
            <v>0</v>
          </cell>
          <cell r="FI571" t="str">
            <v>3Q03</v>
          </cell>
          <cell r="FJ571">
            <v>0</v>
          </cell>
          <cell r="FK571">
            <v>0</v>
          </cell>
          <cell r="FL571" t="str">
            <v>4Q03</v>
          </cell>
          <cell r="FM571">
            <v>0</v>
          </cell>
          <cell r="FN571">
            <v>0</v>
          </cell>
          <cell r="FO571" t="str">
            <v>1Q04</v>
          </cell>
          <cell r="FP571">
            <v>0</v>
          </cell>
          <cell r="FQ571">
            <v>0</v>
          </cell>
          <cell r="FR571" t="str">
            <v>2Q04</v>
          </cell>
          <cell r="FS571">
            <v>0</v>
          </cell>
          <cell r="FT571">
            <v>0</v>
          </cell>
          <cell r="FU571" t="str">
            <v>3Q04</v>
          </cell>
          <cell r="FV571">
            <v>0</v>
          </cell>
          <cell r="FW571">
            <v>0</v>
          </cell>
          <cell r="FX571" t="str">
            <v>4Q04</v>
          </cell>
          <cell r="FY571">
            <v>0</v>
          </cell>
          <cell r="FZ571">
            <v>0</v>
          </cell>
          <cell r="GA571" t="str">
            <v>1Q05</v>
          </cell>
          <cell r="GB571">
            <v>0</v>
          </cell>
          <cell r="GC571">
            <v>0</v>
          </cell>
          <cell r="GD571" t="str">
            <v>2Q05</v>
          </cell>
          <cell r="GE571">
            <v>0</v>
          </cell>
          <cell r="GF571">
            <v>0</v>
          </cell>
          <cell r="GG571" t="str">
            <v>3Q05</v>
          </cell>
          <cell r="GH571">
            <v>0</v>
          </cell>
          <cell r="GI571">
            <v>0</v>
          </cell>
          <cell r="GJ571" t="str">
            <v>4Q05</v>
          </cell>
          <cell r="GK571">
            <v>0</v>
          </cell>
          <cell r="GL571">
            <v>0</v>
          </cell>
          <cell r="GM571" t="str">
            <v>1Q06</v>
          </cell>
          <cell r="GN571">
            <v>0</v>
          </cell>
          <cell r="GO571">
            <v>0</v>
          </cell>
          <cell r="GP571" t="str">
            <v>2Q06</v>
          </cell>
          <cell r="GQ571">
            <v>0</v>
          </cell>
          <cell r="GR571">
            <v>0</v>
          </cell>
          <cell r="GS571" t="str">
            <v>3Q06</v>
          </cell>
          <cell r="GT571">
            <v>0</v>
          </cell>
          <cell r="GU571">
            <v>0</v>
          </cell>
          <cell r="GV571" t="str">
            <v>4Q06</v>
          </cell>
          <cell r="GW571">
            <v>0</v>
          </cell>
          <cell r="GX571">
            <v>0</v>
          </cell>
          <cell r="GY571" t="str">
            <v>1Q07</v>
          </cell>
          <cell r="GZ571">
            <v>0</v>
          </cell>
          <cell r="HA571">
            <v>0</v>
          </cell>
          <cell r="HB571" t="str">
            <v>2Q07</v>
          </cell>
          <cell r="HC571">
            <v>0</v>
          </cell>
          <cell r="HD571">
            <v>0</v>
          </cell>
          <cell r="HE571" t="str">
            <v>3Q07</v>
          </cell>
          <cell r="HF571">
            <v>0</v>
          </cell>
          <cell r="HG571">
            <v>0</v>
          </cell>
          <cell r="HH571" t="str">
            <v>4Q07</v>
          </cell>
          <cell r="HI571">
            <v>0</v>
          </cell>
          <cell r="HJ571">
            <v>0</v>
          </cell>
          <cell r="HK571" t="str">
            <v>1Q08</v>
          </cell>
          <cell r="HL571">
            <v>0</v>
          </cell>
          <cell r="HM571">
            <v>0</v>
          </cell>
          <cell r="HN571" t="str">
            <v>2Q08E</v>
          </cell>
          <cell r="HO571">
            <v>0</v>
          </cell>
          <cell r="HP571">
            <v>0</v>
          </cell>
          <cell r="HQ571" t="str">
            <v>3Q08E</v>
          </cell>
          <cell r="HR571">
            <v>0</v>
          </cell>
          <cell r="HS571">
            <v>0</v>
          </cell>
          <cell r="HT571" t="str">
            <v>4Q08E</v>
          </cell>
          <cell r="HU571">
            <v>0</v>
          </cell>
          <cell r="HV571">
            <v>0</v>
          </cell>
          <cell r="HW571" t="str">
            <v>1Q09E</v>
          </cell>
          <cell r="HX571">
            <v>0</v>
          </cell>
          <cell r="HY571">
            <v>0</v>
          </cell>
          <cell r="HZ571" t="str">
            <v>2Q09E</v>
          </cell>
          <cell r="IA571">
            <v>0</v>
          </cell>
          <cell r="IB571">
            <v>0</v>
          </cell>
          <cell r="IC571" t="str">
            <v>3Q09E</v>
          </cell>
          <cell r="ID571">
            <v>0</v>
          </cell>
          <cell r="IE571">
            <v>0</v>
          </cell>
          <cell r="IF571" t="str">
            <v>4Q09E</v>
          </cell>
          <cell r="IG571">
            <v>0</v>
          </cell>
          <cell r="IH571">
            <v>0</v>
          </cell>
          <cell r="II571">
            <v>0</v>
          </cell>
          <cell r="IJ571" t="str">
            <v>4Q08E</v>
          </cell>
          <cell r="IK571">
            <v>0</v>
          </cell>
        </row>
        <row r="572">
          <cell r="X572">
            <v>33543</v>
          </cell>
          <cell r="Y572">
            <v>33573</v>
          </cell>
          <cell r="Z572">
            <v>33604</v>
          </cell>
          <cell r="AA572">
            <v>33635</v>
          </cell>
          <cell r="AB572">
            <v>33664</v>
          </cell>
          <cell r="AC572">
            <v>33695</v>
          </cell>
          <cell r="AD572">
            <v>33725</v>
          </cell>
          <cell r="AE572">
            <v>33756</v>
          </cell>
          <cell r="AF572">
            <v>33786</v>
          </cell>
          <cell r="AG572">
            <v>33817</v>
          </cell>
          <cell r="AH572">
            <v>33848</v>
          </cell>
          <cell r="AI572">
            <v>33878</v>
          </cell>
          <cell r="AJ572">
            <v>33909</v>
          </cell>
          <cell r="AK572">
            <v>33939</v>
          </cell>
          <cell r="AL572">
            <v>33970</v>
          </cell>
          <cell r="AM572">
            <v>34001</v>
          </cell>
          <cell r="AN572">
            <v>34029</v>
          </cell>
          <cell r="AO572">
            <v>34060</v>
          </cell>
          <cell r="AP572">
            <v>34090</v>
          </cell>
          <cell r="AQ572">
            <v>34121</v>
          </cell>
          <cell r="AR572">
            <v>34151</v>
          </cell>
          <cell r="AS572">
            <v>34182</v>
          </cell>
          <cell r="AT572">
            <v>34213</v>
          </cell>
          <cell r="AU572">
            <v>34243</v>
          </cell>
          <cell r="AV572">
            <v>34274</v>
          </cell>
          <cell r="AW572">
            <v>34304</v>
          </cell>
          <cell r="AX572">
            <v>34335</v>
          </cell>
          <cell r="AY572">
            <v>34366</v>
          </cell>
          <cell r="AZ572">
            <v>34394</v>
          </cell>
          <cell r="BA572">
            <v>34425</v>
          </cell>
          <cell r="BB572">
            <v>34455</v>
          </cell>
          <cell r="BC572">
            <v>34486</v>
          </cell>
          <cell r="BD572">
            <v>34516</v>
          </cell>
          <cell r="BE572">
            <v>34547</v>
          </cell>
          <cell r="BF572">
            <v>34578</v>
          </cell>
          <cell r="BG572">
            <v>34608</v>
          </cell>
          <cell r="BH572">
            <v>34639</v>
          </cell>
          <cell r="BI572">
            <v>34669</v>
          </cell>
          <cell r="BJ572">
            <v>34700</v>
          </cell>
          <cell r="BK572">
            <v>34731</v>
          </cell>
          <cell r="BL572">
            <v>34759</v>
          </cell>
          <cell r="BM572">
            <v>34790</v>
          </cell>
          <cell r="BN572">
            <v>34820</v>
          </cell>
          <cell r="BO572">
            <v>34851</v>
          </cell>
          <cell r="BP572">
            <v>34881</v>
          </cell>
          <cell r="BQ572">
            <v>34912</v>
          </cell>
          <cell r="BR572">
            <v>34943</v>
          </cell>
          <cell r="BS572">
            <v>34973</v>
          </cell>
          <cell r="BT572">
            <v>35004</v>
          </cell>
          <cell r="BU572">
            <v>35034</v>
          </cell>
          <cell r="BV572">
            <v>35065</v>
          </cell>
          <cell r="BW572">
            <v>35096</v>
          </cell>
          <cell r="BX572">
            <v>35125</v>
          </cell>
          <cell r="BY572">
            <v>35156</v>
          </cell>
          <cell r="BZ572">
            <v>35186</v>
          </cell>
          <cell r="CA572">
            <v>35217</v>
          </cell>
          <cell r="CB572">
            <v>35247</v>
          </cell>
          <cell r="CC572">
            <v>35278</v>
          </cell>
          <cell r="CD572">
            <v>35309</v>
          </cell>
          <cell r="CE572">
            <v>35339</v>
          </cell>
          <cell r="CF572">
            <v>35370</v>
          </cell>
          <cell r="CG572">
            <v>35400</v>
          </cell>
          <cell r="CH572">
            <v>35431</v>
          </cell>
          <cell r="CI572">
            <v>35462</v>
          </cell>
          <cell r="CJ572">
            <v>35490</v>
          </cell>
          <cell r="CK572">
            <v>35521</v>
          </cell>
          <cell r="CL572">
            <v>35551</v>
          </cell>
          <cell r="CM572">
            <v>35582</v>
          </cell>
          <cell r="CN572">
            <v>35612</v>
          </cell>
          <cell r="CO572">
            <v>35643</v>
          </cell>
          <cell r="CP572">
            <v>35674</v>
          </cell>
          <cell r="CQ572">
            <v>35704</v>
          </cell>
          <cell r="CR572">
            <v>35735</v>
          </cell>
          <cell r="CS572">
            <v>35765</v>
          </cell>
          <cell r="CT572">
            <v>35796</v>
          </cell>
          <cell r="CU572">
            <v>35827</v>
          </cell>
          <cell r="CV572">
            <v>35855</v>
          </cell>
          <cell r="CW572">
            <v>35886</v>
          </cell>
          <cell r="CX572">
            <v>35916</v>
          </cell>
          <cell r="CY572">
            <v>35947</v>
          </cell>
          <cell r="CZ572">
            <v>35977</v>
          </cell>
          <cell r="DA572">
            <v>36008</v>
          </cell>
          <cell r="DB572">
            <v>36039</v>
          </cell>
          <cell r="DC572">
            <v>36069</v>
          </cell>
          <cell r="DD572">
            <v>36100</v>
          </cell>
          <cell r="DE572">
            <v>36130</v>
          </cell>
          <cell r="DF572">
            <v>36161</v>
          </cell>
          <cell r="DG572">
            <v>36192</v>
          </cell>
          <cell r="DH572">
            <v>36220</v>
          </cell>
          <cell r="DI572">
            <v>36251</v>
          </cell>
          <cell r="DJ572">
            <v>36281</v>
          </cell>
          <cell r="DK572">
            <v>36312</v>
          </cell>
          <cell r="DL572">
            <v>36342</v>
          </cell>
          <cell r="DM572">
            <v>36373</v>
          </cell>
          <cell r="DN572">
            <v>36404</v>
          </cell>
          <cell r="DO572">
            <v>36434</v>
          </cell>
          <cell r="DP572">
            <v>36465</v>
          </cell>
          <cell r="DQ572">
            <v>36495</v>
          </cell>
          <cell r="DR572">
            <v>36526</v>
          </cell>
          <cell r="DS572">
            <v>36557</v>
          </cell>
          <cell r="DT572">
            <v>36586</v>
          </cell>
          <cell r="DU572">
            <v>36617</v>
          </cell>
          <cell r="DV572">
            <v>36647</v>
          </cell>
          <cell r="DW572">
            <v>36678</v>
          </cell>
          <cell r="DX572">
            <v>36708</v>
          </cell>
          <cell r="DY572">
            <v>36739</v>
          </cell>
          <cell r="DZ572">
            <v>36770</v>
          </cell>
          <cell r="EA572">
            <v>36800</v>
          </cell>
          <cell r="EB572">
            <v>36831</v>
          </cell>
          <cell r="EC572">
            <v>36861</v>
          </cell>
          <cell r="ED572">
            <v>36892</v>
          </cell>
          <cell r="EE572">
            <v>36923</v>
          </cell>
          <cell r="EF572">
            <v>36951</v>
          </cell>
          <cell r="EG572">
            <v>36982</v>
          </cell>
          <cell r="EH572">
            <v>37012</v>
          </cell>
          <cell r="EI572">
            <v>37043</v>
          </cell>
          <cell r="EJ572">
            <v>37073</v>
          </cell>
          <cell r="EK572">
            <v>37104</v>
          </cell>
          <cell r="EL572">
            <v>37135</v>
          </cell>
          <cell r="EM572">
            <v>37165</v>
          </cell>
          <cell r="EN572">
            <v>37196</v>
          </cell>
          <cell r="EO572">
            <v>37226</v>
          </cell>
          <cell r="EP572">
            <v>37257</v>
          </cell>
          <cell r="EQ572">
            <v>37288</v>
          </cell>
          <cell r="ER572">
            <v>37316</v>
          </cell>
          <cell r="ES572">
            <v>37347</v>
          </cell>
          <cell r="ET572">
            <v>37377</v>
          </cell>
          <cell r="EU572">
            <v>37408</v>
          </cell>
          <cell r="EV572">
            <v>37438</v>
          </cell>
          <cell r="EW572">
            <v>37469</v>
          </cell>
          <cell r="EX572">
            <v>37500</v>
          </cell>
          <cell r="EY572">
            <v>37530</v>
          </cell>
          <cell r="EZ572">
            <v>37561</v>
          </cell>
          <cell r="FA572">
            <v>37591</v>
          </cell>
          <cell r="FB572">
            <v>37622</v>
          </cell>
          <cell r="FC572">
            <v>37653</v>
          </cell>
          <cell r="FD572">
            <v>37681</v>
          </cell>
          <cell r="FE572">
            <v>37712</v>
          </cell>
          <cell r="FF572">
            <v>37742</v>
          </cell>
          <cell r="FG572">
            <v>37773</v>
          </cell>
          <cell r="FH572">
            <v>37803</v>
          </cell>
          <cell r="FI572">
            <v>37834</v>
          </cell>
          <cell r="FJ572">
            <v>37865</v>
          </cell>
          <cell r="FK572">
            <v>37895</v>
          </cell>
          <cell r="FL572">
            <v>37926</v>
          </cell>
          <cell r="FM572">
            <v>37956</v>
          </cell>
          <cell r="FN572">
            <v>37987</v>
          </cell>
          <cell r="FO572">
            <v>38018</v>
          </cell>
          <cell r="FP572">
            <v>38047</v>
          </cell>
          <cell r="FQ572">
            <v>38078</v>
          </cell>
          <cell r="FR572">
            <v>38108</v>
          </cell>
          <cell r="FS572">
            <v>38139</v>
          </cell>
          <cell r="FT572">
            <v>38169</v>
          </cell>
          <cell r="FU572">
            <v>38200</v>
          </cell>
          <cell r="FV572">
            <v>38231</v>
          </cell>
          <cell r="FW572">
            <v>38261</v>
          </cell>
          <cell r="FX572">
            <v>38292</v>
          </cell>
          <cell r="FY572">
            <v>38322</v>
          </cell>
          <cell r="FZ572">
            <v>38353</v>
          </cell>
          <cell r="GA572">
            <v>38384</v>
          </cell>
          <cell r="GB572">
            <v>38412</v>
          </cell>
          <cell r="GC572">
            <v>38443</v>
          </cell>
          <cell r="GD572">
            <v>38473</v>
          </cell>
          <cell r="GE572">
            <v>38504</v>
          </cell>
          <cell r="GF572">
            <v>38534</v>
          </cell>
          <cell r="GG572">
            <v>38565</v>
          </cell>
          <cell r="GH572">
            <v>38596</v>
          </cell>
          <cell r="GI572">
            <v>38626</v>
          </cell>
          <cell r="GJ572">
            <v>38657</v>
          </cell>
          <cell r="GK572">
            <v>38687</v>
          </cell>
          <cell r="GL572">
            <v>38718</v>
          </cell>
          <cell r="GM572">
            <v>38749</v>
          </cell>
          <cell r="GN572">
            <v>38777</v>
          </cell>
          <cell r="GO572">
            <v>38808</v>
          </cell>
          <cell r="GP572">
            <v>38838</v>
          </cell>
          <cell r="GQ572">
            <v>38869</v>
          </cell>
          <cell r="GR572">
            <v>38899</v>
          </cell>
          <cell r="GS572">
            <v>38930</v>
          </cell>
          <cell r="GT572">
            <v>38961</v>
          </cell>
          <cell r="GU572">
            <v>38991</v>
          </cell>
          <cell r="GV572">
            <v>39022</v>
          </cell>
          <cell r="GW572">
            <v>39052</v>
          </cell>
          <cell r="GX572">
            <v>39083</v>
          </cell>
          <cell r="GY572">
            <v>39114</v>
          </cell>
          <cell r="GZ572">
            <v>39142</v>
          </cell>
          <cell r="HA572">
            <v>39173</v>
          </cell>
          <cell r="HB572">
            <v>39203</v>
          </cell>
          <cell r="HC572">
            <v>39234</v>
          </cell>
          <cell r="HD572">
            <v>39264</v>
          </cell>
          <cell r="HE572">
            <v>39295</v>
          </cell>
          <cell r="HF572">
            <v>39326</v>
          </cell>
          <cell r="HG572">
            <v>39356</v>
          </cell>
          <cell r="HH572">
            <v>39387</v>
          </cell>
          <cell r="HI572">
            <v>39417</v>
          </cell>
          <cell r="HJ572">
            <v>39448</v>
          </cell>
          <cell r="HK572">
            <v>39479</v>
          </cell>
          <cell r="HL572">
            <v>39508</v>
          </cell>
          <cell r="HM572">
            <v>39539</v>
          </cell>
          <cell r="HN572">
            <v>39569</v>
          </cell>
          <cell r="HO572">
            <v>39600</v>
          </cell>
          <cell r="HP572">
            <v>39630</v>
          </cell>
          <cell r="HQ572">
            <v>39661</v>
          </cell>
          <cell r="HR572">
            <v>39692</v>
          </cell>
          <cell r="HS572">
            <v>39722</v>
          </cell>
          <cell r="HT572">
            <v>39753</v>
          </cell>
          <cell r="HU572">
            <v>39783</v>
          </cell>
          <cell r="HV572">
            <v>39814</v>
          </cell>
          <cell r="HW572">
            <v>39845</v>
          </cell>
          <cell r="HX572">
            <v>39873</v>
          </cell>
          <cell r="HY572">
            <v>39904</v>
          </cell>
          <cell r="HZ572">
            <v>39934</v>
          </cell>
          <cell r="IA572">
            <v>39965</v>
          </cell>
          <cell r="IB572">
            <v>39995</v>
          </cell>
          <cell r="IC572">
            <v>40026</v>
          </cell>
          <cell r="ID572">
            <v>40057</v>
          </cell>
          <cell r="IE572">
            <v>40087</v>
          </cell>
          <cell r="IF572">
            <v>40118</v>
          </cell>
          <cell r="IG572">
            <v>40148</v>
          </cell>
          <cell r="IH572">
            <v>39692</v>
          </cell>
          <cell r="II572">
            <v>39722</v>
          </cell>
          <cell r="IJ572">
            <v>39753</v>
          </cell>
          <cell r="IK572">
            <v>39783</v>
          </cell>
        </row>
        <row r="573">
          <cell r="X573">
            <v>13.612499999999999</v>
          </cell>
          <cell r="Y573">
            <v>13.694999999999999</v>
          </cell>
          <cell r="Z573">
            <v>14.19</v>
          </cell>
          <cell r="AA573">
            <v>16.004999999999999</v>
          </cell>
          <cell r="AB573">
            <v>17.655000000000001</v>
          </cell>
          <cell r="AC573">
            <v>18.315000000000001</v>
          </cell>
          <cell r="AD573">
            <v>17.324999999999999</v>
          </cell>
          <cell r="AE573">
            <v>14.19</v>
          </cell>
          <cell r="AF573">
            <v>13.282500000000001</v>
          </cell>
          <cell r="AG573">
            <v>11.385</v>
          </cell>
          <cell r="AH573">
            <v>11.137500000000001</v>
          </cell>
          <cell r="AI573">
            <v>10.395</v>
          </cell>
          <cell r="AJ573">
            <v>10.065</v>
          </cell>
          <cell r="AK573">
            <v>11.055000000000001</v>
          </cell>
          <cell r="AL573">
            <v>12.7875</v>
          </cell>
          <cell r="AM573">
            <v>14.4375</v>
          </cell>
          <cell r="AN573">
            <v>15.262500000000001</v>
          </cell>
          <cell r="AO573">
            <v>15.674999999999999</v>
          </cell>
          <cell r="AP573">
            <v>11.879999999999999</v>
          </cell>
          <cell r="AQ573">
            <v>10.065</v>
          </cell>
          <cell r="AR573">
            <v>10.56</v>
          </cell>
          <cell r="AS573">
            <v>12.045</v>
          </cell>
          <cell r="AT573">
            <v>13.117500000000001</v>
          </cell>
          <cell r="AU573">
            <v>13.612499999999999</v>
          </cell>
          <cell r="AV573">
            <v>13.86</v>
          </cell>
          <cell r="AW573">
            <v>15.922499999999999</v>
          </cell>
          <cell r="AX573">
            <v>17.9025</v>
          </cell>
          <cell r="AY573">
            <v>19.634999999999998</v>
          </cell>
          <cell r="AZ573">
            <v>20.047500000000003</v>
          </cell>
          <cell r="BA573">
            <v>19.47</v>
          </cell>
          <cell r="BB573">
            <v>17.2425</v>
          </cell>
          <cell r="BC573">
            <v>14.4375</v>
          </cell>
          <cell r="BD573">
            <v>17.407499999999999</v>
          </cell>
          <cell r="BE573">
            <v>19.305</v>
          </cell>
          <cell r="BF573">
            <v>23.43</v>
          </cell>
          <cell r="BG573">
            <v>18.727499999999999</v>
          </cell>
          <cell r="BH573">
            <v>17.16</v>
          </cell>
          <cell r="BI573">
            <v>18.397500000000001</v>
          </cell>
          <cell r="BJ573">
            <v>20.377500000000001</v>
          </cell>
          <cell r="BK573">
            <v>18.067499999999999</v>
          </cell>
          <cell r="BL573">
            <v>18.232499999999998</v>
          </cell>
          <cell r="BM573">
            <v>20.79</v>
          </cell>
          <cell r="BN573">
            <v>17.737500000000001</v>
          </cell>
          <cell r="BO573">
            <v>19.634999999999998</v>
          </cell>
          <cell r="BP573">
            <v>19.8</v>
          </cell>
          <cell r="BQ573">
            <v>16.995000000000001</v>
          </cell>
          <cell r="BR573">
            <v>17.737500000000001</v>
          </cell>
          <cell r="BS573">
            <v>15.262500000000001</v>
          </cell>
          <cell r="BT573">
            <v>16.830000000000002</v>
          </cell>
          <cell r="BU573">
            <v>15.51</v>
          </cell>
          <cell r="BV573">
            <v>13.200000000000001</v>
          </cell>
          <cell r="BW573">
            <v>12.209999999999999</v>
          </cell>
          <cell r="BX573">
            <v>14.685</v>
          </cell>
          <cell r="BY573">
            <v>14.685</v>
          </cell>
          <cell r="BZ573">
            <v>13.942499999999999</v>
          </cell>
          <cell r="CA573">
            <v>12.2925</v>
          </cell>
          <cell r="CB573">
            <v>12.4575</v>
          </cell>
          <cell r="CC573">
            <v>13.365</v>
          </cell>
          <cell r="CD573">
            <v>14.272499999999999</v>
          </cell>
          <cell r="CE573">
            <v>14.7675</v>
          </cell>
          <cell r="CF573">
            <v>12.952500000000001</v>
          </cell>
          <cell r="CG573">
            <v>12.045</v>
          </cell>
          <cell r="CH573">
            <v>13.7775</v>
          </cell>
          <cell r="CI573">
            <v>14.1075</v>
          </cell>
          <cell r="CJ573">
            <v>15.262500000000001</v>
          </cell>
          <cell r="CK573">
            <v>18.397500000000001</v>
          </cell>
          <cell r="CL573">
            <v>18.809999999999999</v>
          </cell>
          <cell r="CM573">
            <v>16.5</v>
          </cell>
          <cell r="CN573">
            <v>17.572499999999998</v>
          </cell>
          <cell r="CO573">
            <v>19.634999999999998</v>
          </cell>
          <cell r="CP573">
            <v>18.809999999999999</v>
          </cell>
          <cell r="CQ573">
            <v>19.965</v>
          </cell>
          <cell r="CR573">
            <v>22.110000000000003</v>
          </cell>
          <cell r="CS573">
            <v>19.305</v>
          </cell>
          <cell r="CT573">
            <v>15.345000000000001</v>
          </cell>
          <cell r="CU573">
            <v>15.674999999999999</v>
          </cell>
          <cell r="CV573">
            <v>22.357499999999998</v>
          </cell>
          <cell r="CW573">
            <v>31.267500000000002</v>
          </cell>
          <cell r="CX573">
            <v>31.762499999999999</v>
          </cell>
          <cell r="CY573">
            <v>24.0075</v>
          </cell>
          <cell r="CZ573">
            <v>14.932500000000001</v>
          </cell>
          <cell r="DA573">
            <v>15.592499999999999</v>
          </cell>
          <cell r="DB573">
            <v>18.067499999999999</v>
          </cell>
          <cell r="DC573">
            <v>19.717500000000001</v>
          </cell>
          <cell r="DD573">
            <v>18.48</v>
          </cell>
          <cell r="DE573">
            <v>18.727499999999999</v>
          </cell>
          <cell r="DF573">
            <v>21.78</v>
          </cell>
          <cell r="DG573">
            <v>26.400000000000002</v>
          </cell>
          <cell r="DH573">
            <v>27.637499999999999</v>
          </cell>
          <cell r="DI573">
            <v>21.12</v>
          </cell>
          <cell r="DJ573">
            <v>19.139999999999997</v>
          </cell>
          <cell r="DK573">
            <v>17.324999999999999</v>
          </cell>
          <cell r="DL573">
            <v>19.2225</v>
          </cell>
          <cell r="DM573">
            <v>19.717500000000001</v>
          </cell>
          <cell r="DN573">
            <v>19.552500000000002</v>
          </cell>
          <cell r="DO573">
            <v>17.737500000000001</v>
          </cell>
          <cell r="DP573">
            <v>20.377500000000001</v>
          </cell>
          <cell r="DQ573">
            <v>16.912499999999998</v>
          </cell>
          <cell r="DR573">
            <v>13.612499999999999</v>
          </cell>
          <cell r="DS573">
            <v>17.572499999999998</v>
          </cell>
          <cell r="DT573">
            <v>17.572499999999998</v>
          </cell>
          <cell r="DU573">
            <v>18.150000000000002</v>
          </cell>
          <cell r="DV573">
            <v>15.592499999999999</v>
          </cell>
          <cell r="DW573">
            <v>15.757499999999999</v>
          </cell>
          <cell r="DX573">
            <v>14.355</v>
          </cell>
          <cell r="DY573">
            <v>16.252500000000001</v>
          </cell>
          <cell r="DZ573">
            <v>20.212500000000002</v>
          </cell>
          <cell r="EA573">
            <v>19.387499999999999</v>
          </cell>
          <cell r="EB573">
            <v>19.634999999999998</v>
          </cell>
          <cell r="EC573">
            <v>22.522500000000001</v>
          </cell>
          <cell r="ED573">
            <v>24.8325</v>
          </cell>
          <cell r="EE573">
            <v>21.697499999999998</v>
          </cell>
          <cell r="EF573">
            <v>25.822499999999998</v>
          </cell>
          <cell r="EG573">
            <v>18.397500000000001</v>
          </cell>
          <cell r="EH573">
            <v>20.294999999999998</v>
          </cell>
          <cell r="EI573">
            <v>22.357499999999998</v>
          </cell>
          <cell r="EJ573">
            <v>22.357499999999998</v>
          </cell>
          <cell r="EK573">
            <v>24.75</v>
          </cell>
          <cell r="EL573">
            <v>26.235000000000003</v>
          </cell>
          <cell r="EM573">
            <v>36.96</v>
          </cell>
          <cell r="EN573">
            <v>36.712499999999999</v>
          </cell>
          <cell r="EO573">
            <v>32.2575</v>
          </cell>
          <cell r="EP573">
            <v>38.857500000000002</v>
          </cell>
          <cell r="EQ573">
            <v>44.302500000000002</v>
          </cell>
          <cell r="ER573">
            <v>37.8675</v>
          </cell>
          <cell r="ES573">
            <v>50.49</v>
          </cell>
          <cell r="ET573">
            <v>81.922499999999999</v>
          </cell>
          <cell r="EU573">
            <v>52.057499999999997</v>
          </cell>
          <cell r="EV573">
            <v>41.827500000000001</v>
          </cell>
          <cell r="EW573">
            <v>44.88</v>
          </cell>
          <cell r="EX573">
            <v>41.002499999999998</v>
          </cell>
          <cell r="EY573">
            <v>31.762499999999999</v>
          </cell>
          <cell r="EZ573">
            <v>27.142500000000002</v>
          </cell>
          <cell r="FA573">
            <v>27.06</v>
          </cell>
          <cell r="FB573">
            <v>20.294999999999998</v>
          </cell>
          <cell r="FC573">
            <v>16.004999999999999</v>
          </cell>
          <cell r="FD573">
            <v>26.8125</v>
          </cell>
          <cell r="FE573">
            <v>20.377500000000001</v>
          </cell>
          <cell r="FF573">
            <v>22.275000000000002</v>
          </cell>
          <cell r="FG573">
            <v>17.655000000000001</v>
          </cell>
          <cell r="FH573">
            <v>20.5425</v>
          </cell>
          <cell r="FI573">
            <v>29.04</v>
          </cell>
          <cell r="FJ573">
            <v>28.544999999999998</v>
          </cell>
          <cell r="FK573">
            <v>28.544999999999998</v>
          </cell>
          <cell r="FL573">
            <v>27.802500000000002</v>
          </cell>
          <cell r="FM573">
            <v>25.327499999999997</v>
          </cell>
          <cell r="FN573">
            <v>28.215</v>
          </cell>
          <cell r="FO573">
            <v>31.02</v>
          </cell>
          <cell r="FP573">
            <v>34.814999999999998</v>
          </cell>
          <cell r="FQ573">
            <v>34.897500000000001</v>
          </cell>
          <cell r="FR573">
            <v>41.002499999999998</v>
          </cell>
          <cell r="FS573">
            <v>47.4375</v>
          </cell>
          <cell r="FT573">
            <v>75.487499999999997</v>
          </cell>
          <cell r="FU573">
            <v>43.064999999999998</v>
          </cell>
          <cell r="FV573">
            <v>42.734999999999999</v>
          </cell>
          <cell r="FW573">
            <v>49.664999999999999</v>
          </cell>
          <cell r="FX573">
            <v>44.384999999999998</v>
          </cell>
          <cell r="FY573">
            <v>39.435000000000002</v>
          </cell>
          <cell r="FZ573">
            <v>41.25</v>
          </cell>
          <cell r="GA573">
            <v>37.207499999999996</v>
          </cell>
          <cell r="GB573">
            <v>37.29</v>
          </cell>
          <cell r="GC573">
            <v>40.425000000000004</v>
          </cell>
          <cell r="GD573">
            <v>50.82</v>
          </cell>
          <cell r="GE573">
            <v>47.107500000000002</v>
          </cell>
          <cell r="GF573">
            <v>42.487500000000004</v>
          </cell>
          <cell r="GG573">
            <v>44.88</v>
          </cell>
          <cell r="GH573">
            <v>49.335000000000001</v>
          </cell>
          <cell r="GI573">
            <v>55.6875</v>
          </cell>
          <cell r="GJ573">
            <v>51.397500000000001</v>
          </cell>
          <cell r="GK573">
            <v>50.324999999999996</v>
          </cell>
          <cell r="GL573">
            <v>42.487500000000004</v>
          </cell>
          <cell r="GM573">
            <v>46.942500000000003</v>
          </cell>
          <cell r="GN573">
            <v>63.029999999999994</v>
          </cell>
          <cell r="GO573">
            <v>61.214999999999996</v>
          </cell>
          <cell r="GP573">
            <v>50.654999999999994</v>
          </cell>
          <cell r="GQ573">
            <v>51.15</v>
          </cell>
          <cell r="GR573">
            <v>51.5625</v>
          </cell>
          <cell r="GS573">
            <v>60.307499999999997</v>
          </cell>
          <cell r="GT573">
            <v>58.987500000000004</v>
          </cell>
          <cell r="GU573">
            <v>59.4</v>
          </cell>
          <cell r="GV573">
            <v>58.162500000000001</v>
          </cell>
          <cell r="GW573">
            <v>57.337499999999999</v>
          </cell>
          <cell r="GX573">
            <v>55.6875</v>
          </cell>
          <cell r="GY573">
            <v>56.512499999999996</v>
          </cell>
          <cell r="GZ573">
            <v>56.925000000000004</v>
          </cell>
          <cell r="HA573">
            <v>60.637499999999996</v>
          </cell>
          <cell r="HB573">
            <v>61.462499999999999</v>
          </cell>
          <cell r="HC573">
            <v>61.050000000000004</v>
          </cell>
          <cell r="HD573">
            <v>60.225000000000001</v>
          </cell>
          <cell r="HE573">
            <v>59.4</v>
          </cell>
          <cell r="HF573">
            <v>59.4</v>
          </cell>
          <cell r="HG573">
            <v>57.337499999999999</v>
          </cell>
          <cell r="HH573">
            <v>54.037500000000001</v>
          </cell>
          <cell r="HI573">
            <v>51.975000000000001</v>
          </cell>
          <cell r="HJ573">
            <v>48.675000000000004</v>
          </cell>
          <cell r="HK573">
            <v>49.912500000000001</v>
          </cell>
          <cell r="HL573">
            <v>50.324999999999996</v>
          </cell>
          <cell r="HM573">
            <v>53.625</v>
          </cell>
        </row>
        <row r="574">
          <cell r="X574">
            <v>15.262500000000001</v>
          </cell>
          <cell r="Y574">
            <v>15.674999999999999</v>
          </cell>
          <cell r="Z574">
            <v>11.879999999999999</v>
          </cell>
          <cell r="AA574">
            <v>10.065</v>
          </cell>
          <cell r="AB574">
            <v>10.56</v>
          </cell>
          <cell r="AC574">
            <v>12.045</v>
          </cell>
          <cell r="AD574">
            <v>13.117500000000001</v>
          </cell>
          <cell r="AE574">
            <v>13.612499999999999</v>
          </cell>
          <cell r="AF574">
            <v>13.86</v>
          </cell>
          <cell r="AG574">
            <v>15.922499999999999</v>
          </cell>
          <cell r="AH574">
            <v>17.9025</v>
          </cell>
          <cell r="AI574">
            <v>19.634999999999998</v>
          </cell>
          <cell r="AJ574">
            <v>20.047500000000003</v>
          </cell>
          <cell r="AK574">
            <v>19.47</v>
          </cell>
          <cell r="AL574">
            <v>17.2425</v>
          </cell>
          <cell r="AM574">
            <v>14.4375</v>
          </cell>
          <cell r="AN574">
            <v>17.407499999999999</v>
          </cell>
          <cell r="AO574">
            <v>19.305</v>
          </cell>
          <cell r="AP574">
            <v>23.43</v>
          </cell>
          <cell r="AQ574">
            <v>18.727499999999999</v>
          </cell>
          <cell r="AR574">
            <v>17.16</v>
          </cell>
          <cell r="AS574">
            <v>18.397500000000001</v>
          </cell>
          <cell r="AT574">
            <v>20.377500000000001</v>
          </cell>
          <cell r="AU574">
            <v>18.067499999999999</v>
          </cell>
          <cell r="AV574">
            <v>18.232499999999998</v>
          </cell>
          <cell r="AW574">
            <v>20.79</v>
          </cell>
          <cell r="AX574">
            <v>17.737500000000001</v>
          </cell>
          <cell r="AY574">
            <v>19.634999999999998</v>
          </cell>
          <cell r="AZ574">
            <v>19.8</v>
          </cell>
          <cell r="BA574">
            <v>16.995000000000001</v>
          </cell>
          <cell r="BB574">
            <v>17.737500000000001</v>
          </cell>
          <cell r="BC574">
            <v>15.262500000000001</v>
          </cell>
          <cell r="BD574">
            <v>16.830000000000002</v>
          </cell>
          <cell r="BE574">
            <v>15.51</v>
          </cell>
          <cell r="BF574">
            <v>13.200000000000001</v>
          </cell>
          <cell r="BG574">
            <v>12.209999999999999</v>
          </cell>
          <cell r="BH574">
            <v>14.685</v>
          </cell>
          <cell r="BI574">
            <v>14.685</v>
          </cell>
          <cell r="BJ574">
            <v>13.942499999999999</v>
          </cell>
          <cell r="BK574">
            <v>12.2925</v>
          </cell>
          <cell r="BL574">
            <v>12.4575</v>
          </cell>
          <cell r="BM574">
            <v>13.365</v>
          </cell>
          <cell r="BN574">
            <v>14.272499999999999</v>
          </cell>
          <cell r="BO574">
            <v>14.7675</v>
          </cell>
          <cell r="BP574">
            <v>12.952500000000001</v>
          </cell>
          <cell r="BQ574">
            <v>12.045</v>
          </cell>
          <cell r="BR574">
            <v>13.7775</v>
          </cell>
          <cell r="BS574">
            <v>14.1075</v>
          </cell>
          <cell r="BT574">
            <v>15.262500000000001</v>
          </cell>
          <cell r="BU574">
            <v>18.397500000000001</v>
          </cell>
          <cell r="BV574">
            <v>18.809999999999999</v>
          </cell>
          <cell r="BW574">
            <v>16.5</v>
          </cell>
          <cell r="BX574">
            <v>17.572499999999998</v>
          </cell>
          <cell r="BY574">
            <v>19.634999999999998</v>
          </cell>
          <cell r="BZ574">
            <v>18.809999999999999</v>
          </cell>
          <cell r="CA574">
            <v>19.965</v>
          </cell>
          <cell r="CB574">
            <v>22.110000000000003</v>
          </cell>
          <cell r="CC574">
            <v>19.305</v>
          </cell>
          <cell r="CD574">
            <v>15.345000000000001</v>
          </cell>
          <cell r="CE574">
            <v>15.674999999999999</v>
          </cell>
          <cell r="CF574">
            <v>22.357499999999998</v>
          </cell>
          <cell r="CG574">
            <v>31.267500000000002</v>
          </cell>
          <cell r="CH574">
            <v>31.762499999999999</v>
          </cell>
          <cell r="CI574">
            <v>24.0075</v>
          </cell>
          <cell r="CJ574">
            <v>14.932500000000001</v>
          </cell>
          <cell r="CK574">
            <v>15.592499999999999</v>
          </cell>
          <cell r="CL574">
            <v>18.067499999999999</v>
          </cell>
          <cell r="CM574">
            <v>19.717500000000001</v>
          </cell>
          <cell r="CN574">
            <v>18.48</v>
          </cell>
          <cell r="CO574">
            <v>18.727499999999999</v>
          </cell>
          <cell r="CP574">
            <v>21.78</v>
          </cell>
          <cell r="CQ574">
            <v>26.400000000000002</v>
          </cell>
          <cell r="CR574">
            <v>27.637499999999999</v>
          </cell>
          <cell r="CS574">
            <v>21.12</v>
          </cell>
          <cell r="CT574">
            <v>19.139999999999997</v>
          </cell>
          <cell r="CU574">
            <v>17.324999999999999</v>
          </cell>
          <cell r="CV574">
            <v>19.2225</v>
          </cell>
          <cell r="CW574">
            <v>19.717500000000001</v>
          </cell>
          <cell r="CX574">
            <v>19.552500000000002</v>
          </cell>
          <cell r="CY574">
            <v>17.737500000000001</v>
          </cell>
          <cell r="CZ574">
            <v>20.377500000000001</v>
          </cell>
          <cell r="DA574">
            <v>16.912499999999998</v>
          </cell>
          <cell r="DB574">
            <v>13.612499999999999</v>
          </cell>
          <cell r="DC574">
            <v>17.572499999999998</v>
          </cell>
          <cell r="DD574">
            <v>17.572499999999998</v>
          </cell>
          <cell r="DE574">
            <v>18.150000000000002</v>
          </cell>
          <cell r="DF574">
            <v>15.592499999999999</v>
          </cell>
          <cell r="DG574">
            <v>15.757499999999999</v>
          </cell>
          <cell r="DH574">
            <v>14.355</v>
          </cell>
          <cell r="DI574">
            <v>16.252500000000001</v>
          </cell>
          <cell r="DJ574">
            <v>20.212500000000002</v>
          </cell>
          <cell r="DK574">
            <v>19.387499999999999</v>
          </cell>
          <cell r="DL574">
            <v>19.634999999999998</v>
          </cell>
          <cell r="DM574">
            <v>22.522500000000001</v>
          </cell>
          <cell r="DN574">
            <v>24.8325</v>
          </cell>
          <cell r="DO574">
            <v>21.697499999999998</v>
          </cell>
          <cell r="DP574">
            <v>25.822499999999998</v>
          </cell>
          <cell r="DQ574">
            <v>18.397500000000001</v>
          </cell>
          <cell r="DR574">
            <v>20.294999999999998</v>
          </cell>
          <cell r="DS574">
            <v>22.357499999999998</v>
          </cell>
          <cell r="DT574">
            <v>22.357499999999998</v>
          </cell>
          <cell r="DU574">
            <v>24.75</v>
          </cell>
          <cell r="DV574">
            <v>26.235000000000003</v>
          </cell>
          <cell r="DW574">
            <v>36.96</v>
          </cell>
          <cell r="DX574">
            <v>36.712499999999999</v>
          </cell>
          <cell r="DY574">
            <v>32.2575</v>
          </cell>
          <cell r="DZ574">
            <v>38.857500000000002</v>
          </cell>
          <cell r="EA574">
            <v>44.302500000000002</v>
          </cell>
          <cell r="EB574">
            <v>37.8675</v>
          </cell>
          <cell r="EC574">
            <v>50.49</v>
          </cell>
          <cell r="ED574">
            <v>81.922499999999999</v>
          </cell>
          <cell r="EE574">
            <v>52.057499999999997</v>
          </cell>
          <cell r="EF574">
            <v>41.827500000000001</v>
          </cell>
          <cell r="EG574">
            <v>44.88</v>
          </cell>
          <cell r="EH574">
            <v>41.002499999999998</v>
          </cell>
          <cell r="EI574">
            <v>31.762499999999999</v>
          </cell>
          <cell r="EJ574">
            <v>27.142500000000002</v>
          </cell>
          <cell r="EK574">
            <v>27.06</v>
          </cell>
          <cell r="EL574">
            <v>20.294999999999998</v>
          </cell>
          <cell r="EM574">
            <v>16.004999999999999</v>
          </cell>
          <cell r="EN574">
            <v>26.8125</v>
          </cell>
          <cell r="EO574">
            <v>20.377500000000001</v>
          </cell>
          <cell r="EP574">
            <v>22.275000000000002</v>
          </cell>
          <cell r="EQ574">
            <v>17.655000000000001</v>
          </cell>
          <cell r="ER574">
            <v>20.5425</v>
          </cell>
          <cell r="ES574">
            <v>29.04</v>
          </cell>
          <cell r="ET574">
            <v>28.544999999999998</v>
          </cell>
          <cell r="EU574">
            <v>28.544999999999998</v>
          </cell>
          <cell r="EV574">
            <v>27.802500000000002</v>
          </cell>
          <cell r="EW574">
            <v>25.327499999999997</v>
          </cell>
          <cell r="EX574">
            <v>28.215</v>
          </cell>
          <cell r="EY574">
            <v>31.02</v>
          </cell>
          <cell r="EZ574">
            <v>34.814999999999998</v>
          </cell>
          <cell r="FA574">
            <v>34.897500000000001</v>
          </cell>
          <cell r="FB574">
            <v>41.002499999999998</v>
          </cell>
          <cell r="FC574">
            <v>47.4375</v>
          </cell>
          <cell r="FD574">
            <v>75.487499999999997</v>
          </cell>
          <cell r="FE574">
            <v>43.064999999999998</v>
          </cell>
          <cell r="FF574">
            <v>42.734999999999999</v>
          </cell>
          <cell r="FG574">
            <v>49.664999999999999</v>
          </cell>
          <cell r="FH574">
            <v>44.384999999999998</v>
          </cell>
          <cell r="FI574">
            <v>39.435000000000002</v>
          </cell>
          <cell r="FJ574">
            <v>41.25</v>
          </cell>
          <cell r="FK574">
            <v>37.207499999999996</v>
          </cell>
          <cell r="FL574">
            <v>37.29</v>
          </cell>
          <cell r="FM574">
            <v>40.425000000000004</v>
          </cell>
          <cell r="FN574">
            <v>50.82</v>
          </cell>
          <cell r="FO574">
            <v>47.107500000000002</v>
          </cell>
          <cell r="FP574">
            <v>42.487500000000004</v>
          </cell>
          <cell r="FQ574">
            <v>44.88</v>
          </cell>
          <cell r="FR574">
            <v>49.335000000000001</v>
          </cell>
          <cell r="FS574">
            <v>55.6875</v>
          </cell>
          <cell r="FT574">
            <v>51.397500000000001</v>
          </cell>
          <cell r="FU574">
            <v>50.324999999999996</v>
          </cell>
          <cell r="FV574">
            <v>42.487500000000004</v>
          </cell>
          <cell r="FW574">
            <v>46.942500000000003</v>
          </cell>
          <cell r="FX574">
            <v>63.029999999999994</v>
          </cell>
          <cell r="FY574">
            <v>61.214999999999996</v>
          </cell>
          <cell r="FZ574">
            <v>50.654999999999994</v>
          </cell>
          <cell r="GA574">
            <v>51.15</v>
          </cell>
          <cell r="GB574">
            <v>51.5625</v>
          </cell>
          <cell r="GC574">
            <v>60.307499999999997</v>
          </cell>
          <cell r="GD574">
            <v>56.265000000000001</v>
          </cell>
          <cell r="GE574">
            <v>51.480000000000004</v>
          </cell>
          <cell r="GF574">
            <v>58.327500000000001</v>
          </cell>
          <cell r="GG574">
            <v>63.112500000000004</v>
          </cell>
          <cell r="GH574">
            <v>86.377500000000012</v>
          </cell>
          <cell r="GI574">
            <v>104.6925</v>
          </cell>
          <cell r="GJ574">
            <v>105.5175</v>
          </cell>
          <cell r="GK574">
            <v>80.850000000000009</v>
          </cell>
          <cell r="GL574">
            <v>84.809999999999988</v>
          </cell>
          <cell r="GM574">
            <v>65.34</v>
          </cell>
          <cell r="GN574">
            <v>57.585000000000001</v>
          </cell>
          <cell r="GO574">
            <v>58.327500000000001</v>
          </cell>
          <cell r="GP574">
            <v>58.162500000000001</v>
          </cell>
          <cell r="GQ574">
            <v>48.922499999999999</v>
          </cell>
          <cell r="GR574">
            <v>48.592499999999994</v>
          </cell>
          <cell r="GS574">
            <v>57.667500000000004</v>
          </cell>
          <cell r="GT574">
            <v>55.522500000000001</v>
          </cell>
          <cell r="GU574">
            <v>34.567500000000003</v>
          </cell>
          <cell r="GV574">
            <v>58.822499999999998</v>
          </cell>
          <cell r="GW574">
            <v>66.577500000000001</v>
          </cell>
          <cell r="GX574">
            <v>47.767499999999998</v>
          </cell>
          <cell r="GY574">
            <v>57.337499999999999</v>
          </cell>
          <cell r="GZ574">
            <v>61.545000000000002</v>
          </cell>
          <cell r="HA574">
            <v>60.967499999999994</v>
          </cell>
          <cell r="HB574">
            <v>62.204999999999998</v>
          </cell>
          <cell r="HC574">
            <v>63.277499999999996</v>
          </cell>
          <cell r="HD574">
            <v>57.337499999999999</v>
          </cell>
          <cell r="HE574">
            <v>49.994999999999997</v>
          </cell>
          <cell r="HF574">
            <v>45.045000000000002</v>
          </cell>
          <cell r="HG574">
            <v>52.634999999999998</v>
          </cell>
          <cell r="HH574">
            <v>59.564999999999998</v>
          </cell>
          <cell r="HI574">
            <v>58.987500000000004</v>
          </cell>
          <cell r="HJ574">
            <v>58.822499999999998</v>
          </cell>
          <cell r="HK574">
            <v>66.577500000000001</v>
          </cell>
          <cell r="HL574">
            <v>74.167500000000004</v>
          </cell>
          <cell r="HM574">
            <v>79.034999999999997</v>
          </cell>
          <cell r="HN574">
            <v>92.647500000000008</v>
          </cell>
          <cell r="HO574">
            <v>98.422499999999999</v>
          </cell>
          <cell r="HP574">
            <v>107.66250000000001</v>
          </cell>
          <cell r="HQ574">
            <v>75.899999999999991</v>
          </cell>
          <cell r="HR574">
            <v>91.162500000000009</v>
          </cell>
          <cell r="HS574">
            <v>96.9375</v>
          </cell>
          <cell r="HT574">
            <v>99</v>
          </cell>
          <cell r="HU574">
            <v>106.0125</v>
          </cell>
          <cell r="HV574">
            <v>106.83749999999999</v>
          </cell>
          <cell r="HW574">
            <v>103.95</v>
          </cell>
          <cell r="HX574">
            <v>97.762500000000003</v>
          </cell>
          <cell r="HY574">
            <v>98.587499999999991</v>
          </cell>
          <cell r="HZ574">
            <v>92.399999999999991</v>
          </cell>
          <cell r="IA574">
            <v>90.75</v>
          </cell>
          <cell r="IB574">
            <v>87.037500000000009</v>
          </cell>
          <cell r="IC574">
            <v>86.212499999999991</v>
          </cell>
          <cell r="ID574">
            <v>84.149999999999991</v>
          </cell>
          <cell r="IE574">
            <v>89.512500000000003</v>
          </cell>
          <cell r="IF574">
            <v>91.987499999999997</v>
          </cell>
          <cell r="IG574">
            <v>100.2375</v>
          </cell>
          <cell r="IH574">
            <v>56.512499999999996</v>
          </cell>
          <cell r="II574">
            <v>58.574999999999996</v>
          </cell>
          <cell r="IJ574">
            <v>59.8125</v>
          </cell>
          <cell r="IK574">
            <v>69.3</v>
          </cell>
        </row>
        <row r="575">
          <cell r="X575">
            <v>76.650000000000006</v>
          </cell>
          <cell r="Y575">
            <v>76.650000000000006</v>
          </cell>
          <cell r="Z575">
            <v>63.836299956322385</v>
          </cell>
          <cell r="AA575">
            <v>61.075524131906604</v>
          </cell>
          <cell r="AB575">
            <v>59.342830312295106</v>
          </cell>
          <cell r="AC575">
            <v>58.799794169032495</v>
          </cell>
          <cell r="AD575">
            <v>58.632837955885691</v>
          </cell>
          <cell r="AE575">
            <v>62.215999672417631</v>
          </cell>
          <cell r="AF575">
            <v>65.35237715658424</v>
          </cell>
          <cell r="AG575">
            <v>67.177377156584242</v>
          </cell>
          <cell r="AH575">
            <v>69.882514195239068</v>
          </cell>
          <cell r="AI575">
            <v>71.625929242192754</v>
          </cell>
          <cell r="AJ575">
            <v>71.500423127320502</v>
          </cell>
          <cell r="AK575">
            <v>69.717590631142315</v>
          </cell>
          <cell r="AL575">
            <v>67.816999999999993</v>
          </cell>
          <cell r="AM575">
            <v>66.612499999999997</v>
          </cell>
          <cell r="AN575">
            <v>65.626999999999995</v>
          </cell>
          <cell r="AO575">
            <v>65.663499999999999</v>
          </cell>
          <cell r="AP575">
            <v>65.444500000000005</v>
          </cell>
          <cell r="AQ575">
            <v>65.298500000000004</v>
          </cell>
          <cell r="AR575">
            <v>64.897000000000006</v>
          </cell>
          <cell r="AS575">
            <v>64.531999999999996</v>
          </cell>
          <cell r="AT575">
            <v>63.838499999999996</v>
          </cell>
          <cell r="AU575">
            <v>63.546499999999995</v>
          </cell>
          <cell r="AV575">
            <v>62.232500000000002</v>
          </cell>
          <cell r="AW575">
            <v>61.32</v>
          </cell>
          <cell r="AX575">
            <v>59.969499999999996</v>
          </cell>
          <cell r="AY575">
            <v>59.166500000000006</v>
          </cell>
          <cell r="AZ575">
            <v>60.626499999999993</v>
          </cell>
          <cell r="BA575">
            <v>62.431425000000011</v>
          </cell>
          <cell r="BB575">
            <v>66.036712500000007</v>
          </cell>
          <cell r="BC575">
            <v>69.559875000000005</v>
          </cell>
          <cell r="BD575">
            <v>73.178849999999997</v>
          </cell>
          <cell r="BE575">
            <v>76.748550000000009</v>
          </cell>
          <cell r="BF575">
            <v>83.716399999999993</v>
          </cell>
          <cell r="BG575">
            <v>90.934275</v>
          </cell>
          <cell r="BH575">
            <v>94.500324999999989</v>
          </cell>
          <cell r="BI575">
            <v>96.578999999999994</v>
          </cell>
          <cell r="BJ575">
            <v>99.900500000000008</v>
          </cell>
          <cell r="BK575">
            <v>103.41545000000001</v>
          </cell>
          <cell r="BL575">
            <v>103.20375</v>
          </cell>
          <cell r="BM575">
            <v>103.0979</v>
          </cell>
          <cell r="BN575">
            <v>102.99205000000001</v>
          </cell>
          <cell r="BO575">
            <v>100.800225</v>
          </cell>
          <cell r="BP575">
            <v>97.163000000000011</v>
          </cell>
          <cell r="BQ575">
            <v>91.436149999999998</v>
          </cell>
          <cell r="BR575">
            <v>84.506625</v>
          </cell>
          <cell r="BS575">
            <v>76.184624999999997</v>
          </cell>
          <cell r="BT575">
            <v>71.161860000000004</v>
          </cell>
          <cell r="BU575">
            <v>66.60884999999999</v>
          </cell>
          <cell r="BV575">
            <v>65.7</v>
          </cell>
          <cell r="BW575">
            <v>65.7</v>
          </cell>
          <cell r="BX575">
            <v>69.253275000000002</v>
          </cell>
          <cell r="BY575">
            <v>73.912499999999994</v>
          </cell>
          <cell r="BZ575">
            <v>77.454825</v>
          </cell>
          <cell r="CA575">
            <v>80.929625000000001</v>
          </cell>
          <cell r="CB575">
            <v>82.49</v>
          </cell>
          <cell r="CC575">
            <v>84.325950000000006</v>
          </cell>
          <cell r="CD575">
            <v>85.64725</v>
          </cell>
          <cell r="CE575">
            <v>86.528268750000009</v>
          </cell>
          <cell r="CF575">
            <v>86.955774999999988</v>
          </cell>
          <cell r="CG575">
            <v>90.337500000000006</v>
          </cell>
          <cell r="CH575">
            <v>93.851354999999984</v>
          </cell>
          <cell r="CI575">
            <v>93.851354999999984</v>
          </cell>
          <cell r="CJ575">
            <v>93.851354999999984</v>
          </cell>
          <cell r="CK575">
            <v>93.622500000000002</v>
          </cell>
          <cell r="CL575">
            <v>91.98</v>
          </cell>
          <cell r="CM575">
            <v>89.9861875</v>
          </cell>
          <cell r="CN575">
            <v>89.9861875</v>
          </cell>
          <cell r="CO575">
            <v>89.785437499999986</v>
          </cell>
          <cell r="CP575">
            <v>89.233375000000009</v>
          </cell>
          <cell r="CQ575">
            <v>87.413849999999982</v>
          </cell>
          <cell r="CR575">
            <v>85.601624999999999</v>
          </cell>
          <cell r="CS575">
            <v>82.755993750000002</v>
          </cell>
          <cell r="CT575">
            <v>79.934999999999988</v>
          </cell>
          <cell r="CU575">
            <v>75.92</v>
          </cell>
          <cell r="CV575">
            <v>71.905000000000001</v>
          </cell>
          <cell r="CW575">
            <v>68.254999999999995</v>
          </cell>
          <cell r="CX575">
            <v>65.517499999999998</v>
          </cell>
          <cell r="CY575">
            <v>63.692500000000003</v>
          </cell>
          <cell r="CZ575">
            <v>61.8675</v>
          </cell>
          <cell r="DA575">
            <v>60.042499999999997</v>
          </cell>
          <cell r="DB575">
            <v>58.217500000000001</v>
          </cell>
          <cell r="DC575">
            <v>58.217500000000001</v>
          </cell>
          <cell r="DD575">
            <v>58.217500000000001</v>
          </cell>
          <cell r="DE575">
            <v>58.217500000000001</v>
          </cell>
          <cell r="DF575">
            <v>60.042499999999997</v>
          </cell>
          <cell r="DG575">
            <v>61.8675</v>
          </cell>
          <cell r="DH575">
            <v>63.692500000000003</v>
          </cell>
          <cell r="DI575">
            <v>67.525000000000006</v>
          </cell>
          <cell r="DJ575">
            <v>74.825000000000003</v>
          </cell>
          <cell r="DK575">
            <v>80.3</v>
          </cell>
          <cell r="DL575">
            <v>83.95</v>
          </cell>
          <cell r="DM575">
            <v>87.6</v>
          </cell>
          <cell r="DN575">
            <v>93.075000000000003</v>
          </cell>
          <cell r="DO575">
            <v>96.724999999999994</v>
          </cell>
          <cell r="DP575">
            <v>98.55</v>
          </cell>
          <cell r="DQ575">
            <v>98.55</v>
          </cell>
          <cell r="DR575">
            <v>98.55</v>
          </cell>
          <cell r="DS575">
            <v>105.85</v>
          </cell>
          <cell r="DT575">
            <v>111.325</v>
          </cell>
          <cell r="DU575">
            <v>114.97499999999999</v>
          </cell>
          <cell r="DV575">
            <v>114.97499999999999</v>
          </cell>
          <cell r="DW575">
            <v>116.8</v>
          </cell>
          <cell r="DX575">
            <v>116.8</v>
          </cell>
          <cell r="DY575">
            <v>111.325</v>
          </cell>
          <cell r="DZ575">
            <v>108.58750000000001</v>
          </cell>
          <cell r="EA575">
            <v>107.675</v>
          </cell>
          <cell r="EB575">
            <v>106.7625</v>
          </cell>
          <cell r="EC575">
            <v>108.58750000000001</v>
          </cell>
          <cell r="ED575">
            <v>115.8875</v>
          </cell>
          <cell r="EE575">
            <v>119.53749999999999</v>
          </cell>
          <cell r="EF575">
            <v>115.8875</v>
          </cell>
          <cell r="EG575">
            <v>108.58750000000001</v>
          </cell>
          <cell r="EH575">
            <v>103.1125</v>
          </cell>
          <cell r="EI575">
            <v>99.462500000000006</v>
          </cell>
          <cell r="EJ575">
            <v>90.337500000000006</v>
          </cell>
          <cell r="EK575">
            <v>86.6875</v>
          </cell>
          <cell r="EL575">
            <v>84.862499999999997</v>
          </cell>
          <cell r="EM575">
            <v>81.212500000000006</v>
          </cell>
          <cell r="EN575">
            <v>73.912499999999994</v>
          </cell>
          <cell r="EO575">
            <v>73.912499999999994</v>
          </cell>
          <cell r="EP575">
            <v>69.349999999999994</v>
          </cell>
          <cell r="EQ575">
            <v>69.349999999999994</v>
          </cell>
          <cell r="ER575">
            <v>73</v>
          </cell>
          <cell r="ES575">
            <v>79.387500000000003</v>
          </cell>
          <cell r="ET575">
            <v>83.95</v>
          </cell>
          <cell r="EU575">
            <v>83.95</v>
          </cell>
          <cell r="EV575">
            <v>83.95</v>
          </cell>
          <cell r="EW575">
            <v>83.95</v>
          </cell>
          <cell r="EX575">
            <v>83.95</v>
          </cell>
          <cell r="EY575">
            <v>87.6</v>
          </cell>
          <cell r="EZ575">
            <v>87.6</v>
          </cell>
          <cell r="FA575">
            <v>87.6</v>
          </cell>
          <cell r="FB575">
            <v>95.8125</v>
          </cell>
          <cell r="FC575">
            <v>102.2</v>
          </cell>
          <cell r="FD575">
            <v>113.15</v>
          </cell>
          <cell r="FE575">
            <v>113.15</v>
          </cell>
          <cell r="FF575">
            <v>113.15</v>
          </cell>
          <cell r="FG575">
            <v>105.85</v>
          </cell>
          <cell r="FH575">
            <v>100.375</v>
          </cell>
          <cell r="FI575">
            <v>100.375</v>
          </cell>
          <cell r="FJ575">
            <v>97.637500000000003</v>
          </cell>
          <cell r="FK575">
            <v>97.637500000000003</v>
          </cell>
          <cell r="FL575">
            <v>101.28749999999999</v>
          </cell>
          <cell r="FM575">
            <v>107.675</v>
          </cell>
          <cell r="FN575">
            <v>114.97499999999999</v>
          </cell>
          <cell r="FO575">
            <v>114.97499999999999</v>
          </cell>
          <cell r="FP575">
            <v>114.97499999999999</v>
          </cell>
          <cell r="FQ575">
            <v>114.97499999999999</v>
          </cell>
          <cell r="FR575">
            <v>114.97499999999999</v>
          </cell>
          <cell r="FS575">
            <v>114.97499999999999</v>
          </cell>
          <cell r="FT575">
            <v>114.97499999999999</v>
          </cell>
          <cell r="FU575">
            <v>118.625</v>
          </cell>
          <cell r="FV575">
            <v>125.925</v>
          </cell>
          <cell r="FW575">
            <v>133.22499999999999</v>
          </cell>
          <cell r="FX575">
            <v>144.17500000000001</v>
          </cell>
          <cell r="FY575">
            <v>151.47499999999999</v>
          </cell>
          <cell r="FZ575">
            <v>151.47499999999999</v>
          </cell>
          <cell r="GA575">
            <v>151.47499999999999</v>
          </cell>
          <cell r="GB575">
            <v>151.47499999999999</v>
          </cell>
          <cell r="GC575">
            <v>146</v>
          </cell>
          <cell r="GD575">
            <v>138.69999999999999</v>
          </cell>
          <cell r="GE575">
            <v>135.05000000000001</v>
          </cell>
          <cell r="GF575">
            <v>136.875</v>
          </cell>
          <cell r="GG575">
            <v>147.82499999999999</v>
          </cell>
          <cell r="GH575">
            <v>166.07499999999999</v>
          </cell>
          <cell r="GI575">
            <v>198.92500000000001</v>
          </cell>
          <cell r="GJ575">
            <v>206.22499999999999</v>
          </cell>
          <cell r="GK575">
            <v>206.22499999999999</v>
          </cell>
          <cell r="GL575">
            <v>195.27500000000001</v>
          </cell>
          <cell r="GM575">
            <v>182.5</v>
          </cell>
          <cell r="GN575">
            <v>173.375</v>
          </cell>
          <cell r="GO575">
            <v>166.07499999999999</v>
          </cell>
          <cell r="GP575">
            <v>171.55</v>
          </cell>
          <cell r="GQ575">
            <v>171.55</v>
          </cell>
          <cell r="GR575">
            <v>178.85</v>
          </cell>
          <cell r="GS575">
            <v>187.97499999999999</v>
          </cell>
          <cell r="GT575">
            <v>187.97499999999999</v>
          </cell>
          <cell r="GU575">
            <v>177.02500000000001</v>
          </cell>
          <cell r="GV575">
            <v>162.42500000000001</v>
          </cell>
          <cell r="GW575">
            <v>151.47499999999999</v>
          </cell>
          <cell r="GX575">
            <v>144.17500000000001</v>
          </cell>
          <cell r="GY575">
            <v>144.17500000000001</v>
          </cell>
          <cell r="GZ575">
            <v>149.65</v>
          </cell>
          <cell r="HA575">
            <v>158.77500000000001</v>
          </cell>
          <cell r="HB575">
            <v>162.42500000000001</v>
          </cell>
          <cell r="HC575">
            <v>167.9</v>
          </cell>
          <cell r="HD575">
            <v>177.02500000000001</v>
          </cell>
          <cell r="HE575">
            <v>180.67500000000001</v>
          </cell>
          <cell r="HF575">
            <v>191.625</v>
          </cell>
          <cell r="HG575">
            <v>209.875</v>
          </cell>
          <cell r="HH575">
            <v>224.47499999999999</v>
          </cell>
          <cell r="HI575">
            <v>224.47499999999999</v>
          </cell>
          <cell r="HJ575">
            <v>224.47499999999999</v>
          </cell>
          <cell r="HK575">
            <v>213.52500000000001</v>
          </cell>
          <cell r="HL575">
            <v>224.47499999999999</v>
          </cell>
          <cell r="HM575">
            <v>229.95</v>
          </cell>
          <cell r="HN575">
            <v>239.07499999999999</v>
          </cell>
          <cell r="HO575">
            <v>257.32499999999999</v>
          </cell>
          <cell r="HP575">
            <v>271.92500000000001</v>
          </cell>
          <cell r="HQ575">
            <v>271.92500000000001</v>
          </cell>
          <cell r="HR575">
            <v>275.57499999999999</v>
          </cell>
          <cell r="HS575">
            <v>277.39999999999998</v>
          </cell>
          <cell r="HT575">
            <v>281.05</v>
          </cell>
          <cell r="HU575">
            <v>282.875</v>
          </cell>
          <cell r="HV575">
            <v>277.39999999999998</v>
          </cell>
          <cell r="HW575">
            <v>268.27499999999998</v>
          </cell>
          <cell r="HX575">
            <v>260.97500000000002</v>
          </cell>
          <cell r="HY575">
            <v>240.9</v>
          </cell>
          <cell r="HZ575">
            <v>226.3</v>
          </cell>
          <cell r="IA575">
            <v>220.82499999999999</v>
          </cell>
          <cell r="IB575">
            <v>220.82499999999999</v>
          </cell>
          <cell r="IC575">
            <v>224.47499999999999</v>
          </cell>
          <cell r="ID575">
            <v>228.125</v>
          </cell>
          <cell r="IE575">
            <v>233.6</v>
          </cell>
          <cell r="IF575">
            <v>235.42500000000001</v>
          </cell>
          <cell r="IG575">
            <v>239.07499999999999</v>
          </cell>
          <cell r="IH575">
            <v>160.6</v>
          </cell>
          <cell r="II575">
            <v>160.6</v>
          </cell>
          <cell r="IJ575">
            <v>164.25</v>
          </cell>
          <cell r="IK575">
            <v>167.9</v>
          </cell>
        </row>
        <row r="576">
          <cell r="X576">
            <v>43.55</v>
          </cell>
          <cell r="Y576">
            <v>43.55</v>
          </cell>
          <cell r="Z576">
            <v>36.85</v>
          </cell>
          <cell r="AA576">
            <v>35.174999999999997</v>
          </cell>
          <cell r="AB576">
            <v>36.85</v>
          </cell>
          <cell r="AC576">
            <v>38.524999999999999</v>
          </cell>
          <cell r="AD576">
            <v>40.200000000000003</v>
          </cell>
          <cell r="AE576">
            <v>40.200000000000003</v>
          </cell>
          <cell r="AF576">
            <v>43.55</v>
          </cell>
          <cell r="AG576">
            <v>40.200000000000003</v>
          </cell>
          <cell r="AH576">
            <v>36.85</v>
          </cell>
          <cell r="AI576">
            <v>30.15</v>
          </cell>
          <cell r="AJ576">
            <v>33.5</v>
          </cell>
          <cell r="AK576">
            <v>33.5</v>
          </cell>
          <cell r="AL576">
            <v>33.5</v>
          </cell>
          <cell r="AM576">
            <v>35.174999999999997</v>
          </cell>
          <cell r="AN576">
            <v>36.85</v>
          </cell>
          <cell r="AO576">
            <v>35.174999999999997</v>
          </cell>
          <cell r="AP576">
            <v>33.5</v>
          </cell>
          <cell r="AQ576">
            <v>33.5</v>
          </cell>
          <cell r="AR576">
            <v>31.824999999999999</v>
          </cell>
          <cell r="AS576">
            <v>31.824999999999999</v>
          </cell>
          <cell r="AT576">
            <v>31.824999999999999</v>
          </cell>
          <cell r="AU576">
            <v>30.15</v>
          </cell>
          <cell r="AV576">
            <v>30.15</v>
          </cell>
          <cell r="AW576">
            <v>28.475000000000001</v>
          </cell>
          <cell r="AX576">
            <v>28.475000000000001</v>
          </cell>
          <cell r="AY576">
            <v>28.475000000000001</v>
          </cell>
          <cell r="AZ576">
            <v>31.824999999999999</v>
          </cell>
          <cell r="BA576">
            <v>35.174999999999997</v>
          </cell>
          <cell r="BB576">
            <v>36.85</v>
          </cell>
          <cell r="BC576">
            <v>33.5</v>
          </cell>
          <cell r="BD576">
            <v>33.5</v>
          </cell>
          <cell r="BE576">
            <v>38.524999999999999</v>
          </cell>
          <cell r="BF576">
            <v>50.25</v>
          </cell>
          <cell r="BG576">
            <v>43.55</v>
          </cell>
          <cell r="BH576">
            <v>33.5</v>
          </cell>
          <cell r="BI576">
            <v>33.5</v>
          </cell>
          <cell r="BJ576">
            <v>36.85</v>
          </cell>
          <cell r="BK576">
            <v>40.200000000000003</v>
          </cell>
          <cell r="BL576">
            <v>33.5</v>
          </cell>
          <cell r="BM576">
            <v>35.174999999999997</v>
          </cell>
          <cell r="BN576">
            <v>38.524999999999999</v>
          </cell>
          <cell r="BO576">
            <v>35.174999999999997</v>
          </cell>
          <cell r="BP576">
            <v>30.15</v>
          </cell>
          <cell r="BQ576">
            <v>30.15</v>
          </cell>
          <cell r="BR576">
            <v>28.475000000000001</v>
          </cell>
          <cell r="BS576">
            <v>25.125</v>
          </cell>
          <cell r="BT576">
            <v>23.45</v>
          </cell>
          <cell r="BU576">
            <v>26.8</v>
          </cell>
          <cell r="BV576">
            <v>30.15</v>
          </cell>
          <cell r="BW576">
            <v>31.824999999999999</v>
          </cell>
          <cell r="BX576">
            <v>30.15</v>
          </cell>
          <cell r="BY576">
            <v>30.15</v>
          </cell>
          <cell r="BZ576">
            <v>33.5</v>
          </cell>
          <cell r="CA576">
            <v>31.824999999999999</v>
          </cell>
          <cell r="CB576">
            <v>31.824999999999999</v>
          </cell>
          <cell r="CC576">
            <v>31.824999999999999</v>
          </cell>
          <cell r="CD576">
            <v>38.524999999999999</v>
          </cell>
          <cell r="CE576">
            <v>33.5</v>
          </cell>
          <cell r="CF576">
            <v>33.5</v>
          </cell>
          <cell r="CG576">
            <v>35.174999999999997</v>
          </cell>
          <cell r="CH576">
            <v>36.85</v>
          </cell>
          <cell r="CI576">
            <v>40.200000000000003</v>
          </cell>
          <cell r="CJ576">
            <v>35.174999999999997</v>
          </cell>
          <cell r="CK576">
            <v>35.174999999999997</v>
          </cell>
          <cell r="CL576">
            <v>35.174999999999997</v>
          </cell>
          <cell r="CM576">
            <v>28.475000000000001</v>
          </cell>
          <cell r="CN576">
            <v>26.8</v>
          </cell>
          <cell r="CO576">
            <v>30.15</v>
          </cell>
          <cell r="CP576">
            <v>33.5</v>
          </cell>
          <cell r="CQ576">
            <v>31.824999999999999</v>
          </cell>
          <cell r="CR576">
            <v>33.5</v>
          </cell>
          <cell r="CS576">
            <v>35.174999999999997</v>
          </cell>
          <cell r="CT576">
            <v>38.524999999999999</v>
          </cell>
          <cell r="CU576">
            <v>28.475000000000001</v>
          </cell>
          <cell r="CV576">
            <v>25.795000000000002</v>
          </cell>
          <cell r="CW576">
            <v>25.795000000000002</v>
          </cell>
          <cell r="CX576">
            <v>25.795000000000002</v>
          </cell>
          <cell r="CY576">
            <v>25.125</v>
          </cell>
          <cell r="CZ576">
            <v>25.125</v>
          </cell>
          <cell r="DA576">
            <v>25.125</v>
          </cell>
          <cell r="DB576">
            <v>24.12</v>
          </cell>
          <cell r="DC576">
            <v>24.12</v>
          </cell>
          <cell r="DD576">
            <v>26.8</v>
          </cell>
          <cell r="DE576">
            <v>28.475000000000001</v>
          </cell>
          <cell r="DF576">
            <v>26.13</v>
          </cell>
          <cell r="DG576">
            <v>25.125</v>
          </cell>
          <cell r="DH576">
            <v>23.45</v>
          </cell>
          <cell r="DI576">
            <v>23.45</v>
          </cell>
          <cell r="DJ576">
            <v>30.15</v>
          </cell>
          <cell r="DK576">
            <v>27.805</v>
          </cell>
          <cell r="DL576">
            <v>26.8</v>
          </cell>
          <cell r="DM576">
            <v>28.475000000000001</v>
          </cell>
          <cell r="DN576">
            <v>31.824999999999999</v>
          </cell>
          <cell r="DO576">
            <v>35.174999999999997</v>
          </cell>
          <cell r="DP576">
            <v>34.505000000000003</v>
          </cell>
          <cell r="DQ576">
            <v>35.174999999999997</v>
          </cell>
          <cell r="DR576">
            <v>40.200000000000003</v>
          </cell>
          <cell r="DS576">
            <v>43.55</v>
          </cell>
          <cell r="DT576">
            <v>50.25</v>
          </cell>
          <cell r="DU576">
            <v>43.55</v>
          </cell>
          <cell r="DV576">
            <v>40.200000000000003</v>
          </cell>
          <cell r="DW576">
            <v>45.225000000000001</v>
          </cell>
          <cell r="DX576">
            <v>53.6</v>
          </cell>
          <cell r="DY576">
            <v>48.575000000000003</v>
          </cell>
          <cell r="DZ576">
            <v>50.25</v>
          </cell>
          <cell r="EA576">
            <v>46.9</v>
          </cell>
          <cell r="EB576">
            <v>43.55</v>
          </cell>
          <cell r="EC576">
            <v>46.9</v>
          </cell>
          <cell r="ED576">
            <v>45.895000000000003</v>
          </cell>
          <cell r="EE576">
            <v>46.9</v>
          </cell>
          <cell r="EF576">
            <v>38.524999999999999</v>
          </cell>
          <cell r="EG576">
            <v>36.85</v>
          </cell>
          <cell r="EH576">
            <v>39.195</v>
          </cell>
          <cell r="EI576">
            <v>37.854999999999997</v>
          </cell>
          <cell r="EJ576">
            <v>26.13</v>
          </cell>
          <cell r="EK576">
            <v>25.125</v>
          </cell>
          <cell r="EL576">
            <v>29.3125</v>
          </cell>
          <cell r="EM576">
            <v>31.824999999999999</v>
          </cell>
          <cell r="EN576">
            <v>27.805</v>
          </cell>
          <cell r="EO576">
            <v>23.45</v>
          </cell>
          <cell r="EP576">
            <v>25.125</v>
          </cell>
          <cell r="EQ576">
            <v>29.145</v>
          </cell>
          <cell r="ER576">
            <v>31.824999999999999</v>
          </cell>
          <cell r="ES576">
            <v>42.88</v>
          </cell>
          <cell r="ET576">
            <v>38.524999999999999</v>
          </cell>
          <cell r="EU576">
            <v>44.22</v>
          </cell>
          <cell r="EV576">
            <v>50.25</v>
          </cell>
          <cell r="EW576">
            <v>45.225000000000001</v>
          </cell>
          <cell r="EX576">
            <v>42.88</v>
          </cell>
          <cell r="EY576">
            <v>42.88</v>
          </cell>
          <cell r="EZ576">
            <v>39.195</v>
          </cell>
          <cell r="FA576">
            <v>46.23</v>
          </cell>
          <cell r="FB576">
            <v>52.594999999999999</v>
          </cell>
          <cell r="FC576">
            <v>65.325000000000003</v>
          </cell>
          <cell r="FD576">
            <v>61.305</v>
          </cell>
          <cell r="FE576">
            <v>63.65</v>
          </cell>
          <cell r="FF576">
            <v>41.875</v>
          </cell>
          <cell r="FG576">
            <v>43.55</v>
          </cell>
          <cell r="FH576">
            <v>41.54</v>
          </cell>
          <cell r="FI576">
            <v>46.9</v>
          </cell>
          <cell r="FJ576">
            <v>52.93</v>
          </cell>
          <cell r="FK576">
            <v>50.585000000000001</v>
          </cell>
          <cell r="FL576">
            <v>46.9</v>
          </cell>
          <cell r="FM576">
            <v>51.924999999999997</v>
          </cell>
          <cell r="FN576">
            <v>57.452500000000001</v>
          </cell>
          <cell r="FO576">
            <v>66.33</v>
          </cell>
          <cell r="FP576">
            <v>67</v>
          </cell>
          <cell r="FQ576">
            <v>78.724999999999994</v>
          </cell>
          <cell r="FR576">
            <v>76.38</v>
          </cell>
          <cell r="FS576">
            <v>87.1</v>
          </cell>
          <cell r="FT576">
            <v>102.845</v>
          </cell>
          <cell r="FU576">
            <v>128.97499999999999</v>
          </cell>
          <cell r="FV576">
            <v>132.32499999999999</v>
          </cell>
          <cell r="FW576">
            <v>125.29</v>
          </cell>
          <cell r="FX576">
            <v>126.295</v>
          </cell>
          <cell r="FY576">
            <v>108.875</v>
          </cell>
          <cell r="FZ576">
            <v>88.44</v>
          </cell>
          <cell r="GA576">
            <v>104.52</v>
          </cell>
          <cell r="GB576">
            <v>125.625</v>
          </cell>
          <cell r="GC576">
            <v>129.64500000000001</v>
          </cell>
          <cell r="GD576">
            <v>100.5</v>
          </cell>
          <cell r="GE576">
            <v>77.05</v>
          </cell>
          <cell r="GF576">
            <v>99.662499999999994</v>
          </cell>
          <cell r="GG576">
            <v>92.125</v>
          </cell>
          <cell r="GH576">
            <v>92.125</v>
          </cell>
          <cell r="GI576">
            <v>103.85</v>
          </cell>
          <cell r="GJ576">
            <v>78.724999999999994</v>
          </cell>
          <cell r="GK576">
            <v>73.03</v>
          </cell>
          <cell r="GL576">
            <v>82.41</v>
          </cell>
          <cell r="GM576">
            <v>95.81</v>
          </cell>
          <cell r="GN576">
            <v>91.454999999999998</v>
          </cell>
          <cell r="GO576">
            <v>93.8</v>
          </cell>
          <cell r="GP576">
            <v>98.825000000000003</v>
          </cell>
          <cell r="GQ576">
            <v>110.55</v>
          </cell>
          <cell r="GR576">
            <v>129.64500000000001</v>
          </cell>
          <cell r="GS576">
            <v>124.62</v>
          </cell>
          <cell r="GT576">
            <v>118.925</v>
          </cell>
          <cell r="GU576">
            <v>134</v>
          </cell>
          <cell r="GV576">
            <v>120.6</v>
          </cell>
          <cell r="GW576">
            <v>111.22</v>
          </cell>
          <cell r="GX576">
            <v>125.29</v>
          </cell>
          <cell r="GY576">
            <v>109.21</v>
          </cell>
          <cell r="GZ576">
            <v>120.265</v>
          </cell>
          <cell r="HA576">
            <v>121.94</v>
          </cell>
          <cell r="HB576">
            <v>140.69999999999999</v>
          </cell>
          <cell r="HC576">
            <v>134</v>
          </cell>
          <cell r="HD576">
            <v>123.95</v>
          </cell>
          <cell r="HE576">
            <v>120.265</v>
          </cell>
          <cell r="HF576">
            <v>112.56</v>
          </cell>
          <cell r="HG576">
            <v>116.91500000000001</v>
          </cell>
          <cell r="HH576">
            <v>116.58</v>
          </cell>
          <cell r="HI576">
            <v>112.22499999999999</v>
          </cell>
          <cell r="HJ576">
            <v>115.575</v>
          </cell>
          <cell r="HK576">
            <v>118.59</v>
          </cell>
          <cell r="HL576">
            <v>132.995</v>
          </cell>
          <cell r="HM576">
            <v>125.625</v>
          </cell>
          <cell r="HN576">
            <v>129.64500000000001</v>
          </cell>
          <cell r="HO576">
            <v>144.38499999999999</v>
          </cell>
          <cell r="HP576">
            <v>139.69499999999999</v>
          </cell>
          <cell r="HQ576">
            <v>149.07499999999999</v>
          </cell>
          <cell r="HR576">
            <v>144.05067</v>
          </cell>
          <cell r="HS576">
            <v>137.43107000000001</v>
          </cell>
          <cell r="HT576">
            <v>131.68213499999999</v>
          </cell>
          <cell r="HU576">
            <v>127.21022000000001</v>
          </cell>
          <cell r="HV576">
            <v>126.96700999999999</v>
          </cell>
          <cell r="HW576">
            <v>133.13335500000002</v>
          </cell>
          <cell r="HX576">
            <v>135.64585500000001</v>
          </cell>
          <cell r="HY576">
            <v>135.06664000000001</v>
          </cell>
          <cell r="HZ576">
            <v>133.61374499999999</v>
          </cell>
          <cell r="IA576">
            <v>132.191</v>
          </cell>
          <cell r="IB576">
            <v>132.3451</v>
          </cell>
          <cell r="IC576">
            <v>127.12245000000001</v>
          </cell>
          <cell r="ID576">
            <v>124.89202000000002</v>
          </cell>
          <cell r="IE576">
            <v>121.34437</v>
          </cell>
          <cell r="IF576">
            <v>123.49105</v>
          </cell>
          <cell r="IG576">
            <v>121.07101</v>
          </cell>
          <cell r="IH576">
            <v>85.424999999999997</v>
          </cell>
          <cell r="II576">
            <v>85.424999999999997</v>
          </cell>
          <cell r="IJ576">
            <v>83.75</v>
          </cell>
          <cell r="IK576">
            <v>85.424999999999997</v>
          </cell>
        </row>
        <row r="577">
          <cell r="X577">
            <v>17.0625</v>
          </cell>
          <cell r="Y577">
            <v>17.0625</v>
          </cell>
          <cell r="Z577">
            <v>19.11</v>
          </cell>
          <cell r="AA577">
            <v>17.745000000000001</v>
          </cell>
          <cell r="AB577">
            <v>17.745000000000001</v>
          </cell>
          <cell r="AC577">
            <v>17.745000000000001</v>
          </cell>
          <cell r="AD577">
            <v>18.427499999999998</v>
          </cell>
          <cell r="AE577">
            <v>18.768750000000001</v>
          </cell>
          <cell r="AF577">
            <v>19.11</v>
          </cell>
          <cell r="AG577">
            <v>18.768750000000001</v>
          </cell>
          <cell r="AH577">
            <v>18.427499999999998</v>
          </cell>
          <cell r="AI577">
            <v>17.745000000000001</v>
          </cell>
          <cell r="AJ577">
            <v>17.0625</v>
          </cell>
          <cell r="AK577">
            <v>16.721250000000001</v>
          </cell>
          <cell r="AL577">
            <v>16.721250000000001</v>
          </cell>
          <cell r="AM577">
            <v>16.721250000000001</v>
          </cell>
          <cell r="AN577">
            <v>16.721250000000001</v>
          </cell>
          <cell r="AO577">
            <v>17.0625</v>
          </cell>
          <cell r="AP577">
            <v>17.403749999999999</v>
          </cell>
          <cell r="AQ577">
            <v>17.403749999999999</v>
          </cell>
          <cell r="AR577">
            <v>17.403749999999999</v>
          </cell>
          <cell r="AS577">
            <v>16.721250000000001</v>
          </cell>
          <cell r="AT577">
            <v>16.38</v>
          </cell>
          <cell r="AU577">
            <v>16.03875</v>
          </cell>
          <cell r="AV577">
            <v>15.6975</v>
          </cell>
          <cell r="AW577">
            <v>15.356249999999999</v>
          </cell>
          <cell r="AX577">
            <v>15.356249999999999</v>
          </cell>
          <cell r="AY577">
            <v>15.356249999999999</v>
          </cell>
          <cell r="AZ577">
            <v>16.03875</v>
          </cell>
          <cell r="BA577">
            <v>16.721250000000001</v>
          </cell>
          <cell r="BB577">
            <v>17.403749999999999</v>
          </cell>
          <cell r="BC577">
            <v>18.768750000000001</v>
          </cell>
          <cell r="BD577">
            <v>19.451250000000002</v>
          </cell>
          <cell r="BE577">
            <v>20.81625</v>
          </cell>
          <cell r="BF577">
            <v>22.181249999999999</v>
          </cell>
          <cell r="BG577">
            <v>23.546250000000001</v>
          </cell>
          <cell r="BH577">
            <v>24.911249999999999</v>
          </cell>
          <cell r="BI577">
            <v>26.276250000000001</v>
          </cell>
          <cell r="BJ577">
            <v>27.641249999999999</v>
          </cell>
          <cell r="BK577">
            <v>29.006250000000001</v>
          </cell>
          <cell r="BL577">
            <v>30.37125</v>
          </cell>
          <cell r="BM577">
            <v>31.736249999999998</v>
          </cell>
          <cell r="BN577">
            <v>31.736249999999998</v>
          </cell>
          <cell r="BO577">
            <v>31.736249999999998</v>
          </cell>
          <cell r="BP577">
            <v>31.736249999999998</v>
          </cell>
          <cell r="BQ577">
            <v>30.37125</v>
          </cell>
          <cell r="BR577">
            <v>27.641249999999999</v>
          </cell>
          <cell r="BS577">
            <v>25.59375</v>
          </cell>
          <cell r="BT577">
            <v>23.546250000000001</v>
          </cell>
          <cell r="BU577">
            <v>22.181249999999999</v>
          </cell>
          <cell r="BV577">
            <v>20.81625</v>
          </cell>
          <cell r="BW577">
            <v>20.81625</v>
          </cell>
          <cell r="BX577">
            <v>20.81625</v>
          </cell>
          <cell r="BY577">
            <v>22.181249999999999</v>
          </cell>
          <cell r="BZ577">
            <v>23.546250000000001</v>
          </cell>
          <cell r="CA577">
            <v>24.228750000000002</v>
          </cell>
          <cell r="CB577">
            <v>24.228750000000002</v>
          </cell>
          <cell r="CC577">
            <v>24.911249999999999</v>
          </cell>
          <cell r="CD577">
            <v>24.911249999999999</v>
          </cell>
          <cell r="CE577">
            <v>24.911249999999999</v>
          </cell>
          <cell r="CF577">
            <v>24.911249999999999</v>
          </cell>
          <cell r="CG577">
            <v>25.59375</v>
          </cell>
          <cell r="CH577">
            <v>26.276250000000001</v>
          </cell>
          <cell r="CI577">
            <v>26.958749999999998</v>
          </cell>
          <cell r="CJ577">
            <v>26.958749999999998</v>
          </cell>
          <cell r="CK577">
            <v>26.958749999999998</v>
          </cell>
          <cell r="CL577">
            <v>26.958749999999998</v>
          </cell>
          <cell r="CM577">
            <v>26.958749999999998</v>
          </cell>
          <cell r="CN577">
            <v>26.958749999999998</v>
          </cell>
          <cell r="CO577">
            <v>26.958749999999998</v>
          </cell>
          <cell r="CP577">
            <v>25.934999999999999</v>
          </cell>
          <cell r="CQ577">
            <v>24.57</v>
          </cell>
          <cell r="CR577">
            <v>23.546250000000001</v>
          </cell>
          <cell r="CS577">
            <v>22.522500000000001</v>
          </cell>
          <cell r="CT577">
            <v>21.498750000000001</v>
          </cell>
          <cell r="CU577">
            <v>20.133749999999999</v>
          </cell>
          <cell r="CV577">
            <v>18.768750000000001</v>
          </cell>
          <cell r="CW577">
            <v>18.08625</v>
          </cell>
          <cell r="CX577">
            <v>17.403749999999999</v>
          </cell>
          <cell r="CY577">
            <v>17.0625</v>
          </cell>
          <cell r="CZ577">
            <v>17.0625</v>
          </cell>
          <cell r="DA577">
            <v>16.38</v>
          </cell>
          <cell r="DB577">
            <v>16.38</v>
          </cell>
          <cell r="DC577">
            <v>15.6975</v>
          </cell>
          <cell r="DD577">
            <v>15.356249999999999</v>
          </cell>
          <cell r="DE577">
            <v>15.015000000000001</v>
          </cell>
          <cell r="DF577">
            <v>14.67375</v>
          </cell>
          <cell r="DG577">
            <v>14.3325</v>
          </cell>
          <cell r="DH577">
            <v>14.3325</v>
          </cell>
          <cell r="DI577">
            <v>14.3325</v>
          </cell>
          <cell r="DJ577">
            <v>15.015000000000001</v>
          </cell>
          <cell r="DK577">
            <v>16.38</v>
          </cell>
          <cell r="DL577">
            <v>17.745000000000001</v>
          </cell>
          <cell r="DM577">
            <v>19.11</v>
          </cell>
          <cell r="DN577">
            <v>21.157499999999999</v>
          </cell>
          <cell r="DO577">
            <v>23.204999999999998</v>
          </cell>
          <cell r="DP577">
            <v>24.57</v>
          </cell>
          <cell r="DQ577">
            <v>24.57</v>
          </cell>
          <cell r="DR577">
            <v>24.57</v>
          </cell>
          <cell r="DS577">
            <v>25.934999999999999</v>
          </cell>
          <cell r="DT577">
            <v>28.664999999999999</v>
          </cell>
          <cell r="DU577">
            <v>31.395</v>
          </cell>
          <cell r="DV577">
            <v>34.125</v>
          </cell>
          <cell r="DW577">
            <v>35.49</v>
          </cell>
          <cell r="DX577">
            <v>35.49</v>
          </cell>
          <cell r="DY577">
            <v>32.76</v>
          </cell>
          <cell r="DZ577">
            <v>30.712499999999999</v>
          </cell>
          <cell r="EA577">
            <v>30.712499999999999</v>
          </cell>
          <cell r="EB577">
            <v>30.712499999999999</v>
          </cell>
          <cell r="EC577">
            <v>30.03</v>
          </cell>
          <cell r="ED577">
            <v>29.3475</v>
          </cell>
          <cell r="EE577">
            <v>28.664999999999999</v>
          </cell>
          <cell r="EF577">
            <v>27.982500000000002</v>
          </cell>
          <cell r="EG577">
            <v>25.252500000000001</v>
          </cell>
          <cell r="EH577">
            <v>23.887499999999999</v>
          </cell>
          <cell r="EI577">
            <v>21.157499999999999</v>
          </cell>
          <cell r="EJ577">
            <v>19.451250000000002</v>
          </cell>
          <cell r="EK577">
            <v>19.451250000000002</v>
          </cell>
          <cell r="EL577">
            <v>21.157499999999999</v>
          </cell>
          <cell r="EM577">
            <v>23.887499999999999</v>
          </cell>
          <cell r="EN577">
            <v>23.887499999999999</v>
          </cell>
          <cell r="EO577">
            <v>21.157499999999999</v>
          </cell>
          <cell r="EP577">
            <v>19.7925</v>
          </cell>
          <cell r="EQ577">
            <v>19.7925</v>
          </cell>
          <cell r="ER577">
            <v>20.81625</v>
          </cell>
          <cell r="ES577">
            <v>23.546250000000001</v>
          </cell>
          <cell r="ET577">
            <v>26.276250000000001</v>
          </cell>
          <cell r="EU577">
            <v>27.641249999999999</v>
          </cell>
          <cell r="EV577">
            <v>27.641249999999999</v>
          </cell>
          <cell r="EW577">
            <v>27.641249999999999</v>
          </cell>
          <cell r="EX577">
            <v>25.934999999999999</v>
          </cell>
          <cell r="EY577">
            <v>25.934999999999999</v>
          </cell>
          <cell r="EZ577">
            <v>25.252500000000001</v>
          </cell>
          <cell r="FA577">
            <v>24.57</v>
          </cell>
          <cell r="FB577">
            <v>27.3</v>
          </cell>
          <cell r="FC577">
            <v>30.03</v>
          </cell>
          <cell r="FD577">
            <v>35.49</v>
          </cell>
          <cell r="FE577">
            <v>35.49</v>
          </cell>
          <cell r="FF577">
            <v>32.077500000000001</v>
          </cell>
          <cell r="FG577">
            <v>28.664999999999999</v>
          </cell>
          <cell r="FH577">
            <v>25.934999999999999</v>
          </cell>
          <cell r="FI577">
            <v>25.934999999999999</v>
          </cell>
          <cell r="FJ577">
            <v>27.3</v>
          </cell>
          <cell r="FK577">
            <v>26.6175</v>
          </cell>
          <cell r="FL577">
            <v>27.3</v>
          </cell>
          <cell r="FM577">
            <v>28.664999999999999</v>
          </cell>
          <cell r="FN577">
            <v>32.418750000000003</v>
          </cell>
          <cell r="FO577">
            <v>37.878749999999997</v>
          </cell>
          <cell r="FP577">
            <v>41.973750000000003</v>
          </cell>
          <cell r="FQ577">
            <v>41.973750000000003</v>
          </cell>
          <cell r="FR577">
            <v>41.973750000000003</v>
          </cell>
          <cell r="FS577">
            <v>41.973750000000003</v>
          </cell>
          <cell r="FT577">
            <v>40.950000000000003</v>
          </cell>
          <cell r="FU577">
            <v>41.6325</v>
          </cell>
          <cell r="FV577">
            <v>45.727499999999999</v>
          </cell>
          <cell r="FW577">
            <v>49.822499999999998</v>
          </cell>
          <cell r="FX577">
            <v>55.282499999999999</v>
          </cell>
          <cell r="FY577">
            <v>60.7425</v>
          </cell>
          <cell r="FZ577">
            <v>60.7425</v>
          </cell>
          <cell r="GA577">
            <v>64.155000000000001</v>
          </cell>
          <cell r="GB577">
            <v>61.424999999999997</v>
          </cell>
          <cell r="GC577">
            <v>56.647500000000001</v>
          </cell>
          <cell r="GD577">
            <v>48.457500000000003</v>
          </cell>
          <cell r="GE577">
            <v>42.997500000000002</v>
          </cell>
          <cell r="GF577">
            <v>44.362499999999997</v>
          </cell>
          <cell r="GG577">
            <v>47.092500000000001</v>
          </cell>
          <cell r="GH577">
            <v>53.917499999999997</v>
          </cell>
          <cell r="GI577">
            <v>67.567499999999995</v>
          </cell>
          <cell r="GJ577">
            <v>67.567499999999995</v>
          </cell>
          <cell r="GK577">
            <v>60.7425</v>
          </cell>
          <cell r="GL577">
            <v>54.6</v>
          </cell>
          <cell r="GM577">
            <v>61.424999999999997</v>
          </cell>
          <cell r="GN577">
            <v>62.107500000000002</v>
          </cell>
          <cell r="GO577">
            <v>62.107500000000002</v>
          </cell>
          <cell r="GP577">
            <v>65.52</v>
          </cell>
          <cell r="GQ577">
            <v>69.614999999999995</v>
          </cell>
          <cell r="GR577">
            <v>64.155000000000001</v>
          </cell>
          <cell r="GS577">
            <v>68.25</v>
          </cell>
          <cell r="GT577">
            <v>70.98</v>
          </cell>
          <cell r="GU577">
            <v>65.52</v>
          </cell>
          <cell r="GV577">
            <v>53.234999999999999</v>
          </cell>
          <cell r="GW577">
            <v>53.234999999999999</v>
          </cell>
          <cell r="GX577">
            <v>56.483700000000006</v>
          </cell>
          <cell r="GY577">
            <v>60.06</v>
          </cell>
          <cell r="GZ577">
            <v>60.06</v>
          </cell>
          <cell r="HA577">
            <v>65.52</v>
          </cell>
          <cell r="HB577">
            <v>70.98</v>
          </cell>
          <cell r="HC577">
            <v>67.908749999999998</v>
          </cell>
          <cell r="HD577">
            <v>68.932500000000005</v>
          </cell>
          <cell r="HE577">
            <v>71.321250000000006</v>
          </cell>
          <cell r="HF577">
            <v>67.908749999999998</v>
          </cell>
          <cell r="HG577">
            <v>72.003749999999997</v>
          </cell>
          <cell r="HH577">
            <v>81.900000000000006</v>
          </cell>
          <cell r="HI577">
            <v>82.582499999999996</v>
          </cell>
          <cell r="HJ577">
            <v>83.265000000000001</v>
          </cell>
          <cell r="HK577">
            <v>79.17</v>
          </cell>
          <cell r="HL577">
            <v>81.900000000000006</v>
          </cell>
          <cell r="HM577">
            <v>86.677499999999995</v>
          </cell>
          <cell r="HN577">
            <v>92.137500000000003</v>
          </cell>
          <cell r="HO577">
            <v>100.3275</v>
          </cell>
          <cell r="HP577">
            <v>113.97750000000001</v>
          </cell>
          <cell r="HQ577">
            <v>113.97750000000001</v>
          </cell>
          <cell r="HR577">
            <v>109.88249999999999</v>
          </cell>
          <cell r="HS577">
            <v>105.105</v>
          </cell>
          <cell r="HT577">
            <v>101.01</v>
          </cell>
          <cell r="HU577">
            <v>98.28</v>
          </cell>
          <cell r="HV577">
            <v>98.28</v>
          </cell>
          <cell r="HW577">
            <v>98.28</v>
          </cell>
          <cell r="HX577">
            <v>96.915000000000006</v>
          </cell>
          <cell r="HY577">
            <v>92.82</v>
          </cell>
          <cell r="HZ577">
            <v>91.454999999999998</v>
          </cell>
          <cell r="IA577">
            <v>88.724999999999994</v>
          </cell>
          <cell r="IB577">
            <v>88.724999999999994</v>
          </cell>
          <cell r="IC577">
            <v>87.36</v>
          </cell>
          <cell r="ID577">
            <v>87.36</v>
          </cell>
          <cell r="IE577">
            <v>85.995000000000005</v>
          </cell>
          <cell r="IF577">
            <v>85.995000000000005</v>
          </cell>
          <cell r="IG577">
            <v>85.995000000000005</v>
          </cell>
          <cell r="IH577">
            <v>63.472499999999997</v>
          </cell>
          <cell r="II577">
            <v>63.472499999999997</v>
          </cell>
          <cell r="IJ577">
            <v>62.107500000000002</v>
          </cell>
          <cell r="IK577">
            <v>61.424999999999997</v>
          </cell>
        </row>
        <row r="578">
          <cell r="X578">
            <v>5.625</v>
          </cell>
          <cell r="Y578">
            <v>5.625</v>
          </cell>
          <cell r="Z578">
            <v>5.625</v>
          </cell>
          <cell r="AA578">
            <v>5.625</v>
          </cell>
          <cell r="AB578">
            <v>6.25</v>
          </cell>
          <cell r="AC578">
            <v>6.875</v>
          </cell>
          <cell r="AD578">
            <v>6.875</v>
          </cell>
          <cell r="AE578">
            <v>6.875</v>
          </cell>
          <cell r="AF578">
            <v>8.75</v>
          </cell>
          <cell r="AG578">
            <v>8.75</v>
          </cell>
          <cell r="AH578">
            <v>8.75</v>
          </cell>
          <cell r="AI578">
            <v>8.75</v>
          </cell>
          <cell r="AJ578">
            <v>8.75</v>
          </cell>
          <cell r="AK578">
            <v>8.75</v>
          </cell>
          <cell r="AL578">
            <v>9.375</v>
          </cell>
          <cell r="AM578">
            <v>9.375</v>
          </cell>
          <cell r="AN578">
            <v>10</v>
          </cell>
          <cell r="AO578">
            <v>13.75</v>
          </cell>
          <cell r="AP578">
            <v>13.75</v>
          </cell>
          <cell r="AQ578">
            <v>11.875</v>
          </cell>
          <cell r="AR578">
            <v>18.75</v>
          </cell>
          <cell r="AS578">
            <v>18.125</v>
          </cell>
          <cell r="AT578">
            <v>18.125</v>
          </cell>
          <cell r="AU578">
            <v>22.5</v>
          </cell>
          <cell r="AV578">
            <v>23.125</v>
          </cell>
          <cell r="AW578">
            <v>23.125</v>
          </cell>
          <cell r="AX578">
            <v>23.125</v>
          </cell>
          <cell r="AY578">
            <v>23.125</v>
          </cell>
          <cell r="AZ578">
            <v>23.125</v>
          </cell>
          <cell r="BA578">
            <v>22.8125</v>
          </cell>
          <cell r="BB578">
            <v>22.1875</v>
          </cell>
          <cell r="BC578">
            <v>22.1875</v>
          </cell>
          <cell r="BD578">
            <v>21.875</v>
          </cell>
          <cell r="BE578">
            <v>21.875</v>
          </cell>
          <cell r="BF578">
            <v>21.875</v>
          </cell>
          <cell r="BG578">
            <v>20.625</v>
          </cell>
          <cell r="BH578">
            <v>20</v>
          </cell>
          <cell r="BI578">
            <v>21.875</v>
          </cell>
          <cell r="BJ578">
            <v>21.25</v>
          </cell>
          <cell r="BK578">
            <v>20.625</v>
          </cell>
          <cell r="BL578">
            <v>20.625</v>
          </cell>
          <cell r="BM578">
            <v>20.625</v>
          </cell>
          <cell r="BN578">
            <v>20.625</v>
          </cell>
          <cell r="BO578">
            <v>21.25</v>
          </cell>
          <cell r="BP578">
            <v>21.875</v>
          </cell>
          <cell r="BQ578">
            <v>21.875</v>
          </cell>
          <cell r="BR578">
            <v>21.875</v>
          </cell>
          <cell r="BS578">
            <v>21.875</v>
          </cell>
          <cell r="BT578">
            <v>21.25</v>
          </cell>
          <cell r="BU578">
            <v>20.9375</v>
          </cell>
          <cell r="BV578">
            <v>20.3125</v>
          </cell>
          <cell r="BW578">
            <v>18.4375</v>
          </cell>
          <cell r="BX578">
            <v>18.4375</v>
          </cell>
          <cell r="BY578">
            <v>19.6875</v>
          </cell>
          <cell r="BZ578">
            <v>19.6875</v>
          </cell>
          <cell r="CA578">
            <v>19.6875</v>
          </cell>
          <cell r="CB578">
            <v>19.6875</v>
          </cell>
          <cell r="CC578">
            <v>21.25</v>
          </cell>
          <cell r="CD578">
            <v>21.25</v>
          </cell>
          <cell r="CE578">
            <v>20.9375</v>
          </cell>
          <cell r="CF578">
            <v>20.9375</v>
          </cell>
          <cell r="CG578">
            <v>20.9375</v>
          </cell>
          <cell r="CH578">
            <v>22.5</v>
          </cell>
          <cell r="CI578">
            <v>23.4375</v>
          </cell>
          <cell r="CJ578">
            <v>23.4375</v>
          </cell>
          <cell r="CK578">
            <v>23.75</v>
          </cell>
          <cell r="CL578">
            <v>27.8125</v>
          </cell>
          <cell r="CM578">
            <v>27.8125</v>
          </cell>
          <cell r="CN578">
            <v>28.125</v>
          </cell>
          <cell r="CO578">
            <v>28.125</v>
          </cell>
          <cell r="CP578">
            <v>28.125</v>
          </cell>
          <cell r="CQ578">
            <v>28.125</v>
          </cell>
          <cell r="CR578">
            <v>28.125</v>
          </cell>
          <cell r="CS578">
            <v>26.875</v>
          </cell>
          <cell r="CT578">
            <v>26.875</v>
          </cell>
          <cell r="CU578">
            <v>25.625</v>
          </cell>
          <cell r="CV578">
            <v>25.625</v>
          </cell>
          <cell r="CW578">
            <v>18.75</v>
          </cell>
          <cell r="CX578">
            <v>19.375</v>
          </cell>
          <cell r="CY578">
            <v>19.375</v>
          </cell>
          <cell r="CZ578">
            <v>16.25</v>
          </cell>
          <cell r="DA578">
            <v>15</v>
          </cell>
          <cell r="DB578">
            <v>11.875</v>
          </cell>
          <cell r="DC578">
            <v>11.875</v>
          </cell>
          <cell r="DD578">
            <v>11.875</v>
          </cell>
          <cell r="DE578">
            <v>11.875</v>
          </cell>
          <cell r="DF578">
            <v>11.875</v>
          </cell>
          <cell r="DG578">
            <v>10.3125</v>
          </cell>
          <cell r="DH578">
            <v>10.3125</v>
          </cell>
          <cell r="DI578">
            <v>10.3125</v>
          </cell>
          <cell r="DJ578">
            <v>10.3125</v>
          </cell>
          <cell r="DK578">
            <v>10.625</v>
          </cell>
          <cell r="DL578">
            <v>13.4375</v>
          </cell>
          <cell r="DM578">
            <v>13.4375</v>
          </cell>
          <cell r="DN578">
            <v>13.4375</v>
          </cell>
          <cell r="DO578">
            <v>18.4375</v>
          </cell>
          <cell r="DP578">
            <v>18.4375</v>
          </cell>
          <cell r="DQ578">
            <v>18.4375</v>
          </cell>
          <cell r="DR578">
            <v>23.125</v>
          </cell>
          <cell r="DS578">
            <v>23.125</v>
          </cell>
          <cell r="DT578">
            <v>23.125</v>
          </cell>
          <cell r="DU578">
            <v>27.5</v>
          </cell>
          <cell r="DV578">
            <v>27.5</v>
          </cell>
          <cell r="DW578">
            <v>27.5</v>
          </cell>
          <cell r="DX578">
            <v>27.5</v>
          </cell>
          <cell r="DY578">
            <v>27.5</v>
          </cell>
          <cell r="DZ578">
            <v>27.5</v>
          </cell>
          <cell r="EA578">
            <v>22.5</v>
          </cell>
          <cell r="EB578">
            <v>22.5</v>
          </cell>
          <cell r="EC578">
            <v>22.5</v>
          </cell>
          <cell r="ED578">
            <v>12.8125</v>
          </cell>
          <cell r="EE578">
            <v>12.8125</v>
          </cell>
          <cell r="EF578">
            <v>12.8125</v>
          </cell>
          <cell r="EG578">
            <v>11.5625</v>
          </cell>
          <cell r="EH578">
            <v>11.5625</v>
          </cell>
          <cell r="EI578">
            <v>11.5625</v>
          </cell>
          <cell r="EJ578">
            <v>10</v>
          </cell>
          <cell r="EK578">
            <v>10</v>
          </cell>
          <cell r="EL578">
            <v>10</v>
          </cell>
          <cell r="EM578">
            <v>8.75</v>
          </cell>
          <cell r="EN578">
            <v>8.75</v>
          </cell>
          <cell r="EO578">
            <v>8.75</v>
          </cell>
          <cell r="EP578">
            <v>8.75</v>
          </cell>
          <cell r="EQ578">
            <v>8.75</v>
          </cell>
          <cell r="ER578">
            <v>8.75</v>
          </cell>
          <cell r="ES578">
            <v>15</v>
          </cell>
          <cell r="ET578">
            <v>15</v>
          </cell>
          <cell r="EU578">
            <v>15</v>
          </cell>
          <cell r="EV578">
            <v>26.875</v>
          </cell>
          <cell r="EW578">
            <v>26.875</v>
          </cell>
          <cell r="EX578">
            <v>26.875</v>
          </cell>
          <cell r="EY578">
            <v>26.875</v>
          </cell>
          <cell r="EZ578">
            <v>26.875</v>
          </cell>
          <cell r="FA578">
            <v>26.875</v>
          </cell>
          <cell r="FB578">
            <v>26.875</v>
          </cell>
          <cell r="FC578">
            <v>26.875</v>
          </cell>
          <cell r="FD578">
            <v>26.875</v>
          </cell>
          <cell r="FE578">
            <v>31.25</v>
          </cell>
          <cell r="FF578">
            <v>31.25</v>
          </cell>
          <cell r="FG578">
            <v>31.25</v>
          </cell>
          <cell r="FH578">
            <v>27.8125</v>
          </cell>
          <cell r="FI578">
            <v>27.8125</v>
          </cell>
          <cell r="FJ578">
            <v>27.8125</v>
          </cell>
          <cell r="FK578">
            <v>26.25</v>
          </cell>
          <cell r="FL578">
            <v>26.25</v>
          </cell>
          <cell r="FM578">
            <v>25.3125</v>
          </cell>
          <cell r="FN578">
            <v>25.3125</v>
          </cell>
          <cell r="FO578">
            <v>25.3125</v>
          </cell>
          <cell r="FP578">
            <v>25.3125</v>
          </cell>
          <cell r="FQ578">
            <v>33.75</v>
          </cell>
          <cell r="FR578">
            <v>33.75</v>
          </cell>
          <cell r="FS578">
            <v>33.75</v>
          </cell>
          <cell r="FT578">
            <v>36.25</v>
          </cell>
          <cell r="FU578">
            <v>36.25</v>
          </cell>
          <cell r="FV578">
            <v>36.25</v>
          </cell>
          <cell r="FW578">
            <v>38.75</v>
          </cell>
          <cell r="FX578">
            <v>38.75</v>
          </cell>
          <cell r="FY578">
            <v>38.75</v>
          </cell>
          <cell r="FZ578">
            <v>41.25</v>
          </cell>
          <cell r="GA578">
            <v>41.25</v>
          </cell>
          <cell r="GB578">
            <v>41.25</v>
          </cell>
          <cell r="GC578">
            <v>43.75</v>
          </cell>
          <cell r="GD578">
            <v>43.75</v>
          </cell>
          <cell r="GE578">
            <v>43.75</v>
          </cell>
          <cell r="GF578">
            <v>43.75</v>
          </cell>
          <cell r="GG578">
            <v>43.75</v>
          </cell>
          <cell r="GH578">
            <v>43.75</v>
          </cell>
          <cell r="GI578">
            <v>44.6875</v>
          </cell>
          <cell r="GJ578">
            <v>44.6875</v>
          </cell>
          <cell r="GK578">
            <v>44.6875</v>
          </cell>
          <cell r="GL578">
            <v>41.5625</v>
          </cell>
          <cell r="GM578">
            <v>41.5625</v>
          </cell>
          <cell r="GN578">
            <v>41.5625</v>
          </cell>
          <cell r="GO578">
            <v>41.5625</v>
          </cell>
          <cell r="GP578">
            <v>41.5625</v>
          </cell>
          <cell r="GQ578">
            <v>41.5625</v>
          </cell>
          <cell r="GR578">
            <v>41.5625</v>
          </cell>
          <cell r="GS578">
            <v>41.5625</v>
          </cell>
          <cell r="GT578">
            <v>41.5625</v>
          </cell>
          <cell r="GU578">
            <v>41.5625</v>
          </cell>
          <cell r="GV578">
            <v>39.6875</v>
          </cell>
          <cell r="GW578">
            <v>39.6875</v>
          </cell>
          <cell r="GX578">
            <v>37.1875</v>
          </cell>
          <cell r="GY578">
            <v>37.1875</v>
          </cell>
          <cell r="GZ578">
            <v>37.1875</v>
          </cell>
          <cell r="HA578">
            <v>40.3125</v>
          </cell>
          <cell r="HB578">
            <v>40.3125</v>
          </cell>
          <cell r="HC578">
            <v>40.3125</v>
          </cell>
          <cell r="HD578">
            <v>40.3125</v>
          </cell>
          <cell r="HE578">
            <v>40.3125</v>
          </cell>
          <cell r="HF578">
            <v>40.3125</v>
          </cell>
          <cell r="HG578">
            <v>40.3125</v>
          </cell>
          <cell r="HH578">
            <v>40.3125</v>
          </cell>
          <cell r="HI578">
            <v>40.3125</v>
          </cell>
          <cell r="HJ578">
            <v>38.4375</v>
          </cell>
          <cell r="HK578">
            <v>38.4375</v>
          </cell>
          <cell r="HL578">
            <v>35.625</v>
          </cell>
          <cell r="HM578">
            <v>34.375</v>
          </cell>
          <cell r="HN578">
            <v>34.375</v>
          </cell>
          <cell r="HO578">
            <v>34.375</v>
          </cell>
          <cell r="HP578">
            <v>33.125</v>
          </cell>
          <cell r="HQ578">
            <v>33.125</v>
          </cell>
          <cell r="HR578">
            <v>33.125</v>
          </cell>
          <cell r="HS578">
            <v>31.25</v>
          </cell>
          <cell r="HT578">
            <v>31.25</v>
          </cell>
          <cell r="HU578">
            <v>31.25</v>
          </cell>
          <cell r="HV578">
            <v>30</v>
          </cell>
          <cell r="HW578">
            <v>30</v>
          </cell>
          <cell r="HX578">
            <v>30</v>
          </cell>
          <cell r="HY578">
            <v>30</v>
          </cell>
          <cell r="HZ578">
            <v>30</v>
          </cell>
          <cell r="IA578">
            <v>30</v>
          </cell>
          <cell r="IB578">
            <v>31.25</v>
          </cell>
          <cell r="IC578">
            <v>31.25</v>
          </cell>
          <cell r="ID578">
            <v>31.25</v>
          </cell>
          <cell r="IE578">
            <v>31.25</v>
          </cell>
          <cell r="IF578">
            <v>31.25</v>
          </cell>
          <cell r="IG578">
            <v>31.25</v>
          </cell>
          <cell r="IH578">
            <v>37.5</v>
          </cell>
          <cell r="II578">
            <v>37.5</v>
          </cell>
          <cell r="IJ578">
            <v>37.5</v>
          </cell>
          <cell r="IK578">
            <v>37.5</v>
          </cell>
        </row>
        <row r="579">
          <cell r="X579">
            <v>158.15</v>
          </cell>
          <cell r="Y579">
            <v>158.5625</v>
          </cell>
          <cell r="Z579">
            <v>137.3012999563224</v>
          </cell>
          <cell r="AA579">
            <v>129.68552413190662</v>
          </cell>
          <cell r="AB579">
            <v>130.74783031229512</v>
          </cell>
          <cell r="AC579">
            <v>133.98979416903251</v>
          </cell>
          <cell r="AD579">
            <v>137.2528379558857</v>
          </cell>
          <cell r="AE579">
            <v>141.67224967241765</v>
          </cell>
          <cell r="AF579">
            <v>150.62237715658424</v>
          </cell>
          <cell r="AG579">
            <v>150.81862715658426</v>
          </cell>
          <cell r="AH579">
            <v>151.81251419523909</v>
          </cell>
          <cell r="AI579">
            <v>147.90592924219277</v>
          </cell>
          <cell r="AJ579">
            <v>150.8604231273205</v>
          </cell>
          <cell r="AK579">
            <v>148.15884063114231</v>
          </cell>
          <cell r="AL579">
            <v>144.65574999999998</v>
          </cell>
          <cell r="AM579">
            <v>142.32124999999999</v>
          </cell>
          <cell r="AN579">
            <v>146.60575</v>
          </cell>
          <cell r="AO579">
            <v>150.95600000000002</v>
          </cell>
          <cell r="AP579">
            <v>153.52825000000001</v>
          </cell>
          <cell r="AQ579">
            <v>146.80475000000001</v>
          </cell>
          <cell r="AR579">
            <v>150.03575000000001</v>
          </cell>
          <cell r="AS579">
            <v>149.60075000000001</v>
          </cell>
          <cell r="AT579">
            <v>150.54599999999999</v>
          </cell>
          <cell r="AU579">
            <v>150.30274999999997</v>
          </cell>
          <cell r="AV579">
            <v>149.4375</v>
          </cell>
          <cell r="AW579">
            <v>149.06625000000003</v>
          </cell>
          <cell r="AX579">
            <v>144.66325000000001</v>
          </cell>
          <cell r="AY579">
            <v>145.75774999999999</v>
          </cell>
          <cell r="AZ579">
            <v>151.41524999999999</v>
          </cell>
          <cell r="BA579">
            <v>154.135175</v>
          </cell>
          <cell r="BB579">
            <v>160.2154625</v>
          </cell>
          <cell r="BC579">
            <v>159.27862500000001</v>
          </cell>
          <cell r="BD579">
            <v>164.83510000000001</v>
          </cell>
          <cell r="BE579">
            <v>173.47480000000002</v>
          </cell>
          <cell r="BF579">
            <v>191.22265000000002</v>
          </cell>
          <cell r="BG579">
            <v>190.86552499999999</v>
          </cell>
          <cell r="BH579">
            <v>187.59657499999997</v>
          </cell>
          <cell r="BI579">
            <v>192.91525000000001</v>
          </cell>
          <cell r="BJ579">
            <v>199.58425</v>
          </cell>
          <cell r="BK579">
            <v>205.53920000000002</v>
          </cell>
          <cell r="BL579">
            <v>200.1575</v>
          </cell>
          <cell r="BM579">
            <v>203.99914999999999</v>
          </cell>
          <cell r="BN579">
            <v>208.1508</v>
          </cell>
          <cell r="BO579">
            <v>203.72897499999999</v>
          </cell>
          <cell r="BP579">
            <v>193.87675000000002</v>
          </cell>
          <cell r="BQ579">
            <v>185.87739999999999</v>
          </cell>
          <cell r="BR579">
            <v>176.275375</v>
          </cell>
          <cell r="BS579">
            <v>162.885875</v>
          </cell>
          <cell r="BT579">
            <v>154.67061000000001</v>
          </cell>
          <cell r="BU579">
            <v>154.92509999999999</v>
          </cell>
          <cell r="BV579">
            <v>155.78874999999999</v>
          </cell>
          <cell r="BW579">
            <v>153.27875</v>
          </cell>
          <cell r="BX579">
            <v>156.229525</v>
          </cell>
          <cell r="BY579">
            <v>165.56625</v>
          </cell>
          <cell r="BZ579">
            <v>172.99857500000002</v>
          </cell>
          <cell r="CA579">
            <v>176.635875</v>
          </cell>
          <cell r="CB579">
            <v>180.34124999999997</v>
          </cell>
          <cell r="CC579">
            <v>181.6172</v>
          </cell>
          <cell r="CD579">
            <v>185.67849999999999</v>
          </cell>
          <cell r="CE579">
            <v>181.55201875</v>
          </cell>
          <cell r="CF579">
            <v>188.66202499999997</v>
          </cell>
          <cell r="CG579">
            <v>203.31125</v>
          </cell>
          <cell r="CH579">
            <v>211.240105</v>
          </cell>
          <cell r="CI579">
            <v>208.455105</v>
          </cell>
          <cell r="CJ579">
            <v>194.35510499999998</v>
          </cell>
          <cell r="CK579">
            <v>195.09875</v>
          </cell>
          <cell r="CL579">
            <v>199.99375000000001</v>
          </cell>
          <cell r="CM579">
            <v>192.9499375</v>
          </cell>
          <cell r="CN579">
            <v>190.34993750000001</v>
          </cell>
          <cell r="CO579">
            <v>193.74668750000001</v>
          </cell>
          <cell r="CP579">
            <v>198.573375</v>
          </cell>
          <cell r="CQ579">
            <v>198.33384999999998</v>
          </cell>
          <cell r="CR579">
            <v>198.41037499999999</v>
          </cell>
          <cell r="CS579">
            <v>188.44849375000001</v>
          </cell>
          <cell r="CT579">
            <v>185.97375</v>
          </cell>
          <cell r="CU579">
            <v>167.47874999999999</v>
          </cell>
          <cell r="CV579">
            <v>161.31625</v>
          </cell>
          <cell r="CW579">
            <v>150.60374999999999</v>
          </cell>
          <cell r="CX579">
            <v>147.64374999999998</v>
          </cell>
          <cell r="CY579">
            <v>142.99250000000001</v>
          </cell>
          <cell r="CZ579">
            <v>140.6825</v>
          </cell>
          <cell r="DA579">
            <v>133.45999999999998</v>
          </cell>
          <cell r="DB579">
            <v>124.205</v>
          </cell>
          <cell r="DC579">
            <v>127.4825</v>
          </cell>
          <cell r="DD579">
            <v>129.82124999999999</v>
          </cell>
          <cell r="DE579">
            <v>131.73250000000002</v>
          </cell>
          <cell r="DF579">
            <v>128.31374999999997</v>
          </cell>
          <cell r="DG579">
            <v>127.395</v>
          </cell>
          <cell r="DH579">
            <v>126.1425</v>
          </cell>
          <cell r="DI579">
            <v>131.8725</v>
          </cell>
          <cell r="DJ579">
            <v>150.51499999999999</v>
          </cell>
          <cell r="DK579">
            <v>154.4975</v>
          </cell>
          <cell r="DL579">
            <v>161.56750000000002</v>
          </cell>
          <cell r="DM579">
            <v>171.14499999999998</v>
          </cell>
          <cell r="DN579">
            <v>184.32749999999999</v>
          </cell>
          <cell r="DO579">
            <v>195.23999999999995</v>
          </cell>
          <cell r="DP579">
            <v>201.88499999999999</v>
          </cell>
          <cell r="DQ579">
            <v>195.13</v>
          </cell>
          <cell r="DR579">
            <v>206.74</v>
          </cell>
          <cell r="DS579">
            <v>220.8175</v>
          </cell>
          <cell r="DT579">
            <v>235.7225</v>
          </cell>
          <cell r="DU579">
            <v>242.17</v>
          </cell>
          <cell r="DV579">
            <v>243.03500000000003</v>
          </cell>
          <cell r="DW579">
            <v>261.97500000000002</v>
          </cell>
          <cell r="DX579">
            <v>270.10249999999996</v>
          </cell>
          <cell r="DY579">
            <v>252.41750000000002</v>
          </cell>
          <cell r="DZ579">
            <v>255.9075</v>
          </cell>
          <cell r="EA579">
            <v>252.09</v>
          </cell>
          <cell r="EB579">
            <v>241.39250000000001</v>
          </cell>
          <cell r="EC579">
            <v>258.50750000000005</v>
          </cell>
          <cell r="ED579">
            <v>285.86500000000001</v>
          </cell>
          <cell r="EE579">
            <v>259.97249999999997</v>
          </cell>
          <cell r="EF579">
            <v>237.03500000000003</v>
          </cell>
          <cell r="EG579">
            <v>227.13249999999999</v>
          </cell>
          <cell r="EH579">
            <v>218.76</v>
          </cell>
          <cell r="EI579">
            <v>201.79999999999998</v>
          </cell>
          <cell r="EJ579">
            <v>173.06125000000003</v>
          </cell>
          <cell r="EK579">
            <v>168.32375000000002</v>
          </cell>
          <cell r="EL579">
            <v>165.6275</v>
          </cell>
          <cell r="EM579">
            <v>161.67999999999998</v>
          </cell>
          <cell r="EN579">
            <v>161.16749999999999</v>
          </cell>
          <cell r="EO579">
            <v>147.64749999999998</v>
          </cell>
          <cell r="EP579">
            <v>145.29249999999999</v>
          </cell>
          <cell r="EQ579">
            <v>144.6925</v>
          </cell>
          <cell r="ER579">
            <v>154.93375</v>
          </cell>
          <cell r="ES579">
            <v>189.85374999999999</v>
          </cell>
          <cell r="ET579">
            <v>192.29625000000001</v>
          </cell>
          <cell r="EU579">
            <v>199.35624999999999</v>
          </cell>
          <cell r="EV579">
            <v>216.51875000000001</v>
          </cell>
          <cell r="EW579">
            <v>209.01875000000001</v>
          </cell>
          <cell r="EX579">
            <v>207.85500000000002</v>
          </cell>
          <cell r="EY579">
            <v>214.31</v>
          </cell>
          <cell r="EZ579">
            <v>213.73749999999998</v>
          </cell>
          <cell r="FA579">
            <v>220.17249999999999</v>
          </cell>
          <cell r="FB579">
            <v>243.58500000000001</v>
          </cell>
          <cell r="FC579">
            <v>271.86749999999995</v>
          </cell>
          <cell r="FD579">
            <v>312.3075</v>
          </cell>
          <cell r="FE579">
            <v>286.60500000000002</v>
          </cell>
          <cell r="FF579">
            <v>261.08749999999998</v>
          </cell>
          <cell r="FG579">
            <v>258.98</v>
          </cell>
          <cell r="FH579">
            <v>240.04749999999999</v>
          </cell>
          <cell r="FI579">
            <v>240.45750000000001</v>
          </cell>
          <cell r="FJ579">
            <v>246.93</v>
          </cell>
          <cell r="FK579">
            <v>238.29750000000001</v>
          </cell>
          <cell r="FL579">
            <v>239.0275</v>
          </cell>
          <cell r="FM579">
            <v>254.00249999999997</v>
          </cell>
          <cell r="FN579">
            <v>280.97874999999999</v>
          </cell>
          <cell r="FO579">
            <v>291.60374999999999</v>
          </cell>
          <cell r="FP579">
            <v>291.74875000000003</v>
          </cell>
          <cell r="FQ579">
            <v>314.30374999999998</v>
          </cell>
          <cell r="FR579">
            <v>316.41374999999999</v>
          </cell>
          <cell r="FS579">
            <v>333.48624999999998</v>
          </cell>
          <cell r="FT579">
            <v>346.41749999999996</v>
          </cell>
          <cell r="FU579">
            <v>375.80749999999995</v>
          </cell>
          <cell r="FV579">
            <v>382.71499999999997</v>
          </cell>
          <cell r="FW579">
            <v>394.03</v>
          </cell>
          <cell r="FX579">
            <v>427.53250000000003</v>
          </cell>
          <cell r="FY579">
            <v>421.0575</v>
          </cell>
          <cell r="FZ579">
            <v>392.5625</v>
          </cell>
          <cell r="GA579">
            <v>412.54999999999995</v>
          </cell>
          <cell r="GB579">
            <v>431.33750000000003</v>
          </cell>
          <cell r="GC579">
            <v>436.34999999999997</v>
          </cell>
          <cell r="GD579">
            <v>387.67249999999996</v>
          </cell>
          <cell r="GE579">
            <v>350.32750000000004</v>
          </cell>
          <cell r="GF579">
            <v>382.97750000000002</v>
          </cell>
          <cell r="GG579">
            <v>393.90499999999997</v>
          </cell>
          <cell r="GH579">
            <v>442.245</v>
          </cell>
          <cell r="GI579">
            <v>519.72249999999997</v>
          </cell>
          <cell r="GJ579">
            <v>502.72249999999997</v>
          </cell>
          <cell r="GK579">
            <v>465.53500000000003</v>
          </cell>
          <cell r="GL579">
            <v>458.65750000000003</v>
          </cell>
          <cell r="GM579">
            <v>446.63749999999999</v>
          </cell>
          <cell r="GN579">
            <v>426.08500000000004</v>
          </cell>
          <cell r="GO579">
            <v>421.8725</v>
          </cell>
          <cell r="GP579">
            <v>435.62</v>
          </cell>
          <cell r="GQ579">
            <v>442.20000000000005</v>
          </cell>
          <cell r="GR579">
            <v>462.80499999999995</v>
          </cell>
          <cell r="GS579">
            <v>480.07499999999999</v>
          </cell>
          <cell r="GT579">
            <v>474.96500000000003</v>
          </cell>
          <cell r="GU579">
            <v>452.67499999999995</v>
          </cell>
          <cell r="GV579">
            <v>434.77</v>
          </cell>
          <cell r="GW579">
            <v>422.19500000000005</v>
          </cell>
          <cell r="GX579">
            <v>410.90370000000001</v>
          </cell>
          <cell r="GY579">
            <v>407.97</v>
          </cell>
          <cell r="GZ579">
            <v>428.70749999999998</v>
          </cell>
          <cell r="HA579">
            <v>447.51499999999999</v>
          </cell>
          <cell r="HB579">
            <v>476.6225</v>
          </cell>
          <cell r="HC579">
            <v>473.39875000000001</v>
          </cell>
          <cell r="HD579">
            <v>467.5575</v>
          </cell>
          <cell r="HE579">
            <v>462.56875000000002</v>
          </cell>
          <cell r="HF579">
            <v>457.45125000000002</v>
          </cell>
          <cell r="HG579">
            <v>491.74125000000004</v>
          </cell>
          <cell r="HH579">
            <v>522.83249999999998</v>
          </cell>
          <cell r="HI579">
            <v>518.58249999999998</v>
          </cell>
          <cell r="HJ579">
            <v>520.57500000000005</v>
          </cell>
          <cell r="HK579">
            <v>516.29999999999995</v>
          </cell>
          <cell r="HL579">
            <v>549.16250000000002</v>
          </cell>
          <cell r="HM579">
            <v>555.66250000000002</v>
          </cell>
          <cell r="HN579">
            <v>587.88</v>
          </cell>
          <cell r="HO579">
            <v>634.83500000000004</v>
          </cell>
          <cell r="HP579">
            <v>666.38499999999999</v>
          </cell>
          <cell r="HQ579">
            <v>644.00249999999994</v>
          </cell>
          <cell r="HR579">
            <v>653.79566999999997</v>
          </cell>
          <cell r="HS579">
            <v>648.12356999999997</v>
          </cell>
          <cell r="HT579">
            <v>643.99213499999996</v>
          </cell>
          <cell r="HU579">
            <v>645.62771999999995</v>
          </cell>
          <cell r="HV579">
            <v>639.48450999999989</v>
          </cell>
          <cell r="HW579">
            <v>633.63835499999993</v>
          </cell>
          <cell r="HX579">
            <v>621.29835500000002</v>
          </cell>
          <cell r="HY579">
            <v>597.37414000000001</v>
          </cell>
          <cell r="HZ579">
            <v>573.76874499999997</v>
          </cell>
          <cell r="IA579">
            <v>562.49099999999999</v>
          </cell>
          <cell r="IB579">
            <v>560.18259999999998</v>
          </cell>
          <cell r="IC579">
            <v>556.41994999999997</v>
          </cell>
          <cell r="ID579">
            <v>555.77701999999999</v>
          </cell>
          <cell r="IE579">
            <v>561.70186999999999</v>
          </cell>
          <cell r="IF579">
            <v>568.14855</v>
          </cell>
          <cell r="IG579">
            <v>577.62851000000001</v>
          </cell>
          <cell r="IH579">
            <v>403.51</v>
          </cell>
          <cell r="II579">
            <v>405.57249999999999</v>
          </cell>
          <cell r="IJ579">
            <v>407.42</v>
          </cell>
          <cell r="IK579">
            <v>421.55</v>
          </cell>
        </row>
        <row r="580">
          <cell r="X580">
            <v>1.1309234759495661</v>
          </cell>
          <cell r="Y580">
            <v>1.1339674355187195</v>
          </cell>
          <cell r="Z580">
            <v>1.3173617951961776</v>
          </cell>
          <cell r="AA580">
            <v>1.4738314075243819</v>
          </cell>
          <cell r="AB580">
            <v>1.5657892579339501</v>
          </cell>
          <cell r="AC580">
            <v>1.4575521099390745</v>
          </cell>
          <cell r="AD580">
            <v>1.379990002022299</v>
          </cell>
          <cell r="AE580">
            <v>1.2847527476570131</v>
          </cell>
          <cell r="AF580">
            <v>1.1414848384325962</v>
          </cell>
          <cell r="AG580">
            <v>1.0785034650266283</v>
          </cell>
          <cell r="AH580">
            <v>1.0368634435171018</v>
          </cell>
          <cell r="AI580">
            <v>0.99209537515750601</v>
          </cell>
          <cell r="AJ580">
            <v>0.91572730662973545</v>
          </cell>
          <cell r="AK580">
            <v>0.93365471492099372</v>
          </cell>
          <cell r="AL580">
            <v>0.97911229898409946</v>
          </cell>
          <cell r="AM580">
            <v>1.0337690315793988</v>
          </cell>
          <cell r="AN580">
            <v>1.0638722781472711</v>
          </cell>
          <cell r="AO580">
            <v>1.0666471584174941</v>
          </cell>
          <cell r="AP580">
            <v>0.92362343836303851</v>
          </cell>
          <cell r="AQ580">
            <v>0.87239224787185843</v>
          </cell>
          <cell r="AR580">
            <v>0.87953836292857579</v>
          </cell>
          <cell r="AS580">
            <v>0.9013469969718152</v>
          </cell>
          <cell r="AT580">
            <v>0.92329743533548136</v>
          </cell>
          <cell r="AU580">
            <v>0.95302674049474523</v>
          </cell>
          <cell r="AV580">
            <v>1.0132340912142446</v>
          </cell>
          <cell r="AW580">
            <v>1.0145542615246235</v>
          </cell>
          <cell r="AX580">
            <v>1.0212401222140624</v>
          </cell>
          <cell r="AY580">
            <v>0.99496059370458878</v>
          </cell>
          <cell r="AZ580">
            <v>1.0148354222872193</v>
          </cell>
          <cell r="BA580">
            <v>0.99666192418534216</v>
          </cell>
          <cell r="BB580">
            <v>0.97309669490737971</v>
          </cell>
          <cell r="BC580">
            <v>0.95739255432353665</v>
          </cell>
          <cell r="BD580">
            <v>0.98621431073025168</v>
          </cell>
          <cell r="BE580">
            <v>1.0154783662345841</v>
          </cell>
          <cell r="BF580">
            <v>1.0327818469014467</v>
          </cell>
          <cell r="BG580">
            <v>0.98755298024243199</v>
          </cell>
          <cell r="BH580">
            <v>1.0092878606135596</v>
          </cell>
          <cell r="BI580">
            <v>1.0063616232376882</v>
          </cell>
          <cell r="BJ580">
            <v>1.0127203034205443</v>
          </cell>
          <cell r="BK580">
            <v>1.0110839649339218</v>
          </cell>
          <cell r="BL580">
            <v>1.0052634433489271</v>
          </cell>
          <cell r="BM580">
            <v>1.0027660511057268</v>
          </cell>
          <cell r="BN580">
            <v>0.97314714727592944</v>
          </cell>
          <cell r="BO580">
            <v>0.98050982959292066</v>
          </cell>
          <cell r="BP580">
            <v>1.0185677329354321</v>
          </cell>
          <cell r="BQ580">
            <v>1.0368646207390346</v>
          </cell>
          <cell r="BR580">
            <v>1.0777666081839627</v>
          </cell>
          <cell r="BS580">
            <v>1.0714645187411629</v>
          </cell>
          <cell r="BT580">
            <v>1.1088428286793126</v>
          </cell>
          <cell r="BU580">
            <v>1.1669619391536026</v>
          </cell>
          <cell r="BV580">
            <v>1.286351415041785</v>
          </cell>
          <cell r="BW580">
            <v>1.2839490414260193</v>
          </cell>
          <cell r="BX580">
            <v>1.261958872070031</v>
          </cell>
          <cell r="BY580">
            <v>1.2977375055760378</v>
          </cell>
          <cell r="BZ580">
            <v>1.3425997516902592</v>
          </cell>
          <cell r="CA580">
            <v>1.3826585959694444</v>
          </cell>
          <cell r="CB580">
            <v>1.3464559943930601</v>
          </cell>
          <cell r="CC580">
            <v>1.3722987066114885</v>
          </cell>
          <cell r="CD580">
            <v>1.40022678339663</v>
          </cell>
          <cell r="CE580">
            <v>1.3704812441217733</v>
          </cell>
          <cell r="CF580">
            <v>1.3042054992240846</v>
          </cell>
          <cell r="CG580">
            <v>1.2503940119765513</v>
          </cell>
          <cell r="CH580">
            <v>1.1858013580936739</v>
          </cell>
          <cell r="CI580">
            <v>1.0957304262678573</v>
          </cell>
          <cell r="CJ580">
            <v>1.0404664825996086</v>
          </cell>
          <cell r="CK580">
            <v>1.0421784323692305</v>
          </cell>
          <cell r="CL580">
            <v>1.0479881907822681</v>
          </cell>
          <cell r="CM580">
            <v>1.0311034647743664</v>
          </cell>
          <cell r="CN580">
            <v>1.0509532764819225</v>
          </cell>
          <cell r="CO580">
            <v>1.113761261914642</v>
          </cell>
          <cell r="CP580">
            <v>1.1637583819252708</v>
          </cell>
          <cell r="CQ580">
            <v>1.1882264352752869</v>
          </cell>
          <cell r="CR580">
            <v>1.2131524279571706</v>
          </cell>
          <cell r="CS580">
            <v>1.2217357212439366</v>
          </cell>
          <cell r="CT580">
            <v>1.2490560151626182</v>
          </cell>
          <cell r="CU580">
            <v>1.221297248117601</v>
          </cell>
          <cell r="CV580">
            <v>1.2691261355461738</v>
          </cell>
          <cell r="CW580">
            <v>1.3676712153681276</v>
          </cell>
          <cell r="CX580">
            <v>1.4210084839862078</v>
          </cell>
          <cell r="CY580">
            <v>1.4022738377981576</v>
          </cell>
          <cell r="CZ580">
            <v>1.3074233849250843</v>
          </cell>
          <cell r="DA580">
            <v>1.3124258718064175</v>
          </cell>
          <cell r="DB580">
            <v>1.3453544510130624</v>
          </cell>
          <cell r="DC580">
            <v>1.2979708477805791</v>
          </cell>
          <cell r="DD580">
            <v>1.2804806933500834</v>
          </cell>
          <cell r="DE580">
            <v>1.3033305710661551</v>
          </cell>
          <cell r="DF580">
            <v>160.66927083333334</v>
          </cell>
          <cell r="DG580">
            <v>1.3341883328056854</v>
          </cell>
          <cell r="DH580">
            <v>1.3347031151394522</v>
          </cell>
          <cell r="DI580">
            <v>1.2676897145699293</v>
          </cell>
          <cell r="DJ580">
            <v>1.2510421567378507</v>
          </cell>
          <cell r="DK580">
            <v>1.1266266158947662</v>
          </cell>
          <cell r="DL580">
            <v>1.0851715864032547</v>
          </cell>
          <cell r="DM580">
            <v>1.0131087866583754</v>
          </cell>
          <cell r="DN580">
            <v>0.99319691853750336</v>
          </cell>
          <cell r="DO580">
            <v>0.96190804130871754</v>
          </cell>
          <cell r="DP580">
            <v>0.94636871179546944</v>
          </cell>
          <cell r="DQ580">
            <v>0.89778308088229397</v>
          </cell>
          <cell r="DR580">
            <v>245.073125</v>
          </cell>
          <cell r="DS580">
            <v>0.85757254314833709</v>
          </cell>
          <cell r="DT580">
            <v>0.8733052734076916</v>
          </cell>
          <cell r="DU580">
            <v>0.88616221865972444</v>
          </cell>
          <cell r="DV580">
            <v>160.66927083333334</v>
          </cell>
          <cell r="DW580">
            <v>0.85698393218192603</v>
          </cell>
          <cell r="DX580">
            <v>0.84855838663415839</v>
          </cell>
          <cell r="DY580">
            <v>0.88710399620598179</v>
          </cell>
          <cell r="DZ580">
            <v>1.012511766963873</v>
          </cell>
          <cell r="EA580">
            <v>1.0393019746636614</v>
          </cell>
          <cell r="EB580">
            <v>1.0868617407496635</v>
          </cell>
          <cell r="EC580">
            <v>1.1512894153873836</v>
          </cell>
          <cell r="ED580">
            <v>200.6727083333333</v>
          </cell>
          <cell r="EE580">
            <v>1.3133760580807663</v>
          </cell>
          <cell r="EF580">
            <v>1.3580768566156296</v>
          </cell>
          <cell r="EG580">
            <v>1.3126360900087071</v>
          </cell>
          <cell r="EH580">
            <v>245.073125</v>
          </cell>
          <cell r="EI580">
            <v>1.4854354522907687</v>
          </cell>
          <cell r="EJ580">
            <v>1.5857011260548222</v>
          </cell>
          <cell r="EK580">
            <v>1.629073345551215</v>
          </cell>
          <cell r="EL580">
            <v>1.6348921853905918</v>
          </cell>
          <cell r="EM580">
            <v>1.76230123343428</v>
          </cell>
          <cell r="EN580">
            <v>1.8169747834857621</v>
          </cell>
          <cell r="EO580">
            <v>1.6980080984460251</v>
          </cell>
          <cell r="EP580">
            <v>1.7214852672777288</v>
          </cell>
          <cell r="EQ580">
            <v>1.6958050116860297</v>
          </cell>
          <cell r="ER580">
            <v>1.6238431166782497</v>
          </cell>
          <cell r="ES580">
            <v>1.7389754217082249</v>
          </cell>
          <cell r="ET580">
            <v>200.6727083333333</v>
          </cell>
          <cell r="EU580">
            <v>1.7488304510315613</v>
          </cell>
          <cell r="EV580">
            <v>1.5945302905509862</v>
          </cell>
          <cell r="EW580">
            <v>1.5279163466094534</v>
          </cell>
          <cell r="EX580">
            <v>1.4715946858520206</v>
          </cell>
          <cell r="EY580">
            <v>1.357505063105402</v>
          </cell>
          <cell r="EZ580">
            <v>1.1641799955517829</v>
          </cell>
          <cell r="FA580">
            <v>1.1323109160846776</v>
          </cell>
          <cell r="FB580">
            <v>1.1141732895911296</v>
          </cell>
          <cell r="FC580">
            <v>1.0876185262779057</v>
          </cell>
          <cell r="FD580">
            <v>1.0841709477603561</v>
          </cell>
          <cell r="FE580">
            <v>0.99322214472177806</v>
          </cell>
          <cell r="FF580">
            <v>0.97738010099723294</v>
          </cell>
          <cell r="FG580">
            <v>0.97334391151327238</v>
          </cell>
          <cell r="FH580">
            <v>1.0422366207676244</v>
          </cell>
          <cell r="FI580">
            <v>1.277142848734129</v>
          </cell>
          <cell r="FJ580">
            <v>1.2935735034250853</v>
          </cell>
          <cell r="FK580">
            <v>1.3410659996863543</v>
          </cell>
          <cell r="FL580">
            <v>1.4565178363838096</v>
          </cell>
          <cell r="FM580">
            <v>1.4060654678343025</v>
          </cell>
          <cell r="FN580">
            <v>1.3982369419810374</v>
          </cell>
          <cell r="FO580">
            <v>1.4416596138459796</v>
          </cell>
          <cell r="FP580">
            <v>1.437808416380034</v>
          </cell>
          <cell r="FQ580">
            <v>1.481096548595511</v>
          </cell>
          <cell r="FR580">
            <v>1.6385920257508888</v>
          </cell>
          <cell r="FS580">
            <v>1.8288479075510793</v>
          </cell>
          <cell r="FT580">
            <v>2.1008870787700213</v>
          </cell>
          <cell r="FU580">
            <v>1.9279868117508612</v>
          </cell>
          <cell r="FV580">
            <v>1.7563310364892548</v>
          </cell>
          <cell r="FW580">
            <v>1.7421539209268435</v>
          </cell>
          <cell r="FX580">
            <v>1.6147953252517044</v>
          </cell>
          <cell r="FY580">
            <v>1.6175533880657444</v>
          </cell>
          <cell r="FZ580">
            <v>1.6610937821239689</v>
          </cell>
          <cell r="GA580">
            <v>1.6030231059234865</v>
          </cell>
          <cell r="GB580">
            <v>1.6079338031289716</v>
          </cell>
          <cell r="GC580">
            <v>1.7086703656661537</v>
          </cell>
          <cell r="GD580">
            <v>1.8901391266106391</v>
          </cell>
          <cell r="GE580">
            <v>1.9616133153891073</v>
          </cell>
          <cell r="GF580">
            <v>1.9625887278477314</v>
          </cell>
          <cell r="GG580">
            <v>2.1143158175322818</v>
          </cell>
          <cell r="GH580">
            <v>2.1285097505508768</v>
          </cell>
          <cell r="GI580">
            <v>2.2433561588257378</v>
          </cell>
          <cell r="GJ580">
            <v>2.330344450933179</v>
          </cell>
          <cell r="GK580">
            <v>2.5280504658225138</v>
          </cell>
          <cell r="GL580">
            <v>2.57451709725661</v>
          </cell>
          <cell r="GM580">
            <v>2.650632903941633</v>
          </cell>
          <cell r="GN580">
            <v>2.8760036342522812</v>
          </cell>
          <cell r="GO580">
            <v>2.8324464227378732</v>
          </cell>
          <cell r="GP580">
            <v>2.6407610571621127</v>
          </cell>
          <cell r="GQ580">
            <v>2.7752166193465486</v>
          </cell>
          <cell r="GR580">
            <v>2.9015998025630645</v>
          </cell>
          <cell r="GS580">
            <v>2.9353188022103178</v>
          </cell>
          <cell r="GT580">
            <v>2.7438016111963894</v>
          </cell>
          <cell r="GU580">
            <v>2.6811229520017186</v>
          </cell>
          <cell r="GV580">
            <v>2.6794748412957681</v>
          </cell>
          <cell r="GW580">
            <v>2.6288542981844292</v>
          </cell>
          <cell r="GX580">
            <v>2.6627582898496978</v>
          </cell>
          <cell r="GY580">
            <v>2.6338322652146475</v>
          </cell>
          <cell r="GZ580">
            <v>2.6386252402268506</v>
          </cell>
          <cell r="HA580">
            <v>2.6601011317727572</v>
          </cell>
          <cell r="HB580">
            <v>2.632587773457093</v>
          </cell>
          <cell r="HC580">
            <v>2.6636159801150399</v>
          </cell>
          <cell r="HD580">
            <v>2.6109773422617204</v>
          </cell>
          <cell r="HE580">
            <v>2.5837330632449871</v>
          </cell>
          <cell r="HF580">
            <v>2.5161941592133803</v>
          </cell>
          <cell r="HG580">
            <v>2.4552308805493928</v>
          </cell>
          <cell r="HH580">
            <v>2.4238495073115991</v>
          </cell>
          <cell r="HI580">
            <v>2.3987074103177615</v>
          </cell>
          <cell r="HJ580">
            <v>2.3775174155269685</v>
          </cell>
          <cell r="HK580">
            <v>2.3554865479270171</v>
          </cell>
          <cell r="HL580">
            <v>2.3582614281972401</v>
          </cell>
          <cell r="HM580">
            <v>2.3927372133727363</v>
          </cell>
        </row>
        <row r="581">
          <cell r="X581">
            <v>1.0638722781472711</v>
          </cell>
          <cell r="Y581">
            <v>1.0666471584174941</v>
          </cell>
          <cell r="Z581">
            <v>0.92362343836303851</v>
          </cell>
          <cell r="AA581">
            <v>0.87239224787185843</v>
          </cell>
          <cell r="AB581">
            <v>0.87953836292857579</v>
          </cell>
          <cell r="AC581">
            <v>0.9013469969718152</v>
          </cell>
          <cell r="AD581">
            <v>0.92329743533548136</v>
          </cell>
          <cell r="AE581">
            <v>0.95302674049474523</v>
          </cell>
          <cell r="AF581">
            <v>1.0132340912142446</v>
          </cell>
          <cell r="AG581">
            <v>1.0145542615246235</v>
          </cell>
          <cell r="AH581">
            <v>1.0212401222140624</v>
          </cell>
          <cell r="AI581">
            <v>0.99496059370458878</v>
          </cell>
          <cell r="AJ581">
            <v>1.0148354222872193</v>
          </cell>
          <cell r="AK581">
            <v>0.99666192418534216</v>
          </cell>
          <cell r="AL581">
            <v>0.97309669490737971</v>
          </cell>
          <cell r="AM581">
            <v>0.95739255432353665</v>
          </cell>
          <cell r="AN581">
            <v>0.98621431073025168</v>
          </cell>
          <cell r="AO581">
            <v>1.0154783662345841</v>
          </cell>
          <cell r="AP581">
            <v>1.0327818469014467</v>
          </cell>
          <cell r="AQ581">
            <v>0.98755298024243199</v>
          </cell>
          <cell r="AR581">
            <v>1.0092878606135596</v>
          </cell>
          <cell r="AS581">
            <v>1.0063616232376882</v>
          </cell>
          <cell r="AT581">
            <v>1.0127203034205443</v>
          </cell>
          <cell r="AU581">
            <v>1.0110839649339218</v>
          </cell>
          <cell r="AV581">
            <v>1.0052634433489271</v>
          </cell>
          <cell r="AW581">
            <v>1.0027660511057268</v>
          </cell>
          <cell r="AX581">
            <v>0.97314714727592944</v>
          </cell>
          <cell r="AY581">
            <v>0.98050982959292066</v>
          </cell>
          <cell r="AZ581">
            <v>1.0185677329354321</v>
          </cell>
          <cell r="BA581">
            <v>1.0368646207390346</v>
          </cell>
          <cell r="BB581">
            <v>1.0777666081839627</v>
          </cell>
          <cell r="BC581">
            <v>1.0714645187411629</v>
          </cell>
          <cell r="BD581">
            <v>1.1088428286793126</v>
          </cell>
          <cell r="BE581">
            <v>1.1669619391536026</v>
          </cell>
          <cell r="BF581">
            <v>1.286351415041785</v>
          </cell>
          <cell r="BG581">
            <v>1.2839490414260193</v>
          </cell>
          <cell r="BH581">
            <v>1.261958872070031</v>
          </cell>
          <cell r="BI581">
            <v>1.2977375055760378</v>
          </cell>
          <cell r="BJ581">
            <v>1.3425997516902592</v>
          </cell>
          <cell r="BK581">
            <v>1.3826585959694444</v>
          </cell>
          <cell r="BL581">
            <v>1.3464559943930601</v>
          </cell>
          <cell r="BM581">
            <v>1.3722987066114885</v>
          </cell>
          <cell r="BN581">
            <v>1.40022678339663</v>
          </cell>
          <cell r="BO581">
            <v>1.3704812441217733</v>
          </cell>
          <cell r="BP581">
            <v>1.3042054992240846</v>
          </cell>
          <cell r="BQ581">
            <v>1.2503940119765513</v>
          </cell>
          <cell r="BR581">
            <v>1.1858013580936739</v>
          </cell>
          <cell r="BS581">
            <v>1.0957304262678573</v>
          </cell>
          <cell r="BT581">
            <v>1.0404664825996086</v>
          </cell>
          <cell r="BU581">
            <v>1.0421784323692305</v>
          </cell>
          <cell r="BV581">
            <v>1.0479881907822681</v>
          </cell>
          <cell r="BW581">
            <v>1.0311034647743664</v>
          </cell>
          <cell r="BX581">
            <v>1.0509532764819225</v>
          </cell>
          <cell r="BY581">
            <v>1.113761261914642</v>
          </cell>
          <cell r="BZ581">
            <v>1.1637583819252708</v>
          </cell>
          <cell r="CA581">
            <v>1.1882264352752869</v>
          </cell>
          <cell r="CB581">
            <v>1.2131524279571706</v>
          </cell>
          <cell r="CC581">
            <v>1.2217357212439366</v>
          </cell>
          <cell r="CD581">
            <v>1.2490560151626182</v>
          </cell>
          <cell r="CE581">
            <v>1.221297248117601</v>
          </cell>
          <cell r="CF581">
            <v>1.2691261355461738</v>
          </cell>
          <cell r="CG581">
            <v>1.3676712153681276</v>
          </cell>
          <cell r="CH581">
            <v>1.4210084839862078</v>
          </cell>
          <cell r="CI581">
            <v>1.4022738377981576</v>
          </cell>
          <cell r="CJ581">
            <v>1.3074233849250843</v>
          </cell>
          <cell r="CK581">
            <v>1.3124258718064175</v>
          </cell>
          <cell r="CL581">
            <v>1.3453544510130624</v>
          </cell>
          <cell r="CM581">
            <v>1.2979708477805791</v>
          </cell>
          <cell r="CN581">
            <v>1.2804806933500834</v>
          </cell>
          <cell r="CO581">
            <v>1.3033305710661551</v>
          </cell>
          <cell r="CP581">
            <v>1.3357996132825949</v>
          </cell>
          <cell r="CQ581">
            <v>1.3341883328056854</v>
          </cell>
          <cell r="CR581">
            <v>1.3347031151394522</v>
          </cell>
          <cell r="CS581">
            <v>1.2676897145699293</v>
          </cell>
          <cell r="CT581">
            <v>1.2510421567378507</v>
          </cell>
          <cell r="CU581">
            <v>1.1266266158947662</v>
          </cell>
          <cell r="CV581">
            <v>1.0851715864032547</v>
          </cell>
          <cell r="CW581">
            <v>1.0131087866583754</v>
          </cell>
          <cell r="CX581">
            <v>0.99319691853750336</v>
          </cell>
          <cell r="CY581">
            <v>0.96190804130871754</v>
          </cell>
          <cell r="CZ581">
            <v>0.94636871179546944</v>
          </cell>
          <cell r="DA581">
            <v>0.89778308088229397</v>
          </cell>
          <cell r="DB581">
            <v>0.83552485809220245</v>
          </cell>
          <cell r="DC581">
            <v>0.85757254314833709</v>
          </cell>
          <cell r="DD581">
            <v>0.8733052734076916</v>
          </cell>
          <cell r="DE581">
            <v>0.88616221865972444</v>
          </cell>
          <cell r="DF581">
            <v>0.86316434732924052</v>
          </cell>
          <cell r="DG581">
            <v>0.85698393218192603</v>
          </cell>
          <cell r="DH581">
            <v>0.84855838663415839</v>
          </cell>
          <cell r="DI581">
            <v>0.88710399620598179</v>
          </cell>
          <cell r="DJ581">
            <v>1.012511766963873</v>
          </cell>
          <cell r="DK581">
            <v>1.0393019746636614</v>
          </cell>
          <cell r="DL581">
            <v>1.0868617407496635</v>
          </cell>
          <cell r="DM581">
            <v>1.1512894153873836</v>
          </cell>
          <cell r="DN581">
            <v>1.2399678618412338</v>
          </cell>
          <cell r="DO581">
            <v>1.3133760580807663</v>
          </cell>
          <cell r="DP581">
            <v>1.3580768566156296</v>
          </cell>
          <cell r="DQ581">
            <v>1.3126360900087071</v>
          </cell>
          <cell r="DR581">
            <v>1.3907363565233439</v>
          </cell>
          <cell r="DS581">
            <v>1.4854354522907687</v>
          </cell>
          <cell r="DT581">
            <v>1.5857011260548222</v>
          </cell>
          <cell r="DU581">
            <v>1.629073345551215</v>
          </cell>
          <cell r="DV581">
            <v>1.6348921853905918</v>
          </cell>
          <cell r="DW581">
            <v>1.76230123343428</v>
          </cell>
          <cell r="DX581">
            <v>1.8169747834857621</v>
          </cell>
          <cell r="DY581">
            <v>1.6980080984460251</v>
          </cell>
          <cell r="DZ581">
            <v>1.7214852672777288</v>
          </cell>
          <cell r="EA581">
            <v>1.6958050116860297</v>
          </cell>
          <cell r="EB581">
            <v>1.6238431166782497</v>
          </cell>
          <cell r="EC581">
            <v>1.7389754217082249</v>
          </cell>
          <cell r="ED581">
            <v>1.923008844720643</v>
          </cell>
          <cell r="EE581">
            <v>1.7488304510315613</v>
          </cell>
          <cell r="EF581">
            <v>1.5945302905509862</v>
          </cell>
          <cell r="EG581">
            <v>1.5279163466094534</v>
          </cell>
          <cell r="EH581">
            <v>1.4715946858520206</v>
          </cell>
          <cell r="EI581">
            <v>1.357505063105402</v>
          </cell>
          <cell r="EJ581">
            <v>1.1641799955517829</v>
          </cell>
          <cell r="EK581">
            <v>1.1323109160846776</v>
          </cell>
          <cell r="EL581">
            <v>1.1141732895911296</v>
          </cell>
          <cell r="EM581">
            <v>1.0876185262779057</v>
          </cell>
          <cell r="EN581">
            <v>1.0841709477603561</v>
          </cell>
          <cell r="EO581">
            <v>0.99322214472177806</v>
          </cell>
          <cell r="EP581">
            <v>0.97738010099723294</v>
          </cell>
          <cell r="EQ581">
            <v>0.97334391151327238</v>
          </cell>
          <cell r="ER581">
            <v>1.0422366207676244</v>
          </cell>
          <cell r="ES581">
            <v>1.277142848734129</v>
          </cell>
          <cell r="ET581">
            <v>1.2935735034250853</v>
          </cell>
          <cell r="EU581">
            <v>1.3410659996863543</v>
          </cell>
          <cell r="EV581">
            <v>1.4565178363838096</v>
          </cell>
          <cell r="EW581">
            <v>1.4060654678343025</v>
          </cell>
          <cell r="EX581">
            <v>1.3982369419810374</v>
          </cell>
          <cell r="EY581">
            <v>1.4416596138459796</v>
          </cell>
          <cell r="EZ581">
            <v>1.437808416380034</v>
          </cell>
          <cell r="FA581">
            <v>1.481096548595511</v>
          </cell>
          <cell r="FB581">
            <v>1.6385920257508888</v>
          </cell>
          <cell r="FC581">
            <v>1.8288479075510793</v>
          </cell>
          <cell r="FD581">
            <v>2.1008870787700213</v>
          </cell>
          <cell r="FE581">
            <v>1.9279868117508612</v>
          </cell>
          <cell r="FF581">
            <v>1.7563310364892548</v>
          </cell>
          <cell r="FG581">
            <v>1.7421539209268435</v>
          </cell>
          <cell r="FH581">
            <v>1.6147953252517044</v>
          </cell>
          <cell r="FI581">
            <v>1.6175533880657444</v>
          </cell>
          <cell r="FJ581">
            <v>1.6610937821239689</v>
          </cell>
          <cell r="FK581">
            <v>1.6030231059234865</v>
          </cell>
          <cell r="FL581">
            <v>1.6079338031289716</v>
          </cell>
          <cell r="FM581">
            <v>1.7086703656661537</v>
          </cell>
          <cell r="FN581">
            <v>1.8901391266106391</v>
          </cell>
          <cell r="FO581">
            <v>1.9616133153891073</v>
          </cell>
          <cell r="FP581">
            <v>1.9625887278477314</v>
          </cell>
          <cell r="FQ581">
            <v>2.1143158175322818</v>
          </cell>
          <cell r="FR581">
            <v>2.1285097505508768</v>
          </cell>
          <cell r="FS581">
            <v>2.2433561588257378</v>
          </cell>
          <cell r="FT581">
            <v>2.330344450933179</v>
          </cell>
          <cell r="FU581">
            <v>2.5280504658225138</v>
          </cell>
          <cell r="FV581">
            <v>2.57451709725661</v>
          </cell>
          <cell r="FW581">
            <v>2.650632903941633</v>
          </cell>
          <cell r="FX581">
            <v>2.8760036342522812</v>
          </cell>
          <cell r="FY581">
            <v>2.8324464227378732</v>
          </cell>
          <cell r="FZ581">
            <v>2.6407610571621127</v>
          </cell>
          <cell r="GA581">
            <v>2.7752166193465486</v>
          </cell>
          <cell r="GB581">
            <v>2.9015998025630645</v>
          </cell>
          <cell r="GC581">
            <v>2.9353188022103178</v>
          </cell>
          <cell r="GD581">
            <v>2.6078661128678342</v>
          </cell>
          <cell r="GE581">
            <v>2.356646952403656</v>
          </cell>
          <cell r="GF581">
            <v>2.576282930155843</v>
          </cell>
          <cell r="GG581">
            <v>2.6497920311324745</v>
          </cell>
          <cell r="GH581">
            <v>2.9749743638902304</v>
          </cell>
          <cell r="GI581">
            <v>3.496164148462821</v>
          </cell>
          <cell r="GJ581">
            <v>3.3818054464172715</v>
          </cell>
          <cell r="GK581">
            <v>3.131645785692633</v>
          </cell>
          <cell r="GL581">
            <v>3.0853809637327352</v>
          </cell>
          <cell r="GM581">
            <v>3.0045226344040583</v>
          </cell>
          <cell r="GN581">
            <v>2.8662663271222262</v>
          </cell>
          <cell r="GO581">
            <v>2.8379289134535863</v>
          </cell>
          <cell r="GP581">
            <v>2.9304081050048327</v>
          </cell>
          <cell r="GQ581">
            <v>2.9746716496789336</v>
          </cell>
          <cell r="GR581">
            <v>3.1132811235406121</v>
          </cell>
          <cell r="GS581">
            <v>3.2294561108539437</v>
          </cell>
          <cell r="GT581">
            <v>3.1950812304155467</v>
          </cell>
          <cell r="GU581">
            <v>3.0451367910864113</v>
          </cell>
          <cell r="GV581">
            <v>2.9246901699025551</v>
          </cell>
          <cell r="GW581">
            <v>2.8400983653012153</v>
          </cell>
          <cell r="GX581">
            <v>2.7641419881008087</v>
          </cell>
          <cell r="GY581">
            <v>2.7444070396189835</v>
          </cell>
          <cell r="GZ581">
            <v>2.8839078386583701</v>
          </cell>
          <cell r="HA581">
            <v>3.0104255615243507</v>
          </cell>
          <cell r="HB581">
            <v>3.2062312038649874</v>
          </cell>
          <cell r="HC581">
            <v>3.1845450941167912</v>
          </cell>
          <cell r="HD581">
            <v>3.1452511077448166</v>
          </cell>
          <cell r="HE581">
            <v>3.1116918739313029</v>
          </cell>
          <cell r="HF581">
            <v>3.0772665411243563</v>
          </cell>
          <cell r="HG581">
            <v>3.3079347701327024</v>
          </cell>
          <cell r="HH581">
            <v>3.5170850639546831</v>
          </cell>
          <cell r="HI581">
            <v>3.4884953884432961</v>
          </cell>
          <cell r="HJ581">
            <v>3.5018989010212822</v>
          </cell>
          <cell r="HK581">
            <v>3.4731410509480622</v>
          </cell>
          <cell r="HL581">
            <v>3.6942065124758194</v>
          </cell>
          <cell r="HM581">
            <v>3.7379318985520587</v>
          </cell>
          <cell r="HN581">
            <v>3.9546584563845575</v>
          </cell>
          <cell r="HO581">
            <v>4.2705239184168384</v>
          </cell>
          <cell r="HP581">
            <v>4.4827602154484305</v>
          </cell>
          <cell r="HQ581">
            <v>4.3321935302405183</v>
          </cell>
          <cell r="HR581">
            <v>4.3980720131882487</v>
          </cell>
          <cell r="HS581">
            <v>4.3599158959016275</v>
          </cell>
          <cell r="HT581">
            <v>4.3321238050671829</v>
          </cell>
          <cell r="HU581">
            <v>4.3431263566957226</v>
          </cell>
          <cell r="HV581">
            <v>4.3018010906961193</v>
          </cell>
          <cell r="HW581">
            <v>4.2624741084751143</v>
          </cell>
          <cell r="HX581">
            <v>4.1794631447549921</v>
          </cell>
          <cell r="HY581">
            <v>4.0185253697633065</v>
          </cell>
          <cell r="HZ581">
            <v>3.8597322913237475</v>
          </cell>
          <cell r="IA581">
            <v>3.7838670983707665</v>
          </cell>
          <cell r="IB581">
            <v>3.7683385320294756</v>
          </cell>
          <cell r="IC581">
            <v>3.7430272514264349</v>
          </cell>
          <cell r="ID581">
            <v>3.7387022725848973</v>
          </cell>
          <cell r="IE581">
            <v>3.7785586346916369</v>
          </cell>
          <cell r="IF581">
            <v>3.8219253380624019</v>
          </cell>
          <cell r="IG581">
            <v>3.8856968628296795</v>
          </cell>
          <cell r="IH581">
            <v>2.7144046977882099</v>
          </cell>
          <cell r="II581">
            <v>2.7282790991393244</v>
          </cell>
          <cell r="IJ581">
            <v>2.7407071992586864</v>
          </cell>
          <cell r="IK581">
            <v>2.8357594616059574</v>
          </cell>
        </row>
        <row r="584">
          <cell r="X584">
            <v>-9.5974999999999984</v>
          </cell>
          <cell r="Z584">
            <v>-2.6124999999999909</v>
          </cell>
          <cell r="AA584">
            <v>-2.6124999999999909</v>
          </cell>
          <cell r="AC584">
            <v>-7.3974999999999946</v>
          </cell>
          <cell r="AD584">
            <v>-7.3974999999999946</v>
          </cell>
          <cell r="AF584">
            <v>-15.317499999999987</v>
          </cell>
          <cell r="AG584">
            <v>-15.317499999999987</v>
          </cell>
          <cell r="AI584">
            <v>-14.65749999999999</v>
          </cell>
          <cell r="AJ584">
            <v>-14.65749999999999</v>
          </cell>
          <cell r="AL584">
            <v>-7.0124999999999931</v>
          </cell>
          <cell r="AM584">
            <v>-7.0124999999999931</v>
          </cell>
          <cell r="AO584">
            <v>-15.59249999999999</v>
          </cell>
          <cell r="AP584">
            <v>-15.59249999999999</v>
          </cell>
          <cell r="AR584">
            <v>-11.412499999999996</v>
          </cell>
          <cell r="AS584">
            <v>-11.412499999999996</v>
          </cell>
          <cell r="AU584">
            <v>-5.4724999999999913</v>
          </cell>
          <cell r="AV584">
            <v>-5.4724999999999913</v>
          </cell>
          <cell r="AX584">
            <v>2.1725000000000101</v>
          </cell>
          <cell r="AY584">
            <v>2.1725000000000101</v>
          </cell>
          <cell r="BA584">
            <v>-4.5374999999999908</v>
          </cell>
          <cell r="BB584">
            <v>-4.5374999999999908</v>
          </cell>
          <cell r="BD584">
            <v>3.7125000000000088</v>
          </cell>
          <cell r="BE584">
            <v>3.7125000000000088</v>
          </cell>
          <cell r="BG584">
            <v>2.7500000000004299E-2</v>
          </cell>
          <cell r="BH584">
            <v>2.7500000000004299E-2</v>
          </cell>
          <cell r="BJ584">
            <v>0.7975000000000001</v>
          </cell>
          <cell r="BK584">
            <v>0.7975000000000001</v>
          </cell>
          <cell r="BM584">
            <v>0.8525000000000087</v>
          </cell>
          <cell r="BN584">
            <v>0.8525000000000087</v>
          </cell>
          <cell r="BP584">
            <v>-3.9324999999999846</v>
          </cell>
          <cell r="BQ584">
            <v>-3.9324999999999846</v>
          </cell>
          <cell r="BS584">
            <v>-6.902499999999991</v>
          </cell>
          <cell r="BT584">
            <v>-6.902499999999991</v>
          </cell>
          <cell r="BV584">
            <v>-9.5424999999999933</v>
          </cell>
          <cell r="BW584">
            <v>-9.5424999999999933</v>
          </cell>
          <cell r="BY584">
            <v>-11.467499999999994</v>
          </cell>
          <cell r="BZ584">
            <v>-11.467499999999994</v>
          </cell>
          <cell r="CB584">
            <v>-8.9924999999999908</v>
          </cell>
          <cell r="CC584">
            <v>-8.9924999999999908</v>
          </cell>
          <cell r="CE584">
            <v>-11.412499999999989</v>
          </cell>
          <cell r="CF584">
            <v>-11.412499999999989</v>
          </cell>
          <cell r="CH584">
            <v>-5.4174999999999933</v>
          </cell>
          <cell r="CI584">
            <v>-5.4174999999999933</v>
          </cell>
          <cell r="CK584">
            <v>-2.0074999999999914</v>
          </cell>
          <cell r="CL584">
            <v>-2.0074999999999914</v>
          </cell>
          <cell r="CN584">
            <v>1.6775000000000058</v>
          </cell>
          <cell r="CO584">
            <v>1.6775000000000058</v>
          </cell>
          <cell r="CQ584">
            <v>0.57750000000000967</v>
          </cell>
          <cell r="CR584">
            <v>0.57750000000000967</v>
          </cell>
          <cell r="CT584">
            <v>8.9375000000000053</v>
          </cell>
          <cell r="CU584">
            <v>8.9375000000000053</v>
          </cell>
          <cell r="CW584">
            <v>9.8725000000000041</v>
          </cell>
          <cell r="CX584">
            <v>9.8725000000000041</v>
          </cell>
          <cell r="CZ584">
            <v>-1.6774999999999911</v>
          </cell>
          <cell r="DA584">
            <v>-1.6774999999999911</v>
          </cell>
          <cell r="DC584">
            <v>2.0625</v>
          </cell>
          <cell r="DD584">
            <v>2.0625</v>
          </cell>
          <cell r="DF584">
            <v>12.842500000000006</v>
          </cell>
          <cell r="DG584">
            <v>12.842500000000006</v>
          </cell>
          <cell r="DI584">
            <v>-0.13749999999999218</v>
          </cell>
          <cell r="DJ584">
            <v>-0.13749999999999218</v>
          </cell>
          <cell r="DL584">
            <v>0.74250000000001348</v>
          </cell>
          <cell r="DM584">
            <v>0.74250000000001348</v>
          </cell>
          <cell r="DO584">
            <v>-3.3274999999999997</v>
          </cell>
          <cell r="DP584">
            <v>-3.3274999999999997</v>
          </cell>
          <cell r="DR584">
            <v>-1.7324999999999924</v>
          </cell>
          <cell r="DS584">
            <v>-1.7324999999999924</v>
          </cell>
          <cell r="DU584">
            <v>-6.7924999999999915</v>
          </cell>
          <cell r="DV584">
            <v>-6.7924999999999915</v>
          </cell>
          <cell r="DX584">
            <v>-2.7499999999982316E-2</v>
          </cell>
          <cell r="DY584">
            <v>-2.7499999999982316E-2</v>
          </cell>
          <cell r="EA584">
            <v>7.3975000000000062</v>
          </cell>
          <cell r="EB584">
            <v>7.3975000000000062</v>
          </cell>
          <cell r="ED584">
            <v>6.6825000000000045</v>
          </cell>
          <cell r="EE584">
            <v>6.6825000000000045</v>
          </cell>
          <cell r="EG584">
            <v>6.077500000000005</v>
          </cell>
          <cell r="EH584">
            <v>6.077500000000005</v>
          </cell>
          <cell r="EJ584">
            <v>21.367500000000007</v>
          </cell>
          <cell r="EK584">
            <v>21.367500000000007</v>
          </cell>
          <cell r="EM584">
            <v>34.622500000000016</v>
          </cell>
          <cell r="EN584">
            <v>34.622500000000016</v>
          </cell>
          <cell r="EP584">
            <v>51.177499999999995</v>
          </cell>
          <cell r="EQ584">
            <v>51.177499999999995</v>
          </cell>
          <cell r="ES584">
            <v>79.94250000000001</v>
          </cell>
          <cell r="ET584">
            <v>79.94250000000001</v>
          </cell>
          <cell r="EV584">
            <v>41.167500000000004</v>
          </cell>
          <cell r="EW584">
            <v>41.167500000000004</v>
          </cell>
          <cell r="EY584">
            <v>12.402500000000003</v>
          </cell>
          <cell r="EZ584">
            <v>12.402500000000003</v>
          </cell>
          <cell r="FB584">
            <v>4.8675000000000059</v>
          </cell>
          <cell r="FC584">
            <v>4.8675000000000059</v>
          </cell>
          <cell r="FE584">
            <v>3.0525000000000153</v>
          </cell>
          <cell r="FF584">
            <v>3.0525000000000153</v>
          </cell>
          <cell r="FH584">
            <v>20.157499999999999</v>
          </cell>
          <cell r="FI584">
            <v>20.157499999999999</v>
          </cell>
          <cell r="FK584">
            <v>16.967500000000008</v>
          </cell>
          <cell r="FL584">
            <v>16.967500000000008</v>
          </cell>
          <cell r="FN584">
            <v>29.78250000000001</v>
          </cell>
          <cell r="FO584">
            <v>29.892499999999998</v>
          </cell>
          <cell r="FQ584">
            <v>26.977500000000003</v>
          </cell>
          <cell r="FR584">
            <v>72.022500000000022</v>
          </cell>
          <cell r="FT584">
            <v>22.577500000000004</v>
          </cell>
          <cell r="FU584">
            <v>53.047500000000014</v>
          </cell>
          <cell r="FW584">
            <v>14.877500000000017</v>
          </cell>
          <cell r="FX584">
            <v>46.1175</v>
          </cell>
          <cell r="FZ584">
            <v>15.702500000000008</v>
          </cell>
          <cell r="GA584">
            <v>39.352500000000013</v>
          </cell>
          <cell r="GC584">
            <v>-37.262499999999989</v>
          </cell>
          <cell r="GD584">
            <v>56.347500000000018</v>
          </cell>
          <cell r="GF584">
            <v>-37.262499999999989</v>
          </cell>
          <cell r="GG584">
            <v>62.672500000000007</v>
          </cell>
          <cell r="GI584">
            <v>-37.262499999999989</v>
          </cell>
          <cell r="GJ584">
            <v>58.877500000000012</v>
          </cell>
          <cell r="GL584">
            <v>-37.262499999999989</v>
          </cell>
          <cell r="GM584">
            <v>76.862500000000011</v>
          </cell>
          <cell r="GP584">
            <v>64.982500000000016</v>
          </cell>
          <cell r="GS584">
            <v>81.867500000000007</v>
          </cell>
          <cell r="GV584">
            <v>76.862500000000011</v>
          </cell>
          <cell r="GY584">
            <v>78.787500000000009</v>
          </cell>
          <cell r="HB584">
            <v>84.562500000000014</v>
          </cell>
          <cell r="HE584">
            <v>80.162499999999994</v>
          </cell>
          <cell r="HH584">
            <v>65.862500000000011</v>
          </cell>
          <cell r="HK584">
            <v>65.312500000000014</v>
          </cell>
        </row>
        <row r="585">
          <cell r="X585">
            <v>-9.5974999999999984</v>
          </cell>
          <cell r="Z585">
            <v>-15.59249999999999</v>
          </cell>
          <cell r="AA585">
            <v>-2.6124999999999909</v>
          </cell>
          <cell r="AC585">
            <v>-11.412499999999996</v>
          </cell>
          <cell r="AD585">
            <v>-7.3974999999999946</v>
          </cell>
          <cell r="AF585">
            <v>-5.4724999999999913</v>
          </cell>
          <cell r="AG585">
            <v>-15.317499999999987</v>
          </cell>
          <cell r="AI585">
            <v>2.1725000000000101</v>
          </cell>
          <cell r="AJ585">
            <v>-14.65749999999999</v>
          </cell>
          <cell r="AL585">
            <v>-4.5374999999999908</v>
          </cell>
          <cell r="AM585">
            <v>-7.0124999999999931</v>
          </cell>
          <cell r="AO585">
            <v>3.7125000000000088</v>
          </cell>
          <cell r="AP585">
            <v>-15.59249999999999</v>
          </cell>
          <cell r="AR585">
            <v>2.7500000000004299E-2</v>
          </cell>
          <cell r="AS585">
            <v>-11.412499999999996</v>
          </cell>
          <cell r="AU585">
            <v>0.7975000000000001</v>
          </cell>
          <cell r="AV585">
            <v>-5.4724999999999913</v>
          </cell>
          <cell r="AX585">
            <v>0.8525000000000087</v>
          </cell>
          <cell r="AY585">
            <v>2.1725000000000101</v>
          </cell>
          <cell r="BA585">
            <v>-3.9324999999999846</v>
          </cell>
          <cell r="BB585">
            <v>-4.5374999999999908</v>
          </cell>
          <cell r="BD585">
            <v>-6.902499999999991</v>
          </cell>
          <cell r="BE585">
            <v>3.7125000000000088</v>
          </cell>
          <cell r="BG585">
            <v>-9.5424999999999933</v>
          </cell>
          <cell r="BH585">
            <v>2.7500000000004299E-2</v>
          </cell>
          <cell r="BJ585">
            <v>-11.467499999999994</v>
          </cell>
          <cell r="BK585">
            <v>0.7975000000000001</v>
          </cell>
          <cell r="BM585">
            <v>-8.9924999999999908</v>
          </cell>
          <cell r="BN585">
            <v>0.8525000000000087</v>
          </cell>
          <cell r="BP585">
            <v>-11.412499999999989</v>
          </cell>
          <cell r="BQ585">
            <v>-3.9324999999999846</v>
          </cell>
          <cell r="BS585">
            <v>-5.4174999999999933</v>
          </cell>
          <cell r="BT585">
            <v>-6.902499999999991</v>
          </cell>
          <cell r="BV585">
            <v>-2.0074999999999914</v>
          </cell>
          <cell r="BW585">
            <v>-9.5424999999999933</v>
          </cell>
          <cell r="BY585">
            <v>1.6775000000000058</v>
          </cell>
          <cell r="BZ585">
            <v>-11.467499999999994</v>
          </cell>
          <cell r="CB585">
            <v>0.57750000000000967</v>
          </cell>
          <cell r="CC585">
            <v>-8.9924999999999908</v>
          </cell>
          <cell r="CE585">
            <v>8.9375000000000053</v>
          </cell>
          <cell r="CF585">
            <v>-11.412499999999989</v>
          </cell>
          <cell r="CH585">
            <v>9.8725000000000041</v>
          </cell>
          <cell r="CI585">
            <v>-5.4174999999999933</v>
          </cell>
          <cell r="CK585">
            <v>-1.6774999999999911</v>
          </cell>
          <cell r="CL585">
            <v>-2.0074999999999914</v>
          </cell>
          <cell r="CN585">
            <v>2.0625</v>
          </cell>
          <cell r="CO585">
            <v>1.6775000000000058</v>
          </cell>
          <cell r="CQ585">
            <v>12.842500000000006</v>
          </cell>
          <cell r="CR585">
            <v>0.57750000000000967</v>
          </cell>
          <cell r="CT585">
            <v>-0.13749999999999218</v>
          </cell>
          <cell r="CU585">
            <v>8.9375000000000053</v>
          </cell>
          <cell r="CW585">
            <v>0.74250000000001348</v>
          </cell>
          <cell r="CX585">
            <v>9.8725000000000041</v>
          </cell>
          <cell r="CZ585">
            <v>-3.3274999999999997</v>
          </cell>
          <cell r="DA585">
            <v>-1.6774999999999911</v>
          </cell>
          <cell r="DC585">
            <v>-1.7324999999999924</v>
          </cell>
          <cell r="DD585">
            <v>2.0625</v>
          </cell>
          <cell r="DF585">
            <v>-6.7924999999999915</v>
          </cell>
          <cell r="DG585">
            <v>12.842500000000006</v>
          </cell>
          <cell r="DI585">
            <v>-2.7499999999982316E-2</v>
          </cell>
          <cell r="DJ585">
            <v>-0.13749999999999218</v>
          </cell>
          <cell r="DL585">
            <v>7.3975000000000062</v>
          </cell>
          <cell r="DM585">
            <v>0.74250000000001348</v>
          </cell>
          <cell r="DO585">
            <v>6.6825000000000045</v>
          </cell>
          <cell r="DP585">
            <v>-3.3274999999999997</v>
          </cell>
          <cell r="DR585">
            <v>6.077500000000005</v>
          </cell>
          <cell r="DS585">
            <v>-1.7324999999999924</v>
          </cell>
          <cell r="DU585">
            <v>21.367500000000007</v>
          </cell>
          <cell r="DV585">
            <v>-6.7924999999999915</v>
          </cell>
          <cell r="DX585">
            <v>34.622500000000016</v>
          </cell>
          <cell r="DY585">
            <v>-2.7499999999982316E-2</v>
          </cell>
          <cell r="EA585">
            <v>51.177499999999995</v>
          </cell>
          <cell r="EB585">
            <v>7.3975000000000062</v>
          </cell>
          <cell r="ED585">
            <v>79.94250000000001</v>
          </cell>
          <cell r="EE585">
            <v>6.6825000000000045</v>
          </cell>
          <cell r="EG585">
            <v>41.167500000000004</v>
          </cell>
          <cell r="EH585">
            <v>6.077500000000005</v>
          </cell>
          <cell r="EJ585">
            <v>12.402500000000003</v>
          </cell>
          <cell r="EK585">
            <v>21.367500000000007</v>
          </cell>
          <cell r="EM585">
            <v>4.8675000000000059</v>
          </cell>
          <cell r="EN585">
            <v>34.622500000000016</v>
          </cell>
          <cell r="EP585">
            <v>3.0525000000000153</v>
          </cell>
          <cell r="EQ585">
            <v>51.177499999999995</v>
          </cell>
          <cell r="ES585">
            <v>20.157499999999999</v>
          </cell>
          <cell r="ET585">
            <v>79.94250000000001</v>
          </cell>
          <cell r="EV585">
            <v>16.967500000000008</v>
          </cell>
          <cell r="EW585">
            <v>41.167500000000004</v>
          </cell>
          <cell r="EY585">
            <v>29.892499999999998</v>
          </cell>
          <cell r="EZ585">
            <v>12.402500000000003</v>
          </cell>
          <cell r="FB585">
            <v>72.022500000000022</v>
          </cell>
          <cell r="FC585">
            <v>4.8675000000000059</v>
          </cell>
          <cell r="FE585">
            <v>53.047500000000014</v>
          </cell>
          <cell r="FF585">
            <v>3.0525000000000153</v>
          </cell>
          <cell r="FH585">
            <v>46.1175</v>
          </cell>
          <cell r="FI585">
            <v>20.157499999999999</v>
          </cell>
          <cell r="FK585">
            <v>39.352500000000013</v>
          </cell>
          <cell r="FL585">
            <v>16.967500000000008</v>
          </cell>
          <cell r="FN585">
            <v>56.347500000000018</v>
          </cell>
          <cell r="FO585">
            <v>29.892499999999998</v>
          </cell>
          <cell r="FQ585">
            <v>62.672500000000007</v>
          </cell>
          <cell r="FR585">
            <v>72.022500000000022</v>
          </cell>
          <cell r="FT585">
            <v>58.877500000000012</v>
          </cell>
          <cell r="FU585">
            <v>53.047500000000014</v>
          </cell>
          <cell r="FW585">
            <v>76.862500000000011</v>
          </cell>
          <cell r="FX585">
            <v>46.1175</v>
          </cell>
          <cell r="FZ585">
            <v>64.982500000000016</v>
          </cell>
          <cell r="GA585">
            <v>39.352500000000013</v>
          </cell>
          <cell r="GC585">
            <v>74.772500000000022</v>
          </cell>
          <cell r="GD585">
            <v>56.347500000000018</v>
          </cell>
          <cell r="GF585">
            <v>101.2825</v>
          </cell>
          <cell r="GG585">
            <v>62.672500000000007</v>
          </cell>
          <cell r="GI585">
            <v>156.7775</v>
          </cell>
          <cell r="GJ585">
            <v>58.877500000000012</v>
          </cell>
          <cell r="GL585">
            <v>101.22749999999999</v>
          </cell>
          <cell r="GM585">
            <v>76.862500000000011</v>
          </cell>
          <cell r="GO585">
            <v>73.012500000000031</v>
          </cell>
          <cell r="GP585">
            <v>64.982500000000016</v>
          </cell>
          <cell r="GR585">
            <v>70.592500000000015</v>
          </cell>
          <cell r="GS585">
            <v>74.772500000000022</v>
          </cell>
          <cell r="GU585">
            <v>69.382500000000007</v>
          </cell>
          <cell r="GV585">
            <v>101.2825</v>
          </cell>
          <cell r="GX585">
            <v>73.837499999999991</v>
          </cell>
          <cell r="GY585">
            <v>156.7775</v>
          </cell>
          <cell r="HA585">
            <v>87.037500000000009</v>
          </cell>
          <cell r="HB585">
            <v>101.17250000000001</v>
          </cell>
          <cell r="HD585">
            <v>64.322500000000005</v>
          </cell>
          <cell r="HE585">
            <v>72.957499999999982</v>
          </cell>
          <cell r="HG585">
            <v>76.862500000000011</v>
          </cell>
          <cell r="HH585">
            <v>70.565000000000012</v>
          </cell>
          <cell r="HJ585">
            <v>95.782499999999999</v>
          </cell>
          <cell r="HK585">
            <v>69.327499999999986</v>
          </cell>
          <cell r="HM585">
            <v>142.8075</v>
          </cell>
          <cell r="HN585">
            <v>73.837499999999991</v>
          </cell>
          <cell r="HP585">
            <v>145.88749999999999</v>
          </cell>
          <cell r="HQ585">
            <v>86.982500000000016</v>
          </cell>
          <cell r="HS585">
            <v>164.03749999999999</v>
          </cell>
          <cell r="HT585">
            <v>68.062500000000014</v>
          </cell>
          <cell r="HV585">
            <v>168.43750000000003</v>
          </cell>
          <cell r="HW585">
            <v>81.537500000000009</v>
          </cell>
          <cell r="HY585">
            <v>150.56249999999997</v>
          </cell>
          <cell r="HZ585">
            <v>102.71249999999999</v>
          </cell>
          <cell r="IB585">
            <v>134.33750000000001</v>
          </cell>
          <cell r="IC585">
            <v>89.512500000000003</v>
          </cell>
          <cell r="IE585">
            <v>150.56250000000003</v>
          </cell>
          <cell r="IF585">
            <v>79.062499999999986</v>
          </cell>
          <cell r="II585">
            <v>87.862499999999997</v>
          </cell>
        </row>
        <row r="586">
          <cell r="X586">
            <v>0.45415208333333362</v>
          </cell>
          <cell r="Z586">
            <v>-6.5897008535342652E-2</v>
          </cell>
          <cell r="AA586">
            <v>0.84081875000000017</v>
          </cell>
          <cell r="AC586">
            <v>-9.6393505223118875E-2</v>
          </cell>
          <cell r="AD586">
            <v>0.59915208333333392</v>
          </cell>
          <cell r="AF586">
            <v>5.4324637384433987E-2</v>
          </cell>
          <cell r="AG586">
            <v>0.25356875000000006</v>
          </cell>
          <cell r="AI586">
            <v>0.12339280183082457</v>
          </cell>
          <cell r="AJ586">
            <v>1.9152083333333639E-2</v>
          </cell>
          <cell r="AL586">
            <v>3.8727083333333294E-2</v>
          </cell>
          <cell r="AM586">
            <v>0.21248541666666682</v>
          </cell>
          <cell r="AO586">
            <v>1.4560416666666874E-2</v>
          </cell>
          <cell r="AP586">
            <v>-6.5897008535342652E-2</v>
          </cell>
          <cell r="AR586">
            <v>-6.222916666666585E-3</v>
          </cell>
          <cell r="AS586">
            <v>-9.6393505223118875E-2</v>
          </cell>
          <cell r="AU586">
            <v>-4.7064583333333181E-2</v>
          </cell>
          <cell r="AV586">
            <v>5.4324637384433987E-2</v>
          </cell>
          <cell r="AX586">
            <v>-9.5639583333333264E-2</v>
          </cell>
          <cell r="AY586">
            <v>0.12339280183082457</v>
          </cell>
          <cell r="BA586">
            <v>2.5296458333333445E-2</v>
          </cell>
          <cell r="BB586">
            <v>3.8727083333333294E-2</v>
          </cell>
          <cell r="BD586">
            <v>0.26110875000000011</v>
          </cell>
          <cell r="BE586">
            <v>1.4560416666666874E-2</v>
          </cell>
          <cell r="BG586">
            <v>0.58136541666666663</v>
          </cell>
          <cell r="BH586">
            <v>-6.222916666666585E-3</v>
          </cell>
          <cell r="BJ586">
            <v>0.74362041666666678</v>
          </cell>
          <cell r="BK586">
            <v>-4.7064583333333181E-2</v>
          </cell>
          <cell r="BM586">
            <v>0.74607333333333337</v>
          </cell>
          <cell r="BN586">
            <v>-9.5639583333333264E-2</v>
          </cell>
          <cell r="BP586">
            <v>0.52238666666666689</v>
          </cell>
          <cell r="BQ586">
            <v>2.5296458333333445E-2</v>
          </cell>
          <cell r="BS586">
            <v>0.13075133333333336</v>
          </cell>
          <cell r="BT586">
            <v>0.26110875000000011</v>
          </cell>
          <cell r="BV586">
            <v>4.2678333333333623E-2</v>
          </cell>
          <cell r="BW586">
            <v>0.58136541666666663</v>
          </cell>
          <cell r="BY586">
            <v>0.25219125000000009</v>
          </cell>
          <cell r="BZ586">
            <v>0.74362041666666678</v>
          </cell>
          <cell r="CB586">
            <v>0.3857120833333334</v>
          </cell>
          <cell r="CC586">
            <v>0.74607333333333337</v>
          </cell>
          <cell r="CE586">
            <v>0.46091572916666718</v>
          </cell>
          <cell r="CF586">
            <v>0.52238666666666689</v>
          </cell>
          <cell r="CH586">
            <v>0.57832283333333301</v>
          </cell>
          <cell r="CI586">
            <v>0.13075133333333336</v>
          </cell>
          <cell r="CK586">
            <v>0.53882604166666648</v>
          </cell>
          <cell r="CL586">
            <v>4.2678333333333623E-2</v>
          </cell>
          <cell r="CN586">
            <v>0.49523541666666687</v>
          </cell>
          <cell r="CO586">
            <v>0.25219125000000009</v>
          </cell>
          <cell r="CQ586">
            <v>0.40761614583333339</v>
          </cell>
          <cell r="CR586">
            <v>0.3857120833333334</v>
          </cell>
          <cell r="CT586">
            <v>0.22215208333333361</v>
          </cell>
          <cell r="CU586">
            <v>0.46091572916666718</v>
          </cell>
          <cell r="CW586">
            <v>2.1568750000000039E-2</v>
          </cell>
          <cell r="CX586">
            <v>0.57832283333333301</v>
          </cell>
          <cell r="CZ586">
            <v>-9.3222916666666655E-2</v>
          </cell>
          <cell r="DA586">
            <v>0.53882604166666648</v>
          </cell>
          <cell r="DC586">
            <v>-0.12947291666666649</v>
          </cell>
          <cell r="DD586">
            <v>0.49523541666666687</v>
          </cell>
          <cell r="DF586">
            <v>-5.6972916666666429E-2</v>
          </cell>
          <cell r="DG586">
            <v>0.40761614583333339</v>
          </cell>
          <cell r="DI586">
            <v>0.1883187500000004</v>
          </cell>
          <cell r="DJ586">
            <v>0.22215208333333361</v>
          </cell>
          <cell r="DL586">
            <v>0.46623541666666662</v>
          </cell>
          <cell r="DM586">
            <v>2.1568750000000039E-2</v>
          </cell>
          <cell r="DO586">
            <v>0.65956875000000004</v>
          </cell>
          <cell r="DP586">
            <v>-9.3222916666666655E-2</v>
          </cell>
          <cell r="DR586">
            <v>0.80456875000000017</v>
          </cell>
          <cell r="DS586">
            <v>-0.12947291666666649</v>
          </cell>
          <cell r="DU586">
            <v>1.0099854166666666</v>
          </cell>
          <cell r="DV586">
            <v>-5.6972916666666429E-2</v>
          </cell>
          <cell r="DX586">
            <v>0.94352708333333346</v>
          </cell>
          <cell r="DY586">
            <v>0.1883187500000004</v>
          </cell>
          <cell r="EA586">
            <v>0.85290208333333339</v>
          </cell>
          <cell r="EB586">
            <v>0.46623541666666662</v>
          </cell>
          <cell r="ED586">
            <v>1.0401937500000003</v>
          </cell>
          <cell r="EE586">
            <v>0.65956875000000004</v>
          </cell>
          <cell r="EG586">
            <v>0.77436041666666688</v>
          </cell>
          <cell r="EH586">
            <v>0.80456875000000017</v>
          </cell>
          <cell r="EJ586">
            <v>0.44811041666666684</v>
          </cell>
          <cell r="EK586">
            <v>1.0099854166666666</v>
          </cell>
          <cell r="EM586">
            <v>0.23061041666666682</v>
          </cell>
          <cell r="EN586">
            <v>0.94352708333333346</v>
          </cell>
          <cell r="EP586">
            <v>0.11581875000000012</v>
          </cell>
          <cell r="EQ586">
            <v>0.85290208333333339</v>
          </cell>
          <cell r="ES586">
            <v>0.35144375000000033</v>
          </cell>
          <cell r="ET586">
            <v>1.0401937500000003</v>
          </cell>
          <cell r="EV586">
            <v>0.38165208333333356</v>
          </cell>
          <cell r="EW586">
            <v>0.77436041666666688</v>
          </cell>
          <cell r="EY586">
            <v>0.45415208333333301</v>
          </cell>
          <cell r="EZ586">
            <v>0.44811041666666684</v>
          </cell>
          <cell r="FB586">
            <v>0.77436041666666688</v>
          </cell>
          <cell r="FC586">
            <v>0.23061041666666682</v>
          </cell>
          <cell r="FE586">
            <v>0.91331874999999985</v>
          </cell>
          <cell r="FF586">
            <v>0.11581875000000012</v>
          </cell>
          <cell r="FH586">
            <v>0.68977708333333321</v>
          </cell>
          <cell r="FI586">
            <v>0.35144375000000033</v>
          </cell>
          <cell r="FK586">
            <v>0.74415208333333371</v>
          </cell>
          <cell r="FL586">
            <v>0.38165208333333356</v>
          </cell>
          <cell r="FN586">
            <v>0.99790208333333308</v>
          </cell>
          <cell r="FO586">
            <v>0.45415208333333301</v>
          </cell>
          <cell r="FQ586">
            <v>0.99790208333333308</v>
          </cell>
          <cell r="FR586">
            <v>0.77436041666666688</v>
          </cell>
          <cell r="FT586">
            <v>1.0945687500000001</v>
          </cell>
          <cell r="FU586">
            <v>0.91331874999999985</v>
          </cell>
          <cell r="FW586">
            <v>1.5537354166666673</v>
          </cell>
          <cell r="FX586">
            <v>0.68977708333333321</v>
          </cell>
          <cell r="FZ586">
            <v>1.7229020833333333</v>
          </cell>
          <cell r="GA586">
            <v>0.74415208333333371</v>
          </cell>
          <cell r="GC586">
            <v>1.49331875</v>
          </cell>
          <cell r="GD586">
            <v>0.99790208333333308</v>
          </cell>
          <cell r="GF586">
            <v>1.6987354166666666</v>
          </cell>
          <cell r="GG586">
            <v>0.99790208333333308</v>
          </cell>
          <cell r="GI586">
            <v>2.7620687500000005</v>
          </cell>
          <cell r="GJ586">
            <v>1.0945687500000001</v>
          </cell>
          <cell r="GL586">
            <v>2.3633187499999999</v>
          </cell>
          <cell r="GM586">
            <v>1.5537354166666673</v>
          </cell>
          <cell r="GO586">
            <v>2.0854020833333333</v>
          </cell>
          <cell r="GP586">
            <v>1.7229020833333333</v>
          </cell>
          <cell r="GR586">
            <v>2.3874854166666664</v>
          </cell>
          <cell r="GS586">
            <v>1.49331875</v>
          </cell>
          <cell r="GU586">
            <v>1.9645687500000006</v>
          </cell>
          <cell r="GV586">
            <v>1.6987354166666666</v>
          </cell>
          <cell r="GX586">
            <v>1.6141520833333336</v>
          </cell>
          <cell r="GY586">
            <v>2.7620687500000005</v>
          </cell>
          <cell r="HA586">
            <v>1.952485416666667</v>
          </cell>
          <cell r="HB586">
            <v>2.3633187499999999</v>
          </cell>
          <cell r="HD586">
            <v>2.3512354166666674</v>
          </cell>
          <cell r="HE586">
            <v>2.0854020833333333</v>
          </cell>
          <cell r="HG586">
            <v>3.076235416666667</v>
          </cell>
          <cell r="HH586">
            <v>2.3874854166666664</v>
          </cell>
          <cell r="HJ586">
            <v>3.1004020833333343</v>
          </cell>
          <cell r="HK586">
            <v>1.9645687500000006</v>
          </cell>
          <cell r="HM586">
            <v>3.5233187500000005</v>
          </cell>
          <cell r="HN586">
            <v>1.6141520833333336</v>
          </cell>
          <cell r="HP586">
            <v>4.1395687500000005</v>
          </cell>
          <cell r="HQ586">
            <v>1.952485416666667</v>
          </cell>
          <cell r="HS586">
            <v>4.28456875</v>
          </cell>
          <cell r="HT586">
            <v>2.2183187499999999</v>
          </cell>
          <cell r="HV586">
            <v>4.0549854166666668</v>
          </cell>
          <cell r="HW586">
            <v>2.3149854166666666</v>
          </cell>
          <cell r="HY586">
            <v>3.2695687500000008</v>
          </cell>
          <cell r="HZ586">
            <v>2.290818750000001</v>
          </cell>
          <cell r="IB586">
            <v>3.1729020833333337</v>
          </cell>
          <cell r="IC586">
            <v>2.1216520833333337</v>
          </cell>
          <cell r="IE586">
            <v>3.4024854166666665</v>
          </cell>
          <cell r="IF586">
            <v>1.9283187500000005</v>
          </cell>
          <cell r="II586">
            <v>1.9766520833333334</v>
          </cell>
        </row>
        <row r="587">
          <cell r="X587">
            <v>3.0937500000000027</v>
          </cell>
          <cell r="Z587">
            <v>0.7312500000000004</v>
          </cell>
          <cell r="AA587">
            <v>5.7937500000000002</v>
          </cell>
          <cell r="AC587">
            <v>1.4062500000000009</v>
          </cell>
          <cell r="AD587">
            <v>2.5312500000000013</v>
          </cell>
          <cell r="AF587">
            <v>1.5187500000000007</v>
          </cell>
          <cell r="AG587">
            <v>0.8550000000000002</v>
          </cell>
          <cell r="AI587">
            <v>-5.6249999999999051E-2</v>
          </cell>
          <cell r="AJ587">
            <v>1.0687500000000008</v>
          </cell>
          <cell r="AL587">
            <v>0.5062500000000012</v>
          </cell>
          <cell r="AM587">
            <v>2.1937499999999983</v>
          </cell>
          <cell r="AO587">
            <v>0.2812500000000005</v>
          </cell>
          <cell r="AP587">
            <v>0.7312500000000004</v>
          </cell>
          <cell r="AR587">
            <v>-0.1687499999999994</v>
          </cell>
          <cell r="AS587">
            <v>1.4062500000000009</v>
          </cell>
          <cell r="AU587">
            <v>-0.61874999999999858</v>
          </cell>
          <cell r="AV587">
            <v>1.5187500000000007</v>
          </cell>
          <cell r="AX587">
            <v>-0.61874999999999858</v>
          </cell>
          <cell r="AY587">
            <v>-5.6249999999999051E-2</v>
          </cell>
          <cell r="BA587">
            <v>0.5062500000000012</v>
          </cell>
          <cell r="BB587">
            <v>0.5062500000000012</v>
          </cell>
          <cell r="BD587">
            <v>1.6312500000000001</v>
          </cell>
          <cell r="BE587">
            <v>0.2812500000000005</v>
          </cell>
          <cell r="BG587">
            <v>0.84375000000000155</v>
          </cell>
          <cell r="BH587">
            <v>-0.1687499999999994</v>
          </cell>
          <cell r="BJ587">
            <v>0.84375000000000155</v>
          </cell>
          <cell r="BK587">
            <v>-0.61874999999999858</v>
          </cell>
          <cell r="BM587">
            <v>0.7312500000000004</v>
          </cell>
          <cell r="BN587">
            <v>-0.61874999999999858</v>
          </cell>
          <cell r="BP587">
            <v>-0.61874999999999858</v>
          </cell>
          <cell r="BQ587">
            <v>0.5062500000000012</v>
          </cell>
          <cell r="BS587">
            <v>-1.5187499999999992</v>
          </cell>
          <cell r="BT587">
            <v>1.6312500000000001</v>
          </cell>
          <cell r="BV587">
            <v>-0.39374999999999938</v>
          </cell>
          <cell r="BW587">
            <v>0.84375000000000155</v>
          </cell>
          <cell r="BY587">
            <v>-0.1687499999999994</v>
          </cell>
          <cell r="BZ587">
            <v>0.84375000000000155</v>
          </cell>
          <cell r="CB587">
            <v>0.2812500000000005</v>
          </cell>
          <cell r="CC587">
            <v>0.7312500000000004</v>
          </cell>
          <cell r="CE587">
            <v>0.2812500000000005</v>
          </cell>
          <cell r="CF587">
            <v>-0.61874999999999858</v>
          </cell>
          <cell r="CH587">
            <v>0.9562500000000026</v>
          </cell>
          <cell r="CI587">
            <v>-1.5187499999999992</v>
          </cell>
          <cell r="CK587">
            <v>5.62499999999998E-2</v>
          </cell>
          <cell r="CL587">
            <v>-0.39374999999999938</v>
          </cell>
          <cell r="CN587">
            <v>-0.50624999999999898</v>
          </cell>
          <cell r="CO587">
            <v>-0.1687499999999994</v>
          </cell>
          <cell r="CQ587">
            <v>0.1687500000000009</v>
          </cell>
          <cell r="CR587">
            <v>0.2812500000000005</v>
          </cell>
          <cell r="CT587">
            <v>-0.34874999999999906</v>
          </cell>
          <cell r="CU587">
            <v>0.2812500000000005</v>
          </cell>
          <cell r="CW587">
            <v>-1.4287499999999986</v>
          </cell>
          <cell r="CX587">
            <v>0.9562500000000026</v>
          </cell>
          <cell r="CZ587">
            <v>-1.5862499999999984</v>
          </cell>
          <cell r="DA587">
            <v>5.62499999999998E-2</v>
          </cell>
          <cell r="DC587">
            <v>-1.248749999999998</v>
          </cell>
          <cell r="DD587">
            <v>-0.50624999999999898</v>
          </cell>
          <cell r="DF587">
            <v>-1.5637499999999986</v>
          </cell>
          <cell r="DG587">
            <v>0.1687500000000009</v>
          </cell>
          <cell r="DI587">
            <v>-1.1137499999999987</v>
          </cell>
          <cell r="DJ587">
            <v>-0.34874999999999906</v>
          </cell>
          <cell r="DL587">
            <v>-0.73124999999999885</v>
          </cell>
          <cell r="DM587">
            <v>-1.4287499999999986</v>
          </cell>
          <cell r="DO587">
            <v>0.46125000000000166</v>
          </cell>
          <cell r="DP587">
            <v>-1.5862499999999984</v>
          </cell>
          <cell r="DR587">
            <v>2.4187500000000002</v>
          </cell>
          <cell r="DS587">
            <v>-1.248749999999998</v>
          </cell>
          <cell r="DU587">
            <v>2.0812500000000016</v>
          </cell>
          <cell r="DV587">
            <v>-1.5637499999999986</v>
          </cell>
          <cell r="DX587">
            <v>3.6562500000000018</v>
          </cell>
          <cell r="DY587">
            <v>-1.1137499999999987</v>
          </cell>
          <cell r="EA587">
            <v>2.6437500000000012</v>
          </cell>
          <cell r="EB587">
            <v>-0.73124999999999885</v>
          </cell>
          <cell r="ED587">
            <v>2.2387500000000009</v>
          </cell>
          <cell r="EE587">
            <v>0.46125000000000166</v>
          </cell>
          <cell r="EG587">
            <v>1.0687500000000008</v>
          </cell>
          <cell r="EH587">
            <v>2.4187500000000002</v>
          </cell>
          <cell r="EJ587">
            <v>-1.1699999999999993</v>
          </cell>
          <cell r="EK587">
            <v>2.0812500000000016</v>
          </cell>
          <cell r="EM587">
            <v>-1.0012499999999991</v>
          </cell>
          <cell r="EN587">
            <v>3.6562500000000018</v>
          </cell>
          <cell r="EP587">
            <v>-0.79874999999999896</v>
          </cell>
          <cell r="EQ587">
            <v>2.6437500000000012</v>
          </cell>
          <cell r="ES587">
            <v>1.8562500000000008</v>
          </cell>
          <cell r="ET587">
            <v>2.2387500000000009</v>
          </cell>
          <cell r="EV587">
            <v>2.711250000000001</v>
          </cell>
          <cell r="EW587">
            <v>1.0687500000000008</v>
          </cell>
          <cell r="EY587">
            <v>2.0362500000000021</v>
          </cell>
          <cell r="EZ587">
            <v>-1.1699999999999993</v>
          </cell>
          <cell r="FB587">
            <v>5.4562500000000016</v>
          </cell>
          <cell r="FC587">
            <v>-1.0012499999999991</v>
          </cell>
          <cell r="FE587">
            <v>3.4312499999999999</v>
          </cell>
          <cell r="FF587">
            <v>-0.79874999999999896</v>
          </cell>
          <cell r="FH587">
            <v>2.9137500000000012</v>
          </cell>
          <cell r="FI587">
            <v>1.8562500000000008</v>
          </cell>
          <cell r="FK587">
            <v>3.4537500000000017</v>
          </cell>
          <cell r="FL587">
            <v>2.711250000000001</v>
          </cell>
          <cell r="FN587">
            <v>6.2325000000000017</v>
          </cell>
          <cell r="FO587">
            <v>2.0362500000000021</v>
          </cell>
          <cell r="FQ587">
            <v>9.6862500000000011</v>
          </cell>
          <cell r="FR587">
            <v>5.4562500000000016</v>
          </cell>
          <cell r="FT587">
            <v>17.876249999999999</v>
          </cell>
          <cell r="FU587">
            <v>3.4312499999999999</v>
          </cell>
          <cell r="FW587">
            <v>17.628750000000004</v>
          </cell>
          <cell r="FX587">
            <v>2.9137500000000012</v>
          </cell>
          <cell r="FZ587">
            <v>14.816250000000002</v>
          </cell>
          <cell r="GA587">
            <v>3.4537500000000017</v>
          </cell>
          <cell r="GC587">
            <v>14.051250000000003</v>
          </cell>
          <cell r="GD587">
            <v>6.2325000000000017</v>
          </cell>
          <cell r="GF587">
            <v>12.487500000000002</v>
          </cell>
          <cell r="GG587">
            <v>9.6862500000000011</v>
          </cell>
          <cell r="GI587">
            <v>10.586250000000001</v>
          </cell>
          <cell r="GJ587">
            <v>17.876249999999999</v>
          </cell>
          <cell r="GL587">
            <v>11.53125</v>
          </cell>
          <cell r="GM587">
            <v>17.628750000000004</v>
          </cell>
          <cell r="GO587">
            <v>13.781250000000002</v>
          </cell>
          <cell r="GP587">
            <v>14.816250000000002</v>
          </cell>
          <cell r="GR587">
            <v>18.483750000000001</v>
          </cell>
          <cell r="GS587">
            <v>14.051250000000003</v>
          </cell>
          <cell r="GU587">
            <v>17.98875</v>
          </cell>
          <cell r="GV587">
            <v>12.487500000000002</v>
          </cell>
          <cell r="GX587">
            <v>17.246249999999996</v>
          </cell>
          <cell r="GY587">
            <v>10.586250000000001</v>
          </cell>
          <cell r="HA587">
            <v>20.05875</v>
          </cell>
          <cell r="HB587">
            <v>11.53125</v>
          </cell>
          <cell r="HD587">
            <v>17.381250000000001</v>
          </cell>
          <cell r="HE587">
            <v>13.781250000000002</v>
          </cell>
          <cell r="HG587">
            <v>16.638750000000005</v>
          </cell>
          <cell r="HH587">
            <v>18.483750000000001</v>
          </cell>
          <cell r="HJ587">
            <v>18.078750000000003</v>
          </cell>
          <cell r="HK587">
            <v>17.98875</v>
          </cell>
          <cell r="HM587">
            <v>20.26125</v>
          </cell>
          <cell r="HN587">
            <v>17.246249999999996</v>
          </cell>
          <cell r="HP587">
            <v>22.488794999999996</v>
          </cell>
          <cell r="HQ587">
            <v>20.395800000000001</v>
          </cell>
          <cell r="HS587">
            <v>20.037487500000001</v>
          </cell>
          <cell r="HT587">
            <v>17.724374999999995</v>
          </cell>
          <cell r="HV587">
            <v>19.998719999999995</v>
          </cell>
          <cell r="HW587">
            <v>13.668750000000003</v>
          </cell>
          <cell r="HY587">
            <v>20.342947500000001</v>
          </cell>
          <cell r="HZ587">
            <v>13.443749999999998</v>
          </cell>
          <cell r="IB587">
            <v>19.233944999999999</v>
          </cell>
          <cell r="IC587">
            <v>13.781250000000002</v>
          </cell>
          <cell r="IE587">
            <v>17.994555000000002</v>
          </cell>
          <cell r="IF587">
            <v>11.30625</v>
          </cell>
          <cell r="II587">
            <v>10.518750000000002</v>
          </cell>
        </row>
        <row r="588">
          <cell r="X588">
            <v>2.2343749999999982E-2</v>
          </cell>
          <cell r="Z588">
            <v>3.1510416666666707E-2</v>
          </cell>
          <cell r="AA588">
            <v>0.20109375000000007</v>
          </cell>
          <cell r="AC588">
            <v>3.3802083333333274E-2</v>
          </cell>
          <cell r="AD588">
            <v>0.16442708333333331</v>
          </cell>
          <cell r="AF588">
            <v>4.2968749999999924E-2</v>
          </cell>
          <cell r="AG588">
            <v>7.7343749999999961E-2</v>
          </cell>
          <cell r="AI588">
            <v>1.0885416666666613E-2</v>
          </cell>
          <cell r="AJ588">
            <v>8.5937499999999695E-3</v>
          </cell>
          <cell r="AL588">
            <v>1.7187500000000015E-3</v>
          </cell>
          <cell r="AM588">
            <v>8.5937499999999695E-3</v>
          </cell>
          <cell r="AO588">
            <v>1.3177083333333332E-2</v>
          </cell>
          <cell r="AP588">
            <v>3.1510416666666707E-2</v>
          </cell>
          <cell r="AR588">
            <v>4.0104166666665685E-3</v>
          </cell>
          <cell r="AS588">
            <v>3.3802083333333274E-2</v>
          </cell>
          <cell r="AU588">
            <v>-1.8906250000000017E-2</v>
          </cell>
          <cell r="AV588">
            <v>4.2968749999999924E-2</v>
          </cell>
          <cell r="AX588">
            <v>-2.1197916666666698E-2</v>
          </cell>
          <cell r="AY588">
            <v>1.0885416666666613E-2</v>
          </cell>
          <cell r="BA588">
            <v>2.0052083333333262E-2</v>
          </cell>
          <cell r="BB588">
            <v>1.7187500000000015E-3</v>
          </cell>
          <cell r="BD588">
            <v>8.4218749999999953E-2</v>
          </cell>
          <cell r="BE588">
            <v>1.3177083333333332E-2</v>
          </cell>
          <cell r="BG588">
            <v>0.16671874999999997</v>
          </cell>
          <cell r="BH588">
            <v>4.0104166666665685E-3</v>
          </cell>
          <cell r="BJ588">
            <v>0.24921874999999996</v>
          </cell>
          <cell r="BK588">
            <v>-1.8906250000000017E-2</v>
          </cell>
          <cell r="BM588">
            <v>0.30421874999999993</v>
          </cell>
          <cell r="BN588">
            <v>-2.1197916666666698E-2</v>
          </cell>
          <cell r="BP588">
            <v>0.26755208333333336</v>
          </cell>
          <cell r="BQ588">
            <v>2.0052083333333262E-2</v>
          </cell>
          <cell r="BS588">
            <v>0.14380208333333322</v>
          </cell>
          <cell r="BT588">
            <v>8.4218749999999953E-2</v>
          </cell>
          <cell r="BV588">
            <v>8.4218749999999953E-2</v>
          </cell>
          <cell r="BW588">
            <v>0.16671874999999997</v>
          </cell>
          <cell r="BY588">
            <v>0.13463541666666656</v>
          </cell>
          <cell r="BZ588">
            <v>0.24921874999999996</v>
          </cell>
          <cell r="CB588">
            <v>0.16213541666666667</v>
          </cell>
          <cell r="CC588">
            <v>0.30421874999999993</v>
          </cell>
          <cell r="CE588">
            <v>0.17130208333333324</v>
          </cell>
          <cell r="CF588">
            <v>0.26755208333333336</v>
          </cell>
          <cell r="CH588">
            <v>0.20338541666666662</v>
          </cell>
          <cell r="CI588">
            <v>0.14380208333333322</v>
          </cell>
          <cell r="CK588">
            <v>0.20796874999999992</v>
          </cell>
          <cell r="CL588">
            <v>8.4218749999999953E-2</v>
          </cell>
          <cell r="CN588">
            <v>0.2010937499999999</v>
          </cell>
          <cell r="CO588">
            <v>0.13463541666666656</v>
          </cell>
          <cell r="CQ588">
            <v>0.13921875</v>
          </cell>
          <cell r="CR588">
            <v>0.16213541666666667</v>
          </cell>
          <cell r="CT588">
            <v>7.0468750000000024E-2</v>
          </cell>
          <cell r="CU588">
            <v>0.17130208333333324</v>
          </cell>
          <cell r="CW588">
            <v>1.7760416666666619E-2</v>
          </cell>
          <cell r="CX588">
            <v>0.20338541666666662</v>
          </cell>
          <cell r="CZ588">
            <v>-5.7291666666671806E-4</v>
          </cell>
          <cell r="DA588">
            <v>0.20796874999999992</v>
          </cell>
          <cell r="DC588">
            <v>-2.5781250000000023E-2</v>
          </cell>
          <cell r="DD588">
            <v>0.2010937499999999</v>
          </cell>
          <cell r="DF588">
            <v>-4.411458333333336E-2</v>
          </cell>
          <cell r="DG588">
            <v>0.13921875</v>
          </cell>
          <cell r="DI588">
            <v>-2.8072916666666704E-2</v>
          </cell>
          <cell r="DJ588">
            <v>7.0468750000000024E-2</v>
          </cell>
          <cell r="DL588">
            <v>5.4427083333333369E-2</v>
          </cell>
          <cell r="DM588">
            <v>1.7760416666666619E-2</v>
          </cell>
          <cell r="DO588">
            <v>0.15067708333333329</v>
          </cell>
          <cell r="DP588">
            <v>-5.7291666666671806E-4</v>
          </cell>
          <cell r="DR588">
            <v>0.19651041666666655</v>
          </cell>
          <cell r="DS588">
            <v>-2.5781250000000023E-2</v>
          </cell>
          <cell r="DU588">
            <v>0.34317708333333319</v>
          </cell>
          <cell r="DV588">
            <v>-4.411458333333336E-2</v>
          </cell>
          <cell r="DX588">
            <v>0.32942708333333337</v>
          </cell>
          <cell r="DY588">
            <v>-2.8072916666666704E-2</v>
          </cell>
          <cell r="EA588">
            <v>0.27901041666666659</v>
          </cell>
          <cell r="EB588">
            <v>5.4427083333333369E-2</v>
          </cell>
          <cell r="ED588">
            <v>0.24234375000000002</v>
          </cell>
          <cell r="EE588">
            <v>0.15067708333333329</v>
          </cell>
          <cell r="EG588">
            <v>0.13692708333333328</v>
          </cell>
          <cell r="EH588">
            <v>0.19651041666666655</v>
          </cell>
          <cell r="EJ588">
            <v>6.8177083333333305E-2</v>
          </cell>
          <cell r="EK588">
            <v>0.34317708333333319</v>
          </cell>
          <cell r="EM588">
            <v>0.12776041666666671</v>
          </cell>
          <cell r="EN588">
            <v>0.32942708333333337</v>
          </cell>
          <cell r="EP588">
            <v>7.0468750000000024E-2</v>
          </cell>
          <cell r="EQ588">
            <v>0.27901041666666659</v>
          </cell>
          <cell r="ES588">
            <v>0.18505208333333334</v>
          </cell>
          <cell r="ET588">
            <v>0.24234375000000002</v>
          </cell>
          <cell r="EV588">
            <v>0.21026041666666664</v>
          </cell>
          <cell r="EW588">
            <v>0.13692708333333328</v>
          </cell>
          <cell r="EY588">
            <v>0.17359374999999988</v>
          </cell>
          <cell r="EZ588">
            <v>6.8177083333333305E-2</v>
          </cell>
          <cell r="FB588">
            <v>0.28817708333333325</v>
          </cell>
          <cell r="FC588">
            <v>0.12776041666666671</v>
          </cell>
          <cell r="FE588">
            <v>0.31109374999999984</v>
          </cell>
          <cell r="FF588">
            <v>7.0468750000000024E-2</v>
          </cell>
          <cell r="FH588">
            <v>0.19651041666666663</v>
          </cell>
          <cell r="FI588">
            <v>0.18505208333333334</v>
          </cell>
          <cell r="FK588">
            <v>0.21942708333333336</v>
          </cell>
          <cell r="FL588">
            <v>0.21026041666666664</v>
          </cell>
          <cell r="FN588">
            <v>0.41880208333333346</v>
          </cell>
          <cell r="FO588">
            <v>0.17359374999999988</v>
          </cell>
          <cell r="FQ588">
            <v>0.51046874999999992</v>
          </cell>
          <cell r="FR588">
            <v>0.28817708333333325</v>
          </cell>
          <cell r="FT588">
            <v>0.52651041666666665</v>
          </cell>
          <cell r="FU588">
            <v>0.31109374999999984</v>
          </cell>
          <cell r="FW588">
            <v>0.77859374999999986</v>
          </cell>
          <cell r="FX588">
            <v>0.19651041666666663</v>
          </cell>
          <cell r="FZ588">
            <v>0.91609374999999982</v>
          </cell>
          <cell r="GA588">
            <v>0.21942708333333336</v>
          </cell>
          <cell r="GC588">
            <v>0.65942708333333333</v>
          </cell>
          <cell r="GD588">
            <v>0.41880208333333346</v>
          </cell>
          <cell r="GF588">
            <v>0.64109375000000002</v>
          </cell>
          <cell r="GG588">
            <v>0.51046874999999992</v>
          </cell>
          <cell r="GI588">
            <v>0.98026041666666675</v>
          </cell>
          <cell r="GJ588">
            <v>0.52651041666666665</v>
          </cell>
          <cell r="GL588">
            <v>0.86109374999999999</v>
          </cell>
          <cell r="GM588">
            <v>0.77859374999999986</v>
          </cell>
          <cell r="GO588">
            <v>0.9894270833333334</v>
          </cell>
          <cell r="GP588">
            <v>0.91609374999999982</v>
          </cell>
          <cell r="GR588">
            <v>1.0306770833333334</v>
          </cell>
          <cell r="GS588">
            <v>0.65942708333333333</v>
          </cell>
          <cell r="GU588">
            <v>0.81984375000000009</v>
          </cell>
          <cell r="GV588">
            <v>0.64109375000000002</v>
          </cell>
          <cell r="GX588">
            <v>0.85082708333333323</v>
          </cell>
          <cell r="GY588">
            <v>0.98026041666666675</v>
          </cell>
          <cell r="HA588">
            <v>1.0375520833333334</v>
          </cell>
          <cell r="HB588">
            <v>0.86109374999999999</v>
          </cell>
          <cell r="HD588">
            <v>1.0627604166666667</v>
          </cell>
          <cell r="HE588">
            <v>0.9894270833333334</v>
          </cell>
          <cell r="HG588">
            <v>1.25296875</v>
          </cell>
          <cell r="HH588">
            <v>1.0306770833333334</v>
          </cell>
          <cell r="HJ588">
            <v>1.3056770833333333</v>
          </cell>
          <cell r="HK588">
            <v>0.81984375000000009</v>
          </cell>
          <cell r="HM588">
            <v>1.5394270833333334</v>
          </cell>
          <cell r="HN588">
            <v>0.85082708333333323</v>
          </cell>
          <cell r="HP588">
            <v>1.93359375</v>
          </cell>
          <cell r="HQ588">
            <v>1.0375520833333334</v>
          </cell>
          <cell r="HS588">
            <v>1.7090104166666664</v>
          </cell>
          <cell r="HT588">
            <v>1.0810937500000004</v>
          </cell>
          <cell r="HV588">
            <v>1.6356770833333332</v>
          </cell>
          <cell r="HW588">
            <v>1.03984375</v>
          </cell>
          <cell r="HY588">
            <v>1.498177083333333</v>
          </cell>
          <cell r="HZ588">
            <v>1.0306770833333334</v>
          </cell>
          <cell r="IB588">
            <v>1.4340104166666667</v>
          </cell>
          <cell r="IC588">
            <v>0.98942708333333307</v>
          </cell>
          <cell r="IE588">
            <v>1.3973437499999999</v>
          </cell>
          <cell r="IF588">
            <v>0.93671875000000004</v>
          </cell>
          <cell r="II588">
            <v>0.92067708333333331</v>
          </cell>
        </row>
        <row r="589">
          <cell r="X589">
            <v>-0.11354166666666668</v>
          </cell>
          <cell r="Z589">
            <v>-0.20312500000000006</v>
          </cell>
          <cell r="AA589">
            <v>-0.11145833333333338</v>
          </cell>
          <cell r="AC589">
            <v>-0.18229166666666671</v>
          </cell>
          <cell r="AD589">
            <v>-0.14479166666666668</v>
          </cell>
          <cell r="AF589">
            <v>-0.14479166666666668</v>
          </cell>
          <cell r="AG589">
            <v>-0.15729166666666669</v>
          </cell>
          <cell r="AI589">
            <v>-0.14479166666666668</v>
          </cell>
          <cell r="AJ589">
            <v>-0.15729166666666669</v>
          </cell>
          <cell r="AL589">
            <v>-0.12812500000000002</v>
          </cell>
          <cell r="AM589">
            <v>-0.20729166666666671</v>
          </cell>
          <cell r="AO589">
            <v>-5.7291666666666706E-2</v>
          </cell>
          <cell r="AP589">
            <v>-0.20312500000000006</v>
          </cell>
          <cell r="AR589">
            <v>4.6874999999999972E-2</v>
          </cell>
          <cell r="AS589">
            <v>-0.18229166666666671</v>
          </cell>
          <cell r="AU589">
            <v>0.13854166666666667</v>
          </cell>
          <cell r="AV589">
            <v>-0.14479166666666668</v>
          </cell>
          <cell r="AX589">
            <v>0.1427083333333333</v>
          </cell>
          <cell r="AY589">
            <v>-0.14479166666666668</v>
          </cell>
          <cell r="BA589">
            <v>0.12812499999999999</v>
          </cell>
          <cell r="BB589">
            <v>-0.12812500000000002</v>
          </cell>
          <cell r="BD589">
            <v>0.11770833333333328</v>
          </cell>
          <cell r="BE589">
            <v>-5.7291666666666706E-2</v>
          </cell>
          <cell r="BG589">
            <v>9.6874999999999947E-2</v>
          </cell>
          <cell r="BH589">
            <v>4.6874999999999972E-2</v>
          </cell>
          <cell r="BJ589">
            <v>9.6874999999999947E-2</v>
          </cell>
          <cell r="BK589">
            <v>0.13854166666666667</v>
          </cell>
          <cell r="BM589">
            <v>9.6874999999999947E-2</v>
          </cell>
          <cell r="BN589">
            <v>0.1427083333333333</v>
          </cell>
          <cell r="BP589">
            <v>0.11770833333333328</v>
          </cell>
          <cell r="BQ589">
            <v>0.12812499999999999</v>
          </cell>
          <cell r="BS589">
            <v>0.10729166666666665</v>
          </cell>
          <cell r="BT589">
            <v>0.11770833333333328</v>
          </cell>
          <cell r="BV589">
            <v>6.1458333333333295E-2</v>
          </cell>
          <cell r="BW589">
            <v>9.6874999999999947E-2</v>
          </cell>
          <cell r="BY589">
            <v>7.3958333333333307E-2</v>
          </cell>
          <cell r="BZ589">
            <v>9.6874999999999947E-2</v>
          </cell>
          <cell r="CB589">
            <v>9.4791666666666635E-2</v>
          </cell>
          <cell r="CC589">
            <v>9.6874999999999947E-2</v>
          </cell>
          <cell r="CE589">
            <v>9.8958333333333329E-2</v>
          </cell>
          <cell r="CF589">
            <v>0.11770833333333328</v>
          </cell>
          <cell r="CH589">
            <v>0.1427083333333333</v>
          </cell>
          <cell r="CI589">
            <v>0.10729166666666665</v>
          </cell>
          <cell r="CK589">
            <v>0.20937499999999998</v>
          </cell>
          <cell r="CL589">
            <v>6.1458333333333295E-2</v>
          </cell>
          <cell r="CN589">
            <v>0.2427083333333333</v>
          </cell>
          <cell r="CO589">
            <v>7.3958333333333307E-2</v>
          </cell>
          <cell r="CQ589">
            <v>0.23437499999999994</v>
          </cell>
          <cell r="CR589">
            <v>9.4791666666666635E-2</v>
          </cell>
          <cell r="CT589">
            <v>0.20104166666666667</v>
          </cell>
          <cell r="CU589">
            <v>9.8958333333333329E-2</v>
          </cell>
          <cell r="CW589">
            <v>6.3541666666666677E-2</v>
          </cell>
          <cell r="CX589">
            <v>0.1427083333333333</v>
          </cell>
          <cell r="CZ589">
            <v>-3.2291666666666684E-2</v>
          </cell>
          <cell r="DA589">
            <v>0.20937499999999998</v>
          </cell>
          <cell r="DC589">
            <v>-8.2291666666666693E-2</v>
          </cell>
          <cell r="DD589">
            <v>0.2427083333333333</v>
          </cell>
          <cell r="DF589">
            <v>-0.10312500000000002</v>
          </cell>
          <cell r="DG589">
            <v>0.23437499999999994</v>
          </cell>
          <cell r="DI589">
            <v>-0.11145833333333338</v>
          </cell>
          <cell r="DJ589">
            <v>0.20104166666666667</v>
          </cell>
          <cell r="DL589">
            <v>-5.10416666666667E-2</v>
          </cell>
          <cell r="DM589">
            <v>6.3541666666666677E-2</v>
          </cell>
          <cell r="DO589">
            <v>4.8958333333333284E-2</v>
          </cell>
          <cell r="DP589">
            <v>-3.2291666666666684E-2</v>
          </cell>
          <cell r="DR589">
            <v>0.1427083333333333</v>
          </cell>
          <cell r="DS589">
            <v>-8.2291666666666693E-2</v>
          </cell>
          <cell r="DU589">
            <v>0.23020833333333329</v>
          </cell>
          <cell r="DV589">
            <v>-0.10312500000000002</v>
          </cell>
          <cell r="DX589">
            <v>0.23020833333333329</v>
          </cell>
          <cell r="DY589">
            <v>-0.11145833333333338</v>
          </cell>
          <cell r="EA589">
            <v>0.13020833333333329</v>
          </cell>
          <cell r="EB589">
            <v>-5.10416666666667E-2</v>
          </cell>
          <cell r="ED589">
            <v>-6.3541666666666718E-2</v>
          </cell>
          <cell r="EE589">
            <v>4.8958333333333284E-2</v>
          </cell>
          <cell r="EG589">
            <v>-8.8541666666666699E-2</v>
          </cell>
          <cell r="EH589">
            <v>0.1427083333333333</v>
          </cell>
          <cell r="EJ589">
            <v>-0.11979166666666669</v>
          </cell>
          <cell r="EK589">
            <v>0.23020833333333329</v>
          </cell>
          <cell r="EM589">
            <v>-0.14479166666666668</v>
          </cell>
          <cell r="EN589">
            <v>0.23020833333333329</v>
          </cell>
          <cell r="EP589">
            <v>-0.14479166666666668</v>
          </cell>
          <cell r="EQ589">
            <v>0.13020833333333329</v>
          </cell>
          <cell r="ES589">
            <v>-1.9791666666666707E-2</v>
          </cell>
          <cell r="ET589">
            <v>-6.3541666666666718E-2</v>
          </cell>
          <cell r="EV589">
            <v>0.21770833333333328</v>
          </cell>
          <cell r="EW589">
            <v>-8.8541666666666699E-2</v>
          </cell>
          <cell r="EY589">
            <v>0.21770833333333328</v>
          </cell>
          <cell r="EZ589">
            <v>-0.11979166666666669</v>
          </cell>
          <cell r="FB589">
            <v>0.21770833333333328</v>
          </cell>
          <cell r="FC589">
            <v>-0.14479166666666668</v>
          </cell>
          <cell r="FE589">
            <v>0.3052083333333333</v>
          </cell>
          <cell r="FF589">
            <v>-0.14479166666666668</v>
          </cell>
          <cell r="FH589">
            <v>0.23645833333333333</v>
          </cell>
          <cell r="FI589">
            <v>-1.9791666666666707E-2</v>
          </cell>
          <cell r="FK589">
            <v>0.19895833333333329</v>
          </cell>
          <cell r="FL589">
            <v>0.21770833333333328</v>
          </cell>
          <cell r="FN589">
            <v>0.18645833333333334</v>
          </cell>
          <cell r="FO589">
            <v>0.21770833333333328</v>
          </cell>
          <cell r="FQ589">
            <v>0.35520833333333335</v>
          </cell>
          <cell r="FR589">
            <v>0.21770833333333328</v>
          </cell>
          <cell r="FT589">
            <v>0.40520833333333328</v>
          </cell>
          <cell r="FU589">
            <v>0.3052083333333333</v>
          </cell>
          <cell r="FW589">
            <v>0.45520833333333333</v>
          </cell>
          <cell r="FX589">
            <v>0.23645833333333333</v>
          </cell>
          <cell r="FZ589">
            <v>0.50520833333333337</v>
          </cell>
          <cell r="GA589">
            <v>0.19895833333333329</v>
          </cell>
          <cell r="GC589">
            <v>0.5552083333333333</v>
          </cell>
          <cell r="GD589">
            <v>0.18645833333333334</v>
          </cell>
          <cell r="GF589">
            <v>0.5552083333333333</v>
          </cell>
          <cell r="GG589">
            <v>0.35520833333333335</v>
          </cell>
          <cell r="GI589">
            <v>0.57395833333333324</v>
          </cell>
          <cell r="GJ589">
            <v>0.40520833333333328</v>
          </cell>
          <cell r="GL589">
            <v>0.51145833333333335</v>
          </cell>
          <cell r="GM589">
            <v>0.45520833333333333</v>
          </cell>
          <cell r="GO589">
            <v>0.51145833333333335</v>
          </cell>
          <cell r="GP589">
            <v>0.50520833333333337</v>
          </cell>
          <cell r="GR589">
            <v>0.51145833333333335</v>
          </cell>
          <cell r="GS589">
            <v>0.5552083333333333</v>
          </cell>
          <cell r="GU589">
            <v>0.48645833333333333</v>
          </cell>
          <cell r="GV589">
            <v>0.5552083333333333</v>
          </cell>
          <cell r="GX589">
            <v>0.42395833333333327</v>
          </cell>
          <cell r="GY589">
            <v>0.57395833333333324</v>
          </cell>
          <cell r="HA589">
            <v>0.48645833333333333</v>
          </cell>
          <cell r="HB589">
            <v>0.51145833333333335</v>
          </cell>
          <cell r="HD589">
            <v>0.48645833333333333</v>
          </cell>
          <cell r="HE589">
            <v>0.51145833333333335</v>
          </cell>
          <cell r="HG589">
            <v>0.48645833333333333</v>
          </cell>
          <cell r="HH589">
            <v>0.51145833333333335</v>
          </cell>
          <cell r="HJ589">
            <v>0.4302083333333333</v>
          </cell>
          <cell r="HK589">
            <v>0.48645833333333333</v>
          </cell>
          <cell r="HM589">
            <v>0.36770833333333336</v>
          </cell>
          <cell r="HN589">
            <v>0.42395833333333327</v>
          </cell>
          <cell r="HP589">
            <v>0.34270833333333334</v>
          </cell>
          <cell r="HQ589">
            <v>0.48645833333333333</v>
          </cell>
          <cell r="HS589">
            <v>0.3052083333333333</v>
          </cell>
          <cell r="HT589">
            <v>0.4877083333333333</v>
          </cell>
          <cell r="HV589">
            <v>0.28020833333333328</v>
          </cell>
          <cell r="HW589">
            <v>0.4877083333333333</v>
          </cell>
          <cell r="HY589">
            <v>0.28020833333333328</v>
          </cell>
          <cell r="HZ589">
            <v>0.45520833333333333</v>
          </cell>
          <cell r="IB589">
            <v>0.3052083333333333</v>
          </cell>
          <cell r="IC589">
            <v>0.45520833333333333</v>
          </cell>
          <cell r="IE589">
            <v>0.3052083333333333</v>
          </cell>
          <cell r="IF589">
            <v>0.4302083333333333</v>
          </cell>
          <cell r="II589">
            <v>0.4302083333333333</v>
          </cell>
        </row>
        <row r="590">
          <cell r="X590">
            <v>6.1407958333333283</v>
          </cell>
          <cell r="Z590">
            <v>15.098761591868666</v>
          </cell>
          <cell r="AA590">
            <v>-4.1117041666666765</v>
          </cell>
          <cell r="AC590">
            <v>10.251133088556447</v>
          </cell>
          <cell r="AD590">
            <v>4.2474624999999921</v>
          </cell>
          <cell r="AF590">
            <v>4.0012482792822226</v>
          </cell>
          <cell r="AG590">
            <v>14.288879166666653</v>
          </cell>
          <cell r="AI590">
            <v>-2.1057365518308355</v>
          </cell>
          <cell r="AJ590">
            <v>13.718295833333324</v>
          </cell>
          <cell r="AL590">
            <v>4.1189291666666561</v>
          </cell>
          <cell r="AM590">
            <v>4.804962499999994</v>
          </cell>
          <cell r="AO590">
            <v>-3.9641958333333425</v>
          </cell>
          <cell r="AP590">
            <v>15.098761591868666</v>
          </cell>
          <cell r="AR590">
            <v>9.6587499999995136E-2</v>
          </cell>
          <cell r="AS590">
            <v>10.251133088556447</v>
          </cell>
          <cell r="AU590">
            <v>-0.25132083333333499</v>
          </cell>
          <cell r="AV590">
            <v>4.0012482792822226</v>
          </cell>
          <cell r="AX590">
            <v>-0.25962083333334351</v>
          </cell>
          <cell r="AY590">
            <v>-2.1057365518308355</v>
          </cell>
          <cell r="BA590">
            <v>3.2527764583333165</v>
          </cell>
          <cell r="BB590">
            <v>4.1189291666666561</v>
          </cell>
          <cell r="BD590">
            <v>4.8082141666666587</v>
          </cell>
          <cell r="BE590">
            <v>-3.9641958333333425</v>
          </cell>
          <cell r="BG590">
            <v>7.8537908333333242</v>
          </cell>
          <cell r="BH590">
            <v>9.6587499999995136E-2</v>
          </cell>
          <cell r="BJ590">
            <v>9.5340358333333235</v>
          </cell>
          <cell r="BK590">
            <v>-0.25132083333333499</v>
          </cell>
          <cell r="BM590">
            <v>7.1140829166666579</v>
          </cell>
          <cell r="BN590">
            <v>-0.25962083333334351</v>
          </cell>
          <cell r="BP590">
            <v>11.123602916666654</v>
          </cell>
          <cell r="BQ590">
            <v>3.2527764583333165</v>
          </cell>
          <cell r="BS590">
            <v>6.5544049166666589</v>
          </cell>
          <cell r="BT590">
            <v>4.8082141666666587</v>
          </cell>
          <cell r="BV590">
            <v>2.2128945833333242</v>
          </cell>
          <cell r="BW590">
            <v>7.8537908333333242</v>
          </cell>
          <cell r="BY590">
            <v>-1.9695350000000063</v>
          </cell>
          <cell r="BZ590">
            <v>9.5340358333333235</v>
          </cell>
          <cell r="CB590">
            <v>-1.5013891666666768</v>
          </cell>
          <cell r="CC590">
            <v>7.1140829166666579</v>
          </cell>
          <cell r="CE590">
            <v>-9.9499261458333397</v>
          </cell>
          <cell r="CF590">
            <v>11.123602916666654</v>
          </cell>
          <cell r="CH590">
            <v>-11.753166583333339</v>
          </cell>
          <cell r="CI590">
            <v>6.5544049166666589</v>
          </cell>
          <cell r="CK590">
            <v>0.66508020833332471</v>
          </cell>
          <cell r="CL590">
            <v>2.2128945833333242</v>
          </cell>
          <cell r="CN590">
            <v>-2.4952875000000012</v>
          </cell>
          <cell r="CO590">
            <v>-1.9695350000000063</v>
          </cell>
          <cell r="CQ590">
            <v>-13.792459895833341</v>
          </cell>
          <cell r="CR590">
            <v>-1.5013891666666768</v>
          </cell>
          <cell r="CT590">
            <v>-7.4125000000090924E-3</v>
          </cell>
          <cell r="CU590">
            <v>-9.9499261458333397</v>
          </cell>
          <cell r="CW590">
            <v>0.58337916666665179</v>
          </cell>
          <cell r="CX590">
            <v>-11.753166583333339</v>
          </cell>
          <cell r="CZ590">
            <v>5.0398374999999982</v>
          </cell>
          <cell r="DA590">
            <v>0.66508020833332471</v>
          </cell>
          <cell r="DC590">
            <v>3.2187958333333238</v>
          </cell>
          <cell r="DD590">
            <v>-2.4952875000000012</v>
          </cell>
          <cell r="DF590">
            <v>8.560462499999991</v>
          </cell>
          <cell r="DG590">
            <v>-13.792459895833341</v>
          </cell>
          <cell r="DI590">
            <v>1.0924624999999806</v>
          </cell>
          <cell r="DJ590">
            <v>-7.4125000000090924E-3</v>
          </cell>
          <cell r="DL590">
            <v>-7.1358708333333407</v>
          </cell>
          <cell r="DM590">
            <v>0.58337916666665179</v>
          </cell>
          <cell r="DO590">
            <v>-8.0029541666666724</v>
          </cell>
          <cell r="DP590">
            <v>5.0398374999999982</v>
          </cell>
          <cell r="DR590">
            <v>-9.6400375000000054</v>
          </cell>
          <cell r="DS590">
            <v>3.2187958333333238</v>
          </cell>
          <cell r="DU590">
            <v>-25.032120833333341</v>
          </cell>
          <cell r="DV590">
            <v>8.560462499999991</v>
          </cell>
          <cell r="DX590">
            <v>-39.781912500000018</v>
          </cell>
          <cell r="DY590">
            <v>1.0924624999999806</v>
          </cell>
          <cell r="EA590">
            <v>-55.083370833333333</v>
          </cell>
          <cell r="EB590">
            <v>-7.1358708333333407</v>
          </cell>
          <cell r="ED590">
            <v>-83.400245833333344</v>
          </cell>
          <cell r="EE590">
            <v>-8.0029541666666724</v>
          </cell>
          <cell r="EG590">
            <v>-43.058995833333341</v>
          </cell>
          <cell r="EH590">
            <v>-9.6400375000000054</v>
          </cell>
          <cell r="EJ590">
            <v>-11.628995833333338</v>
          </cell>
          <cell r="EK590">
            <v>-25.032120833333341</v>
          </cell>
          <cell r="EM590">
            <v>-4.0798291666666744</v>
          </cell>
          <cell r="EN590">
            <v>-39.781912500000018</v>
          </cell>
          <cell r="EP590">
            <v>-2.2952458333333499</v>
          </cell>
          <cell r="EQ590">
            <v>-55.083370833333333</v>
          </cell>
          <cell r="ES590">
            <v>-22.530454166666665</v>
          </cell>
          <cell r="ET590">
            <v>-83.400245833333344</v>
          </cell>
          <cell r="EV590">
            <v>-20.488370833333342</v>
          </cell>
          <cell r="EW590">
            <v>-43.058995833333341</v>
          </cell>
          <cell r="EY590">
            <v>-32.774204166666671</v>
          </cell>
          <cell r="EZ590">
            <v>-11.628995833333338</v>
          </cell>
          <cell r="FB590">
            <v>-78.758995833333358</v>
          </cell>
          <cell r="FC590">
            <v>-4.0798291666666744</v>
          </cell>
          <cell r="FE590">
            <v>-58.008370833333345</v>
          </cell>
          <cell r="FF590">
            <v>-2.2952458333333499</v>
          </cell>
          <cell r="FH590">
            <v>-50.153995833333333</v>
          </cell>
          <cell r="FI590">
            <v>-22.530454166666665</v>
          </cell>
          <cell r="FK590">
            <v>-43.968787500000012</v>
          </cell>
          <cell r="FL590">
            <v>-20.488370833333342</v>
          </cell>
          <cell r="FN590">
            <v>-64.183162500000023</v>
          </cell>
          <cell r="FO590">
            <v>-32.774204166666671</v>
          </cell>
          <cell r="FQ590">
            <v>-74.222329166666682</v>
          </cell>
          <cell r="FR590">
            <v>-78.758995833333358</v>
          </cell>
          <cell r="FT590">
            <v>-78.780037500000006</v>
          </cell>
          <cell r="FU590">
            <v>-58.008370833333345</v>
          </cell>
          <cell r="FW590">
            <v>-97.278787500000021</v>
          </cell>
          <cell r="FX590">
            <v>-50.153995833333333</v>
          </cell>
          <cell r="FZ590">
            <v>-82.942954166666681</v>
          </cell>
          <cell r="GA590">
            <v>-43.968787500000012</v>
          </cell>
          <cell r="GC590">
            <v>-91.5317041666667</v>
          </cell>
          <cell r="GD590">
            <v>-64.183162500000023</v>
          </cell>
          <cell r="GF590">
            <v>-116.6650375</v>
          </cell>
          <cell r="GG590">
            <v>-74.222329166666682</v>
          </cell>
          <cell r="GI590">
            <v>-171.6800375</v>
          </cell>
          <cell r="GJ590">
            <v>-78.780037500000006</v>
          </cell>
          <cell r="GL590">
            <v>-116.49462083333333</v>
          </cell>
          <cell r="GM590">
            <v>-97.278787500000021</v>
          </cell>
          <cell r="GO590">
            <v>-90.380037500000043</v>
          </cell>
          <cell r="GP590">
            <v>-82.942954166666681</v>
          </cell>
          <cell r="GR590">
            <v>-93.005870833333347</v>
          </cell>
          <cell r="GS590">
            <v>-91.5317041666667</v>
          </cell>
          <cell r="GU590">
            <v>-90.642120833333337</v>
          </cell>
          <cell r="GV590">
            <v>-116.6650375</v>
          </cell>
          <cell r="GX590">
            <v>-93.972687499999992</v>
          </cell>
          <cell r="GY590">
            <v>-171.6800375</v>
          </cell>
          <cell r="HA590">
            <v>-110.57274583333334</v>
          </cell>
          <cell r="HB590">
            <v>-116.43962083333335</v>
          </cell>
          <cell r="HD590">
            <v>-85.604204166666676</v>
          </cell>
          <cell r="HE590">
            <v>-90.325037499999993</v>
          </cell>
          <cell r="HG590">
            <v>-98.316912500000001</v>
          </cell>
          <cell r="HH590">
            <v>-92.978370833333344</v>
          </cell>
          <cell r="HJ590">
            <v>-118.69753750000001</v>
          </cell>
          <cell r="HK590">
            <v>-90.587120833333316</v>
          </cell>
          <cell r="HM590">
            <v>-168.49920416666663</v>
          </cell>
          <cell r="HN590">
            <v>-93.972687499999992</v>
          </cell>
          <cell r="HP590">
            <v>-174.79216583333331</v>
          </cell>
          <cell r="HQ590">
            <v>-110.85479583333336</v>
          </cell>
          <cell r="HS590">
            <v>-190.37377499999999</v>
          </cell>
          <cell r="HT590">
            <v>-89.573995833333328</v>
          </cell>
          <cell r="HV590">
            <v>-194.40709083333331</v>
          </cell>
          <cell r="HW590">
            <v>-99.048787500000017</v>
          </cell>
          <cell r="HY590">
            <v>-175.95340166666662</v>
          </cell>
          <cell r="HZ590">
            <v>-119.93295416666665</v>
          </cell>
          <cell r="IB590">
            <v>-158.48356583333333</v>
          </cell>
          <cell r="IC590">
            <v>-106.8600375</v>
          </cell>
          <cell r="IE590">
            <v>-173.66209250000003</v>
          </cell>
          <cell r="IF590">
            <v>-93.663995833333331</v>
          </cell>
          <cell r="II590">
            <v>-101.7087875</v>
          </cell>
        </row>
        <row r="591">
          <cell r="Z591">
            <v>10.293799091868671</v>
          </cell>
          <cell r="AA591">
            <v>-10.252500000000005</v>
          </cell>
          <cell r="AC591">
            <v>-4.8476285033122188</v>
          </cell>
          <cell r="AD591">
            <v>8.3591666666666686</v>
          </cell>
          <cell r="AF591">
            <v>-6.2498848092742243</v>
          </cell>
          <cell r="AG591">
            <v>10.041416666666661</v>
          </cell>
          <cell r="AI591">
            <v>-6.1069848311130581</v>
          </cell>
          <cell r="AJ591">
            <v>-0.57058333333332989</v>
          </cell>
          <cell r="AL591">
            <v>6.2246657184974916</v>
          </cell>
          <cell r="AM591">
            <v>-8.9133333333333304</v>
          </cell>
          <cell r="AO591">
            <v>-8.083124999999999</v>
          </cell>
          <cell r="AP591">
            <v>10.293799091868671</v>
          </cell>
          <cell r="AR591">
            <v>4.0607833333333376</v>
          </cell>
          <cell r="AS591">
            <v>-4.8476285033122188</v>
          </cell>
          <cell r="AU591">
            <v>-0.34790833333333016</v>
          </cell>
          <cell r="AV591">
            <v>-6.2498848092742243</v>
          </cell>
          <cell r="AX591">
            <v>-8.3000000000085228E-3</v>
          </cell>
          <cell r="AY591">
            <v>-6.1069848311130581</v>
          </cell>
          <cell r="BA591">
            <v>3.5123972916666601</v>
          </cell>
          <cell r="BB591">
            <v>6.2246657184974916</v>
          </cell>
          <cell r="BD591">
            <v>1.5554377083333422</v>
          </cell>
          <cell r="BE591">
            <v>-8.083124999999999</v>
          </cell>
          <cell r="BG591">
            <v>3.0455766666666655</v>
          </cell>
          <cell r="BH591">
            <v>4.0607833333333376</v>
          </cell>
          <cell r="BJ591">
            <v>1.6802449999999993</v>
          </cell>
          <cell r="BK591">
            <v>-0.34790833333333016</v>
          </cell>
          <cell r="BM591">
            <v>-2.4199529166666656</v>
          </cell>
          <cell r="BN591">
            <v>-8.3000000000085228E-3</v>
          </cell>
          <cell r="BP591">
            <v>4.0095199999999958</v>
          </cell>
          <cell r="BQ591">
            <v>3.5123972916666601</v>
          </cell>
          <cell r="BS591">
            <v>-4.5691979999999948</v>
          </cell>
          <cell r="BT591">
            <v>1.5554377083333422</v>
          </cell>
          <cell r="BV591">
            <v>-4.3415103333333347</v>
          </cell>
          <cell r="BW591">
            <v>3.0455766666666655</v>
          </cell>
          <cell r="BY591">
            <v>-4.1824295833333309</v>
          </cell>
          <cell r="BZ591">
            <v>1.6802449999999993</v>
          </cell>
          <cell r="CB591">
            <v>0.46814583333332949</v>
          </cell>
          <cell r="CC591">
            <v>-2.4199529166666656</v>
          </cell>
          <cell r="CE591">
            <v>-8.4485369791666631</v>
          </cell>
          <cell r="CF591">
            <v>4.0095199999999958</v>
          </cell>
          <cell r="CH591">
            <v>-1.8032404374999995</v>
          </cell>
          <cell r="CI591">
            <v>-4.5691979999999948</v>
          </cell>
          <cell r="CK591">
            <v>12.418246791666665</v>
          </cell>
          <cell r="CL591">
            <v>-4.3415103333333347</v>
          </cell>
          <cell r="CN591">
            <v>-3.1603677083333261</v>
          </cell>
          <cell r="CO591">
            <v>-4.1824295833333309</v>
          </cell>
          <cell r="CQ591">
            <v>-11.297172395833339</v>
          </cell>
          <cell r="CR591">
            <v>0.46814583333332949</v>
          </cell>
          <cell r="CT591">
            <v>13.785047395833331</v>
          </cell>
          <cell r="CU591">
            <v>-8.4485369791666631</v>
          </cell>
          <cell r="CW591">
            <v>0.59079166666666083</v>
          </cell>
          <cell r="CX591">
            <v>-1.8032404374999995</v>
          </cell>
          <cell r="CZ591">
            <v>4.4564583333333463</v>
          </cell>
          <cell r="DA591">
            <v>12.418246791666665</v>
          </cell>
          <cell r="DC591">
            <v>-1.8210416666666744</v>
          </cell>
          <cell r="DD591">
            <v>-3.1603677083333261</v>
          </cell>
          <cell r="DF591">
            <v>5.3416666666666668</v>
          </cell>
          <cell r="DG591">
            <v>-11.297172395833339</v>
          </cell>
          <cell r="DI591">
            <v>-7.4680000000000106</v>
          </cell>
          <cell r="DJ591">
            <v>13.785047395833331</v>
          </cell>
          <cell r="DL591">
            <v>-8.2283333333333211</v>
          </cell>
          <cell r="DM591">
            <v>0.59079166666666083</v>
          </cell>
          <cell r="DO591">
            <v>-0.86708333333333165</v>
          </cell>
          <cell r="DP591">
            <v>4.4564583333333463</v>
          </cell>
          <cell r="DR591">
            <v>-1.637083333333333</v>
          </cell>
          <cell r="DS591">
            <v>-1.8210416666666744</v>
          </cell>
          <cell r="DU591">
            <v>-15.392083333333336</v>
          </cell>
          <cell r="DV591">
            <v>5.3416666666666668</v>
          </cell>
          <cell r="DX591">
            <v>-14.749791666666678</v>
          </cell>
          <cell r="DY591">
            <v>-7.4680000000000106</v>
          </cell>
          <cell r="EA591">
            <v>-15.301458333333315</v>
          </cell>
          <cell r="EB591">
            <v>-8.2283333333333211</v>
          </cell>
          <cell r="ED591">
            <v>-28.31687500000001</v>
          </cell>
          <cell r="EE591">
            <v>-0.86708333333333165</v>
          </cell>
          <cell r="EG591">
            <v>40.341250000000002</v>
          </cell>
          <cell r="EH591">
            <v>-1.637083333333333</v>
          </cell>
          <cell r="EJ591">
            <v>31.430000000000003</v>
          </cell>
          <cell r="EK591">
            <v>-15.392083333333336</v>
          </cell>
          <cell r="EM591">
            <v>7.5491666666666637</v>
          </cell>
          <cell r="EN591">
            <v>-14.749791666666678</v>
          </cell>
          <cell r="EP591">
            <v>1.7845833333333245</v>
          </cell>
          <cell r="EQ591">
            <v>-15.301458333333315</v>
          </cell>
          <cell r="ES591">
            <v>-20.235208333333315</v>
          </cell>
          <cell r="ET591">
            <v>-28.31687500000001</v>
          </cell>
          <cell r="EV591">
            <v>2.0420833333333235</v>
          </cell>
          <cell r="EW591">
            <v>40.341250000000002</v>
          </cell>
          <cell r="EY591">
            <v>-12.285833333333329</v>
          </cell>
          <cell r="EZ591">
            <v>31.430000000000003</v>
          </cell>
          <cell r="FB591">
            <v>-45.984791666666688</v>
          </cell>
          <cell r="FC591">
            <v>7.5491666666666637</v>
          </cell>
          <cell r="FE591">
            <v>20.750625000000014</v>
          </cell>
          <cell r="FF591">
            <v>1.7845833333333245</v>
          </cell>
          <cell r="FH591">
            <v>7.8543750000000117</v>
          </cell>
          <cell r="FI591">
            <v>-20.235208333333315</v>
          </cell>
          <cell r="FK591">
            <v>6.1852083333333212</v>
          </cell>
          <cell r="FL591">
            <v>2.0420833333333235</v>
          </cell>
          <cell r="FN591">
            <v>-20.214375000000011</v>
          </cell>
          <cell r="FO591">
            <v>-12.285833333333329</v>
          </cell>
          <cell r="FQ591">
            <v>-10.039166666666659</v>
          </cell>
          <cell r="FR591">
            <v>-45.984791666666688</v>
          </cell>
          <cell r="FU591">
            <v>20.750625000000014</v>
          </cell>
          <cell r="FX591">
            <v>7.8543750000000117</v>
          </cell>
          <cell r="FZ591">
            <v>14.335833333333341</v>
          </cell>
          <cell r="GA591">
            <v>6.1852083333333212</v>
          </cell>
          <cell r="GC591">
            <v>-8.5887500000000188</v>
          </cell>
          <cell r="GD591">
            <v>-20.214375000000011</v>
          </cell>
          <cell r="GG591">
            <v>-10.039166666666659</v>
          </cell>
          <cell r="GL591">
            <v>55.185416666666669</v>
          </cell>
          <cell r="GO591">
            <v>26.114583333333286</v>
          </cell>
          <cell r="GP591">
            <v>14.335833333333341</v>
          </cell>
          <cell r="GS591">
            <v>-8.5887500000000188</v>
          </cell>
          <cell r="GX591">
            <v>-3.3305666666666554</v>
          </cell>
          <cell r="HA591">
            <v>-16.600058333333351</v>
          </cell>
          <cell r="HB591">
            <v>55.240416666666647</v>
          </cell>
          <cell r="HE591">
            <v>26.114583333333357</v>
          </cell>
          <cell r="HJ591">
            <v>-20.380625000000009</v>
          </cell>
          <cell r="HM591">
            <v>-49.80166666666662</v>
          </cell>
          <cell r="HN591">
            <v>-3.3855666666666764</v>
          </cell>
          <cell r="HQ591">
            <v>-16.882108333333363</v>
          </cell>
          <cell r="HV591">
            <v>-4.0333158333333188</v>
          </cell>
          <cell r="HY591">
            <v>18.453689166666692</v>
          </cell>
          <cell r="HZ591">
            <v>-20.88416666666663</v>
          </cell>
          <cell r="IC591">
            <v>13.072916666666643</v>
          </cell>
        </row>
        <row r="592">
          <cell r="EV592">
            <v>-8.8593750000000036</v>
          </cell>
          <cell r="EY592">
            <v>-28.694374999999997</v>
          </cell>
          <cell r="FL592">
            <v>-8.8593750000000036</v>
          </cell>
          <cell r="FO592">
            <v>-28.694374999999997</v>
          </cell>
        </row>
        <row r="595">
          <cell r="FZ595">
            <v>117.58500000000001</v>
          </cell>
          <cell r="GA595">
            <v>98.657499999999999</v>
          </cell>
          <cell r="GB595">
            <v>96.47999999999999</v>
          </cell>
          <cell r="GC595">
            <v>115.07249999999999</v>
          </cell>
          <cell r="GD595">
            <v>127.63500000000001</v>
          </cell>
          <cell r="GE595">
            <v>115.07250000000001</v>
          </cell>
          <cell r="GF595">
            <v>88.775000000000006</v>
          </cell>
          <cell r="GG595">
            <v>88.356249999999989</v>
          </cell>
          <cell r="GH595">
            <v>95.893749999999997</v>
          </cell>
          <cell r="GI595">
            <v>92.125</v>
          </cell>
          <cell r="GJ595">
            <v>97.987499999999997</v>
          </cell>
          <cell r="GK595">
            <v>91.287499999999994</v>
          </cell>
          <cell r="GL595">
            <v>75.877499999999998</v>
          </cell>
          <cell r="GM595">
            <v>77.72</v>
          </cell>
          <cell r="GN595">
            <v>89.11</v>
          </cell>
          <cell r="GO595">
            <v>93.632499999999993</v>
          </cell>
          <cell r="GP595">
            <v>92.627499999999998</v>
          </cell>
          <cell r="GQ595">
            <v>96.3125</v>
          </cell>
          <cell r="GR595">
            <v>104.6875</v>
          </cell>
          <cell r="GS595">
            <v>120.0975</v>
          </cell>
          <cell r="GT595">
            <v>127.13250000000001</v>
          </cell>
          <cell r="GU595">
            <v>121.77250000000001</v>
          </cell>
          <cell r="GV595">
            <v>126.46250000000001</v>
          </cell>
          <cell r="GW595">
            <v>127.3</v>
          </cell>
          <cell r="GX595">
            <v>115.91</v>
          </cell>
          <cell r="GY595">
            <v>118.255</v>
          </cell>
          <cell r="GZ595">
            <v>117.25</v>
          </cell>
          <cell r="HA595">
            <v>114.7375</v>
          </cell>
          <cell r="HB595">
            <v>121.10249999999999</v>
          </cell>
          <cell r="HC595">
            <v>131.32</v>
          </cell>
          <cell r="HD595">
            <v>137.35</v>
          </cell>
          <cell r="HE595">
            <v>128.97499999999999</v>
          </cell>
          <cell r="HF595">
            <v>122.1075</v>
          </cell>
          <cell r="HG595">
            <v>116.41249999999999</v>
          </cell>
          <cell r="HH595">
            <v>114.73750000000001</v>
          </cell>
          <cell r="HI595">
            <v>116.7475</v>
          </cell>
          <cell r="HJ595">
            <v>114.4025</v>
          </cell>
          <cell r="HK595">
            <v>113.9</v>
          </cell>
          <cell r="HL595">
            <v>117.08250000000001</v>
          </cell>
          <cell r="HM595">
            <v>125.7925</v>
          </cell>
          <cell r="HN595">
            <v>129.31</v>
          </cell>
          <cell r="HO595">
            <v>127.63500000000001</v>
          </cell>
          <cell r="HP595">
            <v>137.01499999999999</v>
          </cell>
          <cell r="HQ595">
            <v>142.04</v>
          </cell>
          <cell r="HR595">
            <v>144.38499999999999</v>
          </cell>
          <cell r="HS595">
            <v>146.56283500000001</v>
          </cell>
          <cell r="HT595">
            <v>140.74087</v>
          </cell>
          <cell r="HU595">
            <v>134.5566025</v>
          </cell>
          <cell r="HV595">
            <v>129.4461775</v>
          </cell>
          <cell r="HW595">
            <v>127.088615</v>
          </cell>
          <cell r="HX595">
            <v>130.05018250000001</v>
          </cell>
          <cell r="HY595">
            <v>134.38960500000002</v>
          </cell>
          <cell r="HZ595">
            <v>135.35624749999999</v>
          </cell>
          <cell r="IA595">
            <v>134.3401925</v>
          </cell>
          <cell r="IB595">
            <v>132.90237250000001</v>
          </cell>
          <cell r="IC595">
            <v>132.26805000000002</v>
          </cell>
          <cell r="ID595">
            <v>129.73377500000001</v>
          </cell>
          <cell r="IE595">
            <v>126.00723500000001</v>
          </cell>
          <cell r="IF595">
            <v>123.11819500000001</v>
          </cell>
          <cell r="IG595">
            <v>122.41771</v>
          </cell>
          <cell r="IH595">
            <v>115.91</v>
          </cell>
          <cell r="II595">
            <v>87.1</v>
          </cell>
          <cell r="IJ595">
            <v>85.424999999999997</v>
          </cell>
          <cell r="IK595">
            <v>84.587500000000006</v>
          </cell>
          <cell r="IL595">
            <v>115.91</v>
          </cell>
        </row>
        <row r="596">
          <cell r="FZ596">
            <v>88.44</v>
          </cell>
          <cell r="GA596">
            <v>104.52</v>
          </cell>
          <cell r="GB596">
            <v>125.625</v>
          </cell>
          <cell r="GC596">
            <v>129.64500000000001</v>
          </cell>
          <cell r="GD596">
            <v>100.5</v>
          </cell>
          <cell r="GE596">
            <v>77.05</v>
          </cell>
          <cell r="GF596">
            <v>99.662499999999994</v>
          </cell>
          <cell r="GG596">
            <v>92.125</v>
          </cell>
          <cell r="GH596">
            <v>92.125</v>
          </cell>
          <cell r="GI596">
            <v>103.85</v>
          </cell>
          <cell r="GJ596">
            <v>78.724999999999994</v>
          </cell>
          <cell r="GK596">
            <v>73.03</v>
          </cell>
          <cell r="GL596">
            <v>82.41</v>
          </cell>
          <cell r="GM596">
            <v>95.81</v>
          </cell>
          <cell r="GN596">
            <v>91.454999999999998</v>
          </cell>
          <cell r="GO596">
            <v>93.8</v>
          </cell>
          <cell r="GP596">
            <v>98.825000000000003</v>
          </cell>
          <cell r="GQ596">
            <v>110.55</v>
          </cell>
          <cell r="GR596">
            <v>129.64500000000001</v>
          </cell>
          <cell r="GS596">
            <v>124.62</v>
          </cell>
          <cell r="GT596">
            <v>118.925</v>
          </cell>
          <cell r="GU596">
            <v>134</v>
          </cell>
          <cell r="GV596">
            <v>120.6</v>
          </cell>
          <cell r="GW596">
            <v>111.22</v>
          </cell>
          <cell r="GX596">
            <v>125.29</v>
          </cell>
          <cell r="GY596">
            <v>109.21</v>
          </cell>
          <cell r="GZ596">
            <v>120.265</v>
          </cell>
          <cell r="HA596">
            <v>121.94</v>
          </cell>
          <cell r="HB596">
            <v>140.69999999999999</v>
          </cell>
          <cell r="HC596">
            <v>134</v>
          </cell>
          <cell r="HD596">
            <v>123.95</v>
          </cell>
          <cell r="HE596">
            <v>120.265</v>
          </cell>
          <cell r="HF596">
            <v>112.56</v>
          </cell>
          <cell r="HG596">
            <v>116.91500000000001</v>
          </cell>
          <cell r="HH596">
            <v>116.58</v>
          </cell>
          <cell r="HI596">
            <v>112.22499999999999</v>
          </cell>
          <cell r="HJ596">
            <v>115.575</v>
          </cell>
          <cell r="HK596">
            <v>118.59</v>
          </cell>
          <cell r="HL596">
            <v>132.995</v>
          </cell>
          <cell r="HM596">
            <v>125.625</v>
          </cell>
          <cell r="HN596">
            <v>129.64500000000001</v>
          </cell>
          <cell r="HO596">
            <v>144.38499999999999</v>
          </cell>
          <cell r="HP596">
            <v>139.69499999999999</v>
          </cell>
          <cell r="HQ596">
            <v>149.07499999999999</v>
          </cell>
          <cell r="HR596">
            <v>144.05067</v>
          </cell>
          <cell r="HS596">
            <v>137.43107000000001</v>
          </cell>
          <cell r="HT596">
            <v>131.68213499999999</v>
          </cell>
          <cell r="HU596">
            <v>127.21022000000001</v>
          </cell>
          <cell r="HV596">
            <v>126.96700999999999</v>
          </cell>
          <cell r="HW596">
            <v>133.13335500000002</v>
          </cell>
          <cell r="HX596">
            <v>135.64585500000001</v>
          </cell>
          <cell r="HY596">
            <v>135.06664000000001</v>
          </cell>
          <cell r="HZ596">
            <v>133.61374499999999</v>
          </cell>
          <cell r="IA596">
            <v>132.191</v>
          </cell>
          <cell r="IB596">
            <v>132.3451</v>
          </cell>
          <cell r="IC596">
            <v>127.12245000000001</v>
          </cell>
          <cell r="ID596">
            <v>124.89202000000002</v>
          </cell>
          <cell r="IE596">
            <v>121.34437</v>
          </cell>
          <cell r="IF596">
            <v>123.49105</v>
          </cell>
          <cell r="IG596">
            <v>121.07101</v>
          </cell>
          <cell r="IH596">
            <v>0</v>
          </cell>
          <cell r="II596">
            <v>85.424999999999997</v>
          </cell>
          <cell r="IJ596">
            <v>83.75</v>
          </cell>
          <cell r="IK596">
            <v>85.424999999999997</v>
          </cell>
          <cell r="IL596">
            <v>0</v>
          </cell>
        </row>
        <row r="597">
          <cell r="FZ597">
            <v>-29.14500000000001</v>
          </cell>
          <cell r="GA597">
            <v>5.8624999999999972</v>
          </cell>
          <cell r="GB597">
            <v>29.14500000000001</v>
          </cell>
          <cell r="GC597">
            <v>14.572500000000019</v>
          </cell>
          <cell r="GD597">
            <v>-27.135000000000005</v>
          </cell>
          <cell r="GE597">
            <v>-38.022500000000008</v>
          </cell>
          <cell r="GF597">
            <v>10.887499999999989</v>
          </cell>
          <cell r="GG597">
            <v>3.7687500000000114</v>
          </cell>
          <cell r="GH597">
            <v>-3.7687499999999972</v>
          </cell>
          <cell r="GI597">
            <v>11.724999999999994</v>
          </cell>
          <cell r="GJ597">
            <v>-19.262500000000003</v>
          </cell>
          <cell r="GK597">
            <v>-18.257499999999993</v>
          </cell>
          <cell r="GL597">
            <v>6.5324999999999989</v>
          </cell>
          <cell r="GM597">
            <v>18.090000000000003</v>
          </cell>
          <cell r="GN597">
            <v>2.3449999999999989</v>
          </cell>
          <cell r="GO597">
            <v>0.16750000000000398</v>
          </cell>
          <cell r="GP597">
            <v>6.1975000000000051</v>
          </cell>
          <cell r="GQ597">
            <v>14.237499999999997</v>
          </cell>
          <cell r="GR597">
            <v>24.95750000000001</v>
          </cell>
          <cell r="GS597">
            <v>4.522500000000008</v>
          </cell>
          <cell r="GT597">
            <v>-8.2075000000000102</v>
          </cell>
          <cell r="GU597">
            <v>12.227499999999992</v>
          </cell>
          <cell r="GV597">
            <v>-5.8625000000000114</v>
          </cell>
          <cell r="GW597">
            <v>-16.079999999999998</v>
          </cell>
          <cell r="GX597">
            <v>9.3800000000000097</v>
          </cell>
          <cell r="GY597">
            <v>-9.0450000000000017</v>
          </cell>
          <cell r="GZ597">
            <v>3.0150000000000006</v>
          </cell>
          <cell r="HA597">
            <v>7.2025000000000006</v>
          </cell>
          <cell r="HB597">
            <v>19.597499999999997</v>
          </cell>
          <cell r="HC597">
            <v>2.6800000000000068</v>
          </cell>
          <cell r="HD597">
            <v>-13.399999999999991</v>
          </cell>
          <cell r="HE597">
            <v>-8.7099999999999937</v>
          </cell>
          <cell r="HF597">
            <v>-9.5474999999999994</v>
          </cell>
          <cell r="HG597">
            <v>0.50250000000001194</v>
          </cell>
          <cell r="HH597">
            <v>1.8424999999999869</v>
          </cell>
          <cell r="HI597">
            <v>-4.522500000000008</v>
          </cell>
          <cell r="HJ597">
            <v>1.1724999999999994</v>
          </cell>
          <cell r="HK597">
            <v>4.6899999999999977</v>
          </cell>
          <cell r="HL597">
            <v>15.912499999999994</v>
          </cell>
          <cell r="HM597">
            <v>-0.16750000000000398</v>
          </cell>
          <cell r="HN597">
            <v>0.33500000000000796</v>
          </cell>
          <cell r="HO597">
            <v>16.749999999999986</v>
          </cell>
          <cell r="HP597">
            <v>2.6800000000000068</v>
          </cell>
          <cell r="HQ597">
            <v>7.0349999999999966</v>
          </cell>
          <cell r="HR597">
            <v>-0.33432999999999424</v>
          </cell>
          <cell r="HS597">
            <v>-9.1317650000000015</v>
          </cell>
          <cell r="HT597">
            <v>-9.0587350000000129</v>
          </cell>
          <cell r="HU597">
            <v>-7.34638249999999</v>
          </cell>
          <cell r="HV597">
            <v>-2.4791675000000168</v>
          </cell>
          <cell r="HW597">
            <v>6.0447400000000187</v>
          </cell>
          <cell r="HX597">
            <v>5.5956725000000063</v>
          </cell>
          <cell r="HY597">
            <v>0.6770349999999894</v>
          </cell>
          <cell r="HZ597">
            <v>-1.7425025000000005</v>
          </cell>
          <cell r="IA597">
            <v>-2.1491924999999981</v>
          </cell>
          <cell r="IB597">
            <v>-0.5572725000000105</v>
          </cell>
          <cell r="IC597">
            <v>-5.1456000000000017</v>
          </cell>
          <cell r="ID597">
            <v>-4.841754999999992</v>
          </cell>
          <cell r="IE597">
            <v>-4.6628650000000107</v>
          </cell>
          <cell r="IF597">
            <v>0.37285499999998706</v>
          </cell>
          <cell r="IG597">
            <v>-1.3466999999999985</v>
          </cell>
          <cell r="IH597">
            <v>-115.91</v>
          </cell>
          <cell r="II597">
            <v>-1.6749999999999972</v>
          </cell>
          <cell r="IJ597">
            <v>-1.6749999999999972</v>
          </cell>
          <cell r="IK597">
            <v>0.83749999999999147</v>
          </cell>
          <cell r="IL597">
            <v>-115.91</v>
          </cell>
        </row>
        <row r="598">
          <cell r="FZ598">
            <v>1.9541666666666657</v>
          </cell>
          <cell r="GC598">
            <v>-16.861666666666665</v>
          </cell>
          <cell r="GF598">
            <v>3.6291666666666678</v>
          </cell>
          <cell r="GI598">
            <v>-8.5983333333333345</v>
          </cell>
          <cell r="GM598">
            <v>6.8675000000000024</v>
          </cell>
          <cell r="GP598">
            <v>1.9541666666666657</v>
          </cell>
          <cell r="GQ598">
            <v>14.572500000000005</v>
          </cell>
          <cell r="GS598">
            <v>-16.861666666666665</v>
          </cell>
          <cell r="GU598">
            <v>-3.2383333333333391</v>
          </cell>
          <cell r="GV598">
            <v>3.6291666666666678</v>
          </cell>
          <cell r="GY598">
            <v>0.39083333333333314</v>
          </cell>
          <cell r="HC598">
            <v>-6.4766666666666595</v>
          </cell>
          <cell r="HG598">
            <v>-0.72583333333333633</v>
          </cell>
          <cell r="HK598">
            <v>6.811666666666663</v>
          </cell>
          <cell r="HO598">
            <v>8.8216666666666637</v>
          </cell>
          <cell r="HS598">
            <v>-8.5122941666666687</v>
          </cell>
          <cell r="HW598">
            <v>4.1058158333333381</v>
          </cell>
          <cell r="IA598">
            <v>-2.6173550000000034</v>
          </cell>
          <cell r="IE598">
            <v>-1.8789033333333407</v>
          </cell>
          <cell r="II598">
            <v>-0.83750000000000091</v>
          </cell>
        </row>
        <row r="601">
          <cell r="FM601" t="str">
            <v>Natural Gas</v>
          </cell>
          <cell r="FN601">
            <v>108.57814336075205</v>
          </cell>
          <cell r="FO601">
            <v>100.6462984723854</v>
          </cell>
          <cell r="FP601">
            <v>90.775558166862496</v>
          </cell>
          <cell r="FQ601">
            <v>95.887191539365432</v>
          </cell>
          <cell r="FR601">
            <v>105.40540540540539</v>
          </cell>
          <cell r="FS601">
            <v>118.97767332549938</v>
          </cell>
          <cell r="FT601">
            <v>109.81198589894241</v>
          </cell>
          <cell r="FU601">
            <v>107.52056404230315</v>
          </cell>
          <cell r="FV601">
            <v>90.775558166862496</v>
          </cell>
          <cell r="FW601">
            <v>100.29377203290247</v>
          </cell>
          <cell r="FX601">
            <v>134.66509988249115</v>
          </cell>
          <cell r="FY601">
            <v>130.7873090481786</v>
          </cell>
          <cell r="FZ601">
            <v>108.22561692126907</v>
          </cell>
          <cell r="GA601">
            <v>109.28319623971797</v>
          </cell>
          <cell r="GB601">
            <v>110.16451233842534</v>
          </cell>
          <cell r="GC601">
            <v>128.84841363102228</v>
          </cell>
          <cell r="GD601">
            <v>120.21151586368974</v>
          </cell>
          <cell r="GE601">
            <v>109.98824911868388</v>
          </cell>
          <cell r="GF601">
            <v>124.61809635722676</v>
          </cell>
          <cell r="GG601">
            <v>134.84136310223263</v>
          </cell>
          <cell r="GH601">
            <v>184.54759106933017</v>
          </cell>
          <cell r="GI601">
            <v>223.67802585193886</v>
          </cell>
          <cell r="GJ601">
            <v>225.44065804935363</v>
          </cell>
          <cell r="GK601">
            <v>172.73795534665098</v>
          </cell>
          <cell r="GL601">
            <v>181.19858989424202</v>
          </cell>
          <cell r="GM601">
            <v>139.60047003525261</v>
          </cell>
          <cell r="GN601">
            <v>123.03172737955343</v>
          </cell>
          <cell r="GO601">
            <v>124.61809635722676</v>
          </cell>
          <cell r="GP601">
            <v>124.2655699177438</v>
          </cell>
          <cell r="GQ601">
            <v>104.52408930669796</v>
          </cell>
          <cell r="GR601">
            <v>110.16451233842534</v>
          </cell>
          <cell r="GS601">
            <v>128.84841363102228</v>
          </cell>
          <cell r="GT601">
            <v>120.21151586368974</v>
          </cell>
          <cell r="GU601">
            <v>109.98824911868388</v>
          </cell>
          <cell r="GV601">
            <v>124.61809635722676</v>
          </cell>
          <cell r="GW601">
            <v>134.84136310223263</v>
          </cell>
          <cell r="GX601">
            <v>184.54759106933017</v>
          </cell>
          <cell r="GY601">
            <v>223.67802585193886</v>
          </cell>
          <cell r="GZ601">
            <v>225.44065804935363</v>
          </cell>
          <cell r="HA601">
            <v>172.73795534665098</v>
          </cell>
          <cell r="HB601">
            <v>181.11045828437128</v>
          </cell>
          <cell r="HC601">
            <v>139.51233842538187</v>
          </cell>
          <cell r="HD601">
            <v>123.03172737955343</v>
          </cell>
          <cell r="HE601">
            <v>124.52996474735602</v>
          </cell>
          <cell r="HF601">
            <v>124.17743830787306</v>
          </cell>
          <cell r="HG601">
            <v>104.52408930669796</v>
          </cell>
        </row>
        <row r="602">
          <cell r="FM602" t="str">
            <v>Oil</v>
          </cell>
          <cell r="FN602">
            <v>105</v>
          </cell>
          <cell r="FO602">
            <v>97.5</v>
          </cell>
          <cell r="FP602">
            <v>97.5</v>
          </cell>
          <cell r="FQ602">
            <v>93.75</v>
          </cell>
          <cell r="FR602">
            <v>93.75</v>
          </cell>
          <cell r="FS602">
            <v>89.999999999999986</v>
          </cell>
          <cell r="FT602">
            <v>89.999999999999986</v>
          </cell>
          <cell r="FU602">
            <v>89.999999999999986</v>
          </cell>
          <cell r="FV602">
            <v>86.25</v>
          </cell>
          <cell r="FW602">
            <v>86.25</v>
          </cell>
          <cell r="FX602">
            <v>86.25</v>
          </cell>
          <cell r="FY602">
            <v>86.25</v>
          </cell>
          <cell r="FZ602">
            <v>105</v>
          </cell>
          <cell r="GA602">
            <v>97.5</v>
          </cell>
          <cell r="GB602">
            <v>97.5</v>
          </cell>
          <cell r="GC602">
            <v>93.75</v>
          </cell>
          <cell r="GD602">
            <v>93.75</v>
          </cell>
          <cell r="GE602">
            <v>89.999999999999986</v>
          </cell>
          <cell r="GF602">
            <v>89.999999999999986</v>
          </cell>
          <cell r="GG602">
            <v>89.999999999999986</v>
          </cell>
          <cell r="GH602">
            <v>86.25</v>
          </cell>
          <cell r="GI602">
            <v>86.25</v>
          </cell>
          <cell r="GJ602">
            <v>86.25</v>
          </cell>
          <cell r="GK602">
            <v>86.25</v>
          </cell>
          <cell r="GL602">
            <v>105</v>
          </cell>
          <cell r="GM602">
            <v>97.5</v>
          </cell>
          <cell r="GN602">
            <v>97.5</v>
          </cell>
          <cell r="GO602">
            <v>93.75</v>
          </cell>
          <cell r="GP602">
            <v>93.75</v>
          </cell>
          <cell r="GQ602">
            <v>89.999999999999986</v>
          </cell>
          <cell r="GR602">
            <v>97.5</v>
          </cell>
          <cell r="GS602">
            <v>93.75</v>
          </cell>
          <cell r="GT602">
            <v>93.75</v>
          </cell>
          <cell r="GU602">
            <v>89.999999999999986</v>
          </cell>
          <cell r="GV602">
            <v>89.999999999999986</v>
          </cell>
          <cell r="GW602">
            <v>89.999999999999986</v>
          </cell>
          <cell r="GX602">
            <v>86.25</v>
          </cell>
          <cell r="GY602">
            <v>86.25</v>
          </cell>
          <cell r="GZ602">
            <v>86.25</v>
          </cell>
          <cell r="HA602">
            <v>86.25</v>
          </cell>
          <cell r="HB602">
            <v>105</v>
          </cell>
          <cell r="HC602">
            <v>97.5</v>
          </cell>
          <cell r="HD602">
            <v>97.5</v>
          </cell>
          <cell r="HE602">
            <v>93.75</v>
          </cell>
          <cell r="HF602">
            <v>93.75</v>
          </cell>
          <cell r="HG602">
            <v>89.999999999999986</v>
          </cell>
        </row>
        <row r="603">
          <cell r="FM603" t="str">
            <v>Ethylene</v>
          </cell>
          <cell r="FN603">
            <v>94.757304429783218</v>
          </cell>
          <cell r="FO603">
            <v>99.422714420358147</v>
          </cell>
          <cell r="FP603">
            <v>105.81998114985862</v>
          </cell>
          <cell r="FQ603">
            <v>104.93638077285581</v>
          </cell>
          <cell r="FR603">
            <v>100.73044297832234</v>
          </cell>
          <cell r="FS603">
            <v>97.867577756833185</v>
          </cell>
          <cell r="FT603">
            <v>95.216776625824693</v>
          </cell>
          <cell r="FU603">
            <v>102.70970782280867</v>
          </cell>
          <cell r="FV603">
            <v>111.22761545711595</v>
          </cell>
          <cell r="FW603">
            <v>120.48774740810558</v>
          </cell>
          <cell r="FX603">
            <v>148.90433553251648</v>
          </cell>
          <cell r="FY603">
            <v>159.26013195098966</v>
          </cell>
          <cell r="FZ603">
            <v>149.54052780395855</v>
          </cell>
          <cell r="GA603">
            <v>143.81479736098021</v>
          </cell>
          <cell r="GB603">
            <v>126.56691800188501</v>
          </cell>
          <cell r="GC603">
            <v>117.73091423185676</v>
          </cell>
          <cell r="GD603">
            <v>100.16493873704053</v>
          </cell>
          <cell r="GE603">
            <v>91.010838831291238</v>
          </cell>
          <cell r="GF603">
            <v>114.19651272384543</v>
          </cell>
          <cell r="GG603">
            <v>142.82516493873703</v>
          </cell>
          <cell r="GH603">
            <v>191.31715362865222</v>
          </cell>
          <cell r="GI603">
            <v>216.05796418473139</v>
          </cell>
          <cell r="GJ603">
            <v>243.8737040527804</v>
          </cell>
          <cell r="GK603">
            <v>190.43355325164939</v>
          </cell>
          <cell r="GL603">
            <v>157.28086710650331</v>
          </cell>
          <cell r="GM603">
            <v>140.95193213949108</v>
          </cell>
          <cell r="GN603">
            <v>128.22808671065033</v>
          </cell>
          <cell r="GO603">
            <v>128.79359095193212</v>
          </cell>
          <cell r="GP603">
            <v>159.26013195098966</v>
          </cell>
          <cell r="GQ603">
            <v>155.0895381715363</v>
          </cell>
          <cell r="GR603">
            <v>126.56691800188501</v>
          </cell>
          <cell r="GS603">
            <v>117.73091423185676</v>
          </cell>
          <cell r="GT603">
            <v>100.16493873704053</v>
          </cell>
          <cell r="GU603">
            <v>91.010838831291238</v>
          </cell>
          <cell r="GV603">
            <v>114.19651272384543</v>
          </cell>
          <cell r="GW603">
            <v>142.82516493873703</v>
          </cell>
          <cell r="GX603">
            <v>191.31715362865222</v>
          </cell>
          <cell r="GY603">
            <v>216.05796418473139</v>
          </cell>
          <cell r="GZ603">
            <v>243.8737040527804</v>
          </cell>
          <cell r="HA603">
            <v>190.43355325164939</v>
          </cell>
          <cell r="HB603">
            <v>157.28086710650331</v>
          </cell>
          <cell r="HC603">
            <v>140.95193213949108</v>
          </cell>
          <cell r="HD603">
            <v>128.22808671065033</v>
          </cell>
          <cell r="HE603">
            <v>128.79359095193212</v>
          </cell>
          <cell r="HF603">
            <v>159.26013195098966</v>
          </cell>
          <cell r="HG603">
            <v>155.0895381715363</v>
          </cell>
        </row>
        <row r="604">
          <cell r="FM604" t="str">
            <v>Propylene</v>
          </cell>
          <cell r="FN604">
            <v>87.068965517241381</v>
          </cell>
          <cell r="FO604">
            <v>101.72413793103448</v>
          </cell>
          <cell r="FP604">
            <v>111.20689655172413</v>
          </cell>
          <cell r="FQ604">
            <v>111.20689655172413</v>
          </cell>
          <cell r="FR604">
            <v>110.34482758620689</v>
          </cell>
          <cell r="FS604">
            <v>111.20689655172413</v>
          </cell>
          <cell r="FT604">
            <v>108.62068965517241</v>
          </cell>
          <cell r="FU604">
            <v>108.62068965517241</v>
          </cell>
          <cell r="FV604">
            <v>118.96551724137932</v>
          </cell>
          <cell r="FW604">
            <v>129.31034482758622</v>
          </cell>
          <cell r="FX604">
            <v>144.82758620689654</v>
          </cell>
          <cell r="FY604">
            <v>158.62068965517241</v>
          </cell>
          <cell r="FZ604">
            <v>158.62068965517241</v>
          </cell>
          <cell r="GA604">
            <v>167.24137931034483</v>
          </cell>
          <cell r="GB604">
            <v>160.34482758620689</v>
          </cell>
          <cell r="GC604">
            <v>148.27586206896552</v>
          </cell>
          <cell r="GD604">
            <v>124.13793103448276</v>
          </cell>
          <cell r="GE604">
            <v>113.79310344827587</v>
          </cell>
          <cell r="GF604">
            <v>117.24137931034481</v>
          </cell>
          <cell r="GG604">
            <v>124.13793103448276</v>
          </cell>
          <cell r="GH604">
            <v>141.37931034482759</v>
          </cell>
          <cell r="GI604">
            <v>179.31034482758622</v>
          </cell>
          <cell r="GJ604">
            <v>175.86206896551724</v>
          </cell>
          <cell r="GK604">
            <v>158.62068965517241</v>
          </cell>
          <cell r="GL604">
            <v>143.10344827586206</v>
          </cell>
          <cell r="GM604">
            <v>160.34482758620689</v>
          </cell>
          <cell r="GN604">
            <v>162.06896551724137</v>
          </cell>
          <cell r="GO604">
            <v>162.06896551724137</v>
          </cell>
          <cell r="GP604">
            <v>170.68965517241378</v>
          </cell>
          <cell r="GQ604">
            <v>181.0344827586207</v>
          </cell>
          <cell r="GR604">
            <v>160.34482758620689</v>
          </cell>
          <cell r="GS604">
            <v>148.27586206896552</v>
          </cell>
          <cell r="GT604">
            <v>124.13793103448276</v>
          </cell>
          <cell r="GU604">
            <v>113.79310344827587</v>
          </cell>
          <cell r="GV604">
            <v>117.24137931034481</v>
          </cell>
          <cell r="GW604">
            <v>124.13793103448276</v>
          </cell>
          <cell r="GX604">
            <v>141.37931034482759</v>
          </cell>
          <cell r="GY604">
            <v>179.31034482758622</v>
          </cell>
          <cell r="GZ604">
            <v>175.86206896551724</v>
          </cell>
          <cell r="HA604">
            <v>158.62068965517241</v>
          </cell>
          <cell r="HB604">
            <v>143.10344827586206</v>
          </cell>
          <cell r="HC604">
            <v>160.34482758620689</v>
          </cell>
          <cell r="HD604">
            <v>162.06896551724137</v>
          </cell>
          <cell r="HE604">
            <v>162.06896551724137</v>
          </cell>
          <cell r="HF604">
            <v>170.68965517241378</v>
          </cell>
          <cell r="HG604">
            <v>181.0344827586207</v>
          </cell>
        </row>
        <row r="607">
          <cell r="FN607" t="str">
            <v xml:space="preserve">Indexed PetroChemical and Natural Gas Prices </v>
          </cell>
          <cell r="GD607" t="str">
            <v xml:space="preserve">Indexed PetroChemical and Natural Gas Prices </v>
          </cell>
        </row>
        <row r="608">
          <cell r="FW608">
            <v>1</v>
          </cell>
          <cell r="GM608">
            <v>1</v>
          </cell>
        </row>
        <row r="609">
          <cell r="FW609">
            <v>2</v>
          </cell>
          <cell r="GM609">
            <v>2</v>
          </cell>
        </row>
        <row r="610">
          <cell r="FW610">
            <v>3</v>
          </cell>
          <cell r="GM610">
            <v>3</v>
          </cell>
        </row>
        <row r="611">
          <cell r="FW611">
            <v>4</v>
          </cell>
          <cell r="GM611">
            <v>4</v>
          </cell>
        </row>
        <row r="612">
          <cell r="FW612">
            <v>5</v>
          </cell>
          <cell r="GM612">
            <v>5</v>
          </cell>
        </row>
        <row r="613">
          <cell r="FW613">
            <v>6</v>
          </cell>
          <cell r="GM613">
            <v>6</v>
          </cell>
        </row>
        <row r="614">
          <cell r="FW614">
            <v>7</v>
          </cell>
          <cell r="GM614">
            <v>7</v>
          </cell>
        </row>
        <row r="615">
          <cell r="FW615">
            <v>8</v>
          </cell>
          <cell r="GM615">
            <v>8</v>
          </cell>
        </row>
        <row r="616">
          <cell r="FW616">
            <v>9</v>
          </cell>
          <cell r="GM616">
            <v>9</v>
          </cell>
        </row>
        <row r="617">
          <cell r="FW617">
            <v>10</v>
          </cell>
          <cell r="GM617">
            <v>10</v>
          </cell>
        </row>
        <row r="618">
          <cell r="FW618">
            <v>11</v>
          </cell>
          <cell r="GM618">
            <v>11</v>
          </cell>
        </row>
        <row r="619">
          <cell r="FW619">
            <v>12</v>
          </cell>
          <cell r="GM619">
            <v>12</v>
          </cell>
        </row>
        <row r="620">
          <cell r="FW620">
            <v>13</v>
          </cell>
          <cell r="GM620">
            <v>13</v>
          </cell>
        </row>
        <row r="621">
          <cell r="FW621">
            <v>14</v>
          </cell>
          <cell r="GM621">
            <v>14</v>
          </cell>
        </row>
        <row r="622">
          <cell r="FW622">
            <v>15</v>
          </cell>
          <cell r="GM622">
            <v>15</v>
          </cell>
        </row>
        <row r="623">
          <cell r="FW623">
            <v>16</v>
          </cell>
          <cell r="GM623">
            <v>16</v>
          </cell>
        </row>
        <row r="624">
          <cell r="FW624">
            <v>17</v>
          </cell>
          <cell r="GM624">
            <v>17</v>
          </cell>
        </row>
        <row r="625">
          <cell r="FW625">
            <v>18</v>
          </cell>
          <cell r="GM625">
            <v>18</v>
          </cell>
        </row>
      </sheetData>
      <sheetData sheetId="7"/>
      <sheetData sheetId="8"/>
      <sheetData sheetId="9"/>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O3"/>
    </sheetNames>
    <sheetDataSet>
      <sheetData sheetId="0"/>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pping"/>
      <sheetName val="Sheet2"/>
      <sheetName val="Descriptions"/>
      <sheetName val="BS Reporting Line Items"/>
      <sheetName val="IS Reporting Line Items"/>
    </sheetNames>
    <sheetDataSet>
      <sheetData sheetId="0" refreshError="1">
        <row r="2">
          <cell r="A2" t="str">
            <v>10100</v>
          </cell>
          <cell r="B2" t="str">
            <v>11920</v>
          </cell>
        </row>
        <row r="3">
          <cell r="A3" t="str">
            <v>11200</v>
          </cell>
          <cell r="B3" t="str">
            <v>11910</v>
          </cell>
        </row>
        <row r="4">
          <cell r="A4" t="str">
            <v>11300</v>
          </cell>
          <cell r="B4" t="str">
            <v>11910</v>
          </cell>
        </row>
        <row r="5">
          <cell r="A5" t="str">
            <v>11320</v>
          </cell>
          <cell r="B5" t="str">
            <v>11910</v>
          </cell>
        </row>
        <row r="6">
          <cell r="A6" t="str">
            <v>11330</v>
          </cell>
          <cell r="B6" t="str">
            <v>11910</v>
          </cell>
        </row>
        <row r="7">
          <cell r="A7" t="str">
            <v>11332</v>
          </cell>
          <cell r="B7" t="str">
            <v>11810</v>
          </cell>
        </row>
        <row r="8">
          <cell r="A8" t="str">
            <v>11333</v>
          </cell>
          <cell r="B8" t="str">
            <v>11810</v>
          </cell>
        </row>
        <row r="9">
          <cell r="A9" t="str">
            <v>11334</v>
          </cell>
          <cell r="B9" t="str">
            <v>11810</v>
          </cell>
        </row>
        <row r="10">
          <cell r="A10" t="str">
            <v>11400</v>
          </cell>
          <cell r="B10" t="str">
            <v>11510</v>
          </cell>
        </row>
        <row r="11">
          <cell r="A11" t="str">
            <v>11412</v>
          </cell>
          <cell r="B11" t="str">
            <v>11510</v>
          </cell>
        </row>
        <row r="12">
          <cell r="A12" t="str">
            <v>11420</v>
          </cell>
          <cell r="B12" t="str">
            <v>11520</v>
          </cell>
        </row>
        <row r="13">
          <cell r="A13" t="str">
            <v>11422</v>
          </cell>
          <cell r="B13" t="str">
            <v>11520</v>
          </cell>
        </row>
        <row r="14">
          <cell r="A14" t="str">
            <v>11500</v>
          </cell>
          <cell r="B14" t="str">
            <v>11530</v>
          </cell>
        </row>
        <row r="15">
          <cell r="A15" t="str">
            <v>11502</v>
          </cell>
          <cell r="B15" t="str">
            <v>11530</v>
          </cell>
        </row>
        <row r="16">
          <cell r="A16" t="str">
            <v>11503</v>
          </cell>
          <cell r="B16" t="str">
            <v>11530</v>
          </cell>
        </row>
        <row r="17">
          <cell r="A17" t="str">
            <v>11504</v>
          </cell>
          <cell r="B17" t="str">
            <v>11680</v>
          </cell>
        </row>
        <row r="18">
          <cell r="A18" t="str">
            <v>11505</v>
          </cell>
          <cell r="B18" t="str">
            <v>11680</v>
          </cell>
        </row>
        <row r="19">
          <cell r="A19" t="str">
            <v>11507</v>
          </cell>
          <cell r="B19" t="str">
            <v>11530</v>
          </cell>
        </row>
        <row r="20">
          <cell r="A20" t="str">
            <v>11508</v>
          </cell>
          <cell r="B20" t="str">
            <v>11530</v>
          </cell>
        </row>
        <row r="21">
          <cell r="A21" t="str">
            <v>11509</v>
          </cell>
          <cell r="B21" t="str">
            <v>11680</v>
          </cell>
        </row>
        <row r="22">
          <cell r="A22" t="str">
            <v>11510</v>
          </cell>
          <cell r="B22" t="str">
            <v>11530</v>
          </cell>
        </row>
        <row r="23">
          <cell r="A23" t="str">
            <v>11511</v>
          </cell>
          <cell r="B23" t="str">
            <v>11530</v>
          </cell>
        </row>
        <row r="24">
          <cell r="A24" t="str">
            <v>11512</v>
          </cell>
          <cell r="B24" t="str">
            <v>11530</v>
          </cell>
        </row>
        <row r="25">
          <cell r="A25" t="str">
            <v>11513</v>
          </cell>
          <cell r="B25" t="str">
            <v>11680</v>
          </cell>
        </row>
        <row r="26">
          <cell r="A26" t="str">
            <v>11596</v>
          </cell>
          <cell r="B26" t="str">
            <v>10550</v>
          </cell>
        </row>
        <row r="27">
          <cell r="A27" t="str">
            <v>11597</v>
          </cell>
          <cell r="B27">
            <v>11680</v>
          </cell>
        </row>
        <row r="28">
          <cell r="A28" t="str">
            <v>11599</v>
          </cell>
          <cell r="B28">
            <v>11680</v>
          </cell>
        </row>
        <row r="29">
          <cell r="A29" t="str">
            <v>11600</v>
          </cell>
          <cell r="B29" t="str">
            <v>10540</v>
          </cell>
        </row>
        <row r="30">
          <cell r="A30" t="str">
            <v>11699</v>
          </cell>
          <cell r="B30" t="str">
            <v>10540</v>
          </cell>
        </row>
        <row r="31">
          <cell r="A31" t="str">
            <v>11710</v>
          </cell>
          <cell r="B31" t="str">
            <v>11411</v>
          </cell>
        </row>
        <row r="32">
          <cell r="A32" t="str">
            <v>11712</v>
          </cell>
          <cell r="B32" t="str">
            <v>11414</v>
          </cell>
        </row>
        <row r="33">
          <cell r="A33" t="str">
            <v>11713</v>
          </cell>
          <cell r="B33" t="str">
            <v>11414</v>
          </cell>
        </row>
        <row r="34">
          <cell r="A34" t="str">
            <v>11714</v>
          </cell>
          <cell r="B34" t="str">
            <v>11411</v>
          </cell>
        </row>
        <row r="35">
          <cell r="A35" t="str">
            <v>11720</v>
          </cell>
          <cell r="B35" t="str">
            <v>11412</v>
          </cell>
        </row>
        <row r="36">
          <cell r="A36" t="str">
            <v>11722</v>
          </cell>
          <cell r="B36" t="str">
            <v>11412</v>
          </cell>
        </row>
        <row r="37">
          <cell r="A37" t="str">
            <v>11730</v>
          </cell>
          <cell r="B37" t="str">
            <v>11451</v>
          </cell>
        </row>
        <row r="38">
          <cell r="A38" t="str">
            <v>11732</v>
          </cell>
          <cell r="B38" t="str">
            <v>11401</v>
          </cell>
        </row>
        <row r="39">
          <cell r="A39" t="str">
            <v>11733</v>
          </cell>
          <cell r="B39" t="str">
            <v>11451</v>
          </cell>
        </row>
        <row r="40">
          <cell r="A40" t="str">
            <v>11740</v>
          </cell>
          <cell r="B40" t="str">
            <v>11492</v>
          </cell>
        </row>
        <row r="41">
          <cell r="A41" t="str">
            <v>11750</v>
          </cell>
          <cell r="B41" t="str">
            <v>11451</v>
          </cell>
        </row>
        <row r="42">
          <cell r="A42" t="str">
            <v>11751</v>
          </cell>
          <cell r="B42" t="str">
            <v>11451</v>
          </cell>
        </row>
        <row r="43">
          <cell r="A43" t="str">
            <v>11810</v>
          </cell>
          <cell r="B43" t="str">
            <v>11730</v>
          </cell>
        </row>
        <row r="44">
          <cell r="A44" t="str">
            <v>11820</v>
          </cell>
          <cell r="B44" t="str">
            <v>11750</v>
          </cell>
        </row>
        <row r="45">
          <cell r="A45" t="str">
            <v>11830</v>
          </cell>
          <cell r="B45" t="str">
            <v>11750</v>
          </cell>
        </row>
        <row r="46">
          <cell r="A46" t="str">
            <v>11840</v>
          </cell>
          <cell r="B46" t="str">
            <v>11750</v>
          </cell>
        </row>
        <row r="47">
          <cell r="A47" t="str">
            <v>11850</v>
          </cell>
          <cell r="B47" t="str">
            <v>11790</v>
          </cell>
        </row>
        <row r="48">
          <cell r="A48" t="str">
            <v>11860</v>
          </cell>
          <cell r="B48" t="str">
            <v>11750</v>
          </cell>
        </row>
        <row r="49">
          <cell r="A49" t="str">
            <v>11870</v>
          </cell>
          <cell r="B49" t="str">
            <v>11750</v>
          </cell>
        </row>
        <row r="50">
          <cell r="A50" t="str">
            <v>11900</v>
          </cell>
          <cell r="B50" t="str">
            <v>11641</v>
          </cell>
        </row>
        <row r="51">
          <cell r="A51" t="str">
            <v>11920</v>
          </cell>
          <cell r="B51" t="str">
            <v>11642</v>
          </cell>
        </row>
        <row r="52">
          <cell r="A52" t="str">
            <v>11999</v>
          </cell>
          <cell r="B52" t="str">
            <v>11641</v>
          </cell>
        </row>
        <row r="53">
          <cell r="A53" t="str">
            <v>12100</v>
          </cell>
          <cell r="B53" t="str">
            <v>11130</v>
          </cell>
        </row>
        <row r="54">
          <cell r="A54" t="str">
            <v>12102</v>
          </cell>
          <cell r="B54" t="str">
            <v>11110</v>
          </cell>
        </row>
        <row r="55">
          <cell r="A55" t="str">
            <v>12103</v>
          </cell>
          <cell r="B55" t="str">
            <v>11200</v>
          </cell>
        </row>
        <row r="56">
          <cell r="A56" t="str">
            <v>12104</v>
          </cell>
          <cell r="B56" t="str">
            <v>11180</v>
          </cell>
        </row>
        <row r="57">
          <cell r="A57" t="str">
            <v>12105</v>
          </cell>
          <cell r="B57" t="str">
            <v>11200</v>
          </cell>
        </row>
        <row r="58">
          <cell r="A58" t="str">
            <v>12106</v>
          </cell>
          <cell r="B58" t="str">
            <v>11190</v>
          </cell>
        </row>
        <row r="59">
          <cell r="A59" t="str">
            <v>12107</v>
          </cell>
          <cell r="B59" t="str">
            <v>11260</v>
          </cell>
        </row>
        <row r="60">
          <cell r="A60" t="str">
            <v>12108</v>
          </cell>
          <cell r="B60" t="str">
            <v>11200</v>
          </cell>
        </row>
        <row r="61">
          <cell r="A61" t="str">
            <v>12200</v>
          </cell>
          <cell r="B61" t="str">
            <v>11209</v>
          </cell>
        </row>
        <row r="62">
          <cell r="A62" t="str">
            <v>12220</v>
          </cell>
          <cell r="B62" t="str">
            <v>11270</v>
          </cell>
        </row>
        <row r="63">
          <cell r="A63" t="str">
            <v>12230</v>
          </cell>
          <cell r="B63" t="str">
            <v>11269</v>
          </cell>
        </row>
        <row r="64">
          <cell r="A64" t="str">
            <v>12240</v>
          </cell>
          <cell r="B64" t="str">
            <v>11209</v>
          </cell>
        </row>
        <row r="65">
          <cell r="A65" t="str">
            <v>13100</v>
          </cell>
          <cell r="B65" t="str">
            <v>10310</v>
          </cell>
        </row>
        <row r="66">
          <cell r="A66" t="str">
            <v>13119</v>
          </cell>
          <cell r="B66" t="str">
            <v>10310</v>
          </cell>
        </row>
        <row r="67">
          <cell r="A67" t="str">
            <v>13120</v>
          </cell>
          <cell r="B67" t="str">
            <v>10320</v>
          </cell>
        </row>
        <row r="68">
          <cell r="A68" t="str">
            <v>13129</v>
          </cell>
          <cell r="B68" t="str">
            <v>10320</v>
          </cell>
        </row>
        <row r="69">
          <cell r="A69" t="str">
            <v>13130</v>
          </cell>
          <cell r="B69" t="str">
            <v>10320</v>
          </cell>
        </row>
        <row r="70">
          <cell r="A70" t="str">
            <v>13218</v>
          </cell>
          <cell r="B70" t="str">
            <v>11383</v>
          </cell>
        </row>
        <row r="71">
          <cell r="A71" t="str">
            <v>13219</v>
          </cell>
          <cell r="B71" t="str">
            <v>10315</v>
          </cell>
        </row>
        <row r="72">
          <cell r="A72" t="str">
            <v>13220</v>
          </cell>
          <cell r="B72" t="str">
            <v>11353</v>
          </cell>
        </row>
        <row r="73">
          <cell r="A73" t="str">
            <v>13229</v>
          </cell>
          <cell r="B73" t="str">
            <v>10315</v>
          </cell>
        </row>
        <row r="74">
          <cell r="A74" t="str">
            <v>13300</v>
          </cell>
          <cell r="B74" t="str">
            <v>11330</v>
          </cell>
        </row>
        <row r="75">
          <cell r="A75" t="str">
            <v>13400</v>
          </cell>
          <cell r="B75" t="str">
            <v>11351</v>
          </cell>
        </row>
        <row r="76">
          <cell r="A76" t="str">
            <v>13420</v>
          </cell>
          <cell r="B76" t="str">
            <v>11353</v>
          </cell>
        </row>
        <row r="77">
          <cell r="A77" t="str">
            <v>13430</v>
          </cell>
          <cell r="B77" t="str">
            <v>11383</v>
          </cell>
        </row>
        <row r="78">
          <cell r="A78" t="str">
            <v>13440</v>
          </cell>
          <cell r="B78" t="str">
            <v>11383</v>
          </cell>
        </row>
        <row r="79">
          <cell r="A79" t="str">
            <v>13450</v>
          </cell>
          <cell r="B79" t="str">
            <v>11383</v>
          </cell>
        </row>
        <row r="80">
          <cell r="A80" t="str">
            <v>13500</v>
          </cell>
          <cell r="B80" t="str">
            <v>11070</v>
          </cell>
        </row>
        <row r="81">
          <cell r="A81" t="str">
            <v>13502</v>
          </cell>
          <cell r="B81" t="str">
            <v>11079</v>
          </cell>
        </row>
        <row r="82">
          <cell r="A82" t="str">
            <v>13510</v>
          </cell>
          <cell r="B82" t="str">
            <v>11090</v>
          </cell>
        </row>
        <row r="83">
          <cell r="A83" t="str">
            <v>13512</v>
          </cell>
          <cell r="B83" t="str">
            <v>11099</v>
          </cell>
        </row>
        <row r="84">
          <cell r="A84" t="str">
            <v>13520</v>
          </cell>
          <cell r="B84" t="str">
            <v>11090</v>
          </cell>
        </row>
        <row r="85">
          <cell r="A85" t="str">
            <v>13522</v>
          </cell>
          <cell r="B85" t="str">
            <v>11099</v>
          </cell>
        </row>
        <row r="86">
          <cell r="A86" t="str">
            <v>13530</v>
          </cell>
          <cell r="B86" t="str">
            <v>11090</v>
          </cell>
        </row>
        <row r="87">
          <cell r="A87" t="str">
            <v>13532</v>
          </cell>
          <cell r="B87" t="str">
            <v>11099</v>
          </cell>
        </row>
        <row r="88">
          <cell r="A88" t="str">
            <v>13540</v>
          </cell>
          <cell r="B88" t="str">
            <v>11090</v>
          </cell>
        </row>
        <row r="89">
          <cell r="A89" t="str">
            <v>13542</v>
          </cell>
          <cell r="B89" t="str">
            <v>11099</v>
          </cell>
        </row>
        <row r="90">
          <cell r="A90" t="str">
            <v>13600</v>
          </cell>
          <cell r="B90" t="str">
            <v>11383</v>
          </cell>
        </row>
        <row r="91">
          <cell r="A91" t="str">
            <v>13602</v>
          </cell>
          <cell r="B91" t="str">
            <v>11383</v>
          </cell>
        </row>
        <row r="92">
          <cell r="A92" t="str">
            <v>13603</v>
          </cell>
          <cell r="B92" t="str">
            <v>11200</v>
          </cell>
        </row>
        <row r="93">
          <cell r="A93" t="str">
            <v>13604</v>
          </cell>
          <cell r="B93" t="str">
            <v>11209</v>
          </cell>
        </row>
        <row r="94">
          <cell r="A94" t="str">
            <v>13605</v>
          </cell>
          <cell r="B94" t="str">
            <v>11383</v>
          </cell>
        </row>
        <row r="95">
          <cell r="A95" t="str">
            <v>13606</v>
          </cell>
          <cell r="B95" t="str">
            <v>11383</v>
          </cell>
        </row>
        <row r="96">
          <cell r="A96" t="str">
            <v>13607</v>
          </cell>
          <cell r="B96" t="str">
            <v>11383</v>
          </cell>
        </row>
        <row r="97">
          <cell r="A97" t="str">
            <v>13608</v>
          </cell>
          <cell r="B97" t="str">
            <v>11390</v>
          </cell>
        </row>
        <row r="98">
          <cell r="A98" t="str">
            <v>13609</v>
          </cell>
          <cell r="B98" t="str">
            <v>11383</v>
          </cell>
        </row>
        <row r="99">
          <cell r="A99" t="str">
            <v>13610</v>
          </cell>
          <cell r="B99" t="str">
            <v>11383</v>
          </cell>
        </row>
        <row r="100">
          <cell r="A100" t="str">
            <v>14100</v>
          </cell>
          <cell r="B100" t="str">
            <v>11381</v>
          </cell>
        </row>
        <row r="101">
          <cell r="A101" t="str">
            <v>14210</v>
          </cell>
          <cell r="B101" t="str">
            <v>11382</v>
          </cell>
        </row>
        <row r="102">
          <cell r="A102" t="str">
            <v>20000</v>
          </cell>
          <cell r="B102" t="str">
            <v>21440</v>
          </cell>
        </row>
        <row r="103">
          <cell r="A103" t="str">
            <v>20091</v>
          </cell>
          <cell r="B103" t="str">
            <v>21440</v>
          </cell>
        </row>
        <row r="104">
          <cell r="A104" t="str">
            <v>20092</v>
          </cell>
          <cell r="B104" t="str">
            <v>21440</v>
          </cell>
        </row>
        <row r="105">
          <cell r="A105" t="str">
            <v>20093</v>
          </cell>
          <cell r="B105" t="str">
            <v>21440</v>
          </cell>
        </row>
        <row r="106">
          <cell r="A106" t="str">
            <v>20094</v>
          </cell>
          <cell r="B106" t="str">
            <v>21440</v>
          </cell>
        </row>
        <row r="107">
          <cell r="A107" t="str">
            <v>20095</v>
          </cell>
          <cell r="B107" t="str">
            <v>21440</v>
          </cell>
        </row>
        <row r="108">
          <cell r="A108" t="str">
            <v>20099</v>
          </cell>
          <cell r="B108" t="str">
            <v>21440</v>
          </cell>
        </row>
        <row r="109">
          <cell r="A109" t="str">
            <v>21200</v>
          </cell>
          <cell r="B109" t="str">
            <v>20460</v>
          </cell>
        </row>
        <row r="110">
          <cell r="A110" t="str">
            <v>21296</v>
          </cell>
          <cell r="B110" t="str">
            <v>20470</v>
          </cell>
        </row>
        <row r="111">
          <cell r="A111" t="str">
            <v>21297</v>
          </cell>
          <cell r="B111">
            <v>21900</v>
          </cell>
        </row>
        <row r="112">
          <cell r="A112" t="str">
            <v>21298</v>
          </cell>
          <cell r="B112">
            <v>21900</v>
          </cell>
        </row>
        <row r="113">
          <cell r="A113" t="str">
            <v>21299</v>
          </cell>
          <cell r="B113" t="str">
            <v>20460</v>
          </cell>
        </row>
        <row r="114">
          <cell r="A114" t="str">
            <v>21300</v>
          </cell>
          <cell r="B114" t="str">
            <v>21922</v>
          </cell>
        </row>
        <row r="115">
          <cell r="A115" t="str">
            <v>21304</v>
          </cell>
          <cell r="B115" t="str">
            <v>21922</v>
          </cell>
        </row>
        <row r="116">
          <cell r="A116" t="str">
            <v>21305</v>
          </cell>
          <cell r="B116" t="str">
            <v>21901</v>
          </cell>
        </row>
        <row r="117">
          <cell r="A117" t="str">
            <v>21306</v>
          </cell>
          <cell r="B117" t="str">
            <v>21960</v>
          </cell>
        </row>
        <row r="118">
          <cell r="A118" t="str">
            <v>21307</v>
          </cell>
          <cell r="B118" t="str">
            <v>21910</v>
          </cell>
        </row>
        <row r="119">
          <cell r="A119" t="str">
            <v>21309</v>
          </cell>
          <cell r="B119" t="str">
            <v>21900</v>
          </cell>
        </row>
        <row r="120">
          <cell r="A120" t="str">
            <v>21310</v>
          </cell>
          <cell r="B120" t="str">
            <v>21900</v>
          </cell>
        </row>
        <row r="121">
          <cell r="A121" t="str">
            <v>21311</v>
          </cell>
          <cell r="B121" t="str">
            <v>21800</v>
          </cell>
        </row>
        <row r="122">
          <cell r="A122" t="str">
            <v>21313</v>
          </cell>
          <cell r="B122" t="str">
            <v>21900</v>
          </cell>
        </row>
        <row r="123">
          <cell r="A123" t="str">
            <v>21314</v>
          </cell>
          <cell r="B123" t="str">
            <v>21900</v>
          </cell>
        </row>
        <row r="124">
          <cell r="A124" t="str">
            <v>21315</v>
          </cell>
          <cell r="B124" t="str">
            <v>21900</v>
          </cell>
        </row>
        <row r="125">
          <cell r="A125" t="str">
            <v>21316</v>
          </cell>
          <cell r="B125" t="str">
            <v>21900</v>
          </cell>
        </row>
        <row r="126">
          <cell r="A126" t="str">
            <v>21494</v>
          </cell>
          <cell r="B126" t="str">
            <v>21900</v>
          </cell>
        </row>
        <row r="127">
          <cell r="A127" t="str">
            <v>21495</v>
          </cell>
          <cell r="B127" t="str">
            <v>21800</v>
          </cell>
        </row>
        <row r="128">
          <cell r="A128" t="str">
            <v>21496</v>
          </cell>
          <cell r="B128" t="str">
            <v>21980</v>
          </cell>
        </row>
        <row r="129">
          <cell r="A129" t="str">
            <v>21500</v>
          </cell>
          <cell r="B129" t="str">
            <v>21512</v>
          </cell>
        </row>
        <row r="130">
          <cell r="A130" t="str">
            <v>21520</v>
          </cell>
          <cell r="B130" t="str">
            <v>21512</v>
          </cell>
        </row>
        <row r="131">
          <cell r="A131" t="str">
            <v>21580</v>
          </cell>
          <cell r="B131" t="str">
            <v>21512</v>
          </cell>
        </row>
        <row r="132">
          <cell r="A132" t="str">
            <v>21600</v>
          </cell>
          <cell r="B132" t="str">
            <v>21519</v>
          </cell>
        </row>
        <row r="133">
          <cell r="A133" t="str">
            <v>21700</v>
          </cell>
          <cell r="B133" t="str">
            <v>21962</v>
          </cell>
        </row>
        <row r="134">
          <cell r="A134" t="str">
            <v>21750</v>
          </cell>
          <cell r="B134" t="str">
            <v>21962</v>
          </cell>
        </row>
        <row r="135">
          <cell r="A135" t="str">
            <v>21800</v>
          </cell>
          <cell r="B135" t="str">
            <v>21418</v>
          </cell>
        </row>
        <row r="136">
          <cell r="A136" t="str">
            <v>21802</v>
          </cell>
          <cell r="B136" t="str">
            <v>21492</v>
          </cell>
        </row>
        <row r="137">
          <cell r="A137" t="str">
            <v>21805</v>
          </cell>
          <cell r="B137" t="str">
            <v>21841</v>
          </cell>
        </row>
        <row r="138">
          <cell r="A138" t="str">
            <v>21806</v>
          </cell>
          <cell r="B138" t="str">
            <v>20362</v>
          </cell>
        </row>
        <row r="139">
          <cell r="A139" t="str">
            <v>21833</v>
          </cell>
          <cell r="B139" t="str">
            <v>21492</v>
          </cell>
        </row>
        <row r="140">
          <cell r="A140" t="str">
            <v>21834</v>
          </cell>
          <cell r="B140" t="str">
            <v>21492</v>
          </cell>
        </row>
        <row r="141">
          <cell r="A141" t="str">
            <v>21899</v>
          </cell>
          <cell r="B141" t="str">
            <v>20362</v>
          </cell>
        </row>
        <row r="142">
          <cell r="A142" t="str">
            <v>22100</v>
          </cell>
          <cell r="B142" t="str">
            <v>21301</v>
          </cell>
        </row>
        <row r="143">
          <cell r="A143" t="str">
            <v>22102</v>
          </cell>
          <cell r="B143" t="str">
            <v>20363</v>
          </cell>
        </row>
        <row r="144">
          <cell r="A144" t="str">
            <v>22109</v>
          </cell>
          <cell r="B144" t="str">
            <v>20363</v>
          </cell>
        </row>
        <row r="145">
          <cell r="A145" t="str">
            <v>22120</v>
          </cell>
          <cell r="B145" t="str">
            <v>21301</v>
          </cell>
        </row>
        <row r="146">
          <cell r="A146" t="str">
            <v>22121</v>
          </cell>
          <cell r="B146" t="str">
            <v>21290</v>
          </cell>
        </row>
        <row r="147">
          <cell r="A147" t="str">
            <v>22300</v>
          </cell>
          <cell r="B147" t="str">
            <v>21251</v>
          </cell>
        </row>
        <row r="148">
          <cell r="A148" t="str">
            <v>22400</v>
          </cell>
          <cell r="B148" t="str">
            <v>21399</v>
          </cell>
        </row>
        <row r="149">
          <cell r="A149" t="str">
            <v>22402</v>
          </cell>
          <cell r="B149" t="str">
            <v>21399</v>
          </cell>
        </row>
        <row r="150">
          <cell r="A150" t="str">
            <v>22403</v>
          </cell>
          <cell r="B150" t="str">
            <v>21399</v>
          </cell>
        </row>
        <row r="151">
          <cell r="A151" t="str">
            <v>22404</v>
          </cell>
          <cell r="B151" t="str">
            <v>21399</v>
          </cell>
        </row>
        <row r="152">
          <cell r="A152" t="str">
            <v>22405</v>
          </cell>
          <cell r="B152" t="str">
            <v>21399</v>
          </cell>
        </row>
        <row r="153">
          <cell r="A153" t="str">
            <v>22406</v>
          </cell>
          <cell r="B153" t="str">
            <v>21369</v>
          </cell>
        </row>
        <row r="154">
          <cell r="A154" t="str">
            <v>22407</v>
          </cell>
          <cell r="B154" t="str">
            <v>21399</v>
          </cell>
        </row>
        <row r="155">
          <cell r="A155" t="str">
            <v>22500</v>
          </cell>
          <cell r="B155" t="str">
            <v>21211</v>
          </cell>
        </row>
        <row r="156">
          <cell r="A156" t="str">
            <v>23100</v>
          </cell>
          <cell r="B156" t="str">
            <v>21002</v>
          </cell>
        </row>
        <row r="157">
          <cell r="A157" t="str">
            <v>23118</v>
          </cell>
          <cell r="B157" t="str">
            <v>21002</v>
          </cell>
        </row>
        <row r="158">
          <cell r="A158" t="str">
            <v>23119</v>
          </cell>
          <cell r="B158" t="str">
            <v>21002</v>
          </cell>
        </row>
        <row r="159">
          <cell r="A159" t="str">
            <v>23120</v>
          </cell>
          <cell r="B159" t="str">
            <v>21001</v>
          </cell>
        </row>
        <row r="160">
          <cell r="A160" t="str">
            <v>23199</v>
          </cell>
          <cell r="B160" t="str">
            <v>21001</v>
          </cell>
        </row>
        <row r="161">
          <cell r="A161" t="str">
            <v>23200</v>
          </cell>
          <cell r="B161" t="str">
            <v>21013</v>
          </cell>
        </row>
        <row r="162">
          <cell r="A162" t="str">
            <v>23300</v>
          </cell>
          <cell r="B162" t="str">
            <v>21011</v>
          </cell>
        </row>
        <row r="163">
          <cell r="A163" t="str">
            <v>23310</v>
          </cell>
          <cell r="B163" t="str">
            <v>21011</v>
          </cell>
        </row>
        <row r="164">
          <cell r="A164" t="str">
            <v>23400</v>
          </cell>
          <cell r="B164" t="str">
            <v>21014</v>
          </cell>
        </row>
        <row r="165">
          <cell r="A165" t="str">
            <v>23412</v>
          </cell>
          <cell r="B165" t="str">
            <v>21014</v>
          </cell>
        </row>
        <row r="166">
          <cell r="A166" t="str">
            <v>23413</v>
          </cell>
          <cell r="B166" t="str">
            <v>21014</v>
          </cell>
        </row>
        <row r="167">
          <cell r="A167" t="str">
            <v>23414</v>
          </cell>
          <cell r="B167" t="str">
            <v>21014</v>
          </cell>
        </row>
        <row r="168">
          <cell r="A168" t="str">
            <v>23420</v>
          </cell>
          <cell r="B168" t="str">
            <v>21014</v>
          </cell>
        </row>
        <row r="169">
          <cell r="A169" t="str">
            <v>23430</v>
          </cell>
          <cell r="B169" t="str">
            <v>21014</v>
          </cell>
        </row>
        <row r="170">
          <cell r="A170" t="str">
            <v>23440</v>
          </cell>
          <cell r="B170" t="str">
            <v>21014</v>
          </cell>
        </row>
        <row r="171">
          <cell r="A171" t="str">
            <v>23460</v>
          </cell>
          <cell r="B171" t="str">
            <v>21014</v>
          </cell>
        </row>
        <row r="172">
          <cell r="A172" t="str">
            <v>23470</v>
          </cell>
          <cell r="B172" t="str">
            <v>21014</v>
          </cell>
        </row>
        <row r="173">
          <cell r="A173" t="str">
            <v>23490</v>
          </cell>
          <cell r="B173" t="str">
            <v>21015</v>
          </cell>
        </row>
        <row r="174">
          <cell r="A174" t="str">
            <v>23500</v>
          </cell>
          <cell r="B174" t="str">
            <v>21006</v>
          </cell>
        </row>
        <row r="175">
          <cell r="A175" t="str">
            <v>23518</v>
          </cell>
          <cell r="B175" t="str">
            <v>21006</v>
          </cell>
        </row>
        <row r="176">
          <cell r="A176" t="str">
            <v>23519</v>
          </cell>
          <cell r="B176" t="str">
            <v>20018</v>
          </cell>
        </row>
        <row r="177">
          <cell r="A177" t="str">
            <v>23529</v>
          </cell>
          <cell r="B177" t="str">
            <v>20018</v>
          </cell>
        </row>
        <row r="178">
          <cell r="A178" t="str">
            <v>23599</v>
          </cell>
          <cell r="B178" t="str">
            <v>21006</v>
          </cell>
        </row>
        <row r="179">
          <cell r="A179" t="str">
            <v>23600</v>
          </cell>
          <cell r="B179" t="str">
            <v>21090</v>
          </cell>
        </row>
        <row r="180">
          <cell r="A180" t="str">
            <v>23618</v>
          </cell>
          <cell r="B180" t="str">
            <v>21008</v>
          </cell>
        </row>
        <row r="181">
          <cell r="A181" t="str">
            <v>23622</v>
          </cell>
          <cell r="B181" t="str">
            <v>CurrEarn</v>
          </cell>
        </row>
        <row r="182">
          <cell r="A182" t="str">
            <v>23630</v>
          </cell>
          <cell r="B182" t="str">
            <v>20009</v>
          </cell>
        </row>
        <row r="183">
          <cell r="A183" t="str">
            <v>23631</v>
          </cell>
          <cell r="B183" t="str">
            <v>20009</v>
          </cell>
        </row>
        <row r="184">
          <cell r="A184" t="str">
            <v>23632</v>
          </cell>
          <cell r="B184" t="str">
            <v>21008</v>
          </cell>
        </row>
        <row r="185">
          <cell r="A185" t="str">
            <v>23640</v>
          </cell>
          <cell r="B185" t="str">
            <v>21090</v>
          </cell>
        </row>
        <row r="186">
          <cell r="A186" t="str">
            <v>23680</v>
          </cell>
          <cell r="B186" t="str">
            <v>20070</v>
          </cell>
        </row>
        <row r="187">
          <cell r="A187" t="str">
            <v>23690</v>
          </cell>
          <cell r="B187" t="str">
            <v>21090</v>
          </cell>
        </row>
        <row r="188">
          <cell r="A188" t="str">
            <v>23691</v>
          </cell>
          <cell r="B188" t="str">
            <v>CurrEarn</v>
          </cell>
        </row>
        <row r="189">
          <cell r="A189" t="str">
            <v>23700</v>
          </cell>
          <cell r="B189" t="str">
            <v>21003</v>
          </cell>
        </row>
        <row r="190">
          <cell r="A190" t="str">
            <v>30000</v>
          </cell>
          <cell r="B190" t="str">
            <v>CurrEarn</v>
          </cell>
        </row>
        <row r="191">
          <cell r="A191" t="str">
            <v>32100</v>
          </cell>
          <cell r="B191" t="str">
            <v>31010</v>
          </cell>
        </row>
        <row r="192">
          <cell r="A192" t="str">
            <v>32101</v>
          </cell>
          <cell r="B192" t="str">
            <v>31010</v>
          </cell>
        </row>
        <row r="193">
          <cell r="A193" t="str">
            <v>32110</v>
          </cell>
          <cell r="B193" t="str">
            <v>31010</v>
          </cell>
        </row>
        <row r="194">
          <cell r="A194" t="str">
            <v>32111</v>
          </cell>
          <cell r="B194" t="str">
            <v>31010</v>
          </cell>
        </row>
        <row r="195">
          <cell r="A195" t="str">
            <v>32112</v>
          </cell>
          <cell r="B195" t="str">
            <v>31010</v>
          </cell>
        </row>
        <row r="196">
          <cell r="A196" t="str">
            <v>32117</v>
          </cell>
          <cell r="B196" t="str">
            <v>30110</v>
          </cell>
        </row>
        <row r="197">
          <cell r="A197" t="str">
            <v>32118</v>
          </cell>
          <cell r="B197" t="str">
            <v>30110</v>
          </cell>
        </row>
        <row r="198">
          <cell r="A198" t="str">
            <v>32120</v>
          </cell>
          <cell r="B198" t="str">
            <v>30110</v>
          </cell>
        </row>
        <row r="199">
          <cell r="A199" t="str">
            <v>32130</v>
          </cell>
          <cell r="B199" t="str">
            <v>30110</v>
          </cell>
        </row>
        <row r="200">
          <cell r="A200" t="str">
            <v>32140</v>
          </cell>
          <cell r="B200" t="str">
            <v>30110</v>
          </cell>
        </row>
        <row r="201">
          <cell r="A201" t="str">
            <v>32150</v>
          </cell>
          <cell r="B201" t="str">
            <v>30110</v>
          </cell>
        </row>
        <row r="202">
          <cell r="A202" t="str">
            <v>32158</v>
          </cell>
          <cell r="B202" t="str">
            <v>31010</v>
          </cell>
        </row>
        <row r="203">
          <cell r="A203" t="str">
            <v>32160</v>
          </cell>
          <cell r="B203" t="str">
            <v>30110</v>
          </cell>
        </row>
        <row r="204">
          <cell r="A204" t="str">
            <v>32170</v>
          </cell>
          <cell r="B204" t="str">
            <v>31010</v>
          </cell>
        </row>
        <row r="205">
          <cell r="A205" t="str">
            <v>32180</v>
          </cell>
          <cell r="B205" t="str">
            <v>31010</v>
          </cell>
        </row>
        <row r="206">
          <cell r="A206" t="str">
            <v>32197</v>
          </cell>
          <cell r="B206" t="str">
            <v>30110</v>
          </cell>
        </row>
        <row r="207">
          <cell r="A207" t="str">
            <v>32198</v>
          </cell>
          <cell r="B207" t="str">
            <v>30110</v>
          </cell>
        </row>
        <row r="208">
          <cell r="A208" t="str">
            <v>32199</v>
          </cell>
          <cell r="B208" t="str">
            <v>30110</v>
          </cell>
        </row>
        <row r="209">
          <cell r="A209" t="str">
            <v>32201</v>
          </cell>
          <cell r="B209" t="str">
            <v>31010</v>
          </cell>
        </row>
        <row r="210">
          <cell r="A210" t="str">
            <v>32202</v>
          </cell>
          <cell r="B210" t="str">
            <v>31010</v>
          </cell>
        </row>
        <row r="211">
          <cell r="A211" t="str">
            <v>32203</v>
          </cell>
          <cell r="B211" t="str">
            <v>31010</v>
          </cell>
        </row>
        <row r="212">
          <cell r="A212" t="str">
            <v>32204</v>
          </cell>
          <cell r="B212" t="str">
            <v>31010</v>
          </cell>
        </row>
        <row r="213">
          <cell r="A213" t="str">
            <v>32205</v>
          </cell>
          <cell r="B213" t="str">
            <v>31010</v>
          </cell>
        </row>
        <row r="214">
          <cell r="A214" t="str">
            <v>32206</v>
          </cell>
          <cell r="B214" t="str">
            <v>31010</v>
          </cell>
        </row>
        <row r="215">
          <cell r="A215" t="str">
            <v>32207</v>
          </cell>
          <cell r="B215" t="str">
            <v>31010</v>
          </cell>
        </row>
        <row r="216">
          <cell r="A216" t="str">
            <v>32208</v>
          </cell>
          <cell r="B216" t="str">
            <v>31010</v>
          </cell>
        </row>
        <row r="217">
          <cell r="A217" t="str">
            <v>32209</v>
          </cell>
          <cell r="B217" t="str">
            <v>31010</v>
          </cell>
        </row>
        <row r="218">
          <cell r="A218" t="str">
            <v>32210</v>
          </cell>
          <cell r="B218" t="str">
            <v>31010</v>
          </cell>
        </row>
        <row r="219">
          <cell r="A219" t="str">
            <v>32211</v>
          </cell>
          <cell r="B219" t="str">
            <v>31010</v>
          </cell>
        </row>
        <row r="220">
          <cell r="A220" t="str">
            <v>40001</v>
          </cell>
          <cell r="B220" t="str">
            <v>41010</v>
          </cell>
        </row>
        <row r="221">
          <cell r="A221" t="str">
            <v>40002</v>
          </cell>
          <cell r="B221" t="str">
            <v>41010</v>
          </cell>
        </row>
        <row r="222">
          <cell r="A222" t="str">
            <v>40003</v>
          </cell>
          <cell r="B222" t="str">
            <v>41140</v>
          </cell>
        </row>
        <row r="223">
          <cell r="A223" t="str">
            <v>40005</v>
          </cell>
          <cell r="B223" t="str">
            <v>41140</v>
          </cell>
        </row>
        <row r="224">
          <cell r="A224" t="str">
            <v>40006</v>
          </cell>
          <cell r="B224" t="str">
            <v>41140</v>
          </cell>
        </row>
        <row r="225">
          <cell r="A225" t="str">
            <v>40007</v>
          </cell>
          <cell r="B225" t="str">
            <v>41320</v>
          </cell>
        </row>
        <row r="226">
          <cell r="A226" t="str">
            <v>40008</v>
          </cell>
          <cell r="B226" t="str">
            <v>41300</v>
          </cell>
        </row>
        <row r="227">
          <cell r="A227" t="str">
            <v>40009</v>
          </cell>
          <cell r="B227" t="str">
            <v>41310</v>
          </cell>
        </row>
        <row r="228">
          <cell r="A228" t="str">
            <v>40010</v>
          </cell>
          <cell r="B228" t="str">
            <v>41380</v>
          </cell>
        </row>
        <row r="229">
          <cell r="A229" t="str">
            <v>40011</v>
          </cell>
          <cell r="B229" t="str">
            <v>41380</v>
          </cell>
        </row>
        <row r="230">
          <cell r="A230" t="str">
            <v>40012</v>
          </cell>
          <cell r="B230" t="str">
            <v>41120</v>
          </cell>
        </row>
        <row r="231">
          <cell r="A231" t="str">
            <v>40013</v>
          </cell>
          <cell r="B231" t="str">
            <v>41120</v>
          </cell>
        </row>
        <row r="232">
          <cell r="A232" t="str">
            <v>40014</v>
          </cell>
          <cell r="B232" t="str">
            <v>41380</v>
          </cell>
        </row>
        <row r="233">
          <cell r="A233" t="str">
            <v>40015</v>
          </cell>
          <cell r="B233" t="str">
            <v>41380</v>
          </cell>
        </row>
        <row r="234">
          <cell r="A234" t="str">
            <v>40016</v>
          </cell>
          <cell r="B234" t="str">
            <v>41300</v>
          </cell>
        </row>
        <row r="235">
          <cell r="A235" t="str">
            <v>40017</v>
          </cell>
          <cell r="B235" t="str">
            <v>61240</v>
          </cell>
        </row>
        <row r="236">
          <cell r="A236" t="str">
            <v>40018</v>
          </cell>
          <cell r="B236" t="str">
            <v>41380</v>
          </cell>
        </row>
        <row r="237">
          <cell r="A237" t="str">
            <v>40019</v>
          </cell>
          <cell r="B237" t="str">
            <v>41420</v>
          </cell>
        </row>
        <row r="238">
          <cell r="A238" t="str">
            <v>40020</v>
          </cell>
          <cell r="B238" t="str">
            <v>41160</v>
          </cell>
        </row>
        <row r="239">
          <cell r="A239" t="str">
            <v>40021</v>
          </cell>
          <cell r="B239" t="str">
            <v>41010</v>
          </cell>
        </row>
        <row r="240">
          <cell r="A240" t="str">
            <v>40022</v>
          </cell>
          <cell r="B240" t="str">
            <v>41380</v>
          </cell>
        </row>
        <row r="241">
          <cell r="A241" t="str">
            <v>40023</v>
          </cell>
          <cell r="B241" t="str">
            <v>41380</v>
          </cell>
        </row>
        <row r="242">
          <cell r="A242" t="str">
            <v>40024</v>
          </cell>
          <cell r="B242" t="str">
            <v>41380</v>
          </cell>
        </row>
        <row r="243">
          <cell r="A243" t="str">
            <v>40026</v>
          </cell>
          <cell r="B243" t="str">
            <v>41176</v>
          </cell>
        </row>
        <row r="244">
          <cell r="A244" t="str">
            <v>40027</v>
          </cell>
          <cell r="B244" t="str">
            <v>41180</v>
          </cell>
        </row>
        <row r="245">
          <cell r="A245" t="str">
            <v>40031</v>
          </cell>
          <cell r="B245">
            <v>41140</v>
          </cell>
        </row>
        <row r="246">
          <cell r="A246" t="str">
            <v>40032</v>
          </cell>
          <cell r="B246">
            <v>41176</v>
          </cell>
        </row>
        <row r="247">
          <cell r="A247" t="str">
            <v>40034</v>
          </cell>
          <cell r="B247">
            <v>41140</v>
          </cell>
        </row>
        <row r="248">
          <cell r="A248" t="str">
            <v>40035</v>
          </cell>
          <cell r="B248">
            <v>41160</v>
          </cell>
        </row>
        <row r="249">
          <cell r="A249" t="str">
            <v>40036</v>
          </cell>
          <cell r="B249" t="str">
            <v>41380</v>
          </cell>
        </row>
        <row r="250">
          <cell r="A250" t="str">
            <v>40055</v>
          </cell>
          <cell r="B250" t="str">
            <v>41010</v>
          </cell>
        </row>
        <row r="251">
          <cell r="A251" t="str">
            <v>40056</v>
          </cell>
          <cell r="B251" t="str">
            <v>41010</v>
          </cell>
        </row>
        <row r="252">
          <cell r="A252" t="str">
            <v>40057</v>
          </cell>
          <cell r="B252" t="str">
            <v>41010</v>
          </cell>
        </row>
        <row r="253">
          <cell r="A253" t="str">
            <v>40058</v>
          </cell>
          <cell r="B253" t="str">
            <v>41010</v>
          </cell>
        </row>
        <row r="254">
          <cell r="A254" t="str">
            <v>40059</v>
          </cell>
          <cell r="B254">
            <v>51110</v>
          </cell>
        </row>
        <row r="255">
          <cell r="A255" t="str">
            <v>40062</v>
          </cell>
          <cell r="B255" t="str">
            <v>41380</v>
          </cell>
        </row>
        <row r="256">
          <cell r="A256" t="str">
            <v>40063</v>
          </cell>
          <cell r="B256" t="str">
            <v>41380</v>
          </cell>
        </row>
        <row r="257">
          <cell r="A257" t="str">
            <v>40064</v>
          </cell>
          <cell r="B257" t="str">
            <v>41380</v>
          </cell>
        </row>
        <row r="258">
          <cell r="A258" t="str">
            <v>40090</v>
          </cell>
          <cell r="B258" t="str">
            <v>41010</v>
          </cell>
        </row>
        <row r="259">
          <cell r="A259" t="str">
            <v>40091</v>
          </cell>
          <cell r="B259" t="str">
            <v>41010</v>
          </cell>
        </row>
        <row r="260">
          <cell r="A260">
            <v>40092</v>
          </cell>
          <cell r="B260" t="str">
            <v>41010</v>
          </cell>
        </row>
        <row r="261">
          <cell r="A261" t="str">
            <v>40093</v>
          </cell>
          <cell r="B261" t="str">
            <v>41120</v>
          </cell>
        </row>
        <row r="262">
          <cell r="A262" t="str">
            <v>40095</v>
          </cell>
          <cell r="B262" t="str">
            <v>41010</v>
          </cell>
        </row>
        <row r="263">
          <cell r="A263" t="str">
            <v>40097</v>
          </cell>
          <cell r="B263" t="str">
            <v>41010</v>
          </cell>
        </row>
        <row r="264">
          <cell r="A264" t="str">
            <v>46000</v>
          </cell>
          <cell r="B264" t="str">
            <v>41380</v>
          </cell>
        </row>
        <row r="265">
          <cell r="A265" t="str">
            <v>49900</v>
          </cell>
          <cell r="B265" t="str">
            <v>41380</v>
          </cell>
        </row>
        <row r="266">
          <cell r="A266" t="str">
            <v>50101</v>
          </cell>
          <cell r="B266" t="str">
            <v>61810</v>
          </cell>
        </row>
        <row r="267">
          <cell r="A267" t="str">
            <v>50102</v>
          </cell>
          <cell r="B267" t="str">
            <v>61198</v>
          </cell>
        </row>
        <row r="268">
          <cell r="A268" t="str">
            <v>50103</v>
          </cell>
          <cell r="B268" t="str">
            <v>61198</v>
          </cell>
        </row>
        <row r="269">
          <cell r="A269" t="str">
            <v>50104</v>
          </cell>
          <cell r="B269" t="str">
            <v>61198</v>
          </cell>
        </row>
        <row r="270">
          <cell r="A270" t="str">
            <v>50105</v>
          </cell>
          <cell r="B270" t="str">
            <v>61810</v>
          </cell>
        </row>
        <row r="271">
          <cell r="A271" t="str">
            <v>50199</v>
          </cell>
          <cell r="B271" t="str">
            <v>61820</v>
          </cell>
        </row>
        <row r="272">
          <cell r="A272" t="str">
            <v>50201</v>
          </cell>
          <cell r="B272" t="str">
            <v>71036</v>
          </cell>
        </row>
        <row r="273">
          <cell r="A273" t="str">
            <v>50301</v>
          </cell>
          <cell r="B273" t="str">
            <v>71031</v>
          </cell>
        </row>
        <row r="274">
          <cell r="A274" t="str">
            <v>50302</v>
          </cell>
          <cell r="B274" t="str">
            <v>71032</v>
          </cell>
        </row>
        <row r="275">
          <cell r="A275" t="str">
            <v>50303</v>
          </cell>
          <cell r="B275" t="str">
            <v>71033</v>
          </cell>
        </row>
        <row r="276">
          <cell r="A276" t="str">
            <v>50304</v>
          </cell>
          <cell r="B276" t="str">
            <v>71034</v>
          </cell>
        </row>
        <row r="277">
          <cell r="A277" t="str">
            <v>50900</v>
          </cell>
          <cell r="B277" t="str">
            <v>61260</v>
          </cell>
        </row>
        <row r="278">
          <cell r="A278" t="str">
            <v>51010</v>
          </cell>
          <cell r="B278" t="str">
            <v>71130</v>
          </cell>
        </row>
        <row r="279">
          <cell r="A279" t="str">
            <v>51011</v>
          </cell>
          <cell r="B279" t="str">
            <v>71160</v>
          </cell>
        </row>
        <row r="280">
          <cell r="A280" t="str">
            <v>51020</v>
          </cell>
          <cell r="B280" t="str">
            <v>70150</v>
          </cell>
        </row>
        <row r="281">
          <cell r="A281" t="str">
            <v>51060</v>
          </cell>
          <cell r="B281" t="str">
            <v>71130</v>
          </cell>
        </row>
        <row r="282">
          <cell r="A282" t="str">
            <v>51099</v>
          </cell>
          <cell r="B282" t="str">
            <v>70150</v>
          </cell>
        </row>
        <row r="283">
          <cell r="A283" t="str">
            <v>51110</v>
          </cell>
          <cell r="B283" t="str">
            <v>71110</v>
          </cell>
        </row>
        <row r="284">
          <cell r="A284" t="str">
            <v>51120</v>
          </cell>
          <cell r="B284" t="str">
            <v>70120</v>
          </cell>
        </row>
        <row r="285">
          <cell r="A285" t="str">
            <v>51160</v>
          </cell>
          <cell r="B285" t="str">
            <v>71110</v>
          </cell>
        </row>
        <row r="286">
          <cell r="A286" t="str">
            <v>51199</v>
          </cell>
          <cell r="B286" t="str">
            <v>70120</v>
          </cell>
        </row>
        <row r="287">
          <cell r="A287" t="str">
            <v>51200</v>
          </cell>
          <cell r="B287" t="str">
            <v>51100</v>
          </cell>
        </row>
        <row r="288">
          <cell r="A288" t="str">
            <v>51201</v>
          </cell>
          <cell r="B288" t="str">
            <v>71180</v>
          </cell>
        </row>
        <row r="289">
          <cell r="A289" t="str">
            <v>51202</v>
          </cell>
          <cell r="B289" t="str">
            <v>70200</v>
          </cell>
        </row>
        <row r="290">
          <cell r="A290" t="str">
            <v>51203</v>
          </cell>
          <cell r="B290" t="str">
            <v>51020</v>
          </cell>
        </row>
        <row r="291">
          <cell r="A291" t="str">
            <v>51204</v>
          </cell>
          <cell r="B291" t="str">
            <v>51020</v>
          </cell>
        </row>
        <row r="292">
          <cell r="A292" t="str">
            <v>51205</v>
          </cell>
          <cell r="B292" t="str">
            <v>51100</v>
          </cell>
        </row>
        <row r="293">
          <cell r="A293" t="str">
            <v>51206</v>
          </cell>
          <cell r="B293" t="str">
            <v>61910</v>
          </cell>
        </row>
        <row r="294">
          <cell r="A294" t="str">
            <v>51207</v>
          </cell>
          <cell r="B294" t="str">
            <v>61910</v>
          </cell>
        </row>
        <row r="295">
          <cell r="A295" t="str">
            <v>51208</v>
          </cell>
          <cell r="B295" t="str">
            <v>71210</v>
          </cell>
        </row>
        <row r="296">
          <cell r="A296" t="str">
            <v>51209</v>
          </cell>
          <cell r="B296" t="str">
            <v>71220</v>
          </cell>
        </row>
        <row r="297">
          <cell r="A297" t="str">
            <v>51259</v>
          </cell>
          <cell r="B297">
            <v>51110</v>
          </cell>
        </row>
        <row r="298">
          <cell r="A298" t="str">
            <v>51292</v>
          </cell>
          <cell r="B298" t="str">
            <v>70200</v>
          </cell>
        </row>
        <row r="299">
          <cell r="A299" t="str">
            <v>51293</v>
          </cell>
          <cell r="B299" t="str">
            <v>51210</v>
          </cell>
        </row>
        <row r="300">
          <cell r="A300" t="str">
            <v>51294</v>
          </cell>
          <cell r="B300" t="str">
            <v>51020</v>
          </cell>
        </row>
        <row r="301">
          <cell r="A301" t="str">
            <v>51301</v>
          </cell>
          <cell r="B301" t="str">
            <v>71220</v>
          </cell>
        </row>
        <row r="302">
          <cell r="A302" t="str">
            <v>51320</v>
          </cell>
          <cell r="B302" t="str">
            <v>71060</v>
          </cell>
        </row>
        <row r="303">
          <cell r="A303" t="str">
            <v>51331</v>
          </cell>
          <cell r="B303" t="str">
            <v>60680</v>
          </cell>
        </row>
        <row r="304">
          <cell r="A304" t="str">
            <v>51332</v>
          </cell>
          <cell r="B304" t="str">
            <v>60680</v>
          </cell>
        </row>
        <row r="305">
          <cell r="A305" t="str">
            <v>51333</v>
          </cell>
          <cell r="B305" t="str">
            <v>60680</v>
          </cell>
        </row>
        <row r="306">
          <cell r="A306" t="str">
            <v>51334</v>
          </cell>
          <cell r="B306" t="str">
            <v>60680</v>
          </cell>
        </row>
        <row r="307">
          <cell r="A307" t="str">
            <v>51335</v>
          </cell>
          <cell r="B307" t="str">
            <v>60680</v>
          </cell>
        </row>
        <row r="308">
          <cell r="A308" t="str">
            <v>51336</v>
          </cell>
          <cell r="B308" t="str">
            <v>60680</v>
          </cell>
        </row>
        <row r="309">
          <cell r="A309" t="str">
            <v>51338</v>
          </cell>
          <cell r="B309">
            <v>51110</v>
          </cell>
        </row>
        <row r="310">
          <cell r="A310" t="str">
            <v>51350</v>
          </cell>
          <cell r="B310" t="str">
            <v>51210</v>
          </cell>
        </row>
        <row r="311">
          <cell r="A311" t="str">
            <v>51400</v>
          </cell>
          <cell r="B311" t="str">
            <v>51110</v>
          </cell>
        </row>
        <row r="312">
          <cell r="A312" t="str">
            <v>51401</v>
          </cell>
          <cell r="B312" t="str">
            <v>81010</v>
          </cell>
        </row>
        <row r="313">
          <cell r="A313" t="str">
            <v>51402</v>
          </cell>
          <cell r="B313" t="str">
            <v>81010</v>
          </cell>
        </row>
        <row r="314">
          <cell r="A314" t="str">
            <v>51403</v>
          </cell>
          <cell r="B314" t="str">
            <v>81010</v>
          </cell>
        </row>
        <row r="315">
          <cell r="A315" t="str">
            <v>51404</v>
          </cell>
          <cell r="B315" t="str">
            <v>81010</v>
          </cell>
        </row>
        <row r="316">
          <cell r="A316" t="str">
            <v>51405</v>
          </cell>
          <cell r="B316" t="str">
            <v>81010</v>
          </cell>
        </row>
        <row r="317">
          <cell r="A317" t="str">
            <v>51406</v>
          </cell>
          <cell r="B317" t="str">
            <v>81010</v>
          </cell>
        </row>
        <row r="318">
          <cell r="A318" t="str">
            <v>51411</v>
          </cell>
          <cell r="B318" t="str">
            <v>50010</v>
          </cell>
        </row>
        <row r="319">
          <cell r="A319" t="str">
            <v>51412</v>
          </cell>
          <cell r="B319" t="str">
            <v>51110</v>
          </cell>
        </row>
        <row r="320">
          <cell r="A320" t="str">
            <v>51490</v>
          </cell>
          <cell r="B320" t="str">
            <v>81010</v>
          </cell>
        </row>
        <row r="321">
          <cell r="A321" t="str">
            <v>51491</v>
          </cell>
          <cell r="B321" t="str">
            <v>81010</v>
          </cell>
        </row>
        <row r="322">
          <cell r="A322" t="str">
            <v>51492</v>
          </cell>
          <cell r="B322" t="str">
            <v>81010</v>
          </cell>
        </row>
        <row r="323">
          <cell r="A323" t="str">
            <v>51496</v>
          </cell>
          <cell r="B323" t="str">
            <v>81010</v>
          </cell>
        </row>
        <row r="324">
          <cell r="A324" t="str">
            <v>51499</v>
          </cell>
          <cell r="B324" t="str">
            <v>81010</v>
          </cell>
        </row>
        <row r="325">
          <cell r="A325" t="str">
            <v>52000</v>
          </cell>
          <cell r="B325" t="str">
            <v>81020</v>
          </cell>
        </row>
        <row r="326">
          <cell r="A326" t="str">
            <v>52010</v>
          </cell>
          <cell r="B326" t="str">
            <v>81020</v>
          </cell>
        </row>
        <row r="327">
          <cell r="A327" t="str">
            <v>52100</v>
          </cell>
          <cell r="B327" t="str">
            <v>81045</v>
          </cell>
        </row>
        <row r="328">
          <cell r="A328" t="str">
            <v>52150</v>
          </cell>
          <cell r="B328" t="str">
            <v>81045</v>
          </cell>
        </row>
        <row r="329">
          <cell r="A329" t="str">
            <v>52200</v>
          </cell>
          <cell r="B329" t="str">
            <v>81040</v>
          </cell>
        </row>
        <row r="330">
          <cell r="A330" t="str">
            <v>67614</v>
          </cell>
          <cell r="B330" t="str">
            <v>41435</v>
          </cell>
        </row>
        <row r="331">
          <cell r="A331" t="str">
            <v>72000</v>
          </cell>
          <cell r="B331" t="str">
            <v>61164</v>
          </cell>
        </row>
        <row r="332">
          <cell r="A332" t="str">
            <v>72100</v>
          </cell>
          <cell r="B332" t="str">
            <v>61166</v>
          </cell>
        </row>
        <row r="333">
          <cell r="A333" t="str">
            <v>72200</v>
          </cell>
          <cell r="B333" t="str">
            <v>61169</v>
          </cell>
        </row>
        <row r="334">
          <cell r="A334" t="str">
            <v>72290</v>
          </cell>
          <cell r="B334" t="str">
            <v>61169</v>
          </cell>
        </row>
        <row r="335">
          <cell r="A335" t="str">
            <v>72295</v>
          </cell>
          <cell r="B335" t="str">
            <v>61169</v>
          </cell>
        </row>
        <row r="336">
          <cell r="A336" t="str">
            <v>72300</v>
          </cell>
          <cell r="B336" t="str">
            <v>61070</v>
          </cell>
        </row>
        <row r="337">
          <cell r="A337" t="str">
            <v>72400</v>
          </cell>
          <cell r="B337" t="str">
            <v>61150</v>
          </cell>
        </row>
        <row r="338">
          <cell r="A338" t="str">
            <v>72500</v>
          </cell>
          <cell r="B338" t="str">
            <v>61063</v>
          </cell>
        </row>
        <row r="339">
          <cell r="A339" t="str">
            <v>72700</v>
          </cell>
          <cell r="B339" t="str">
            <v>61062</v>
          </cell>
        </row>
        <row r="340">
          <cell r="A340" t="str">
            <v>72800</v>
          </cell>
          <cell r="B340" t="str">
            <v>61062</v>
          </cell>
        </row>
        <row r="341">
          <cell r="A341" t="str">
            <v>72895</v>
          </cell>
          <cell r="B341" t="str">
            <v>61062</v>
          </cell>
        </row>
        <row r="342">
          <cell r="A342" t="str">
            <v>72900</v>
          </cell>
          <cell r="B342" t="str">
            <v>61169</v>
          </cell>
        </row>
        <row r="343">
          <cell r="A343" t="str">
            <v>73000</v>
          </cell>
          <cell r="B343" t="str">
            <v>61169</v>
          </cell>
        </row>
        <row r="344">
          <cell r="A344" t="str">
            <v>73100</v>
          </cell>
          <cell r="B344" t="str">
            <v>61169</v>
          </cell>
        </row>
        <row r="345">
          <cell r="A345" t="str">
            <v>73200</v>
          </cell>
          <cell r="B345" t="str">
            <v>61164</v>
          </cell>
        </row>
        <row r="346">
          <cell r="A346" t="str">
            <v>73214</v>
          </cell>
          <cell r="B346" t="str">
            <v>61164</v>
          </cell>
        </row>
        <row r="347">
          <cell r="A347" t="str">
            <v>73276</v>
          </cell>
          <cell r="B347" t="str">
            <v>61164</v>
          </cell>
        </row>
        <row r="348">
          <cell r="A348" t="str">
            <v>73279</v>
          </cell>
          <cell r="B348" t="str">
            <v>61164</v>
          </cell>
        </row>
        <row r="349">
          <cell r="A349" t="str">
            <v>73282</v>
          </cell>
          <cell r="B349" t="str">
            <v>61169</v>
          </cell>
        </row>
        <row r="350">
          <cell r="A350" t="str">
            <v>73299</v>
          </cell>
          <cell r="B350" t="str">
            <v>61169</v>
          </cell>
        </row>
        <row r="351">
          <cell r="A351" t="str">
            <v>73300</v>
          </cell>
          <cell r="B351" t="str">
            <v>61150</v>
          </cell>
        </row>
        <row r="352">
          <cell r="A352" t="str">
            <v>73321</v>
          </cell>
          <cell r="B352" t="str">
            <v>61150</v>
          </cell>
        </row>
        <row r="353">
          <cell r="A353" t="str">
            <v>73400</v>
          </cell>
          <cell r="B353" t="str">
            <v>61169</v>
          </cell>
        </row>
        <row r="354">
          <cell r="A354" t="str">
            <v>73441</v>
          </cell>
          <cell r="B354" t="str">
            <v>61169</v>
          </cell>
        </row>
        <row r="355">
          <cell r="A355" t="str">
            <v>73442</v>
          </cell>
          <cell r="B355" t="str">
            <v>61169</v>
          </cell>
        </row>
        <row r="356">
          <cell r="A356" t="str">
            <v>73450</v>
          </cell>
          <cell r="B356" t="str">
            <v>61158</v>
          </cell>
        </row>
        <row r="357">
          <cell r="A357" t="str">
            <v>73460</v>
          </cell>
          <cell r="B357" t="str">
            <v>61215</v>
          </cell>
        </row>
        <row r="358">
          <cell r="A358" t="str">
            <v>73470</v>
          </cell>
          <cell r="B358" t="str">
            <v>61300</v>
          </cell>
        </row>
        <row r="359">
          <cell r="A359" t="str">
            <v>73480</v>
          </cell>
          <cell r="B359" t="str">
            <v>61305</v>
          </cell>
        </row>
        <row r="360">
          <cell r="A360" t="str">
            <v>73500</v>
          </cell>
          <cell r="B360" t="str">
            <v>61260</v>
          </cell>
        </row>
        <row r="361">
          <cell r="A361" t="str">
            <v>73600</v>
          </cell>
          <cell r="B361" t="str">
            <v>61260</v>
          </cell>
        </row>
        <row r="362">
          <cell r="A362" t="str">
            <v>73700</v>
          </cell>
          <cell r="B362" t="str">
            <v>61260</v>
          </cell>
        </row>
        <row r="363">
          <cell r="A363" t="str">
            <v>73800</v>
          </cell>
          <cell r="B363" t="str">
            <v>61260</v>
          </cell>
        </row>
        <row r="364">
          <cell r="A364" t="str">
            <v>73841</v>
          </cell>
          <cell r="B364" t="str">
            <v>61260</v>
          </cell>
        </row>
        <row r="365">
          <cell r="A365" t="str">
            <v>73842</v>
          </cell>
          <cell r="B365" t="str">
            <v>61260</v>
          </cell>
        </row>
        <row r="366">
          <cell r="A366" t="str">
            <v>73900</v>
          </cell>
          <cell r="B366" t="str">
            <v>61260</v>
          </cell>
        </row>
        <row r="367">
          <cell r="A367" t="str">
            <v>74000</v>
          </cell>
          <cell r="B367" t="str">
            <v>61260</v>
          </cell>
        </row>
        <row r="368">
          <cell r="A368" t="str">
            <v>74100</v>
          </cell>
          <cell r="B368" t="str">
            <v>61260</v>
          </cell>
        </row>
        <row r="369">
          <cell r="A369" t="str">
            <v>74300</v>
          </cell>
          <cell r="B369" t="str">
            <v>61260</v>
          </cell>
        </row>
        <row r="370">
          <cell r="A370" t="str">
            <v>74400</v>
          </cell>
          <cell r="B370" t="str">
            <v>61260</v>
          </cell>
        </row>
        <row r="371">
          <cell r="A371" t="str">
            <v>74500</v>
          </cell>
          <cell r="B371" t="str">
            <v>61260</v>
          </cell>
        </row>
        <row r="372">
          <cell r="A372" t="str">
            <v>74514</v>
          </cell>
          <cell r="B372" t="str">
            <v>61260</v>
          </cell>
        </row>
        <row r="373">
          <cell r="A373" t="str">
            <v>74551</v>
          </cell>
          <cell r="B373" t="str">
            <v>61260</v>
          </cell>
        </row>
        <row r="374">
          <cell r="A374" t="str">
            <v>74600</v>
          </cell>
          <cell r="B374" t="str">
            <v>61260</v>
          </cell>
        </row>
        <row r="375">
          <cell r="A375" t="str">
            <v>74651</v>
          </cell>
          <cell r="B375" t="str">
            <v>61260</v>
          </cell>
        </row>
        <row r="376">
          <cell r="A376" t="str">
            <v>74700</v>
          </cell>
          <cell r="B376" t="str">
            <v>61260</v>
          </cell>
        </row>
        <row r="377">
          <cell r="A377" t="str">
            <v>74800</v>
          </cell>
          <cell r="B377" t="str">
            <v>61260</v>
          </cell>
        </row>
        <row r="378">
          <cell r="A378" t="str">
            <v>74900</v>
          </cell>
          <cell r="B378" t="str">
            <v>61260</v>
          </cell>
        </row>
        <row r="379">
          <cell r="A379" t="str">
            <v>75000</v>
          </cell>
          <cell r="B379" t="str">
            <v>61169</v>
          </cell>
        </row>
        <row r="380">
          <cell r="A380" t="str">
            <v>75100</v>
          </cell>
          <cell r="B380" t="str">
            <v>61260</v>
          </cell>
        </row>
        <row r="381">
          <cell r="A381" t="str">
            <v>75200</v>
          </cell>
          <cell r="B381" t="str">
            <v>61260</v>
          </cell>
        </row>
        <row r="382">
          <cell r="A382" t="str">
            <v>75300</v>
          </cell>
          <cell r="B382" t="str">
            <v>61260</v>
          </cell>
        </row>
        <row r="383">
          <cell r="A383" t="str">
            <v>75400</v>
          </cell>
          <cell r="B383" t="str">
            <v>61260</v>
          </cell>
        </row>
        <row r="384">
          <cell r="A384" t="str">
            <v>75500</v>
          </cell>
          <cell r="B384" t="str">
            <v>61260</v>
          </cell>
        </row>
        <row r="385">
          <cell r="A385" t="str">
            <v>75600</v>
          </cell>
          <cell r="B385" t="str">
            <v>61260</v>
          </cell>
        </row>
        <row r="386">
          <cell r="A386" t="str">
            <v>75900</v>
          </cell>
          <cell r="B386" t="str">
            <v>61260</v>
          </cell>
        </row>
        <row r="387">
          <cell r="A387" t="str">
            <v>75999</v>
          </cell>
          <cell r="B387" t="str">
            <v>61260</v>
          </cell>
        </row>
        <row r="388">
          <cell r="A388" t="str">
            <v>76000</v>
          </cell>
          <cell r="B388" t="str">
            <v>61000</v>
          </cell>
        </row>
        <row r="389">
          <cell r="A389" t="str">
            <v>76095</v>
          </cell>
          <cell r="B389" t="str">
            <v>61030</v>
          </cell>
        </row>
        <row r="390">
          <cell r="A390" t="str">
            <v>76096</v>
          </cell>
          <cell r="B390" t="str">
            <v>61030</v>
          </cell>
        </row>
        <row r="391">
          <cell r="A391" t="str">
            <v>76100</v>
          </cell>
          <cell r="B391" t="str">
            <v>61260</v>
          </cell>
        </row>
        <row r="392">
          <cell r="A392" t="str">
            <v>76200</v>
          </cell>
          <cell r="B392" t="str">
            <v>61260</v>
          </cell>
        </row>
        <row r="393">
          <cell r="A393" t="str">
            <v>76300</v>
          </cell>
          <cell r="B393" t="str">
            <v>61000</v>
          </cell>
        </row>
        <row r="394">
          <cell r="A394" t="str">
            <v>76600</v>
          </cell>
          <cell r="B394" t="str">
            <v>61000</v>
          </cell>
        </row>
        <row r="395">
          <cell r="A395" t="str">
            <v>76614</v>
          </cell>
          <cell r="B395" t="str">
            <v>61198</v>
          </cell>
        </row>
        <row r="396">
          <cell r="A396" t="str">
            <v>76641</v>
          </cell>
          <cell r="B396" t="str">
            <v>61000</v>
          </cell>
        </row>
        <row r="397">
          <cell r="A397" t="str">
            <v>76642</v>
          </cell>
          <cell r="B397" t="str">
            <v>61000</v>
          </cell>
        </row>
        <row r="398">
          <cell r="A398" t="str">
            <v>76651</v>
          </cell>
          <cell r="B398" t="str">
            <v>61000</v>
          </cell>
        </row>
        <row r="399">
          <cell r="A399" t="str">
            <v>76660</v>
          </cell>
          <cell r="B399" t="str">
            <v>61152</v>
          </cell>
        </row>
        <row r="400">
          <cell r="A400" t="str">
            <v>76680</v>
          </cell>
          <cell r="B400" t="str">
            <v>61035</v>
          </cell>
        </row>
        <row r="401">
          <cell r="A401" t="str">
            <v>76681</v>
          </cell>
          <cell r="B401" t="str">
            <v>61030</v>
          </cell>
        </row>
        <row r="402">
          <cell r="A402" t="str">
            <v>76686</v>
          </cell>
          <cell r="B402" t="str">
            <v>61030</v>
          </cell>
        </row>
        <row r="403">
          <cell r="A403" t="str">
            <v>76691</v>
          </cell>
          <cell r="B403" t="str">
            <v>61260</v>
          </cell>
        </row>
        <row r="404">
          <cell r="A404" t="str">
            <v>76880</v>
          </cell>
          <cell r="B404" t="str">
            <v>61220</v>
          </cell>
        </row>
      </sheetData>
      <sheetData sheetId="1" refreshError="1">
        <row r="3">
          <cell r="A3" t="str">
            <v>11333</v>
          </cell>
          <cell r="B3" t="str">
            <v>10840</v>
          </cell>
        </row>
        <row r="4">
          <cell r="A4" t="str">
            <v>11334</v>
          </cell>
          <cell r="B4" t="str">
            <v>10850</v>
          </cell>
        </row>
        <row r="5">
          <cell r="A5" t="str">
            <v>11597</v>
          </cell>
          <cell r="B5" t="str">
            <v>10560</v>
          </cell>
        </row>
        <row r="6">
          <cell r="A6" t="str">
            <v>11599</v>
          </cell>
          <cell r="B6" t="str">
            <v>10540</v>
          </cell>
        </row>
        <row r="7">
          <cell r="A7" t="str">
            <v>13218</v>
          </cell>
          <cell r="B7" t="str">
            <v>10310</v>
          </cell>
        </row>
        <row r="8">
          <cell r="A8" t="str">
            <v>13220</v>
          </cell>
          <cell r="B8" t="str">
            <v>10320</v>
          </cell>
        </row>
        <row r="9">
          <cell r="A9" t="str">
            <v>21297</v>
          </cell>
          <cell r="B9" t="str">
            <v>20480</v>
          </cell>
        </row>
        <row r="10">
          <cell r="A10" t="str">
            <v>21298</v>
          </cell>
          <cell r="B10" t="str">
            <v>20460</v>
          </cell>
        </row>
        <row r="11">
          <cell r="A11" t="str">
            <v>21833</v>
          </cell>
          <cell r="B11" t="str">
            <v>20361</v>
          </cell>
        </row>
        <row r="12">
          <cell r="A12" t="str">
            <v>21834</v>
          </cell>
          <cell r="B12" t="str">
            <v>20362</v>
          </cell>
        </row>
        <row r="13">
          <cell r="A13" t="str">
            <v>22120</v>
          </cell>
          <cell r="B13" t="str">
            <v>20363</v>
          </cell>
        </row>
        <row r="14">
          <cell r="A14" t="str">
            <v>23118</v>
          </cell>
          <cell r="B14" t="str">
            <v>20016</v>
          </cell>
        </row>
        <row r="15">
          <cell r="A15" t="str">
            <v>23518</v>
          </cell>
          <cell r="B15" t="str">
            <v>20005</v>
          </cell>
        </row>
        <row r="16">
          <cell r="A16" t="str">
            <v>23618</v>
          </cell>
          <cell r="B16" t="str">
            <v>20009</v>
          </cell>
        </row>
        <row r="17">
          <cell r="A17" t="str">
            <v>32158</v>
          </cell>
          <cell r="B17" t="str">
            <v>30110</v>
          </cell>
        </row>
        <row r="18">
          <cell r="A18" t="str">
            <v>40058</v>
          </cell>
          <cell r="B18" t="str">
            <v>40320</v>
          </cell>
        </row>
        <row r="19">
          <cell r="A19" t="str">
            <v>40059</v>
          </cell>
          <cell r="B19" t="str">
            <v>40330</v>
          </cell>
        </row>
        <row r="20">
          <cell r="A20" t="str">
            <v>51060</v>
          </cell>
          <cell r="B20" t="str">
            <v>70150</v>
          </cell>
        </row>
        <row r="21">
          <cell r="A21" t="str">
            <v>51160</v>
          </cell>
          <cell r="B21" t="str">
            <v>70120</v>
          </cell>
        </row>
        <row r="22">
          <cell r="A22" t="str">
            <v>51259</v>
          </cell>
          <cell r="B22" t="str">
            <v>30115</v>
          </cell>
        </row>
        <row r="23">
          <cell r="A23" t="str">
            <v>51338</v>
          </cell>
          <cell r="B23" t="str">
            <v>60620</v>
          </cell>
        </row>
        <row r="24">
          <cell r="A24" t="str">
            <v>51412</v>
          </cell>
          <cell r="B24" t="str">
            <v>50050</v>
          </cell>
        </row>
      </sheetData>
      <sheetData sheetId="2" refreshError="1">
        <row r="1">
          <cell r="A1" t="str">
            <v>10310</v>
          </cell>
          <cell r="B1" t="str">
            <v>Investments (Shares) In Subsidiaries - Intercompany</v>
          </cell>
        </row>
        <row r="2">
          <cell r="A2" t="str">
            <v>10315</v>
          </cell>
          <cell r="B2" t="str">
            <v>Investments In Subsidiaries- Intercompany  Stock Option Related</v>
          </cell>
        </row>
        <row r="3">
          <cell r="A3" t="str">
            <v>10320</v>
          </cell>
          <cell r="B3" t="str">
            <v>Long Term Investments - Intercompany</v>
          </cell>
        </row>
        <row r="4">
          <cell r="A4" t="str">
            <v>10540</v>
          </cell>
          <cell r="B4" t="str">
            <v>Accounts Receivable - Intercompany</v>
          </cell>
        </row>
        <row r="5">
          <cell r="A5" t="str">
            <v>10550</v>
          </cell>
          <cell r="B5" t="str">
            <v xml:space="preserve">Accounts Receivable Intercompany – External Share Activity </v>
          </cell>
        </row>
        <row r="6">
          <cell r="A6" t="str">
            <v>10560</v>
          </cell>
          <cell r="B6" t="str">
            <v>Intercompany Receivable – AG/Pharma splits/mergers</v>
          </cell>
        </row>
        <row r="7">
          <cell r="A7" t="str">
            <v>10840</v>
          </cell>
          <cell r="B7" t="str">
            <v>Financial Receivable, Cash-Pool - Intercompany</v>
          </cell>
        </row>
        <row r="8">
          <cell r="A8" t="str">
            <v>10850</v>
          </cell>
          <cell r="B8" t="str">
            <v>Financial Receivable, Loan - Intercompany</v>
          </cell>
        </row>
        <row r="9">
          <cell r="A9" t="str">
            <v>11070</v>
          </cell>
          <cell r="B9" t="str">
            <v>Goodwill</v>
          </cell>
        </row>
        <row r="10">
          <cell r="A10" t="str">
            <v>11079</v>
          </cell>
          <cell r="B10" t="str">
            <v>Accumulated Amortization Goodwill</v>
          </cell>
        </row>
        <row r="11">
          <cell r="A11" t="str">
            <v>11090</v>
          </cell>
          <cell r="B11" t="str">
            <v>Other Intangible Assets</v>
          </cell>
        </row>
        <row r="12">
          <cell r="A12" t="str">
            <v>11099</v>
          </cell>
          <cell r="B12" t="str">
            <v>Accumulated Amortization Of Other Intangible Assets</v>
          </cell>
        </row>
        <row r="13">
          <cell r="A13" t="str">
            <v>11110</v>
          </cell>
          <cell r="B13" t="str">
            <v>Buildings</v>
          </cell>
        </row>
        <row r="14">
          <cell r="A14" t="str">
            <v>11130</v>
          </cell>
          <cell r="B14" t="str">
            <v>Land</v>
          </cell>
        </row>
        <row r="15">
          <cell r="A15" t="str">
            <v>11180</v>
          </cell>
          <cell r="B15" t="str">
            <v>Construction In Progress</v>
          </cell>
        </row>
        <row r="16">
          <cell r="A16" t="str">
            <v>11190</v>
          </cell>
          <cell r="B16" t="str">
            <v>Capitalized Interest Costs</v>
          </cell>
        </row>
        <row r="17">
          <cell r="A17" t="str">
            <v>11200</v>
          </cell>
          <cell r="B17" t="str">
            <v>Equipment</v>
          </cell>
        </row>
        <row r="18">
          <cell r="A18" t="str">
            <v>11209</v>
          </cell>
          <cell r="B18" t="str">
            <v>Accumulated Depreciation - Equipment</v>
          </cell>
        </row>
        <row r="19">
          <cell r="A19" t="str">
            <v>11260</v>
          </cell>
          <cell r="B19" t="str">
            <v>Leasehold Improvements</v>
          </cell>
        </row>
        <row r="20">
          <cell r="A20" t="str">
            <v>11269</v>
          </cell>
          <cell r="B20" t="str">
            <v>Accumulated Depreciation - Leasehold Improvements</v>
          </cell>
        </row>
        <row r="21">
          <cell r="A21" t="str">
            <v>11270</v>
          </cell>
          <cell r="B21" t="str">
            <v>Amortization of Capitalized Interest Costs</v>
          </cell>
        </row>
        <row r="22">
          <cell r="A22" t="str">
            <v>11330</v>
          </cell>
          <cell r="B22" t="str">
            <v xml:space="preserve">Long Term Investments In Associated Companies </v>
          </cell>
        </row>
        <row r="23">
          <cell r="A23" t="str">
            <v>11351</v>
          </cell>
          <cell r="B23" t="str">
            <v>Long Term Investments In Equity Securities</v>
          </cell>
        </row>
        <row r="24">
          <cell r="A24" t="str">
            <v>11353</v>
          </cell>
          <cell r="B24" t="str">
            <v>Long Term Investments In Debt Securities</v>
          </cell>
        </row>
        <row r="25">
          <cell r="A25" t="str">
            <v>11381</v>
          </cell>
          <cell r="B25" t="str">
            <v>Long Term Deferred Tax Asset</v>
          </cell>
        </row>
        <row r="26">
          <cell r="A26" t="str">
            <v>11382</v>
          </cell>
          <cell r="B26" t="str">
            <v>Long Term Deferred Tax Asset - Valuation Allowance</v>
          </cell>
        </row>
        <row r="27">
          <cell r="A27" t="str">
            <v>11383</v>
          </cell>
          <cell r="B27" t="str">
            <v>Other Non-Current Assets</v>
          </cell>
        </row>
        <row r="28">
          <cell r="A28" t="str">
            <v>11390</v>
          </cell>
          <cell r="B28" t="str">
            <v>Net Assets From Discontinued Operations</v>
          </cell>
        </row>
        <row r="29">
          <cell r="A29" t="str">
            <v>11401</v>
          </cell>
          <cell r="B29" t="str">
            <v>Inventory – Other than Salable Finished Goods – Local Product Cost</v>
          </cell>
        </row>
        <row r="30">
          <cell r="A30" t="str">
            <v>11411</v>
          </cell>
          <cell r="B30" t="str">
            <v>Raw Materials – Local Product Cost</v>
          </cell>
        </row>
        <row r="31">
          <cell r="A31" t="str">
            <v>11412</v>
          </cell>
          <cell r="B31" t="str">
            <v>Inventory - Semi-Finished (Bulk) Goods  - Local Product Cost</v>
          </cell>
        </row>
        <row r="32">
          <cell r="A32" t="str">
            <v>11414</v>
          </cell>
          <cell r="B32" t="str">
            <v>Semi-Finished (Bulk) Goods Inventory Value Adjustments – 3rd Party – Local Product Cost</v>
          </cell>
        </row>
        <row r="33">
          <cell r="A33" t="str">
            <v>11451</v>
          </cell>
          <cell r="B33" t="str">
            <v xml:space="preserve">Inventory – Salable Finished Goods – Local Product Cost </v>
          </cell>
        </row>
        <row r="34">
          <cell r="A34" t="str">
            <v>11492</v>
          </cell>
          <cell r="B34" t="str">
            <v xml:space="preserve">LIFO Inventory Reserve </v>
          </cell>
        </row>
        <row r="35">
          <cell r="A35" t="str">
            <v>11510</v>
          </cell>
          <cell r="B35" t="str">
            <v>Accounts Receivable - Trade</v>
          </cell>
        </row>
        <row r="36">
          <cell r="A36" t="str">
            <v>11520</v>
          </cell>
          <cell r="B36" t="str">
            <v>Account Receivable - Trade, Allowances</v>
          </cell>
        </row>
        <row r="37">
          <cell r="A37" t="str">
            <v>11530</v>
          </cell>
          <cell r="B37" t="str">
            <v>Accounts Receivable - Other</v>
          </cell>
        </row>
        <row r="38">
          <cell r="A38" t="str">
            <v>11641</v>
          </cell>
          <cell r="B38" t="str">
            <v>Current Deferred Tax Asset</v>
          </cell>
        </row>
        <row r="39">
          <cell r="A39" t="str">
            <v>11642</v>
          </cell>
          <cell r="B39" t="str">
            <v>Current Deferred Tax Asset - Valuation Reserve</v>
          </cell>
        </row>
        <row r="40">
          <cell r="A40" t="str">
            <v>11680</v>
          </cell>
          <cell r="B40" t="str">
            <v>Other Current Assets</v>
          </cell>
        </row>
        <row r="41">
          <cell r="A41" t="str">
            <v>11730</v>
          </cell>
          <cell r="B41" t="str">
            <v>Prepaid Expense - Insurance</v>
          </cell>
        </row>
        <row r="42">
          <cell r="A42" t="str">
            <v>11750</v>
          </cell>
          <cell r="B42" t="str">
            <v>Prepaid Expense - Local Product Cost</v>
          </cell>
        </row>
        <row r="43">
          <cell r="A43" t="str">
            <v>11790</v>
          </cell>
          <cell r="B43" t="str">
            <v>Prepaid Expense - Advertising</v>
          </cell>
        </row>
        <row r="44">
          <cell r="A44" t="str">
            <v>11810</v>
          </cell>
          <cell r="B44" t="str">
            <v>Short Term Investments</v>
          </cell>
        </row>
        <row r="45">
          <cell r="A45" t="str">
            <v>11910</v>
          </cell>
          <cell r="B45" t="str">
            <v>Cash Equivalents</v>
          </cell>
        </row>
        <row r="46">
          <cell r="A46" t="str">
            <v>11920</v>
          </cell>
          <cell r="B46" t="str">
            <v>Cash and Bank</v>
          </cell>
        </row>
        <row r="47">
          <cell r="A47" t="str">
            <v>20005</v>
          </cell>
          <cell r="B47" t="str">
            <v>Subsidiary Equity Paid In Capital - Intercompany</v>
          </cell>
        </row>
        <row r="48">
          <cell r="A48" t="str">
            <v>20009</v>
          </cell>
          <cell r="B48" t="str">
            <v>Dividends Declared - Intercompany</v>
          </cell>
        </row>
        <row r="49">
          <cell r="A49" t="str">
            <v>20016</v>
          </cell>
          <cell r="B49" t="str">
            <v>Subsidiary Common Stock - Intercompany</v>
          </cell>
        </row>
        <row r="50">
          <cell r="A50" t="str">
            <v>20018</v>
          </cell>
          <cell r="B50" t="str">
            <v>Subsidiary Equity Paid In Capital-Inter-company Stock Option Related</v>
          </cell>
        </row>
        <row r="51">
          <cell r="A51" t="str">
            <v>20070</v>
          </cell>
          <cell r="B51" t="str">
            <v>Branch Clearing Account</v>
          </cell>
        </row>
        <row r="52">
          <cell r="A52" t="str">
            <v>20361</v>
          </cell>
          <cell r="B52" t="str">
            <v>Financial Liability Cash Pool - Intercompany</v>
          </cell>
        </row>
        <row r="53">
          <cell r="A53" t="str">
            <v>20362</v>
          </cell>
          <cell r="B53" t="str">
            <v>Financial Liability Loan - Intercompany</v>
          </cell>
        </row>
        <row r="54">
          <cell r="A54" t="str">
            <v>20363</v>
          </cell>
          <cell r="B54" t="str">
            <v>Long Term Debt - Intercompany</v>
          </cell>
        </row>
        <row r="55">
          <cell r="A55" t="str">
            <v>20363</v>
          </cell>
          <cell r="B55" t="str">
            <v>Long Term Debt - Intercompany</v>
          </cell>
        </row>
        <row r="56">
          <cell r="A56" t="str">
            <v>20460</v>
          </cell>
          <cell r="B56" t="str">
            <v>Accounts Payable - Intercompany</v>
          </cell>
        </row>
        <row r="57">
          <cell r="A57" t="str">
            <v>20470</v>
          </cell>
          <cell r="B57" t="str">
            <v>Accounts Payable Intercompany - External Share Activity</v>
          </cell>
        </row>
        <row r="58">
          <cell r="A58" t="str">
            <v>20480</v>
          </cell>
          <cell r="B58" t="str">
            <v>Intercompany Payable – AG/Pharma splits/mergers</v>
          </cell>
        </row>
        <row r="59">
          <cell r="A59" t="str">
            <v>21001</v>
          </cell>
          <cell r="B59" t="str">
            <v>Preferred Stock - Series A - ESOP</v>
          </cell>
        </row>
        <row r="60">
          <cell r="A60" t="str">
            <v>21002</v>
          </cell>
          <cell r="B60" t="str">
            <v>Common Stock</v>
          </cell>
        </row>
        <row r="61">
          <cell r="A61" t="str">
            <v>21003</v>
          </cell>
          <cell r="B61" t="str">
            <v>Treasury Stock</v>
          </cell>
        </row>
        <row r="62">
          <cell r="A62" t="str">
            <v>21006</v>
          </cell>
          <cell r="B62" t="str">
            <v>Capital In Excess of Par</v>
          </cell>
        </row>
        <row r="63">
          <cell r="A63" t="str">
            <v>21008</v>
          </cell>
          <cell r="B63" t="str">
            <v xml:space="preserve">Dividends Declared - Common </v>
          </cell>
        </row>
        <row r="64">
          <cell r="A64" t="str">
            <v>21011</v>
          </cell>
          <cell r="B64" t="str">
            <v>Security Holding Gains And Losses</v>
          </cell>
        </row>
        <row r="65">
          <cell r="A65" t="str">
            <v>21013</v>
          </cell>
          <cell r="B65" t="str">
            <v xml:space="preserve">ESOP Loan Guarantee - Contra Compensation </v>
          </cell>
        </row>
        <row r="66">
          <cell r="A66" t="str">
            <v>21014</v>
          </cell>
          <cell r="B66" t="str">
            <v>Deferred Exchange</v>
          </cell>
        </row>
        <row r="67">
          <cell r="A67" t="str">
            <v>21015</v>
          </cell>
          <cell r="B67" t="str">
            <v xml:space="preserve">Minimum Pension Liability - Other Comprehensive Income </v>
          </cell>
        </row>
        <row r="68">
          <cell r="A68">
            <v>21020</v>
          </cell>
          <cell r="B68" t="str">
            <v>Other Comprehensive Income - Derivative</v>
          </cell>
        </row>
        <row r="69">
          <cell r="A69" t="str">
            <v>21090</v>
          </cell>
          <cell r="B69" t="str">
            <v>Retained Earnings - Unrestricted</v>
          </cell>
        </row>
        <row r="70">
          <cell r="A70" t="str">
            <v>21211</v>
          </cell>
          <cell r="B70" t="str">
            <v>Accrued Post-Retirement Benefits</v>
          </cell>
        </row>
        <row r="71">
          <cell r="A71" t="str">
            <v>21251</v>
          </cell>
          <cell r="B71" t="str">
            <v>Non-Current Deferred Tax Liabilities</v>
          </cell>
        </row>
        <row r="72">
          <cell r="A72" t="str">
            <v>21290</v>
          </cell>
          <cell r="B72" t="str">
            <v>ESOP Loan Guarantee</v>
          </cell>
        </row>
        <row r="73">
          <cell r="A73" t="str">
            <v>21301</v>
          </cell>
          <cell r="B73" t="str">
            <v>Long Term Debt</v>
          </cell>
        </row>
        <row r="74">
          <cell r="A74" t="str">
            <v>21369</v>
          </cell>
          <cell r="B74" t="str">
            <v>Minority Equity in Subsidiaries</v>
          </cell>
        </row>
        <row r="75">
          <cell r="A75" t="str">
            <v>21399</v>
          </cell>
          <cell r="B75" t="str">
            <v>Other Long Term Liabilities</v>
          </cell>
        </row>
        <row r="76">
          <cell r="A76" t="str">
            <v>21418</v>
          </cell>
          <cell r="B76" t="str">
            <v>Bank Credit Lines</v>
          </cell>
        </row>
        <row r="77">
          <cell r="A77" t="str">
            <v>21440</v>
          </cell>
          <cell r="B77" t="str">
            <v>Accounts Payable</v>
          </cell>
        </row>
        <row r="78">
          <cell r="A78" t="str">
            <v>21492</v>
          </cell>
          <cell r="B78" t="str">
            <v>Other Short Term Borrowing - 90 Days Or Less</v>
          </cell>
        </row>
        <row r="79">
          <cell r="A79" t="str">
            <v>21512</v>
          </cell>
          <cell r="B79" t="str">
            <v>Income Tax Liabilities</v>
          </cell>
        </row>
        <row r="80">
          <cell r="A80" t="str">
            <v>21519</v>
          </cell>
          <cell r="B80" t="str">
            <v>Current Deferred Tax Liability</v>
          </cell>
        </row>
        <row r="81">
          <cell r="A81" t="str">
            <v>21800</v>
          </cell>
          <cell r="B81" t="str">
            <v>Other Current Liabilities</v>
          </cell>
        </row>
        <row r="82">
          <cell r="A82" t="str">
            <v>21841</v>
          </cell>
          <cell r="B82" t="str">
            <v>Current Maturities Of Long Term Debt</v>
          </cell>
        </row>
        <row r="83">
          <cell r="A83" t="str">
            <v>21900</v>
          </cell>
          <cell r="B83" t="str">
            <v>Accrued Expense - Other</v>
          </cell>
        </row>
        <row r="84">
          <cell r="A84" t="str">
            <v>21901</v>
          </cell>
          <cell r="B84" t="str">
            <v>Accrued Expense - Taxes Other Than Income</v>
          </cell>
        </row>
        <row r="85">
          <cell r="A85" t="str">
            <v>21910</v>
          </cell>
          <cell r="B85" t="str">
            <v>Accrued Expense Restructuring - Pharmacia</v>
          </cell>
        </row>
        <row r="86">
          <cell r="A86" t="str">
            <v>21922</v>
          </cell>
          <cell r="B86" t="str">
            <v>Accrued Expense - Compensation And Other</v>
          </cell>
        </row>
        <row r="87">
          <cell r="A87" t="str">
            <v>21960</v>
          </cell>
          <cell r="B87" t="str">
            <v>Accrued Expense - Interest</v>
          </cell>
        </row>
        <row r="88">
          <cell r="A88" t="str">
            <v>21962</v>
          </cell>
          <cell r="B88" t="str">
            <v>Dividends Payable - Common Stock</v>
          </cell>
        </row>
        <row r="89">
          <cell r="A89" t="str">
            <v>21980</v>
          </cell>
          <cell r="B89" t="str">
            <v>Accrued Expense - Royalty</v>
          </cell>
        </row>
        <row r="90">
          <cell r="A90" t="str">
            <v>30110</v>
          </cell>
          <cell r="B90" t="str">
            <v>Intercompany Net Sales</v>
          </cell>
        </row>
        <row r="91">
          <cell r="A91" t="str">
            <v>30115</v>
          </cell>
          <cell r="B91" t="str">
            <v>Intercompany Royalty Income</v>
          </cell>
        </row>
        <row r="92">
          <cell r="A92" t="str">
            <v>31010</v>
          </cell>
          <cell r="B92" t="str">
            <v>Net Sales - Third Party</v>
          </cell>
        </row>
        <row r="93">
          <cell r="A93" t="str">
            <v>40320</v>
          </cell>
          <cell r="B93" t="str">
            <v>Cost Of Goods Sold - Intercompany</v>
          </cell>
        </row>
        <row r="94">
          <cell r="A94" t="str">
            <v>40330</v>
          </cell>
          <cell r="B94" t="str">
            <v>Intercompany Royalty Expense</v>
          </cell>
        </row>
        <row r="95">
          <cell r="A95" t="str">
            <v>41010</v>
          </cell>
          <cell r="B95" t="str">
            <v>Cost of Goods Sold - Third Party</v>
          </cell>
        </row>
        <row r="96">
          <cell r="A96" t="str">
            <v>41120</v>
          </cell>
          <cell r="B96" t="str">
            <v>Royalty - 3rd Party</v>
          </cell>
        </row>
        <row r="97">
          <cell r="A97">
            <v>41140</v>
          </cell>
          <cell r="B97" t="str">
            <v>Other Product Cost - Duties, Freight</v>
          </cell>
        </row>
        <row r="98">
          <cell r="A98">
            <v>41160</v>
          </cell>
          <cell r="B98" t="str">
            <v>Other Product Cost - Inv Revaluation</v>
          </cell>
        </row>
        <row r="99">
          <cell r="A99" t="str">
            <v>41176</v>
          </cell>
          <cell r="B99" t="str">
            <v>Other Product Cost - Derivative Market Company</v>
          </cell>
        </row>
        <row r="100">
          <cell r="A100" t="str">
            <v>41180</v>
          </cell>
          <cell r="B100" t="str">
            <v>Other Product Cost - USD Functional Hyperinflationary Variances</v>
          </cell>
        </row>
        <row r="101">
          <cell r="A101" t="str">
            <v>41300</v>
          </cell>
          <cell r="B101" t="str">
            <v>Production Net - Unused Capacity</v>
          </cell>
        </row>
        <row r="102">
          <cell r="A102" t="str">
            <v>41310</v>
          </cell>
          <cell r="B102" t="str">
            <v>Production Net - Labor &amp; Overhead Variances</v>
          </cell>
        </row>
        <row r="103">
          <cell r="A103" t="str">
            <v>41320</v>
          </cell>
          <cell r="B103" t="str">
            <v>Production Net - Material Price Variances</v>
          </cell>
        </row>
        <row r="104">
          <cell r="A104" t="str">
            <v>41380</v>
          </cell>
          <cell r="B104" t="str">
            <v>Production Net - Other Expenses</v>
          </cell>
        </row>
        <row r="105">
          <cell r="A105" t="str">
            <v>41420</v>
          </cell>
          <cell r="B105" t="str">
            <v>COGS Adjustment - Other Adjustments</v>
          </cell>
        </row>
        <row r="106">
          <cell r="A106" t="str">
            <v>41435</v>
          </cell>
          <cell r="B106" t="str">
            <v>Corporate Global Supply</v>
          </cell>
        </row>
        <row r="107">
          <cell r="A107" t="str">
            <v>50010</v>
          </cell>
          <cell r="B107" t="str">
            <v>Intercompany Revenue - Other Intangibles</v>
          </cell>
        </row>
        <row r="108">
          <cell r="A108" t="str">
            <v>50050</v>
          </cell>
          <cell r="B108" t="str">
            <v>Other Revenue Intercompany</v>
          </cell>
        </row>
        <row r="109">
          <cell r="A109" t="str">
            <v>51020</v>
          </cell>
          <cell r="B109" t="str">
            <v>License Revenue - 3rd Party</v>
          </cell>
        </row>
        <row r="110">
          <cell r="A110" t="str">
            <v>51100</v>
          </cell>
          <cell r="B110" t="str">
            <v>Income or Loss From Sale Of Capital Assets</v>
          </cell>
        </row>
        <row r="111">
          <cell r="A111" t="str">
            <v>51110</v>
          </cell>
          <cell r="B111" t="str">
            <v>Other Income</v>
          </cell>
        </row>
        <row r="112">
          <cell r="A112" t="str">
            <v>51210</v>
          </cell>
          <cell r="B112" t="str">
            <v>Miscellaneous Non-Operating Income</v>
          </cell>
        </row>
        <row r="113">
          <cell r="A113" t="str">
            <v>60620</v>
          </cell>
          <cell r="B113" t="str">
            <v>Promotional Allowances - Intercompany</v>
          </cell>
        </row>
        <row r="114">
          <cell r="A114" t="str">
            <v>60680</v>
          </cell>
          <cell r="B114" t="str">
            <v>Celebrex Expense Recharging - Intercompany</v>
          </cell>
        </row>
        <row r="115">
          <cell r="A115" t="str">
            <v>61000</v>
          </cell>
          <cell r="B115" t="str">
            <v>Research</v>
          </cell>
        </row>
        <row r="116">
          <cell r="A116" t="str">
            <v>61030</v>
          </cell>
          <cell r="B116" t="str">
            <v>Research &amp; Development Headquarters</v>
          </cell>
        </row>
        <row r="117">
          <cell r="A117" t="str">
            <v>61035</v>
          </cell>
          <cell r="B117" t="str">
            <v>Pre-Commercialization Milestone Payments</v>
          </cell>
        </row>
        <row r="118">
          <cell r="A118" t="str">
            <v>61062</v>
          </cell>
          <cell r="B118" t="str">
            <v>Field Force Incentive Compensation</v>
          </cell>
        </row>
        <row r="119">
          <cell r="A119" t="str">
            <v>61063</v>
          </cell>
          <cell r="B119" t="str">
            <v>Other Field Force</v>
          </cell>
        </row>
        <row r="120">
          <cell r="A120" t="str">
            <v>61070</v>
          </cell>
          <cell r="B120" t="str">
            <v>Promotion - Samples</v>
          </cell>
        </row>
        <row r="121">
          <cell r="A121" t="str">
            <v>61150</v>
          </cell>
          <cell r="B121" t="str">
            <v>Promotion - Other</v>
          </cell>
        </row>
        <row r="122">
          <cell r="A122" t="str">
            <v>61152</v>
          </cell>
          <cell r="B122" t="str">
            <v>Medical Affairs-Other Trial Related Expenses</v>
          </cell>
        </row>
        <row r="123">
          <cell r="A123" t="str">
            <v>61158</v>
          </cell>
          <cell r="B123" t="str">
            <v>Promotional Cost Sharing</v>
          </cell>
        </row>
        <row r="124">
          <cell r="A124" t="str">
            <v>61164</v>
          </cell>
          <cell r="B124" t="str">
            <v>Marketing Administration</v>
          </cell>
        </row>
        <row r="125">
          <cell r="A125" t="str">
            <v>61166</v>
          </cell>
          <cell r="B125" t="str">
            <v>Product Management</v>
          </cell>
        </row>
        <row r="126">
          <cell r="A126" t="str">
            <v>61169</v>
          </cell>
          <cell r="B126" t="str">
            <v>Other General Marketing</v>
          </cell>
        </row>
        <row r="127">
          <cell r="A127" t="str">
            <v>61198</v>
          </cell>
          <cell r="B127" t="str">
            <v>Medical Affairs-Administration</v>
          </cell>
        </row>
        <row r="128">
          <cell r="A128" t="str">
            <v>61215</v>
          </cell>
          <cell r="B128" t="str">
            <v>Medical Affairs/Phase IV Cost Sharing</v>
          </cell>
        </row>
        <row r="129">
          <cell r="A129" t="str">
            <v>61220</v>
          </cell>
          <cell r="B129" t="str">
            <v>R &amp; D/Medical Affairs Administration Cost Sharing</v>
          </cell>
        </row>
        <row r="130">
          <cell r="A130" t="str">
            <v>61240</v>
          </cell>
          <cell r="B130" t="str">
            <v>Insurance/Reinsurance</v>
          </cell>
        </row>
        <row r="131">
          <cell r="A131" t="str">
            <v>61260</v>
          </cell>
          <cell r="B131" t="str">
            <v>G&amp;A - Non-Corporate</v>
          </cell>
        </row>
        <row r="132">
          <cell r="A132" t="str">
            <v>61300</v>
          </cell>
          <cell r="B132" t="str">
            <v>Profit Sharing</v>
          </cell>
        </row>
        <row r="133">
          <cell r="A133" t="str">
            <v>61305</v>
          </cell>
          <cell r="B133" t="str">
            <v>Post Approval Milestone Payments</v>
          </cell>
        </row>
        <row r="134">
          <cell r="A134" t="str">
            <v>61810</v>
          </cell>
          <cell r="B134" t="str">
            <v>Amortization, Goodwill</v>
          </cell>
        </row>
        <row r="135">
          <cell r="A135" t="str">
            <v>61820</v>
          </cell>
          <cell r="B135" t="str">
            <v>Amortization, Other Intangibles</v>
          </cell>
        </row>
        <row r="136">
          <cell r="A136" t="str">
            <v>61910</v>
          </cell>
          <cell r="B136" t="str">
            <v>Income/Loss of Associated Companies</v>
          </cell>
        </row>
        <row r="137">
          <cell r="A137" t="str">
            <v>70120</v>
          </cell>
          <cell r="B137" t="str">
            <v>Interest Income From Intercompany</v>
          </cell>
        </row>
        <row r="138">
          <cell r="A138" t="str">
            <v>70150</v>
          </cell>
          <cell r="B138" t="str">
            <v>Interest Expense - Intercompany</v>
          </cell>
        </row>
        <row r="139">
          <cell r="A139" t="str">
            <v>70200</v>
          </cell>
          <cell r="B139" t="str">
            <v>Dividends Income/Expense Intercompany</v>
          </cell>
        </row>
        <row r="140">
          <cell r="A140" t="str">
            <v>71031</v>
          </cell>
          <cell r="B140" t="str">
            <v>Merger Closing Costs</v>
          </cell>
        </row>
        <row r="141">
          <cell r="A141" t="str">
            <v>71032</v>
          </cell>
          <cell r="B141" t="str">
            <v>Merger Integration Costs</v>
          </cell>
        </row>
        <row r="142">
          <cell r="A142" t="str">
            <v>71033</v>
          </cell>
          <cell r="B142" t="str">
            <v>IPO/AG Business Costs</v>
          </cell>
        </row>
        <row r="143">
          <cell r="A143" t="str">
            <v>71034</v>
          </cell>
          <cell r="B143" t="str">
            <v>New Organization Identity Costs</v>
          </cell>
        </row>
        <row r="144">
          <cell r="A144" t="str">
            <v>71036</v>
          </cell>
          <cell r="B144" t="str">
            <v>Restructuring Expenses - Pharmacia</v>
          </cell>
        </row>
        <row r="145">
          <cell r="A145" t="str">
            <v>71060</v>
          </cell>
          <cell r="B145" t="str">
            <v>Minority Interest</v>
          </cell>
        </row>
        <row r="146">
          <cell r="A146" t="str">
            <v>71110</v>
          </cell>
          <cell r="B146" t="str">
            <v>Interest Income - Derivative</v>
          </cell>
        </row>
        <row r="147">
          <cell r="A147" t="str">
            <v>71130</v>
          </cell>
          <cell r="B147" t="str">
            <v>Interest Exp. - 3rd Party Short Term Loans</v>
          </cell>
        </row>
        <row r="148">
          <cell r="A148" t="str">
            <v>71160</v>
          </cell>
          <cell r="B148" t="str">
            <v>Capitalized Interest</v>
          </cell>
        </row>
        <row r="149">
          <cell r="A149" t="str">
            <v>71180</v>
          </cell>
          <cell r="B149" t="str">
            <v>Dividends Received From 3rd Party</v>
          </cell>
        </row>
        <row r="150">
          <cell r="A150" t="str">
            <v>71210</v>
          </cell>
          <cell r="B150" t="str">
            <v>Exchange Gain Financial Items, Realized</v>
          </cell>
        </row>
        <row r="151">
          <cell r="A151" t="str">
            <v>71220</v>
          </cell>
          <cell r="B151" t="str">
            <v>Exchange Loss Financial Items, Realized</v>
          </cell>
        </row>
        <row r="152">
          <cell r="A152" t="str">
            <v>81010</v>
          </cell>
          <cell r="B152" t="str">
            <v>Income Taxes</v>
          </cell>
        </row>
        <row r="153">
          <cell r="A153" t="str">
            <v>81020</v>
          </cell>
          <cell r="B153" t="str">
            <v>Discontinued Operations, Net</v>
          </cell>
        </row>
        <row r="154">
          <cell r="A154" t="str">
            <v>81040</v>
          </cell>
          <cell r="B154" t="str">
            <v>Cummulative effect of accounting change (Net of Tax)</v>
          </cell>
        </row>
        <row r="155">
          <cell r="A155" t="str">
            <v>81045</v>
          </cell>
          <cell r="B155" t="str">
            <v>Extraordinary Items (Net of Tax)</v>
          </cell>
        </row>
        <row r="156">
          <cell r="A156" t="str">
            <v>CurrEarn</v>
          </cell>
        </row>
      </sheetData>
      <sheetData sheetId="3"/>
      <sheetData sheetId="4"/>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Summary EBIT Statement"/>
      <sheetName val="Cash Flow Balance Sheet"/>
      <sheetName val="AR Rollforward"/>
      <sheetName val="Capex Definitions"/>
      <sheetName val="Capex"/>
      <sheetName val="Investments"/>
      <sheetName val="Roundup Input"/>
      <sheetName val="Roundup Detail Input"/>
      <sheetName val="Total Selec Chem"/>
      <sheetName val="Acetanilides"/>
      <sheetName val="Mon37500"/>
      <sheetName val="Other Chemistries"/>
      <sheetName val="Definitions-Seed &amp; Trait"/>
      <sheetName val="SSU Table"/>
      <sheetName val="Corn"/>
      <sheetName val="Soybeans"/>
      <sheetName val="Cotton"/>
      <sheetName val="Wheat"/>
      <sheetName val="Canola - OSR"/>
      <sheetName val="Sunflower"/>
      <sheetName val="Sorghum"/>
      <sheetName val="Other"/>
      <sheetName val="Comparison"/>
      <sheetName val="Counrty Total"/>
      <sheetName val="Seed Total"/>
      <sheetName val="Seed Local"/>
      <sheetName val="Seed Offshore"/>
      <sheetName val="GM Seed"/>
      <sheetName val="Unit GM Seed"/>
      <sheetName val="Qty Seed"/>
      <sheetName val="Mat Seed"/>
      <sheetName val="Crop Chem Total"/>
      <sheetName val="Crop Chem Local"/>
      <sheetName val="Crop Chem Offshore"/>
      <sheetName val="GM Crop Chem"/>
      <sheetName val="Unit GM Crop Chem"/>
      <sheetName val="Qty Crop Chem"/>
      <sheetName val="Mat Crop Chem"/>
      <sheetName val="Balance sheet"/>
      <sheetName val="Cash flow"/>
      <sheetName val="Non trade rec"/>
      <sheetName val="AR "/>
      <sheetName val="Coll seeds"/>
      <sheetName val="Coll chem"/>
      <sheetName val="Prepaid exp."/>
      <sheetName val="Net property"/>
      <sheetName val="Accounts payable"/>
      <sheetName val="Compensation"/>
      <sheetName val="Other liab."/>
      <sheetName val="Retained ear."/>
      <sheetName val="ent. fin. PNL"/>
      <sheetName val="NWFP"/>
      <sheetName val="UpsDns-Seed"/>
      <sheetName val="chem &amp; seed cost working"/>
      <sheetName val="NPV"/>
      <sheetName val="Variable Income"/>
      <sheetName val="Income Statement"/>
    </sheetNames>
    <sheetDataSet>
      <sheetData sheetId="0" refreshError="1">
        <row r="86">
          <cell r="C86">
            <v>0.12</v>
          </cell>
        </row>
        <row r="88">
          <cell r="C88">
            <v>-0.08</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efreshError="1"/>
      <sheetData sheetId="56" refreshError="1"/>
      <sheetData sheetId="57"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THECON"/>
      <sheetName val="Graph Data"/>
      <sheetName val="Cash Cost"/>
      <sheetName val="Cash Cost (2)"/>
      <sheetName val="Cash Cost Detail"/>
      <sheetName val="ETHECON (DEC-98)"/>
      <sheetName val="ETHECON (Mar-99)"/>
      <sheetName val="ETHECON (Feb-00)"/>
    </sheetNames>
    <sheetDataSet>
      <sheetData sheetId="0" refreshError="1">
        <row r="49">
          <cell r="A49" t="str">
            <v xml:space="preserve">              U.S.  ETHYLENE  ECONOMICS     </v>
          </cell>
        </row>
        <row r="50">
          <cell r="A50">
            <v>36599</v>
          </cell>
        </row>
        <row r="52">
          <cell r="F52" t="str">
            <v>Normal</v>
          </cell>
          <cell r="H52" t="str">
            <v>Light</v>
          </cell>
          <cell r="J52" t="str">
            <v xml:space="preserve">    Atmos.</v>
          </cell>
        </row>
        <row r="53">
          <cell r="B53" t="str">
            <v xml:space="preserve">    Ethane</v>
          </cell>
          <cell r="D53" t="str">
            <v>Propane</v>
          </cell>
          <cell r="F53" t="str">
            <v>Butane</v>
          </cell>
          <cell r="H53" t="str">
            <v>Naphtha</v>
          </cell>
          <cell r="J53" t="str">
            <v>Gas~Oil</v>
          </cell>
        </row>
        <row r="54">
          <cell r="A54" t="str">
            <v>Feed Prices (cents/gallon)</v>
          </cell>
          <cell r="B54">
            <v>42.5</v>
          </cell>
          <cell r="D54">
            <v>54.25</v>
          </cell>
          <cell r="F54">
            <v>77</v>
          </cell>
          <cell r="H54">
            <v>74.5</v>
          </cell>
          <cell r="J54">
            <v>74</v>
          </cell>
        </row>
        <row r="55">
          <cell r="A55" t="str">
            <v xml:space="preserve">                    (US$/ton)</v>
          </cell>
          <cell r="B55">
            <v>316.53885135135135</v>
          </cell>
          <cell r="D55">
            <v>283.41125592417063</v>
          </cell>
          <cell r="F55">
            <v>348.92949640287765</v>
          </cell>
          <cell r="H55">
            <v>290.69504424778762</v>
          </cell>
          <cell r="J55">
            <v>229.77521126760564</v>
          </cell>
        </row>
        <row r="56">
          <cell r="A56" t="str">
            <v>Heating Value ($/Mmbtu)</v>
          </cell>
          <cell r="B56">
            <v>6.4199395770392744</v>
          </cell>
          <cell r="D56">
            <v>5.9354485776805248</v>
          </cell>
          <cell r="F56">
            <v>7.4324324324324325</v>
          </cell>
          <cell r="H56">
            <v>6.208333333333333</v>
          </cell>
          <cell r="J56">
            <v>4.9333333333333336</v>
          </cell>
        </row>
        <row r="58">
          <cell r="A58" t="str">
            <v>Cents per pound of ethylene:</v>
          </cell>
        </row>
        <row r="59">
          <cell r="A59" t="str">
            <v>Feedstock</v>
          </cell>
          <cell r="B59">
            <v>18.48</v>
          </cell>
          <cell r="D59">
            <v>30.6</v>
          </cell>
          <cell r="F59">
            <v>39.74</v>
          </cell>
          <cell r="H59">
            <v>39.26</v>
          </cell>
          <cell r="J59">
            <v>40.799999999999997</v>
          </cell>
        </row>
        <row r="60">
          <cell r="A60" t="str">
            <v>Variable Operating  Cost</v>
          </cell>
          <cell r="B60">
            <v>3.0997142857142856</v>
          </cell>
          <cell r="D60">
            <v>3.9223928571428579</v>
          </cell>
          <cell r="F60">
            <v>4.0878928571428581</v>
          </cell>
          <cell r="H60">
            <v>4.601178571428572</v>
          </cell>
          <cell r="J60">
            <v>5.2399642857142865</v>
          </cell>
        </row>
        <row r="62">
          <cell r="A62" t="str">
            <v>Sub-Total</v>
          </cell>
          <cell r="B62">
            <v>21.579714285714285</v>
          </cell>
          <cell r="D62">
            <v>34.522392857142862</v>
          </cell>
          <cell r="F62">
            <v>43.827892857142857</v>
          </cell>
          <cell r="H62">
            <v>43.861178571428567</v>
          </cell>
          <cell r="J62">
            <v>46.039964285714284</v>
          </cell>
        </row>
        <row r="64">
          <cell r="A64" t="str">
            <v>Co-Product Credits - cents/lb of ethylene</v>
          </cell>
        </row>
        <row r="65">
          <cell r="A65" t="str">
            <v>Propylene</v>
          </cell>
          <cell r="B65">
            <v>0.67</v>
          </cell>
          <cell r="D65">
            <v>8</v>
          </cell>
          <cell r="F65">
            <v>8.64</v>
          </cell>
          <cell r="H65">
            <v>9.24</v>
          </cell>
          <cell r="J65">
            <v>12.46</v>
          </cell>
        </row>
        <row r="66">
          <cell r="A66" t="str">
            <v>Butadiene</v>
          </cell>
          <cell r="B66">
            <v>0.46</v>
          </cell>
          <cell r="D66">
            <v>1.19</v>
          </cell>
          <cell r="F66">
            <v>1.96</v>
          </cell>
          <cell r="H66">
            <v>3.06</v>
          </cell>
          <cell r="J66">
            <v>3.96</v>
          </cell>
        </row>
        <row r="67">
          <cell r="A67" t="str">
            <v>Butylenes</v>
          </cell>
          <cell r="B67">
            <v>0.18</v>
          </cell>
          <cell r="D67">
            <v>0.52</v>
          </cell>
          <cell r="F67">
            <v>2.82</v>
          </cell>
          <cell r="H67">
            <v>2.1</v>
          </cell>
          <cell r="J67">
            <v>3.14</v>
          </cell>
        </row>
        <row r="68">
          <cell r="A68" t="str">
            <v>Benzene</v>
          </cell>
          <cell r="B68">
            <v>0.2</v>
          </cell>
          <cell r="D68">
            <v>1.08</v>
          </cell>
          <cell r="F68">
            <v>1.55</v>
          </cell>
          <cell r="H68">
            <v>4.08</v>
          </cell>
          <cell r="J68">
            <v>4.74</v>
          </cell>
        </row>
        <row r="69">
          <cell r="A69" t="str">
            <v>Toluene/Xylene</v>
          </cell>
          <cell r="B69">
            <v>0.03</v>
          </cell>
          <cell r="D69">
            <v>0.18</v>
          </cell>
          <cell r="F69">
            <v>0.46</v>
          </cell>
          <cell r="H69">
            <v>2.31</v>
          </cell>
          <cell r="J69">
            <v>2.97</v>
          </cell>
        </row>
        <row r="70">
          <cell r="A70" t="str">
            <v>Raffinate</v>
          </cell>
          <cell r="B70">
            <v>0.12</v>
          </cell>
          <cell r="D70">
            <v>1.1100000000000001</v>
          </cell>
          <cell r="F70">
            <v>0.94</v>
          </cell>
          <cell r="H70">
            <v>2.61</v>
          </cell>
          <cell r="J70">
            <v>3.64</v>
          </cell>
        </row>
        <row r="71">
          <cell r="A71" t="str">
            <v>400+ Pyr. F.O.</v>
          </cell>
          <cell r="B71">
            <v>0</v>
          </cell>
          <cell r="D71">
            <v>0.09</v>
          </cell>
          <cell r="F71">
            <v>0.31</v>
          </cell>
          <cell r="H71">
            <v>1.01</v>
          </cell>
          <cell r="J71">
            <v>5.04</v>
          </cell>
        </row>
        <row r="72">
          <cell r="A72" t="str">
            <v>Fuel Gas</v>
          </cell>
          <cell r="B72">
            <v>2.8802964000000002</v>
          </cell>
          <cell r="D72">
            <v>5.3452582000000008</v>
          </cell>
          <cell r="F72">
            <v>4.4070426500000002</v>
          </cell>
          <cell r="H72">
            <v>4.2667052999999999</v>
          </cell>
          <cell r="J72">
            <v>3.5832432999999995</v>
          </cell>
        </row>
        <row r="74">
          <cell r="A74" t="str">
            <v>Sub-Total</v>
          </cell>
          <cell r="B74">
            <v>3.7902964000000008</v>
          </cell>
          <cell r="D74">
            <v>16.765258199999998</v>
          </cell>
          <cell r="F74">
            <v>20.837042650000004</v>
          </cell>
          <cell r="H74">
            <v>28.426705300000002</v>
          </cell>
          <cell r="J74">
            <v>39.533243300000002</v>
          </cell>
        </row>
        <row r="76">
          <cell r="A76" t="str">
            <v>Incremental Eth. Cost</v>
          </cell>
          <cell r="B76">
            <v>17.789417885714286</v>
          </cell>
          <cell r="D76">
            <v>17.757134657142863</v>
          </cell>
          <cell r="F76">
            <v>22.990850207142852</v>
          </cell>
          <cell r="H76">
            <v>15.434473271428566</v>
          </cell>
          <cell r="J76">
            <v>6.5067209857142814</v>
          </cell>
        </row>
        <row r="77">
          <cell r="A77" t="str">
            <v>Interest on Working Cap.</v>
          </cell>
          <cell r="B77">
            <v>0.26</v>
          </cell>
          <cell r="D77">
            <v>0.41</v>
          </cell>
          <cell r="F77">
            <v>0.51</v>
          </cell>
          <cell r="H77">
            <v>0.56000000000000005</v>
          </cell>
          <cell r="J77">
            <v>0.65</v>
          </cell>
        </row>
        <row r="78">
          <cell r="A78" t="str">
            <v>Plant Fixed Cost</v>
          </cell>
          <cell r="B78">
            <v>2.67</v>
          </cell>
          <cell r="D78">
            <v>2.67</v>
          </cell>
          <cell r="F78">
            <v>2.42</v>
          </cell>
          <cell r="H78">
            <v>3.18</v>
          </cell>
          <cell r="J78">
            <v>3.69</v>
          </cell>
        </row>
        <row r="80">
          <cell r="A80" t="str">
            <v>Ethylene Cash Cost</v>
          </cell>
          <cell r="B80">
            <v>20.719417885714286</v>
          </cell>
          <cell r="D80">
            <v>20.837134657142862</v>
          </cell>
          <cell r="F80">
            <v>25.920850207142855</v>
          </cell>
          <cell r="H80">
            <v>19.174473271428568</v>
          </cell>
          <cell r="J80">
            <v>10.846720985714281</v>
          </cell>
        </row>
        <row r="82">
          <cell r="A82" t="str">
            <v>% Feedstock</v>
          </cell>
          <cell r="B82">
            <v>54</v>
          </cell>
          <cell r="D82">
            <v>11</v>
          </cell>
          <cell r="F82">
            <v>4</v>
          </cell>
          <cell r="H82">
            <v>26</v>
          </cell>
          <cell r="J82">
            <v>5</v>
          </cell>
        </row>
        <row r="84">
          <cell r="A84" t="str">
            <v>Weighted Average Incremental Ethylene Cost</v>
          </cell>
          <cell r="F84">
            <v>16.82</v>
          </cell>
        </row>
        <row r="85">
          <cell r="A85" t="str">
            <v>Weighted Average Ethylene Cash Cost</v>
          </cell>
          <cell r="F85">
            <v>20.05</v>
          </cell>
        </row>
        <row r="88">
          <cell r="A88" t="str">
            <v>Total % From NGL's</v>
          </cell>
          <cell r="D88">
            <v>69</v>
          </cell>
          <cell r="H88" t="str">
            <v>Avg cash cost</v>
          </cell>
          <cell r="J88">
            <v>21.039716636024846</v>
          </cell>
        </row>
        <row r="89">
          <cell r="A89" t="str">
            <v>Total % From Naphtha/Gas Oil</v>
          </cell>
          <cell r="D89">
            <v>31</v>
          </cell>
          <cell r="H89" t="str">
            <v>Avg cash cost</v>
          </cell>
          <cell r="J89">
            <v>17.831287418894004</v>
          </cell>
        </row>
        <row r="90">
          <cell r="A90" t="str">
            <v/>
          </cell>
          <cell r="D90">
            <v>100</v>
          </cell>
          <cell r="H90" t="str">
            <v>Heavy incentive</v>
          </cell>
          <cell r="J90">
            <v>3.2084292171308419</v>
          </cell>
        </row>
        <row r="172">
          <cell r="C172" t="str">
            <v xml:space="preserve">              U.S.  ETHYLENE  ECONOMICS -March 10, 2000</v>
          </cell>
        </row>
        <row r="173">
          <cell r="C173" t="str">
            <v xml:space="preserve">               (Based on current contract co-products values and NGL prices on the above date)</v>
          </cell>
        </row>
        <row r="175">
          <cell r="B175" t="str">
            <v xml:space="preserve">Ethane in </v>
          </cell>
          <cell r="F175" t="str">
            <v>Normal</v>
          </cell>
          <cell r="H175" t="str">
            <v xml:space="preserve">   Light</v>
          </cell>
          <cell r="J175" t="str">
            <v>Atmos.</v>
          </cell>
        </row>
        <row r="176">
          <cell r="B176" t="str">
            <v>E/P Mix</v>
          </cell>
          <cell r="D176" t="str">
            <v>Propane</v>
          </cell>
          <cell r="F176" t="str">
            <v>Butane</v>
          </cell>
          <cell r="H176" t="str">
            <v>Naphtha</v>
          </cell>
          <cell r="J176" t="str">
            <v>Gas~Oil</v>
          </cell>
        </row>
        <row r="178">
          <cell r="A178" t="str">
            <v>Feed Prices (cents/gal)</v>
          </cell>
          <cell r="B178">
            <v>42.5</v>
          </cell>
          <cell r="D178">
            <v>54.25</v>
          </cell>
          <cell r="F178">
            <v>77</v>
          </cell>
          <cell r="H178">
            <v>74.5</v>
          </cell>
          <cell r="J178">
            <v>74</v>
          </cell>
        </row>
        <row r="179">
          <cell r="A179" t="str">
            <v>&lt;US$/M ton&gt;</v>
          </cell>
          <cell r="B179">
            <v>316.53885135135135</v>
          </cell>
          <cell r="D179">
            <v>283.41125592417063</v>
          </cell>
          <cell r="F179">
            <v>348.92949640287765</v>
          </cell>
          <cell r="H179">
            <v>285.63947826086957</v>
          </cell>
          <cell r="J179">
            <v>229.77521126760564</v>
          </cell>
        </row>
        <row r="180">
          <cell r="A180" t="str">
            <v xml:space="preserve"> </v>
          </cell>
        </row>
        <row r="181">
          <cell r="A181" t="str">
            <v>Cents/Lb. of C2=</v>
          </cell>
          <cell r="B181" t="str">
            <v xml:space="preserve"> </v>
          </cell>
        </row>
        <row r="182">
          <cell r="A182" t="str">
            <v xml:space="preserve"> </v>
          </cell>
        </row>
        <row r="183">
          <cell r="A183" t="str">
            <v>Incremental</v>
          </cell>
          <cell r="B183">
            <v>17.789417885714286</v>
          </cell>
          <cell r="D183">
            <v>17.757134657142863</v>
          </cell>
          <cell r="F183">
            <v>22.990850207142852</v>
          </cell>
          <cell r="H183">
            <v>15.434473271428566</v>
          </cell>
          <cell r="J183">
            <v>6.5067209857142814</v>
          </cell>
        </row>
        <row r="184">
          <cell r="A184" t="str">
            <v>Ethylene Cost</v>
          </cell>
        </row>
        <row r="186">
          <cell r="A186" t="str">
            <v>Ethylene</v>
          </cell>
          <cell r="B186">
            <v>20.719417885714286</v>
          </cell>
          <cell r="D186">
            <v>20.837134657142862</v>
          </cell>
          <cell r="F186">
            <v>25.920850207142855</v>
          </cell>
          <cell r="H186">
            <v>19.174473271428568</v>
          </cell>
          <cell r="J186">
            <v>10.846720985714281</v>
          </cell>
        </row>
        <row r="187">
          <cell r="A187" t="str">
            <v>Cash Cost</v>
          </cell>
        </row>
        <row r="189">
          <cell r="A189" t="str">
            <v>Weighted Avg. Incremental Cash Cost on all Feedstocks</v>
          </cell>
          <cell r="I189" t="str">
            <v>=</v>
          </cell>
          <cell r="J189">
            <v>16.82</v>
          </cell>
        </row>
        <row r="190">
          <cell r="A190" t="str">
            <v>Weighted Avg. Cash Cost on all Feedstocks</v>
          </cell>
          <cell r="I190" t="str">
            <v>=</v>
          </cell>
          <cell r="J190">
            <v>20.05</v>
          </cell>
        </row>
        <row r="192">
          <cell r="A192" t="str">
            <v xml:space="preserve">Weighted Avg. Cash Cost for Ethane/Propane/Butane </v>
          </cell>
          <cell r="I192" t="str">
            <v>=</v>
          </cell>
          <cell r="J192">
            <v>21.039716636024846</v>
          </cell>
        </row>
        <row r="193">
          <cell r="A193" t="str">
            <v xml:space="preserve">Weighted Avg. Cash Cost on Naphtha/Gas Oil </v>
          </cell>
          <cell r="I193" t="str">
            <v>=</v>
          </cell>
          <cell r="J193">
            <v>17.831287418894004</v>
          </cell>
        </row>
        <row r="194">
          <cell r="A194" t="str">
            <v xml:space="preserve"> Light-Feed/Heavy-Feed  Spread</v>
          </cell>
          <cell r="J194">
            <v>3.2084292171308419</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heetName val="FactPage"/>
      <sheetName val="VPC by segm"/>
      <sheetName val="vo1_GDP"/>
      <sheetName val="Inc.St."/>
      <sheetName val="Bal.Sheet"/>
      <sheetName val="CashFlow"/>
      <sheetName val="Uniroyal"/>
      <sheetName val="Proforma"/>
      <sheetName val="Geo"/>
      <sheetName val="Val"/>
      <sheetName val="SumoftheParts"/>
      <sheetName val="CK_1&amp;3"/>
      <sheetName val="Market chart"/>
      <sheetName val="eps"/>
      <sheetName val="bs"/>
      <sheetName val="cf"/>
      <sheetName val="Module1"/>
      <sheetName val="Module2"/>
      <sheetName val="00 Sales_pie"/>
      <sheetName val="98 Sales_pie "/>
      <sheetName val="00 OProfit_pie "/>
      <sheetName val="98 OProfit_pie "/>
      <sheetName val="99 geosales_pie  "/>
      <sheetName val="96 geosales_pie "/>
      <sheetName val="96 geo_ops_pie"/>
      <sheetName val="99 geo_ops_pie"/>
      <sheetName val="LINK"/>
      <sheetName val="FCLink"/>
      <sheetName val="CNK_1&amp;3"/>
    </sheetNames>
    <sheetDataSet>
      <sheetData sheetId="0" refreshError="1"/>
      <sheetData sheetId="1" refreshError="1"/>
      <sheetData sheetId="2" refreshError="1"/>
      <sheetData sheetId="3" refreshError="1"/>
      <sheetData sheetId="4" refreshError="1">
        <row r="71">
          <cell r="A71" t="str">
            <v xml:space="preserve">  Volume Growth / Global GDP Growth</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CLink"/>
      <sheetName val="FactPage"/>
      <sheetName val="Inc.St."/>
      <sheetName val="Bal.Sheet"/>
      <sheetName val="CashFlow"/>
      <sheetName val="Geo"/>
      <sheetName val="Telecom"/>
      <sheetName val="LEAF P&amp;L"/>
      <sheetName val="Fiber_Forecast"/>
      <sheetName val="FFSA"/>
      <sheetName val="CapacityDemand"/>
      <sheetName val="Info.Disp."/>
      <sheetName val="Adv.Mat."/>
      <sheetName val="CorpDet"/>
      <sheetName val="GrowthPlatforms"/>
      <sheetName val="CyclePeak"/>
      <sheetName val="Valuation"/>
      <sheetName val="DCF"/>
      <sheetName val="GLW_1&amp;3"/>
      <sheetName val="Fiber_Exp_Curve"/>
      <sheetName val="LEAF"/>
      <sheetName val="Fiber Misc."/>
      <sheetName val="Graph"/>
      <sheetName val="IS"/>
      <sheetName val="CF"/>
      <sheetName val="BS"/>
      <sheetName val="99E NA Demand"/>
      <sheetName val="1999 Sales"/>
      <sheetName val="MainCode"/>
      <sheetName val="1996 Sales"/>
      <sheetName val="1999 Net Inc."/>
      <sheetName val="1996 Net Inc."/>
      <sheetName val="99 sls_geo"/>
      <sheetName val="1999 op_geo"/>
      <sheetName val="1999 sls_dt"/>
      <sheetName val="Module1"/>
      <sheetName val="Module2"/>
      <sheetName val="N.A. Fiber"/>
      <sheetName val="Global Fiber"/>
      <sheetName val="LINK"/>
      <sheetName val="mStartup"/>
      <sheetName val="LEAF Sales"/>
      <sheetName val="Concord P&amp;L"/>
      <sheetName val="99GlobalFiberPie"/>
      <sheetName val="99NAFiberPie"/>
      <sheetName val="2000 Sales"/>
      <sheetName val="2000 Net Inc."/>
      <sheetName val="2000 sls_geo"/>
      <sheetName val="1996 sls_geo"/>
      <sheetName val="2000 op_geo"/>
      <sheetName val="1996 op_geo"/>
      <sheetName val="99SegmentSales"/>
    </sheetNames>
    <sheetDataSet>
      <sheetData sheetId="0" refreshError="1"/>
      <sheetData sheetId="1" refreshError="1"/>
      <sheetData sheetId="2" refreshError="1">
        <row r="1">
          <cell r="A1" t="str">
            <v>Table 1</v>
          </cell>
        </row>
        <row r="2">
          <cell r="A2" t="str">
            <v>Corning</v>
          </cell>
        </row>
        <row r="3">
          <cell r="A3" t="str">
            <v>Annual Sales and Operating Income by Segment 1996-2005E</v>
          </cell>
        </row>
        <row r="5">
          <cell r="A5" t="str">
            <v>($ Millions, Except Earnings Per Share)</v>
          </cell>
        </row>
        <row r="7">
          <cell r="S7" t="str">
            <v xml:space="preserve">Growth </v>
          </cell>
        </row>
        <row r="8">
          <cell r="B8" t="str">
            <v>1990</v>
          </cell>
          <cell r="C8" t="str">
            <v>1991</v>
          </cell>
          <cell r="D8" t="str">
            <v>1992</v>
          </cell>
          <cell r="E8" t="str">
            <v>1993</v>
          </cell>
          <cell r="F8" t="str">
            <v>1994</v>
          </cell>
          <cell r="G8" t="str">
            <v>1995</v>
          </cell>
          <cell r="H8" t="str">
            <v>1996</v>
          </cell>
          <cell r="I8" t="str">
            <v>1997</v>
          </cell>
          <cell r="J8" t="str">
            <v>1998</v>
          </cell>
          <cell r="K8" t="str">
            <v>1999E</v>
          </cell>
          <cell r="L8" t="str">
            <v>2000E</v>
          </cell>
          <cell r="M8" t="str">
            <v>2001E</v>
          </cell>
          <cell r="N8" t="str">
            <v>2002E</v>
          </cell>
          <cell r="O8" t="str">
            <v>2003E</v>
          </cell>
          <cell r="P8" t="str">
            <v>2004E</v>
          </cell>
          <cell r="Q8" t="str">
            <v>2005E</v>
          </cell>
          <cell r="R8" t="str">
            <v>90-95</v>
          </cell>
          <cell r="S8" t="str">
            <v>95-00E</v>
          </cell>
          <cell r="T8" t="str">
            <v>00-05E</v>
          </cell>
        </row>
        <row r="9">
          <cell r="A9" t="str">
            <v>Net Sales:</v>
          </cell>
        </row>
        <row r="10">
          <cell r="A10" t="str">
            <v xml:space="preserve"> Telecommunications</v>
          </cell>
          <cell r="B10">
            <v>517.9</v>
          </cell>
          <cell r="C10">
            <v>578.79999999999995</v>
          </cell>
          <cell r="D10">
            <v>673.8</v>
          </cell>
          <cell r="E10">
            <v>737</v>
          </cell>
          <cell r="F10">
            <v>928.29899999999998</v>
          </cell>
          <cell r="G10">
            <v>1216.7</v>
          </cell>
          <cell r="H10">
            <v>1397.7</v>
          </cell>
          <cell r="I10">
            <v>1795.3</v>
          </cell>
          <cell r="J10">
            <v>1791.7</v>
          </cell>
          <cell r="K10">
            <v>2455</v>
          </cell>
          <cell r="L10">
            <v>3100.25</v>
          </cell>
          <cell r="M10">
            <v>3680</v>
          </cell>
          <cell r="N10">
            <v>3582.5</v>
          </cell>
          <cell r="O10">
            <v>4004.7</v>
          </cell>
          <cell r="P10">
            <v>4449.8759999999993</v>
          </cell>
          <cell r="Q10">
            <v>4909.0660799999987</v>
          </cell>
          <cell r="R10">
            <v>0.17947473962564842</v>
          </cell>
          <cell r="S10">
            <v>0.19942882795149064</v>
          </cell>
          <cell r="T10">
            <v>8.8850926121239571E-2</v>
          </cell>
        </row>
        <row r="11">
          <cell r="A11" t="str">
            <v xml:space="preserve"> Information Displays</v>
          </cell>
          <cell r="B11">
            <v>265</v>
          </cell>
          <cell r="C11">
            <v>313</v>
          </cell>
          <cell r="D11">
            <v>355</v>
          </cell>
          <cell r="E11">
            <v>410</v>
          </cell>
          <cell r="F11">
            <v>490</v>
          </cell>
          <cell r="G11">
            <v>555</v>
          </cell>
          <cell r="H11">
            <v>565.5</v>
          </cell>
          <cell r="I11">
            <v>664.2</v>
          </cell>
          <cell r="J11">
            <v>644.70000000000005</v>
          </cell>
          <cell r="K11">
            <v>655</v>
          </cell>
          <cell r="L11">
            <v>690</v>
          </cell>
          <cell r="M11">
            <v>735</v>
          </cell>
          <cell r="N11">
            <v>815</v>
          </cell>
          <cell r="O11">
            <v>890</v>
          </cell>
          <cell r="P11">
            <v>960</v>
          </cell>
          <cell r="Q11">
            <v>1030</v>
          </cell>
          <cell r="R11">
            <v>0.15967316572718682</v>
          </cell>
          <cell r="S11">
            <v>4.3776664319034486E-2</v>
          </cell>
          <cell r="T11">
            <v>8.6148679557889185E-2</v>
          </cell>
        </row>
        <row r="12">
          <cell r="A12" t="str">
            <v xml:space="preserve"> Advanced Materials</v>
          </cell>
          <cell r="B12">
            <v>700.3</v>
          </cell>
          <cell r="C12">
            <v>704.4</v>
          </cell>
          <cell r="D12">
            <v>750.1</v>
          </cell>
          <cell r="E12">
            <v>758.7</v>
          </cell>
          <cell r="F12">
            <v>846</v>
          </cell>
          <cell r="G12">
            <v>872.56699999999989</v>
          </cell>
          <cell r="H12">
            <v>1031.4000000000001</v>
          </cell>
          <cell r="I12">
            <v>1030.4000000000001</v>
          </cell>
          <cell r="J12">
            <v>1020.1</v>
          </cell>
          <cell r="K12">
            <v>1057.2</v>
          </cell>
          <cell r="L12">
            <v>1179.8499999999999</v>
          </cell>
          <cell r="M12">
            <v>1307.8254999999999</v>
          </cell>
          <cell r="N12">
            <v>1429.1114849999999</v>
          </cell>
          <cell r="O12">
            <v>1564.2936529499998</v>
          </cell>
          <cell r="P12">
            <v>1675.0983802364997</v>
          </cell>
          <cell r="Q12">
            <v>1795.8866888606547</v>
          </cell>
          <cell r="R12">
            <v>4.8588437191687373E-2</v>
          </cell>
          <cell r="S12">
            <v>4.5955827906313917E-2</v>
          </cell>
          <cell r="T12">
            <v>8.7425603511177563E-2</v>
          </cell>
        </row>
        <row r="13">
          <cell r="A13" t="str">
            <v xml:space="preserve">   Subtotal</v>
          </cell>
          <cell r="B13">
            <v>1483.1999999999998</v>
          </cell>
          <cell r="C13">
            <v>1596.1999999999998</v>
          </cell>
          <cell r="D13">
            <v>1778.9</v>
          </cell>
          <cell r="E13">
            <v>1905.7</v>
          </cell>
          <cell r="F13">
            <v>2264.299</v>
          </cell>
          <cell r="G13">
            <v>2644.2669999999998</v>
          </cell>
          <cell r="H13">
            <v>2994.6000000000004</v>
          </cell>
          <cell r="I13">
            <v>3489.9</v>
          </cell>
          <cell r="J13">
            <v>3456.5</v>
          </cell>
          <cell r="K13">
            <v>4167.2</v>
          </cell>
          <cell r="L13">
            <v>4970.1000000000004</v>
          </cell>
          <cell r="M13">
            <v>5722.8254999999999</v>
          </cell>
          <cell r="N13">
            <v>5826.6114849999994</v>
          </cell>
          <cell r="O13">
            <v>6458.9936529499992</v>
          </cell>
          <cell r="P13">
            <v>7084.9743802364992</v>
          </cell>
          <cell r="Q13">
            <v>7734.9527688606531</v>
          </cell>
          <cell r="R13">
            <v>0.12135212363848846</v>
          </cell>
          <cell r="S13">
            <v>0.12546644227774073</v>
          </cell>
          <cell r="T13">
            <v>8.8099031769454328E-2</v>
          </cell>
        </row>
        <row r="14">
          <cell r="A14" t="str">
            <v xml:space="preserve">  Change</v>
          </cell>
          <cell r="C14">
            <v>7.6186623516720564E-2</v>
          </cell>
          <cell r="D14">
            <v>0.1144593409347201</v>
          </cell>
          <cell r="E14">
            <v>7.1280004497161098E-2</v>
          </cell>
          <cell r="F14">
            <v>0.18817180038830861</v>
          </cell>
          <cell r="G14">
            <v>0.1678082267403731</v>
          </cell>
          <cell r="H14">
            <v>0.13248775558595272</v>
          </cell>
          <cell r="I14">
            <v>0.16539771588859931</v>
          </cell>
          <cell r="J14">
            <v>-9.5704747987048755E-3</v>
          </cell>
          <cell r="K14">
            <v>0.20561261391581076</v>
          </cell>
          <cell r="L14">
            <v>0.19267133806872727</v>
          </cell>
          <cell r="M14">
            <v>0.15145077563831699</v>
          </cell>
          <cell r="N14">
            <v>1.8135444633075037E-2</v>
          </cell>
          <cell r="O14">
            <v>0.10853343655707981</v>
          </cell>
          <cell r="P14">
            <v>9.6916139095538201E-2</v>
          </cell>
          <cell r="Q14">
            <v>9.1740400704519942E-2</v>
          </cell>
        </row>
        <row r="15">
          <cell r="A15" t="str">
            <v xml:space="preserve">  Non-Segment Net Sales</v>
          </cell>
          <cell r="B15">
            <v>62.7</v>
          </cell>
          <cell r="C15">
            <v>72.7</v>
          </cell>
          <cell r="D15">
            <v>70.5</v>
          </cell>
          <cell r="E15">
            <v>112.7</v>
          </cell>
          <cell r="F15">
            <v>103.2</v>
          </cell>
          <cell r="H15">
            <v>29.4</v>
          </cell>
          <cell r="I15">
            <v>26.9</v>
          </cell>
          <cell r="J15">
            <v>27.5</v>
          </cell>
          <cell r="K15">
            <v>27.900000000000091</v>
          </cell>
          <cell r="L15">
            <v>27.900000000000091</v>
          </cell>
          <cell r="M15">
            <v>27.900000000000091</v>
          </cell>
          <cell r="N15">
            <v>27.900000000000091</v>
          </cell>
          <cell r="O15">
            <v>27.900000000000091</v>
          </cell>
          <cell r="P15">
            <v>27.900000000000091</v>
          </cell>
          <cell r="Q15">
            <v>27.900000000000091</v>
          </cell>
        </row>
        <row r="16">
          <cell r="A16" t="str">
            <v xml:space="preserve">  Total</v>
          </cell>
          <cell r="B16">
            <v>1545.8999999999999</v>
          </cell>
          <cell r="C16">
            <v>1668.8999999999999</v>
          </cell>
          <cell r="D16">
            <v>1849.4</v>
          </cell>
          <cell r="E16">
            <v>2018.4</v>
          </cell>
          <cell r="F16">
            <v>2367.4989999999998</v>
          </cell>
          <cell r="G16">
            <v>2644.2669999999998</v>
          </cell>
          <cell r="H16">
            <v>3024.0000000000005</v>
          </cell>
          <cell r="I16">
            <v>3516.8</v>
          </cell>
          <cell r="J16">
            <v>3484</v>
          </cell>
          <cell r="K16">
            <v>4195.1000000000004</v>
          </cell>
          <cell r="L16">
            <v>4998</v>
          </cell>
          <cell r="M16">
            <v>5750.7255000000005</v>
          </cell>
          <cell r="N16">
            <v>5854.5114849999991</v>
          </cell>
          <cell r="O16">
            <v>6486.8936529499988</v>
          </cell>
          <cell r="P16">
            <v>7112.8743802364988</v>
          </cell>
          <cell r="Q16">
            <v>7762.8527688606537</v>
          </cell>
          <cell r="R16">
            <v>0.11533410567722724</v>
          </cell>
          <cell r="S16">
            <v>0.1260757936792396</v>
          </cell>
          <cell r="T16">
            <v>8.7687091600607836E-2</v>
          </cell>
        </row>
        <row r="17">
          <cell r="A17" t="str">
            <v xml:space="preserve">  Change</v>
          </cell>
          <cell r="C17">
            <v>7.956530176596166E-2</v>
          </cell>
          <cell r="D17">
            <v>0.10815507220324783</v>
          </cell>
          <cell r="E17">
            <v>9.1380988428679588E-2</v>
          </cell>
          <cell r="F17">
            <v>0.17295828378913969</v>
          </cell>
          <cell r="G17">
            <v>0.11690311168030054</v>
          </cell>
          <cell r="H17">
            <v>0.14360614869829735</v>
          </cell>
          <cell r="I17">
            <v>0.16296296296296275</v>
          </cell>
          <cell r="J17">
            <v>-9.3266606005459884E-3</v>
          </cell>
          <cell r="K17">
            <v>0.2041044776119405</v>
          </cell>
          <cell r="L17">
            <v>0.19138995494743849</v>
          </cell>
          <cell r="M17">
            <v>0.15060534213685473</v>
          </cell>
          <cell r="N17">
            <v>1.8047459403165433E-2</v>
          </cell>
          <cell r="O17">
            <v>0.10801621443057075</v>
          </cell>
          <cell r="P17">
            <v>9.6499304717571066E-2</v>
          </cell>
          <cell r="Q17">
            <v>9.1380552204064491E-2</v>
          </cell>
        </row>
        <row r="19">
          <cell r="A19" t="str">
            <v>Segment Net Income:</v>
          </cell>
        </row>
        <row r="20">
          <cell r="A20" t="str">
            <v xml:space="preserve"> Telecommunications</v>
          </cell>
          <cell r="B20">
            <v>168</v>
          </cell>
          <cell r="C20">
            <v>171.1</v>
          </cell>
          <cell r="D20">
            <v>197.1</v>
          </cell>
          <cell r="E20">
            <v>208</v>
          </cell>
          <cell r="F20">
            <v>267.79999999999995</v>
          </cell>
          <cell r="G20">
            <v>222.09999999999997</v>
          </cell>
          <cell r="H20">
            <v>254.40000000000003</v>
          </cell>
          <cell r="I20">
            <v>297.49999999999994</v>
          </cell>
          <cell r="J20">
            <v>205.3</v>
          </cell>
          <cell r="K20">
            <v>272.8485</v>
          </cell>
          <cell r="L20">
            <v>356.50662423136868</v>
          </cell>
          <cell r="M20">
            <v>467.18025290450555</v>
          </cell>
          <cell r="N20">
            <v>374.82429084018128</v>
          </cell>
          <cell r="O20">
            <v>439.77905742419944</v>
          </cell>
          <cell r="P20">
            <v>503.80337153782921</v>
          </cell>
          <cell r="Q20">
            <v>562.05565003161212</v>
          </cell>
          <cell r="R20">
            <v>8.3089691568078772E-2</v>
          </cell>
          <cell r="S20">
            <v>6.5033233771814691E-2</v>
          </cell>
          <cell r="T20">
            <v>7.9038659252683718E-2</v>
          </cell>
        </row>
        <row r="21">
          <cell r="A21" t="str">
            <v xml:space="preserve"> Information Displays</v>
          </cell>
          <cell r="B21">
            <v>-8</v>
          </cell>
          <cell r="C21">
            <v>18</v>
          </cell>
          <cell r="D21">
            <v>33</v>
          </cell>
          <cell r="E21">
            <v>46</v>
          </cell>
          <cell r="F21">
            <v>78</v>
          </cell>
          <cell r="G21">
            <v>33.5</v>
          </cell>
          <cell r="H21">
            <v>-4.8</v>
          </cell>
          <cell r="I21">
            <v>7.0999999999999908</v>
          </cell>
          <cell r="J21">
            <v>56.5</v>
          </cell>
          <cell r="K21">
            <v>58.472000000000001</v>
          </cell>
          <cell r="L21">
            <v>58.402500000000003</v>
          </cell>
          <cell r="M21">
            <v>60.939250000000001</v>
          </cell>
          <cell r="N21">
            <v>66.742500000000007</v>
          </cell>
          <cell r="O21">
            <v>70.773500000000013</v>
          </cell>
          <cell r="P21">
            <v>76.854749999999996</v>
          </cell>
          <cell r="Q21">
            <v>78.974499999999992</v>
          </cell>
          <cell r="S21" t="str">
            <v>N/A</v>
          </cell>
          <cell r="T21">
            <v>6.6811300903738768E-2</v>
          </cell>
        </row>
        <row r="22">
          <cell r="A22" t="str">
            <v xml:space="preserve"> Advanced Materials</v>
          </cell>
          <cell r="B22">
            <v>90</v>
          </cell>
          <cell r="C22">
            <v>92.2</v>
          </cell>
          <cell r="D22">
            <v>93.8</v>
          </cell>
          <cell r="E22">
            <v>100.1</v>
          </cell>
          <cell r="F22">
            <v>164.3</v>
          </cell>
          <cell r="G22">
            <v>61.299999999999983</v>
          </cell>
          <cell r="H22">
            <v>75.3</v>
          </cell>
          <cell r="I22">
            <v>103.6</v>
          </cell>
          <cell r="J22">
            <v>93.800000000000011</v>
          </cell>
          <cell r="K22">
            <v>110.7825</v>
          </cell>
          <cell r="L22">
            <v>132.052975</v>
          </cell>
          <cell r="M22">
            <v>142.34314499999999</v>
          </cell>
          <cell r="N22">
            <v>159.18365525000002</v>
          </cell>
          <cell r="O22">
            <v>164.38983248750003</v>
          </cell>
          <cell r="P22">
            <v>175.90480611312495</v>
          </cell>
          <cell r="Q22">
            <v>190.38836425746877</v>
          </cell>
          <cell r="R22">
            <v>-3.4780126017482926E-3</v>
          </cell>
          <cell r="S22">
            <v>0.15014268185595858</v>
          </cell>
          <cell r="T22">
            <v>7.3937198226424083E-2</v>
          </cell>
        </row>
        <row r="23">
          <cell r="A23" t="str">
            <v xml:space="preserve">  Segment Net Income</v>
          </cell>
          <cell r="B23">
            <v>250</v>
          </cell>
          <cell r="C23">
            <v>281.3</v>
          </cell>
          <cell r="D23">
            <v>323.89999999999998</v>
          </cell>
          <cell r="E23">
            <v>354.1</v>
          </cell>
          <cell r="F23">
            <v>510.09999999999997</v>
          </cell>
          <cell r="G23">
            <v>316.89999999999998</v>
          </cell>
          <cell r="H23">
            <v>324.90000000000003</v>
          </cell>
          <cell r="I23">
            <v>408.19999999999993</v>
          </cell>
          <cell r="J23">
            <v>355.6</v>
          </cell>
          <cell r="K23">
            <v>442.10299999999995</v>
          </cell>
          <cell r="L23">
            <v>546.96209923136871</v>
          </cell>
          <cell r="M23">
            <v>670.4626479045055</v>
          </cell>
          <cell r="N23">
            <v>600.7504460901813</v>
          </cell>
          <cell r="O23">
            <v>674.94238991169948</v>
          </cell>
          <cell r="P23">
            <v>756.56292765095418</v>
          </cell>
          <cell r="Q23">
            <v>831.41851428908092</v>
          </cell>
          <cell r="R23">
            <v>9.137448752795585E-2</v>
          </cell>
          <cell r="S23">
            <v>0.10564756451803858</v>
          </cell>
          <cell r="T23">
            <v>7.627375805765757E-2</v>
          </cell>
        </row>
        <row r="24">
          <cell r="A24" t="str">
            <v xml:space="preserve">  Nonsegment Income</v>
          </cell>
          <cell r="H24">
            <v>5.3</v>
          </cell>
          <cell r="I24">
            <v>10</v>
          </cell>
          <cell r="J24">
            <v>-45.099999999999994</v>
          </cell>
          <cell r="K24">
            <v>-9.6999999999999993</v>
          </cell>
          <cell r="L24">
            <v>-9.6999999999999993</v>
          </cell>
          <cell r="M24">
            <v>-9.6999999999999993</v>
          </cell>
          <cell r="N24">
            <v>-9.6999999999999993</v>
          </cell>
          <cell r="O24">
            <v>-9.6999999999999993</v>
          </cell>
          <cell r="P24">
            <v>-9.6999999999999993</v>
          </cell>
          <cell r="Q24">
            <v>-9.6999999999999993</v>
          </cell>
        </row>
        <row r="25">
          <cell r="A25" t="str">
            <v xml:space="preserve">  Nonsegment Minority Interest</v>
          </cell>
          <cell r="J25">
            <v>3.7</v>
          </cell>
          <cell r="K25">
            <v>0</v>
          </cell>
          <cell r="L25">
            <v>0</v>
          </cell>
          <cell r="M25">
            <v>0</v>
          </cell>
          <cell r="N25">
            <v>0</v>
          </cell>
          <cell r="O25">
            <v>0</v>
          </cell>
          <cell r="P25">
            <v>0</v>
          </cell>
          <cell r="Q25">
            <v>0</v>
          </cell>
        </row>
        <row r="26">
          <cell r="A26" t="str">
            <v xml:space="preserve">  Nonsegment Interest Expense</v>
          </cell>
          <cell r="H26">
            <v>-0.4</v>
          </cell>
          <cell r="I26">
            <v>-0.4</v>
          </cell>
          <cell r="J26">
            <v>-0.3</v>
          </cell>
          <cell r="L26">
            <v>0</v>
          </cell>
          <cell r="M26">
            <v>0</v>
          </cell>
          <cell r="N26">
            <v>0</v>
          </cell>
          <cell r="O26">
            <v>0</v>
          </cell>
          <cell r="P26">
            <v>0</v>
          </cell>
          <cell r="Q26">
            <v>0</v>
          </cell>
        </row>
        <row r="27">
          <cell r="A27" t="str">
            <v xml:space="preserve">  Nonsegment Income Tax</v>
          </cell>
          <cell r="H27">
            <v>-1.6</v>
          </cell>
          <cell r="I27">
            <v>-3.4</v>
          </cell>
          <cell r="J27">
            <v>15.2</v>
          </cell>
          <cell r="L27">
            <v>0</v>
          </cell>
          <cell r="M27">
            <v>0</v>
          </cell>
          <cell r="N27">
            <v>0</v>
          </cell>
          <cell r="O27">
            <v>0</v>
          </cell>
          <cell r="P27">
            <v>0</v>
          </cell>
          <cell r="Q27">
            <v>0</v>
          </cell>
        </row>
        <row r="28">
          <cell r="A28" t="str">
            <v xml:space="preserve">  Nonsegment Equity Earnings</v>
          </cell>
          <cell r="H28">
            <v>8.8000000000000007</v>
          </cell>
          <cell r="I28">
            <v>8.1999999999999993</v>
          </cell>
          <cell r="J28">
            <v>12.1</v>
          </cell>
          <cell r="K28">
            <v>8.7000000000000028</v>
          </cell>
          <cell r="L28">
            <v>8.7000000000000028</v>
          </cell>
          <cell r="M28">
            <v>8.7000000000000028</v>
          </cell>
          <cell r="N28">
            <v>8.7000000000000028</v>
          </cell>
          <cell r="O28">
            <v>8.7000000000000028</v>
          </cell>
          <cell r="P28">
            <v>8.7000000000000028</v>
          </cell>
          <cell r="Q28">
            <v>8.7000000000000028</v>
          </cell>
        </row>
        <row r="29">
          <cell r="A29" t="str">
            <v xml:space="preserve">  Preferred Dividends</v>
          </cell>
          <cell r="G29">
            <v>-13.7</v>
          </cell>
          <cell r="H29">
            <v>-13.7</v>
          </cell>
          <cell r="I29">
            <v>-13.7</v>
          </cell>
          <cell r="J29">
            <v>-13.7</v>
          </cell>
          <cell r="K29">
            <v>-2.2999999999999998</v>
          </cell>
        </row>
        <row r="30">
          <cell r="A30" t="str">
            <v xml:space="preserve">  Subtotal</v>
          </cell>
          <cell r="G30">
            <v>-13.7</v>
          </cell>
          <cell r="H30">
            <v>-1.5999999999999996</v>
          </cell>
          <cell r="I30">
            <v>0.69999999999999929</v>
          </cell>
          <cell r="J30">
            <v>-28.099999999999987</v>
          </cell>
          <cell r="K30">
            <v>-3.2999999999999963</v>
          </cell>
          <cell r="L30">
            <v>-0.99999999999999645</v>
          </cell>
          <cell r="M30">
            <v>-0.99999999999999645</v>
          </cell>
          <cell r="N30">
            <v>-0.99999999999999645</v>
          </cell>
          <cell r="O30">
            <v>-0.99999999999999645</v>
          </cell>
          <cell r="P30">
            <v>-0.99999999999999645</v>
          </cell>
          <cell r="Q30">
            <v>-0.99999999999999645</v>
          </cell>
        </row>
        <row r="31">
          <cell r="A31" t="str">
            <v xml:space="preserve">  Net Income</v>
          </cell>
          <cell r="B31">
            <v>250</v>
          </cell>
          <cell r="C31">
            <v>281.3</v>
          </cell>
          <cell r="D31">
            <v>323.89999999999998</v>
          </cell>
          <cell r="E31">
            <v>354.1</v>
          </cell>
          <cell r="F31">
            <v>510.09999999999997</v>
          </cell>
          <cell r="G31">
            <v>303.2</v>
          </cell>
          <cell r="H31">
            <v>323.3</v>
          </cell>
          <cell r="I31">
            <v>408.89999999999992</v>
          </cell>
          <cell r="J31">
            <v>327.50000000000006</v>
          </cell>
          <cell r="K31">
            <v>438.80299999999994</v>
          </cell>
          <cell r="L31">
            <v>545.96209923136871</v>
          </cell>
          <cell r="M31">
            <v>669.4626479045055</v>
          </cell>
          <cell r="N31">
            <v>599.7504460901813</v>
          </cell>
          <cell r="O31">
            <v>673.94238991169948</v>
          </cell>
          <cell r="P31">
            <v>755.56292765095418</v>
          </cell>
          <cell r="Q31">
            <v>830.41851428908092</v>
          </cell>
          <cell r="R31">
            <v>8.4505937678603482E-2</v>
          </cell>
          <cell r="S31">
            <v>0.10944865896952738</v>
          </cell>
          <cell r="T31">
            <v>7.6391402229152749E-2</v>
          </cell>
        </row>
        <row r="32">
          <cell r="A32" t="str">
            <v xml:space="preserve">  Change</v>
          </cell>
          <cell r="H32">
            <v>6.6292875989445887E-2</v>
          </cell>
          <cell r="I32">
            <v>0.26476956387256378</v>
          </cell>
          <cell r="J32">
            <v>-0.19907067742724349</v>
          </cell>
          <cell r="K32">
            <v>0.33985648854961781</v>
          </cell>
          <cell r="L32">
            <v>0.24420776346417128</v>
          </cell>
          <cell r="M32">
            <v>0.22620718333196876</v>
          </cell>
          <cell r="N32">
            <v>-0.10413157781473148</v>
          </cell>
          <cell r="O32">
            <v>0.12370469135151319</v>
          </cell>
          <cell r="P32">
            <v>0.12110907246826952</v>
          </cell>
          <cell r="Q32">
            <v>9.9072603880728805E-2</v>
          </cell>
        </row>
        <row r="33">
          <cell r="G33">
            <v>270.7</v>
          </cell>
        </row>
        <row r="34">
          <cell r="A34" t="str">
            <v>Nonrecurring Items:</v>
          </cell>
        </row>
        <row r="35">
          <cell r="A35" t="str">
            <v xml:space="preserve"> Telecommunications</v>
          </cell>
        </row>
        <row r="36">
          <cell r="A36" t="str">
            <v xml:space="preserve"> Information Displays</v>
          </cell>
          <cell r="E36">
            <v>-10.7</v>
          </cell>
          <cell r="G36">
            <v>-9.3000000000000007</v>
          </cell>
        </row>
        <row r="37">
          <cell r="A37" t="str">
            <v xml:space="preserve"> Advanced Materials</v>
          </cell>
          <cell r="E37">
            <v>-26.5</v>
          </cell>
          <cell r="G37">
            <v>-6.6</v>
          </cell>
        </row>
        <row r="38">
          <cell r="A38" t="str">
            <v xml:space="preserve">  Non-Segment Net Sales</v>
          </cell>
        </row>
        <row r="39">
          <cell r="A39" t="str">
            <v xml:space="preserve">  Other</v>
          </cell>
          <cell r="B39">
            <v>69</v>
          </cell>
          <cell r="E39">
            <v>-28.3</v>
          </cell>
          <cell r="G39">
            <v>-10.6</v>
          </cell>
        </row>
        <row r="40">
          <cell r="A40" t="str">
            <v xml:space="preserve">  Total</v>
          </cell>
          <cell r="B40">
            <v>69</v>
          </cell>
          <cell r="C40">
            <v>0</v>
          </cell>
          <cell r="D40">
            <v>0</v>
          </cell>
          <cell r="E40">
            <v>-65.5</v>
          </cell>
          <cell r="F40">
            <v>0</v>
          </cell>
          <cell r="G40">
            <v>-26.5</v>
          </cell>
          <cell r="H40">
            <v>0</v>
          </cell>
          <cell r="I40">
            <v>0</v>
          </cell>
          <cell r="J40">
            <v>0</v>
          </cell>
          <cell r="K40">
            <v>0</v>
          </cell>
          <cell r="L40">
            <v>0</v>
          </cell>
          <cell r="M40">
            <v>0</v>
          </cell>
          <cell r="N40">
            <v>0</v>
          </cell>
          <cell r="O40">
            <v>0</v>
          </cell>
          <cell r="P40">
            <v>0</v>
          </cell>
          <cell r="Q40">
            <v>0</v>
          </cell>
        </row>
        <row r="42">
          <cell r="A42" t="str">
            <v>Earnings from Operations: Diluted</v>
          </cell>
          <cell r="B42">
            <v>7.1122994652406457E-2</v>
          </cell>
          <cell r="C42">
            <v>0.56396782841823079</v>
          </cell>
          <cell r="D42">
            <v>1.1491516436903499</v>
          </cell>
          <cell r="E42">
            <v>2.7464583333333334</v>
          </cell>
          <cell r="F42">
            <v>2.1060745695823186</v>
          </cell>
          <cell r="G42">
            <v>1.4691908946002554</v>
          </cell>
          <cell r="H42">
            <v>1.4070981210855948</v>
          </cell>
          <cell r="I42">
            <v>1.7220863895680516</v>
          </cell>
          <cell r="J42">
            <v>1.5001845018450186</v>
          </cell>
          <cell r="K42">
            <v>1.8004204081632651</v>
          </cell>
          <cell r="L42">
            <v>2.228416731556607</v>
          </cell>
          <cell r="M42">
            <v>2.7325006036918591</v>
          </cell>
          <cell r="N42">
            <v>2.4479610044497195</v>
          </cell>
          <cell r="O42">
            <v>2.7507852649457121</v>
          </cell>
          <cell r="P42">
            <v>3.0839303169426699</v>
          </cell>
          <cell r="Q42">
            <v>3.2312004447045952</v>
          </cell>
          <cell r="R42">
            <v>0.76899077465803156</v>
          </cell>
          <cell r="S42">
            <v>7.9715679355473856E-2</v>
          </cell>
          <cell r="T42">
            <v>6.9063495530386154E-2</v>
          </cell>
        </row>
        <row r="43">
          <cell r="A43" t="str">
            <v>Change Before Gains/(Charges)</v>
          </cell>
          <cell r="C43">
            <v>6.929472474752564</v>
          </cell>
          <cell r="D43">
            <v>1.0376191438320039</v>
          </cell>
          <cell r="E43">
            <v>1.3899877343545732</v>
          </cell>
          <cell r="F43">
            <v>-0.23316711416254809</v>
          </cell>
          <cell r="H43">
            <v>-4.2263244172606407E-2</v>
          </cell>
          <cell r="I43">
            <v>0.22385664777907532</v>
          </cell>
          <cell r="J43">
            <v>-0.12885642036732681</v>
          </cell>
          <cell r="K43">
            <v>0.20013265431618454</v>
          </cell>
          <cell r="L43">
            <v>0.23772021326395154</v>
          </cell>
          <cell r="M43">
            <v>0.22620718333196876</v>
          </cell>
          <cell r="N43">
            <v>-0.10413157781473148</v>
          </cell>
          <cell r="O43">
            <v>0.12370469135151319</v>
          </cell>
          <cell r="P43">
            <v>0.1211090724682693</v>
          </cell>
          <cell r="Q43">
            <v>4.7754038718982761E-2</v>
          </cell>
        </row>
        <row r="45">
          <cell r="A45" t="str">
            <v>Aftertax Margins:</v>
          </cell>
        </row>
        <row r="46">
          <cell r="A46" t="str">
            <v xml:space="preserve"> Telecommunications</v>
          </cell>
          <cell r="B46">
            <v>0.32438694728712109</v>
          </cell>
          <cell r="C46">
            <v>0.29561161022805804</v>
          </cell>
          <cell r="D46">
            <v>0.29252003561887802</v>
          </cell>
          <cell r="E46">
            <v>0.28222523744911804</v>
          </cell>
          <cell r="F46">
            <v>0.28848463695425713</v>
          </cell>
          <cell r="G46">
            <v>0.18254294402893068</v>
          </cell>
          <cell r="H46">
            <v>0.18201330757673323</v>
          </cell>
          <cell r="I46">
            <v>0.16571046621734525</v>
          </cell>
          <cell r="J46">
            <v>0.11458391471786572</v>
          </cell>
          <cell r="K46">
            <v>0.11113991853360489</v>
          </cell>
          <cell r="L46">
            <v>0.11499286323082612</v>
          </cell>
          <cell r="M46">
            <v>0.12695115568057216</v>
          </cell>
          <cell r="N46">
            <v>0.10462645941107641</v>
          </cell>
          <cell r="O46">
            <v>0.10981573087227495</v>
          </cell>
          <cell r="P46">
            <v>0.11321739561682827</v>
          </cell>
          <cell r="Q46">
            <v>0.11449339668118956</v>
          </cell>
        </row>
        <row r="47">
          <cell r="A47" t="str">
            <v xml:space="preserve"> Information Displays</v>
          </cell>
          <cell r="B47">
            <v>-3.0188679245283019E-2</v>
          </cell>
          <cell r="C47">
            <v>5.7507987220447282E-2</v>
          </cell>
          <cell r="D47">
            <v>9.295774647887324E-2</v>
          </cell>
          <cell r="E47">
            <v>0.11219512195121951</v>
          </cell>
          <cell r="F47">
            <v>0.15918367346938775</v>
          </cell>
          <cell r="G47">
            <v>6.0360360360360361E-2</v>
          </cell>
          <cell r="H47">
            <v>-8.4880636604774528E-3</v>
          </cell>
          <cell r="I47">
            <v>1.068955133995783E-2</v>
          </cell>
          <cell r="J47">
            <v>8.7637660927563199E-2</v>
          </cell>
          <cell r="K47">
            <v>8.9270229007633595E-2</v>
          </cell>
          <cell r="L47">
            <v>8.4641304347826088E-2</v>
          </cell>
          <cell r="M47">
            <v>8.2910544217687079E-2</v>
          </cell>
          <cell r="N47">
            <v>8.1892638036809823E-2</v>
          </cell>
          <cell r="O47">
            <v>7.9520786516853945E-2</v>
          </cell>
          <cell r="P47">
            <v>8.0057031249999994E-2</v>
          </cell>
          <cell r="Q47">
            <v>7.6674271844660191E-2</v>
          </cell>
        </row>
        <row r="48">
          <cell r="A48" t="str">
            <v xml:space="preserve"> Advanced Materials</v>
          </cell>
          <cell r="B48">
            <v>0.12851635013565615</v>
          </cell>
          <cell r="C48">
            <v>0.13089153889835323</v>
          </cell>
          <cell r="D48">
            <v>0.12504999333422209</v>
          </cell>
          <cell r="E48">
            <v>0.13193620666930275</v>
          </cell>
          <cell r="F48">
            <v>0.1942080378250591</v>
          </cell>
          <cell r="G48">
            <v>7.0252484909468255E-2</v>
          </cell>
          <cell r="H48">
            <v>7.3007562536358345E-2</v>
          </cell>
          <cell r="I48">
            <v>0.10054347826086955</v>
          </cell>
          <cell r="J48">
            <v>9.1951769434369182E-2</v>
          </cell>
          <cell r="K48">
            <v>0.10478859250851305</v>
          </cell>
          <cell r="L48">
            <v>0.11192352841462899</v>
          </cell>
          <cell r="M48">
            <v>0.10883955466535865</v>
          </cell>
          <cell r="N48">
            <v>0.11138645019706074</v>
          </cell>
          <cell r="O48">
            <v>0.10508885731108601</v>
          </cell>
          <cell r="P48">
            <v>0.10501162689220064</v>
          </cell>
          <cell r="Q48">
            <v>0.10601357281525085</v>
          </cell>
        </row>
        <row r="49">
          <cell r="A49" t="str">
            <v xml:space="preserve">  Average</v>
          </cell>
          <cell r="B49">
            <v>0.16855447680690402</v>
          </cell>
          <cell r="C49">
            <v>0.17623104874075934</v>
          </cell>
          <cell r="D49">
            <v>0.1820788127494519</v>
          </cell>
          <cell r="E49">
            <v>0.18581098808836649</v>
          </cell>
          <cell r="F49">
            <v>0.22527943526892868</v>
          </cell>
          <cell r="G49">
            <v>0.11984417609870712</v>
          </cell>
          <cell r="H49">
            <v>0.10849529152474453</v>
          </cell>
          <cell r="I49">
            <v>0.11696610218057822</v>
          </cell>
          <cell r="J49">
            <v>0.10287863445682049</v>
          </cell>
          <cell r="K49">
            <v>0.10609114033403724</v>
          </cell>
          <cell r="L49">
            <v>0.11005052196764022</v>
          </cell>
          <cell r="M49">
            <v>0.11715587831648991</v>
          </cell>
          <cell r="N49">
            <v>0.1031045999268615</v>
          </cell>
          <cell r="O49">
            <v>0.10449652471843425</v>
          </cell>
          <cell r="P49">
            <v>0.10678414445102055</v>
          </cell>
          <cell r="Q49">
            <v>0.10748850563589771</v>
          </cell>
        </row>
        <row r="51">
          <cell r="A51" t="str">
            <v>Equity Companies (Excl. DCC)</v>
          </cell>
        </row>
        <row r="52">
          <cell r="A52" t="str">
            <v xml:space="preserve"> Net Sales</v>
          </cell>
          <cell r="B52">
            <v>1003.4</v>
          </cell>
          <cell r="C52">
            <v>941.9</v>
          </cell>
          <cell r="D52">
            <v>1234.0999999999999</v>
          </cell>
          <cell r="E52">
            <v>1244.1000000000001</v>
          </cell>
          <cell r="F52">
            <v>1294.8</v>
          </cell>
          <cell r="G52">
            <v>1591.3</v>
          </cell>
          <cell r="H52">
            <v>1593.3000000000002</v>
          </cell>
          <cell r="I52">
            <v>1808.1</v>
          </cell>
          <cell r="J52">
            <v>1646.365</v>
          </cell>
          <cell r="K52">
            <v>1369.5800000000002</v>
          </cell>
          <cell r="L52">
            <v>1434.9440000000002</v>
          </cell>
          <cell r="M52">
            <v>1495.0762000000002</v>
          </cell>
          <cell r="N52">
            <v>1572.0150100000001</v>
          </cell>
          <cell r="O52">
            <v>1642.0482605000002</v>
          </cell>
          <cell r="P52">
            <v>1733.0401735250002</v>
          </cell>
          <cell r="Q52">
            <v>1814.9797697012502</v>
          </cell>
          <cell r="R52">
            <v>9.7884902250776618E-2</v>
          </cell>
          <cell r="S52">
            <v>-2.9963179835288289E-2</v>
          </cell>
          <cell r="T52">
            <v>4.8614103937846043E-2</v>
          </cell>
        </row>
        <row r="53">
          <cell r="A53" t="str">
            <v xml:space="preserve"> Corning Share of Eq. Co. Earnings</v>
          </cell>
          <cell r="B53">
            <v>26.000000000000004</v>
          </cell>
          <cell r="C53">
            <v>36.700000000000003</v>
          </cell>
          <cell r="D53">
            <v>40.4</v>
          </cell>
          <cell r="E53">
            <v>25</v>
          </cell>
          <cell r="F53">
            <v>48.500000000000007</v>
          </cell>
          <cell r="G53">
            <v>66.599999999999994</v>
          </cell>
          <cell r="H53">
            <v>85</v>
          </cell>
          <cell r="I53">
            <v>79.2</v>
          </cell>
          <cell r="J53">
            <v>95.3</v>
          </cell>
          <cell r="K53">
            <v>51.8609352</v>
          </cell>
          <cell r="L53">
            <v>55.248018691368657</v>
          </cell>
          <cell r="M53">
            <v>61.773215212505534</v>
          </cell>
          <cell r="N53">
            <v>65.219276263581364</v>
          </cell>
          <cell r="O53">
            <v>68.218510868769499</v>
          </cell>
          <cell r="P53">
            <v>72.372882154627931</v>
          </cell>
          <cell r="Q53">
            <v>75.951773189250801</v>
          </cell>
          <cell r="R53">
            <v>0.15552598552427543</v>
          </cell>
          <cell r="S53">
            <v>-6.1768868750928352E-2</v>
          </cell>
          <cell r="T53">
            <v>6.2181754099158049E-2</v>
          </cell>
        </row>
        <row r="55">
          <cell r="A55" t="str">
            <v>Sales Growth:</v>
          </cell>
        </row>
        <row r="56">
          <cell r="A56" t="str">
            <v xml:space="preserve"> Telecommunications</v>
          </cell>
          <cell r="C56">
            <v>0.11759026839158127</v>
          </cell>
          <cell r="D56">
            <v>0.16413268832066352</v>
          </cell>
          <cell r="E56">
            <v>9.3796378747402764E-2</v>
          </cell>
          <cell r="F56">
            <v>0.25956445047489818</v>
          </cell>
          <cell r="G56">
            <v>0</v>
          </cell>
          <cell r="H56">
            <v>0.14876304758773728</v>
          </cell>
          <cell r="I56">
            <v>0.28446733920011447</v>
          </cell>
          <cell r="J56">
            <v>-2.005235893722479E-3</v>
          </cell>
          <cell r="K56">
            <v>0.3702070659150527</v>
          </cell>
          <cell r="L56">
            <v>0.2628309572301426</v>
          </cell>
          <cell r="M56">
            <v>0.18700104830255615</v>
          </cell>
          <cell r="N56">
            <v>-2.6494565217391353E-2</v>
          </cell>
          <cell r="O56">
            <v>0.11785066294487079</v>
          </cell>
          <cell r="P56">
            <v>0.11116338302494566</v>
          </cell>
          <cell r="Q56">
            <v>0.10319165747539927</v>
          </cell>
          <cell r="R56">
            <v>0</v>
          </cell>
        </row>
        <row r="57">
          <cell r="A57" t="str">
            <v xml:space="preserve"> Information Displays</v>
          </cell>
          <cell r="C57">
            <v>0.18113207547169807</v>
          </cell>
          <cell r="D57">
            <v>0.13418530351437696</v>
          </cell>
          <cell r="E57">
            <v>0.15492957746478875</v>
          </cell>
          <cell r="F57">
            <v>0.19512195121951215</v>
          </cell>
          <cell r="G57">
            <v>0</v>
          </cell>
          <cell r="H57">
            <v>1.8918918918918948E-2</v>
          </cell>
          <cell r="I57">
            <v>0.1745358090185678</v>
          </cell>
          <cell r="J57">
            <v>-2.935862691960256E-2</v>
          </cell>
          <cell r="K57">
            <v>1.597642314254677E-2</v>
          </cell>
          <cell r="L57">
            <v>5.3435114503816772E-2</v>
          </cell>
          <cell r="M57">
            <v>6.5217391304347894E-2</v>
          </cell>
          <cell r="N57">
            <v>0.10884353741496589</v>
          </cell>
          <cell r="O57">
            <v>9.2024539877300526E-2</v>
          </cell>
          <cell r="P57">
            <v>7.8651685393258397E-2</v>
          </cell>
          <cell r="Q57">
            <v>7.2916666666666741E-2</v>
          </cell>
          <cell r="R57">
            <v>0.15967316572718682</v>
          </cell>
        </row>
        <row r="58">
          <cell r="A58" t="str">
            <v xml:space="preserve"> Advanced Materials</v>
          </cell>
          <cell r="C58">
            <v>5.8546337284022254E-3</v>
          </cell>
          <cell r="D58">
            <v>6.4877910278251072E-2</v>
          </cell>
          <cell r="E58">
            <v>1.1465137981602425E-2</v>
          </cell>
          <cell r="F58">
            <v>0.11506524317912215</v>
          </cell>
          <cell r="G58">
            <v>0</v>
          </cell>
          <cell r="H58">
            <v>0.18202957480629012</v>
          </cell>
          <cell r="I58">
            <v>-9.6955594337788664E-4</v>
          </cell>
          <cell r="J58">
            <v>-9.9961180124223947E-3</v>
          </cell>
          <cell r="K58">
            <v>3.6368983432996771E-2</v>
          </cell>
          <cell r="L58">
            <v>0.11601399924328404</v>
          </cell>
          <cell r="M58">
            <v>0.10846760181379</v>
          </cell>
          <cell r="N58">
            <v>9.2738660471140877E-2</v>
          </cell>
          <cell r="O58">
            <v>9.4591758144046967E-2</v>
          </cell>
          <cell r="P58">
            <v>7.0833712760734135E-2</v>
          </cell>
          <cell r="Q58">
            <v>7.2108187823034964E-2</v>
          </cell>
          <cell r="R58">
            <v>4.8588437191687373E-2</v>
          </cell>
        </row>
        <row r="59">
          <cell r="A59" t="str">
            <v xml:space="preserve">   Subtotal</v>
          </cell>
          <cell r="C59">
            <v>7.6186623516720564E-2</v>
          </cell>
          <cell r="D59">
            <v>0.1144593409347201</v>
          </cell>
          <cell r="E59">
            <v>7.1280004497161098E-2</v>
          </cell>
          <cell r="F59">
            <v>0.18817180038830861</v>
          </cell>
          <cell r="G59">
            <v>0</v>
          </cell>
          <cell r="H59">
            <v>0.13248775558595272</v>
          </cell>
          <cell r="I59">
            <v>0.16539771588859931</v>
          </cell>
          <cell r="J59">
            <v>-9.5704747987048755E-3</v>
          </cell>
          <cell r="K59">
            <v>0.20561261391581076</v>
          </cell>
          <cell r="L59">
            <v>0.19267133806872727</v>
          </cell>
          <cell r="M59">
            <v>0.15145077563831699</v>
          </cell>
          <cell r="N59">
            <v>1.8135444633075037E-2</v>
          </cell>
          <cell r="O59">
            <v>0.10853343655707981</v>
          </cell>
          <cell r="P59">
            <v>9.6916139095538201E-2</v>
          </cell>
          <cell r="Q59">
            <v>9.1740400704519942E-2</v>
          </cell>
          <cell r="R59">
            <v>0.12135212363848846</v>
          </cell>
        </row>
        <row r="61">
          <cell r="A61" t="str">
            <v>Net Income Growth:</v>
          </cell>
        </row>
        <row r="62">
          <cell r="A62" t="str">
            <v xml:space="preserve"> Telecommunications</v>
          </cell>
          <cell r="C62">
            <v>1.8452380952380887E-2</v>
          </cell>
          <cell r="D62">
            <v>0.15195791934541214</v>
          </cell>
          <cell r="E62">
            <v>5.530187721968538E-2</v>
          </cell>
          <cell r="F62">
            <v>0.28749999999999987</v>
          </cell>
          <cell r="G62">
            <v>0</v>
          </cell>
          <cell r="H62">
            <v>0.14542998649257122</v>
          </cell>
          <cell r="I62">
            <v>0.16941823899371022</v>
          </cell>
          <cell r="J62">
            <v>-0.3099159663865545</v>
          </cell>
          <cell r="K62">
            <v>0.32902338041889911</v>
          </cell>
          <cell r="L62">
            <v>0.3066101672956556</v>
          </cell>
          <cell r="M62">
            <v>0.31043919285300836</v>
          </cell>
          <cell r="N62">
            <v>-0.1976880689843763</v>
          </cell>
          <cell r="O62">
            <v>0.17329390909649911</v>
          </cell>
          <cell r="P62">
            <v>0.14558290812805486</v>
          </cell>
          <cell r="Q62">
            <v>0.11562502711319977</v>
          </cell>
          <cell r="R62">
            <v>0.49951253592080813</v>
          </cell>
        </row>
        <row r="63">
          <cell r="A63" t="str">
            <v xml:space="preserve"> Information Displays</v>
          </cell>
          <cell r="C63">
            <v>-3.25</v>
          </cell>
          <cell r="D63">
            <v>0.83333333333333326</v>
          </cell>
          <cell r="E63">
            <v>0.39393939393939403</v>
          </cell>
          <cell r="F63">
            <v>0.69565217391304346</v>
          </cell>
          <cell r="G63">
            <v>0</v>
          </cell>
          <cell r="H63">
            <v>-1.1432835820895522</v>
          </cell>
          <cell r="I63">
            <v>-2.4791666666666647</v>
          </cell>
          <cell r="J63">
            <v>6.9577464788732497</v>
          </cell>
          <cell r="K63">
            <v>3.4902654867256633E-2</v>
          </cell>
          <cell r="L63">
            <v>-1.1886030920782442E-3</v>
          </cell>
          <cell r="M63">
            <v>4.3435640597577097E-2</v>
          </cell>
          <cell r="N63">
            <v>9.5230085700103162E-2</v>
          </cell>
          <cell r="O63">
            <v>6.0396299209649174E-2</v>
          </cell>
          <cell r="P63">
            <v>8.59255229711684E-2</v>
          </cell>
          <cell r="Q63">
            <v>2.7581249044463796E-2</v>
          </cell>
          <cell r="R63">
            <v>0</v>
          </cell>
        </row>
        <row r="64">
          <cell r="A64" t="str">
            <v xml:space="preserve"> Advanced Materials</v>
          </cell>
          <cell r="C64">
            <v>2.4444444444444491E-2</v>
          </cell>
          <cell r="D64">
            <v>1.7353579175704903E-2</v>
          </cell>
          <cell r="E64">
            <v>6.7164179104477473E-2</v>
          </cell>
          <cell r="F64">
            <v>0.64135864135864162</v>
          </cell>
          <cell r="G64">
            <v>0</v>
          </cell>
          <cell r="H64">
            <v>0.22838499184339334</v>
          </cell>
          <cell r="I64">
            <v>0.37583001328021237</v>
          </cell>
          <cell r="J64">
            <v>-9.4594594594594406E-2</v>
          </cell>
          <cell r="K64">
            <v>0.18105010660980803</v>
          </cell>
          <cell r="L64">
            <v>0.19200212127366689</v>
          </cell>
          <cell r="M64">
            <v>7.792456020017724E-2</v>
          </cell>
          <cell r="N64">
            <v>0.11830924664478948</v>
          </cell>
          <cell r="O64">
            <v>3.2705476132732558E-2</v>
          </cell>
          <cell r="P64">
            <v>7.0046750771526556E-2</v>
          </cell>
          <cell r="Q64">
            <v>8.233747823256965E-2</v>
          </cell>
          <cell r="R64">
            <v>0</v>
          </cell>
        </row>
        <row r="65">
          <cell r="A65" t="str">
            <v xml:space="preserve">   Subtotal</v>
          </cell>
          <cell r="C65">
            <v>0.12519999999999998</v>
          </cell>
          <cell r="D65">
            <v>0.15143974404550287</v>
          </cell>
          <cell r="E65">
            <v>9.3238653905526547E-2</v>
          </cell>
          <cell r="F65">
            <v>0.44055351595594439</v>
          </cell>
          <cell r="G65">
            <v>0</v>
          </cell>
          <cell r="H65">
            <v>2.5244556642474159E-2</v>
          </cell>
          <cell r="I65">
            <v>0.25638658048630303</v>
          </cell>
          <cell r="J65">
            <v>-0.12885840274375282</v>
          </cell>
          <cell r="K65">
            <v>0.24325928008998843</v>
          </cell>
          <cell r="L65">
            <v>0.23718251002904012</v>
          </cell>
          <cell r="M65">
            <v>0.22579361320773206</v>
          </cell>
          <cell r="N65">
            <v>-0.10397626479596722</v>
          </cell>
          <cell r="O65">
            <v>0.12349877441519364</v>
          </cell>
          <cell r="P65">
            <v>0.12092963630560072</v>
          </cell>
          <cell r="Q65">
            <v>9.894165297068569E-2</v>
          </cell>
          <cell r="R65">
            <v>0</v>
          </cell>
        </row>
        <row r="68">
          <cell r="A68" t="str">
            <v>E = Banc of America Securities Research Estimates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Guide"/>
      <sheetName val="PipelineTraitPricing"/>
      <sheetName val="PipelineOverview"/>
      <sheetName val="Pipeline at a Glance"/>
      <sheetName val="DCF"/>
      <sheetName val="TraitPricing"/>
      <sheetName val="TraitAcreage"/>
      <sheetName val="Sheet1"/>
      <sheetName val="SOYBEANS"/>
      <sheetName val="Cotton"/>
      <sheetName val="Intl Corn"/>
      <sheetName val="CORN"/>
      <sheetName val="Roundup"/>
      <sheetName val="Segment"/>
      <sheetName val="Income"/>
      <sheetName val="Balance"/>
      <sheetName val="CashFlow"/>
      <sheetName val="MW-Cache"/>
      <sheetName val="mwareDates"/>
      <sheetName val="MWA RR"/>
      <sheetName val="MON.N"/>
      <sheetName val="Model Summary"/>
      <sheetName val="Preview"/>
      <sheetName val="Earnings Charts"/>
      <sheetName val="R&amp;D Return"/>
      <sheetName val="M&amp;A"/>
      <sheetName val="Disclosures"/>
      <sheetName val="mwareSettings"/>
    </sheetNames>
    <sheetDataSet>
      <sheetData sheetId="0"/>
      <sheetData sheetId="1"/>
      <sheetData sheetId="2"/>
      <sheetData sheetId="3"/>
      <sheetData sheetId="4"/>
      <sheetData sheetId="5"/>
      <sheetData sheetId="6"/>
      <sheetData sheetId="7">
        <row r="7">
          <cell r="O7" t="str">
            <v>Incremental Yield</v>
          </cell>
          <cell r="Q7">
            <v>4</v>
          </cell>
          <cell r="R7" t="str">
            <v>bushels per acre</v>
          </cell>
        </row>
        <row r="8">
          <cell r="O8" t="str">
            <v>Soybeans</v>
          </cell>
          <cell r="Q8">
            <v>12</v>
          </cell>
          <cell r="R8" t="str">
            <v>dollars per bushel</v>
          </cell>
        </row>
        <row r="10">
          <cell r="O10" t="str">
            <v>Yield Value</v>
          </cell>
          <cell r="Q10">
            <v>48</v>
          </cell>
          <cell r="R10" t="str">
            <v>per acre</v>
          </cell>
        </row>
        <row r="11">
          <cell r="O11" t="str">
            <v>Insecticide savings</v>
          </cell>
          <cell r="Q11">
            <v>6</v>
          </cell>
          <cell r="R11" t="str">
            <v>per acre</v>
          </cell>
        </row>
        <row r="12">
          <cell r="O12" t="str">
            <v>Diesel/convenience</v>
          </cell>
          <cell r="Q12">
            <v>6</v>
          </cell>
          <cell r="R12" t="str">
            <v>per acre</v>
          </cell>
        </row>
        <row r="13">
          <cell r="O13" t="str">
            <v>TOTAL VALUE</v>
          </cell>
          <cell r="Q13">
            <v>60</v>
          </cell>
          <cell r="R13" t="str">
            <v>per acre</v>
          </cell>
        </row>
        <row r="15">
          <cell r="O15" t="str">
            <v>Monsanto price</v>
          </cell>
          <cell r="Q15">
            <v>20</v>
          </cell>
          <cell r="R15" t="str">
            <v>per acre</v>
          </cell>
        </row>
        <row r="16">
          <cell r="O16" t="str">
            <v>Monsanto share</v>
          </cell>
          <cell r="Q16">
            <v>0.33333333333333331</v>
          </cell>
        </row>
        <row r="17">
          <cell r="O17" t="str">
            <v>Farmer share</v>
          </cell>
          <cell r="Q17">
            <v>0.66666666666666663</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odel Summary"/>
      <sheetName val="BS"/>
      <sheetName val="CF"/>
      <sheetName val="IS"/>
      <sheetName val="Inputs-New Segments"/>
      <sheetName val="Preview"/>
      <sheetName val="Notes"/>
      <sheetName val="Inputs-Legacy Segments"/>
      <sheetName val="Links"/>
      <sheetName val="Exhibits"/>
      <sheetName val="SOTP"/>
      <sheetName val="Miles Driven"/>
      <sheetName val="BTB"/>
      <sheetName val="Debt"/>
      <sheetName val="Ratios"/>
      <sheetName val="DCF"/>
      <sheetName val="OP"/>
      <sheetName val="MW-Cache"/>
      <sheetName val="MWA RR"/>
      <sheetName val="AFOSHEET"/>
      <sheetName val="mwareDates"/>
      <sheetName val="ALB.N"/>
      <sheetName val="Earnings Charts"/>
      <sheetName val="Guidance"/>
      <sheetName val="mwareSettings"/>
      <sheetName val="Inputs"/>
      <sheetName val="Sheet3"/>
      <sheetName val="Sheet2"/>
    </sheetNames>
    <sheetDataSet>
      <sheetData sheetId="0" refreshError="1">
        <row r="5">
          <cell r="A5" t="str">
            <v>Price</v>
          </cell>
        </row>
        <row r="70">
          <cell r="X70" t="e">
            <v>#N/A</v>
          </cell>
          <cell r="Y70" t="e">
            <v>#N/A</v>
          </cell>
        </row>
      </sheetData>
      <sheetData sheetId="1" refreshError="1"/>
      <sheetData sheetId="2" refreshError="1"/>
      <sheetData sheetId="3" refreshError="1"/>
      <sheetData sheetId="4" refreshError="1">
        <row r="42">
          <cell r="T42">
            <v>718.17573955890816</v>
          </cell>
        </row>
        <row r="77">
          <cell r="T77">
            <v>5.1564829176071161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row r="1">
          <cell r="A1" t="str">
            <v xml:space="preserve">           </v>
          </cell>
        </row>
        <row r="22">
          <cell r="N22">
            <v>0.04</v>
          </cell>
        </row>
        <row r="23">
          <cell r="N23">
            <v>1.2494271164508826</v>
          </cell>
        </row>
        <row r="39">
          <cell r="E39">
            <v>62.602080571892003</v>
          </cell>
          <cell r="F39">
            <v>67.976171351836967</v>
          </cell>
          <cell r="G39">
            <v>67.84738984688282</v>
          </cell>
        </row>
        <row r="44">
          <cell r="C44">
            <v>4.4999999999999998E-2</v>
          </cell>
        </row>
        <row r="53">
          <cell r="C53">
            <v>1.49</v>
          </cell>
        </row>
        <row r="54">
          <cell r="C54">
            <v>0.1245</v>
          </cell>
        </row>
        <row r="56">
          <cell r="C56">
            <v>0.10209903075295418</v>
          </cell>
        </row>
      </sheetData>
      <sheetData sheetId="17" refreshError="1"/>
      <sheetData sheetId="18" refreshError="1"/>
      <sheetData sheetId="19" refreshError="1">
        <row r="11">
          <cell r="C11" t="e">
            <v>#N/A</v>
          </cell>
        </row>
      </sheetData>
      <sheetData sheetId="20" refreshError="1"/>
      <sheetData sheetId="21" refreshError="1"/>
      <sheetData sheetId="22" refreshError="1"/>
      <sheetData sheetId="23" refreshError="1"/>
      <sheetData sheetId="24" refreshError="1"/>
      <sheetData sheetId="25" refreshError="1"/>
      <sheetData sheetId="26" refreshError="1">
        <row r="75">
          <cell r="U75">
            <v>687.71926080000003</v>
          </cell>
        </row>
        <row r="280">
          <cell r="X280">
            <v>0.50264014659618228</v>
          </cell>
        </row>
        <row r="300">
          <cell r="U300">
            <v>3.4694469519536142E-18</v>
          </cell>
          <cell r="V300">
            <v>0.08</v>
          </cell>
        </row>
        <row r="425">
          <cell r="T425">
            <v>0.2452581992711759</v>
          </cell>
          <cell r="X425">
            <v>0.24177119197972247</v>
          </cell>
        </row>
      </sheetData>
      <sheetData sheetId="27" refreshError="1"/>
      <sheetData sheetId="28"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llections_Receivables"/>
      <sheetName val="ARC"/>
      <sheetName val="Control"/>
    </sheetNames>
    <sheetDataSet>
      <sheetData sheetId="0"/>
      <sheetData sheetId="1" refreshError="1"/>
      <sheetData sheetId="2" refreshError="1">
        <row r="9">
          <cell r="A9" t="str">
            <v>Jan</v>
          </cell>
          <cell r="B9" t="str">
            <v>B13</v>
          </cell>
        </row>
        <row r="10">
          <cell r="A10" t="str">
            <v>Feb</v>
          </cell>
          <cell r="B10" t="str">
            <v>C13</v>
          </cell>
        </row>
        <row r="11">
          <cell r="A11" t="str">
            <v>Mar</v>
          </cell>
          <cell r="B11" t="str">
            <v>D13</v>
          </cell>
        </row>
        <row r="12">
          <cell r="A12" t="str">
            <v>Apr</v>
          </cell>
          <cell r="B12" t="str">
            <v>E13</v>
          </cell>
        </row>
        <row r="13">
          <cell r="A13" t="str">
            <v>May</v>
          </cell>
          <cell r="B13" t="str">
            <v>F13</v>
          </cell>
        </row>
        <row r="14">
          <cell r="A14" t="str">
            <v>Jun</v>
          </cell>
          <cell r="B14" t="str">
            <v>G13</v>
          </cell>
        </row>
        <row r="15">
          <cell r="A15" t="str">
            <v>Jul</v>
          </cell>
          <cell r="B15" t="str">
            <v>H13</v>
          </cell>
        </row>
        <row r="16">
          <cell r="A16" t="str">
            <v>Aug</v>
          </cell>
          <cell r="B16" t="str">
            <v>I13</v>
          </cell>
        </row>
        <row r="17">
          <cell r="A17" t="str">
            <v>Sep</v>
          </cell>
          <cell r="B17" t="str">
            <v>J13</v>
          </cell>
        </row>
        <row r="18">
          <cell r="A18" t="str">
            <v>Oct</v>
          </cell>
          <cell r="B18" t="str">
            <v>K13</v>
          </cell>
        </row>
        <row r="19">
          <cell r="A19" t="str">
            <v>Nov</v>
          </cell>
          <cell r="B19" t="str">
            <v>L13</v>
          </cell>
        </row>
        <row r="20">
          <cell r="A20" t="str">
            <v>Dec</v>
          </cell>
          <cell r="B20" t="str">
            <v>M13</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amp;L"/>
      <sheetName val="GAP"/>
      <sheetName val="BS Summary"/>
      <sheetName val="Accruals"/>
      <sheetName val="Receivable analysis 2002"/>
      <sheetName val="BS"/>
      <sheetName val="NOCF"/>
      <sheetName val="Retrieve (1)"/>
      <sheetName val="Retrieve (2)"/>
      <sheetName val="Retrieve (3)"/>
      <sheetName val="Retrieve (4)"/>
      <sheetName val="Combo Box"/>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1">
          <cell r="B1" t="str">
            <v>Mar</v>
          </cell>
          <cell r="E1" t="str">
            <v>Qtr2</v>
          </cell>
        </row>
      </sheetData>
      <sheetData sheetId="13"/>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heet1"/>
      <sheetName val="Sheet2"/>
      <sheetName val="Sheet3"/>
      <sheetName val="Annual (Euro)"/>
    </sheetNames>
    <sheetDataSet>
      <sheetData sheetId="0" refreshError="1"/>
      <sheetData sheetId="1" refreshError="1">
        <row r="1">
          <cell r="L1" t="str">
            <v>PT</v>
          </cell>
          <cell r="M1" t="str">
            <v>Price</v>
          </cell>
        </row>
        <row r="7">
          <cell r="D7" t="str">
            <v>P/E (FY1)</v>
          </cell>
          <cell r="F7" t="str">
            <v>P/Book</v>
          </cell>
          <cell r="H7" t="str">
            <v>EV/Ebitda</v>
          </cell>
          <cell r="J7" t="str">
            <v>EPS growth (2-yr fwd)</v>
          </cell>
          <cell r="P7" t="str">
            <v>Upside to Tgt Price</v>
          </cell>
          <cell r="T7" t="str">
            <v>Nr. of Ratings</v>
          </cell>
          <cell r="W7" t="str">
            <v>Mean</v>
          </cell>
          <cell r="X7" t="str">
            <v>Buy    Hold   Sell</v>
          </cell>
          <cell r="Z7" t="str">
            <v>P/E LTM</v>
          </cell>
          <cell r="AA7" t="str">
            <v>P/E (FY1)</v>
          </cell>
          <cell r="AB7" t="str">
            <v>P/E (FY2)</v>
          </cell>
          <cell r="AD7" t="str">
            <v>P/Book</v>
          </cell>
          <cell r="AE7" t="str">
            <v>P/CF</v>
          </cell>
          <cell r="AF7" t="str">
            <v>P/Sales</v>
          </cell>
          <cell r="AG7" t="str">
            <v>EV/Ebitda</v>
          </cell>
        </row>
        <row r="8">
          <cell r="T8" t="str">
            <v>Buy</v>
          </cell>
          <cell r="U8" t="str">
            <v>Hold</v>
          </cell>
          <cell r="V8" t="str">
            <v>Sell</v>
          </cell>
          <cell r="W8" t="str">
            <v>Rec.</v>
          </cell>
          <cell r="X8" t="str">
            <v></v>
          </cell>
        </row>
        <row r="9">
          <cell r="D9" t="str">
            <v>辰簾糧兩</v>
          </cell>
          <cell r="F9" t="str">
            <v>辰簾糧兩</v>
          </cell>
          <cell r="H9" t="str">
            <v>辰戀寧</v>
          </cell>
          <cell r="J9" t="str">
            <v>亮璉轢驪兩</v>
          </cell>
          <cell r="P9" t="str">
            <v>亮念兩兩</v>
          </cell>
          <cell r="R9" t="str">
            <v>辰念兩兩</v>
          </cell>
          <cell r="Z9">
            <v>1</v>
          </cell>
          <cell r="AA9">
            <v>2</v>
          </cell>
          <cell r="AB9">
            <v>3</v>
          </cell>
          <cell r="AC9" t="str">
            <v>{CMicroBar}</v>
          </cell>
          <cell r="AD9">
            <v>4</v>
          </cell>
          <cell r="AE9">
            <v>5</v>
          </cell>
          <cell r="AF9">
            <v>6</v>
          </cell>
          <cell r="AG9">
            <v>7</v>
          </cell>
        </row>
        <row r="11">
          <cell r="B11" t="str">
            <v xml:space="preserve">Infosys Technologies </v>
          </cell>
          <cell r="C11">
            <v>23.165303750274681</v>
          </cell>
          <cell r="D11" t="str">
            <v></v>
          </cell>
          <cell r="E11">
            <v>5.92997</v>
          </cell>
          <cell r="F11" t="str">
            <v></v>
          </cell>
          <cell r="G11">
            <v>16.697620329855269</v>
          </cell>
          <cell r="H11" t="str">
            <v></v>
          </cell>
          <cell r="I11">
            <v>0.44916684604475132</v>
          </cell>
          <cell r="J11" t="str">
            <v></v>
          </cell>
          <cell r="K11" t="str">
            <v>620512</v>
          </cell>
          <cell r="L11">
            <v>1900</v>
          </cell>
          <cell r="M11">
            <v>1957.55</v>
          </cell>
          <cell r="N11">
            <v>-2.9398993640009172E-2</v>
          </cell>
          <cell r="P11" t="str">
            <v></v>
          </cell>
          <cell r="Q11">
            <v>1.25</v>
          </cell>
          <cell r="R11" t="str">
            <v></v>
          </cell>
          <cell r="T11">
            <v>21</v>
          </cell>
          <cell r="U11">
            <v>13</v>
          </cell>
          <cell r="V11" t="str">
            <v/>
          </cell>
          <cell r="W11">
            <v>1.4047619999999998</v>
          </cell>
          <cell r="X11" t="str">
            <v></v>
          </cell>
          <cell r="Z11">
            <v>17.541399999999999</v>
          </cell>
          <cell r="AA11">
            <v>23.165303750274681</v>
          </cell>
          <cell r="AB11">
            <v>19.789548467933621</v>
          </cell>
          <cell r="AC11" t="str">
            <v>19.79 </v>
          </cell>
          <cell r="AD11">
            <v>5.92997</v>
          </cell>
          <cell r="AE11">
            <v>15.59812</v>
          </cell>
          <cell r="AF11">
            <v>4.89567</v>
          </cell>
          <cell r="AG11">
            <v>16.697620329855269</v>
          </cell>
        </row>
        <row r="12">
          <cell r="B12" t="str">
            <v xml:space="preserve">Rolta India </v>
          </cell>
          <cell r="C12">
            <v>20.694458166823328</v>
          </cell>
          <cell r="D12" t="str">
            <v></v>
          </cell>
          <cell r="E12">
            <v>3.5718800000000002</v>
          </cell>
          <cell r="F12" t="str">
            <v></v>
          </cell>
          <cell r="G12">
            <v>16.154547701816412</v>
          </cell>
          <cell r="H12" t="str">
            <v></v>
          </cell>
          <cell r="I12">
            <v>0.79090585867912133</v>
          </cell>
          <cell r="J12" t="str">
            <v></v>
          </cell>
          <cell r="K12" t="str">
            <v>614331</v>
          </cell>
          <cell r="L12">
            <v>402.5</v>
          </cell>
          <cell r="M12">
            <v>303.25</v>
          </cell>
          <cell r="N12">
            <v>0.32728771640560594</v>
          </cell>
          <cell r="P12" t="str">
            <v></v>
          </cell>
          <cell r="Q12">
            <v>1</v>
          </cell>
          <cell r="R12" t="str">
            <v></v>
          </cell>
          <cell r="T12">
            <v>4</v>
          </cell>
          <cell r="U12" t="str">
            <v/>
          </cell>
          <cell r="V12" t="str">
            <v/>
          </cell>
          <cell r="W12">
            <v>1.3333329999999999</v>
          </cell>
          <cell r="X12" t="str">
            <v></v>
          </cell>
          <cell r="Z12">
            <v>21.621870000000001</v>
          </cell>
          <cell r="AA12">
            <v>20.694458166823328</v>
          </cell>
          <cell r="AB12">
            <v>15.599014634957593</v>
          </cell>
          <cell r="AC12" t="str">
            <v>15.60 </v>
          </cell>
          <cell r="AD12">
            <v>3.5718800000000002</v>
          </cell>
          <cell r="AE12">
            <v>13.40723</v>
          </cell>
          <cell r="AF12">
            <v>5.2475399999999999</v>
          </cell>
          <cell r="AG12">
            <v>16.154547701816412</v>
          </cell>
        </row>
        <row r="13">
          <cell r="B13" t="str">
            <v xml:space="preserve">Vakrangee Softwares </v>
          </cell>
          <cell r="C13">
            <v>20.301251956181531</v>
          </cell>
          <cell r="D13" t="str">
            <v></v>
          </cell>
          <cell r="E13">
            <v>1.46147</v>
          </cell>
          <cell r="F13" t="str">
            <v></v>
          </cell>
          <cell r="G13">
            <v>9.5269519425732483</v>
          </cell>
          <cell r="H13" t="str">
            <v></v>
          </cell>
          <cell r="I13">
            <v>1.333836098541981</v>
          </cell>
          <cell r="J13" t="str">
            <v></v>
          </cell>
          <cell r="K13" t="str">
            <v>625862</v>
          </cell>
          <cell r="L13">
            <v>435</v>
          </cell>
          <cell r="M13">
            <v>255.55</v>
          </cell>
          <cell r="N13">
            <v>0.70221091762864407</v>
          </cell>
          <cell r="P13" t="str">
            <v></v>
          </cell>
          <cell r="Q13">
            <v>1</v>
          </cell>
          <cell r="R13" t="str">
            <v></v>
          </cell>
          <cell r="T13">
            <v>2</v>
          </cell>
          <cell r="U13" t="str">
            <v/>
          </cell>
          <cell r="V13" t="str">
            <v/>
          </cell>
          <cell r="W13">
            <v>1</v>
          </cell>
          <cell r="X13" t="str">
            <v></v>
          </cell>
          <cell r="Z13">
            <v>10.63236</v>
          </cell>
          <cell r="AA13">
            <v>20.301251956181531</v>
          </cell>
          <cell r="AB13">
            <v>11.178371391641534</v>
          </cell>
          <cell r="AC13" t="str">
            <v>11.18 </v>
          </cell>
          <cell r="AD13">
            <v>1.46147</v>
          </cell>
          <cell r="AE13">
            <v>4.7045000000000003</v>
          </cell>
          <cell r="AF13">
            <v>2.2213699999999998</v>
          </cell>
          <cell r="AG13">
            <v>9.5269519425732483</v>
          </cell>
        </row>
        <row r="14">
          <cell r="B14" t="str">
            <v xml:space="preserve">Satyam Computer Services </v>
          </cell>
          <cell r="C14">
            <v>19.718643799889353</v>
          </cell>
          <cell r="D14" t="str">
            <v></v>
          </cell>
          <cell r="E14">
            <v>5.4957700000000003</v>
          </cell>
          <cell r="F14" t="str">
            <v></v>
          </cell>
          <cell r="G14">
            <v>17.078127744277268</v>
          </cell>
          <cell r="H14" t="str">
            <v></v>
          </cell>
          <cell r="I14">
            <v>0.53100814894033643</v>
          </cell>
          <cell r="J14" t="str">
            <v></v>
          </cell>
          <cell r="K14" t="str">
            <v>624185</v>
          </cell>
          <cell r="L14">
            <v>512.5</v>
          </cell>
          <cell r="M14">
            <v>523.75</v>
          </cell>
          <cell r="N14">
            <v>-2.1479713603818614E-2</v>
          </cell>
          <cell r="P14" t="str">
            <v></v>
          </cell>
          <cell r="Q14">
            <v>1</v>
          </cell>
          <cell r="R14" t="str">
            <v></v>
          </cell>
          <cell r="T14">
            <v>18</v>
          </cell>
          <cell r="U14">
            <v>7</v>
          </cell>
          <cell r="V14" t="str">
            <v/>
          </cell>
          <cell r="W14">
            <v>1.3333329999999999</v>
          </cell>
          <cell r="X14" t="str">
            <v></v>
          </cell>
          <cell r="Z14">
            <v>15.631930000000001</v>
          </cell>
          <cell r="AA14">
            <v>19.718643799889353</v>
          </cell>
          <cell r="AB14">
            <v>16.364610071351667</v>
          </cell>
          <cell r="AC14" t="str">
            <v>16.36 </v>
          </cell>
          <cell r="AD14">
            <v>5.4957700000000003</v>
          </cell>
          <cell r="AE14">
            <v>19.222650000000002</v>
          </cell>
          <cell r="AF14">
            <v>4.7469999999999999</v>
          </cell>
          <cell r="AG14">
            <v>17.078127744277268</v>
          </cell>
        </row>
        <row r="15">
          <cell r="B15" t="str">
            <v xml:space="preserve">Tata Consultancy Services </v>
          </cell>
          <cell r="C15">
            <v>18.737467646561658</v>
          </cell>
          <cell r="D15" t="str">
            <v></v>
          </cell>
          <cell r="E15">
            <v>13.614140000000001</v>
          </cell>
          <cell r="F15" t="str">
            <v></v>
          </cell>
          <cell r="G15">
            <v>17.602119655051197</v>
          </cell>
          <cell r="H15" t="str">
            <v></v>
          </cell>
          <cell r="I15">
            <v>0.38530689443930721</v>
          </cell>
          <cell r="J15" t="str">
            <v></v>
          </cell>
          <cell r="K15" t="str">
            <v>B01NPJ</v>
          </cell>
          <cell r="L15">
            <v>1083</v>
          </cell>
          <cell r="M15">
            <v>1029.25</v>
          </cell>
          <cell r="N15">
            <v>5.2222492105902359E-2</v>
          </cell>
          <cell r="P15" t="str">
            <v></v>
          </cell>
          <cell r="Q15">
            <v>1</v>
          </cell>
          <cell r="R15" t="str">
            <v></v>
          </cell>
          <cell r="T15">
            <v>16</v>
          </cell>
          <cell r="U15">
            <v>10</v>
          </cell>
          <cell r="V15" t="str">
            <v/>
          </cell>
          <cell r="W15">
            <v>1.4666669999999999</v>
          </cell>
          <cell r="X15" t="str">
            <v></v>
          </cell>
          <cell r="Z15">
            <v>15.788550000000001</v>
          </cell>
          <cell r="AA15">
            <v>18.737467646561658</v>
          </cell>
          <cell r="AB15">
            <v>16.252594849679468</v>
          </cell>
          <cell r="AC15" t="str">
            <v>16.25 </v>
          </cell>
          <cell r="AD15">
            <v>13.614140000000001</v>
          </cell>
          <cell r="AE15">
            <v>26.479510000000001</v>
          </cell>
          <cell r="AF15">
            <v>6.4482299999999997</v>
          </cell>
          <cell r="AG15">
            <v>17.602119655051197</v>
          </cell>
        </row>
        <row r="16">
          <cell r="B16" t="str">
            <v xml:space="preserve">Mphasis </v>
          </cell>
          <cell r="C16">
            <v>18.603477724334482</v>
          </cell>
          <cell r="D16" t="str">
            <v></v>
          </cell>
          <cell r="E16">
            <v>4.5919100000000004</v>
          </cell>
          <cell r="F16" t="str">
            <v></v>
          </cell>
          <cell r="G16" t="e">
            <v>#N/A</v>
          </cell>
          <cell r="H16" t="str">
            <v></v>
          </cell>
          <cell r="I16">
            <v>0.84296926496494584</v>
          </cell>
          <cell r="J16" t="str">
            <v></v>
          </cell>
          <cell r="K16" t="str">
            <v>615159</v>
          </cell>
          <cell r="L16">
            <v>265</v>
          </cell>
          <cell r="M16">
            <v>237.8</v>
          </cell>
          <cell r="N16">
            <v>0.1143818334735071</v>
          </cell>
          <cell r="P16" t="str">
            <v></v>
          </cell>
          <cell r="Q16">
            <v>1</v>
          </cell>
          <cell r="R16" t="str">
            <v></v>
          </cell>
          <cell r="T16">
            <v>8</v>
          </cell>
          <cell r="U16">
            <v>5</v>
          </cell>
          <cell r="V16">
            <v>1</v>
          </cell>
          <cell r="W16">
            <v>1.5</v>
          </cell>
          <cell r="X16" t="str">
            <v></v>
          </cell>
          <cell r="Z16">
            <v>32.294049999999999</v>
          </cell>
          <cell r="AA16">
            <v>18.603477724334482</v>
          </cell>
          <cell r="AB16">
            <v>14.559243797985641</v>
          </cell>
          <cell r="AC16" t="str">
            <v>14.56 </v>
          </cell>
          <cell r="AD16">
            <v>4.5919100000000004</v>
          </cell>
          <cell r="AE16">
            <v>22.422080000000001</v>
          </cell>
          <cell r="AF16">
            <v>3.3016100000000002</v>
          </cell>
          <cell r="AG16" t="e">
            <v>#N/A</v>
          </cell>
        </row>
        <row r="17">
          <cell r="B17" t="str">
            <v xml:space="preserve">Wipro </v>
          </cell>
          <cell r="C17">
            <v>18.503024055060422</v>
          </cell>
          <cell r="D17" t="str">
            <v></v>
          </cell>
          <cell r="E17">
            <v>8.4862000000000002</v>
          </cell>
          <cell r="F17" t="str">
            <v></v>
          </cell>
          <cell r="G17">
            <v>19.653327362535961</v>
          </cell>
          <cell r="H17" t="str">
            <v></v>
          </cell>
          <cell r="I17">
            <v>0.419577732468563</v>
          </cell>
          <cell r="J17" t="str">
            <v></v>
          </cell>
          <cell r="K17" t="str">
            <v>620605</v>
          </cell>
          <cell r="L17">
            <v>500</v>
          </cell>
          <cell r="M17">
            <v>508</v>
          </cell>
          <cell r="N17">
            <v>-1.5748031496062992E-2</v>
          </cell>
          <cell r="P17" t="str">
            <v></v>
          </cell>
          <cell r="Q17">
            <v>2</v>
          </cell>
          <cell r="R17" t="str">
            <v></v>
          </cell>
          <cell r="T17">
            <v>12</v>
          </cell>
          <cell r="U17">
            <v>11</v>
          </cell>
          <cell r="V17">
            <v>2</v>
          </cell>
          <cell r="W17">
            <v>1.677419</v>
          </cell>
          <cell r="X17" t="str">
            <v></v>
          </cell>
          <cell r="Z17">
            <v>18.801950000000001</v>
          </cell>
          <cell r="AA17">
            <v>18.503024055060422</v>
          </cell>
          <cell r="AB17">
            <v>15.974581049064644</v>
          </cell>
          <cell r="AC17" t="str">
            <v>15.97 </v>
          </cell>
          <cell r="AD17">
            <v>8.4862000000000002</v>
          </cell>
          <cell r="AE17">
            <v>23.676760000000002</v>
          </cell>
          <cell r="AF17">
            <v>5.3122800000000003</v>
          </cell>
          <cell r="AG17">
            <v>19.653327362535961</v>
          </cell>
        </row>
        <row r="18">
          <cell r="B18" t="str">
            <v xml:space="preserve">Mindtree </v>
          </cell>
          <cell r="C18">
            <v>17.848498130011894</v>
          </cell>
          <cell r="D18" t="str">
            <v></v>
          </cell>
          <cell r="E18">
            <v>7.19984</v>
          </cell>
          <cell r="F18" t="str">
            <v></v>
          </cell>
          <cell r="G18">
            <v>14.698193597463257</v>
          </cell>
          <cell r="H18" t="str">
            <v></v>
          </cell>
          <cell r="I18">
            <v>9.8563448275862164E-2</v>
          </cell>
          <cell r="J18" t="str">
            <v></v>
          </cell>
          <cell r="K18" t="str">
            <v>B1LHCW</v>
          </cell>
          <cell r="L18">
            <v>472.5</v>
          </cell>
          <cell r="M18">
            <v>467.65000000000003</v>
          </cell>
          <cell r="N18">
            <v>1.0371003955949889E-2</v>
          </cell>
          <cell r="P18" t="str">
            <v></v>
          </cell>
          <cell r="Q18">
            <v>2</v>
          </cell>
          <cell r="R18" t="str">
            <v></v>
          </cell>
          <cell r="T18">
            <v>1</v>
          </cell>
          <cell r="U18">
            <v>4</v>
          </cell>
          <cell r="V18">
            <v>2</v>
          </cell>
          <cell r="W18">
            <v>2.0499999999999998</v>
          </cell>
          <cell r="X18" t="str">
            <v></v>
          </cell>
          <cell r="Z18">
            <v>28.657689999999999</v>
          </cell>
          <cell r="AA18">
            <v>17.848498130011894</v>
          </cell>
          <cell r="AB18">
            <v>14.674336453186198</v>
          </cell>
          <cell r="AC18" t="str">
            <v>14.67 </v>
          </cell>
          <cell r="AD18">
            <v>7.19984</v>
          </cell>
          <cell r="AE18">
            <v>22.96292</v>
          </cell>
          <cell r="AF18">
            <v>4.3708400000000003</v>
          </cell>
          <cell r="AG18">
            <v>14.698193597463257</v>
          </cell>
        </row>
        <row r="19">
          <cell r="B19" t="str">
            <v xml:space="preserve">GTL </v>
          </cell>
          <cell r="C19">
            <v>17.231316725978647</v>
          </cell>
          <cell r="D19" t="str">
            <v></v>
          </cell>
          <cell r="E19">
            <v>1.1864600000000001</v>
          </cell>
          <cell r="F19" t="str">
            <v></v>
          </cell>
          <cell r="G19">
            <v>11.655135676588008</v>
          </cell>
          <cell r="H19" t="str">
            <v></v>
          </cell>
          <cell r="I19">
            <v>2.8995284599323448</v>
          </cell>
          <cell r="J19" t="str">
            <v></v>
          </cell>
          <cell r="K19" t="str">
            <v>609991</v>
          </cell>
          <cell r="L19">
            <v>522</v>
          </cell>
          <cell r="M19">
            <v>240</v>
          </cell>
          <cell r="N19">
            <v>1.175</v>
          </cell>
          <cell r="P19" t="str">
            <v></v>
          </cell>
          <cell r="Q19">
            <v>1</v>
          </cell>
          <cell r="R19" t="str">
            <v></v>
          </cell>
          <cell r="T19">
            <v>1</v>
          </cell>
          <cell r="U19" t="str">
            <v/>
          </cell>
          <cell r="V19" t="str">
            <v/>
          </cell>
          <cell r="W19">
            <v>1</v>
          </cell>
          <cell r="X19" t="str">
            <v></v>
          </cell>
          <cell r="Z19">
            <v>16.401959999999999</v>
          </cell>
          <cell r="AA19">
            <v>17.231316725978647</v>
          </cell>
          <cell r="AB19">
            <v>11.75242718446602</v>
          </cell>
          <cell r="AC19" t="str">
            <v>11.75 </v>
          </cell>
          <cell r="AD19">
            <v>1.1864600000000001</v>
          </cell>
          <cell r="AE19">
            <v>12.2004</v>
          </cell>
          <cell r="AF19">
            <v>1.0213099999999999</v>
          </cell>
          <cell r="AG19">
            <v>11.655135676588008</v>
          </cell>
        </row>
        <row r="20">
          <cell r="B20" t="str">
            <v xml:space="preserve">Tanla Solutions </v>
          </cell>
          <cell r="C20">
            <v>16.367534456355283</v>
          </cell>
          <cell r="D20" t="str">
            <v></v>
          </cell>
          <cell r="E20">
            <v>3.17971</v>
          </cell>
          <cell r="F20" t="str">
            <v></v>
          </cell>
          <cell r="G20">
            <v>21.602059422204459</v>
          </cell>
          <cell r="H20" t="str">
            <v></v>
          </cell>
          <cell r="I20">
            <v>1.4369973190348526</v>
          </cell>
          <cell r="J20" t="str">
            <v></v>
          </cell>
          <cell r="K20" t="str">
            <v>B1LGZV</v>
          </cell>
          <cell r="L20">
            <v>426</v>
          </cell>
          <cell r="M20">
            <v>278.25</v>
          </cell>
          <cell r="N20">
            <v>0.53099730458221028</v>
          </cell>
          <cell r="P20" t="str">
            <v></v>
          </cell>
          <cell r="Q20">
            <v>1</v>
          </cell>
          <cell r="R20" t="str">
            <v></v>
          </cell>
          <cell r="T20">
            <v>3</v>
          </cell>
          <cell r="U20" t="str">
            <v/>
          </cell>
          <cell r="V20" t="str">
            <v/>
          </cell>
          <cell r="W20">
            <v>1</v>
          </cell>
          <cell r="X20" t="str">
            <v></v>
          </cell>
          <cell r="Z20">
            <v>14.288360000000001</v>
          </cell>
          <cell r="AA20">
            <v>16.367534456355283</v>
          </cell>
          <cell r="AB20">
            <v>11.757975797579757</v>
          </cell>
          <cell r="AC20" t="str">
            <v>11.76 </v>
          </cell>
          <cell r="AD20">
            <v>3.17971</v>
          </cell>
          <cell r="AE20">
            <v>11.46799</v>
          </cell>
          <cell r="AF20">
            <v>5.9751399999999997</v>
          </cell>
          <cell r="AG20">
            <v>21.602059422204459</v>
          </cell>
        </row>
        <row r="21">
          <cell r="B21" t="str">
            <v xml:space="preserve">HCL Technologies </v>
          </cell>
          <cell r="C21">
            <v>15.459382224372732</v>
          </cell>
          <cell r="D21" t="str">
            <v></v>
          </cell>
          <cell r="E21">
            <v>4.0106999999999999</v>
          </cell>
          <cell r="F21" t="str">
            <v></v>
          </cell>
          <cell r="G21">
            <v>19.440219078390026</v>
          </cell>
          <cell r="H21" t="str">
            <v></v>
          </cell>
          <cell r="I21">
            <v>5.6880861844350816E-2</v>
          </cell>
          <cell r="J21" t="str">
            <v></v>
          </cell>
          <cell r="K21" t="str">
            <v>629489</v>
          </cell>
          <cell r="L21">
            <v>302</v>
          </cell>
          <cell r="M21">
            <v>312.90000000000003</v>
          </cell>
          <cell r="N21">
            <v>-3.4835410674336952E-2</v>
          </cell>
          <cell r="P21" t="str">
            <v></v>
          </cell>
          <cell r="Q21">
            <v>1.5</v>
          </cell>
          <cell r="R21" t="str">
            <v></v>
          </cell>
          <cell r="T21">
            <v>8</v>
          </cell>
          <cell r="U21">
            <v>7</v>
          </cell>
          <cell r="V21" t="str">
            <v/>
          </cell>
          <cell r="W21">
            <v>1.571429</v>
          </cell>
          <cell r="X21" t="str">
            <v></v>
          </cell>
          <cell r="Z21">
            <v>16.34</v>
          </cell>
          <cell r="AA21">
            <v>15.459382224372732</v>
          </cell>
          <cell r="AB21">
            <v>13.602375787634642</v>
          </cell>
          <cell r="AC21" t="str">
            <v>13.60 </v>
          </cell>
          <cell r="AD21">
            <v>4.0106999999999999</v>
          </cell>
          <cell r="AE21">
            <v>20.181909999999998</v>
          </cell>
          <cell r="AF21">
            <v>3.6935899999999999</v>
          </cell>
          <cell r="AG21">
            <v>19.440219078390026</v>
          </cell>
        </row>
        <row r="22">
          <cell r="B22" t="str">
            <v xml:space="preserve">KLG Systel </v>
          </cell>
          <cell r="C22">
            <v>14.288883411387726</v>
          </cell>
          <cell r="D22" t="str">
            <v></v>
          </cell>
          <cell r="E22">
            <v>2.9124500000000002</v>
          </cell>
          <cell r="F22" t="str">
            <v></v>
          </cell>
          <cell r="G22">
            <v>17.296609791008098</v>
          </cell>
          <cell r="H22" t="str">
            <v></v>
          </cell>
          <cell r="I22">
            <v>0.90131578947368407</v>
          </cell>
          <cell r="J22" t="str">
            <v></v>
          </cell>
          <cell r="K22" t="str">
            <v>620559</v>
          </cell>
          <cell r="L22" t="e">
            <v>#N/A</v>
          </cell>
          <cell r="M22">
            <v>589.80000000000007</v>
          </cell>
          <cell r="N22" t="e">
            <v>#N/A</v>
          </cell>
          <cell r="P22" t="str">
            <v></v>
          </cell>
          <cell r="Q22">
            <v>1</v>
          </cell>
          <cell r="R22" t="str">
            <v></v>
          </cell>
          <cell r="T22">
            <v>1</v>
          </cell>
          <cell r="U22" t="str">
            <v/>
          </cell>
          <cell r="V22" t="str">
            <v/>
          </cell>
          <cell r="W22">
            <v>1</v>
          </cell>
          <cell r="X22" t="str">
            <v></v>
          </cell>
          <cell r="Z22">
            <v>12.70435</v>
          </cell>
          <cell r="AA22">
            <v>14.288883411387726</v>
          </cell>
          <cell r="AB22">
            <v>14.327731092436975</v>
          </cell>
          <cell r="AC22" t="str">
            <v>14.33 </v>
          </cell>
          <cell r="AD22">
            <v>2.9124500000000002</v>
          </cell>
          <cell r="AE22">
            <v>11.400309999999999</v>
          </cell>
          <cell r="AF22">
            <v>2.30226</v>
          </cell>
          <cell r="AG22">
            <v>17.296609791008098</v>
          </cell>
        </row>
        <row r="23">
          <cell r="B23" t="str">
            <v xml:space="preserve">Nucleus Software Exports </v>
          </cell>
          <cell r="C23">
            <v>13.882666666666667</v>
          </cell>
          <cell r="D23" t="str">
            <v></v>
          </cell>
          <cell r="E23">
            <v>9.3110999999999997</v>
          </cell>
          <cell r="F23" t="str">
            <v></v>
          </cell>
          <cell r="G23">
            <v>12.824442830371405</v>
          </cell>
          <cell r="H23" t="str">
            <v></v>
          </cell>
          <cell r="I23">
            <v>4.7441656623205875E-2</v>
          </cell>
          <cell r="J23" t="str">
            <v></v>
          </cell>
          <cell r="K23" t="str">
            <v>632517</v>
          </cell>
          <cell r="L23" t="e">
            <v>#N/A</v>
          </cell>
          <cell r="M23">
            <v>264.05</v>
          </cell>
          <cell r="N23" t="e">
            <v>#N/A</v>
          </cell>
          <cell r="P23" t="str">
            <v></v>
          </cell>
          <cell r="Q23">
            <v>1</v>
          </cell>
          <cell r="R23" t="str">
            <v></v>
          </cell>
          <cell r="T23">
            <v>2</v>
          </cell>
          <cell r="U23" t="str">
            <v/>
          </cell>
          <cell r="V23" t="str">
            <v/>
          </cell>
          <cell r="W23">
            <v>1</v>
          </cell>
          <cell r="X23" t="str">
            <v></v>
          </cell>
          <cell r="Z23">
            <v>27.935420000000001</v>
          </cell>
          <cell r="AA23">
            <v>13.882666666666667</v>
          </cell>
          <cell r="AB23">
            <v>10.891213389121338</v>
          </cell>
          <cell r="AC23" t="str">
            <v>10.89 </v>
          </cell>
          <cell r="AD23">
            <v>9.3110999999999997</v>
          </cell>
          <cell r="AE23">
            <v>24.410699999999999</v>
          </cell>
          <cell r="AF23">
            <v>6.9641599999999997</v>
          </cell>
          <cell r="AG23">
            <v>12.824442830371405</v>
          </cell>
        </row>
        <row r="24">
          <cell r="B24" t="str">
            <v xml:space="preserve">Tech Mahindra </v>
          </cell>
          <cell r="C24">
            <v>13.812760765034616</v>
          </cell>
          <cell r="D24" t="str">
            <v></v>
          </cell>
          <cell r="E24">
            <v>18.844529999999999</v>
          </cell>
          <cell r="F24" t="str">
            <v></v>
          </cell>
          <cell r="G24">
            <v>13.450951219941436</v>
          </cell>
          <cell r="H24" t="str">
            <v></v>
          </cell>
          <cell r="I24">
            <v>0.58809925979642186</v>
          </cell>
          <cell r="J24" t="str">
            <v></v>
          </cell>
          <cell r="K24" t="str">
            <v>B1C4TB</v>
          </cell>
          <cell r="L24">
            <v>932</v>
          </cell>
          <cell r="M24">
            <v>865</v>
          </cell>
          <cell r="N24">
            <v>7.7456647398843934E-2</v>
          </cell>
          <cell r="P24" t="str">
            <v></v>
          </cell>
          <cell r="Q24">
            <v>2</v>
          </cell>
          <cell r="R24" t="str">
            <v></v>
          </cell>
          <cell r="T24">
            <v>1</v>
          </cell>
          <cell r="U24">
            <v>6</v>
          </cell>
          <cell r="V24">
            <v>2</v>
          </cell>
          <cell r="W24">
            <v>2.0769229999999999</v>
          </cell>
          <cell r="X24" t="str">
            <v></v>
          </cell>
          <cell r="Z24">
            <v>11.13325</v>
          </cell>
          <cell r="AA24">
            <v>13.812760765034616</v>
          </cell>
          <cell r="AB24">
            <v>11.437958541576757</v>
          </cell>
          <cell r="AC24" t="str">
            <v>11.44 </v>
          </cell>
          <cell r="AD24">
            <v>18.844529999999999</v>
          </cell>
          <cell r="AE24">
            <v>88.571330000000003</v>
          </cell>
          <cell r="AF24">
            <v>5.6097099999999998</v>
          </cell>
          <cell r="AG24">
            <v>13.450951219941436</v>
          </cell>
        </row>
        <row r="25">
          <cell r="B25" t="str">
            <v xml:space="preserve">Polaris Software Laboratory </v>
          </cell>
          <cell r="C25">
            <v>12.618838282867314</v>
          </cell>
          <cell r="D25" t="str">
            <v></v>
          </cell>
          <cell r="E25">
            <v>2.9498799999999998</v>
          </cell>
          <cell r="F25" t="str">
            <v></v>
          </cell>
          <cell r="G25">
            <v>5.5999741994251204</v>
          </cell>
          <cell r="H25" t="str">
            <v></v>
          </cell>
          <cell r="I25">
            <v>-0.12422553463471286</v>
          </cell>
          <cell r="J25" t="str">
            <v></v>
          </cell>
          <cell r="K25" t="str">
            <v>624102</v>
          </cell>
          <cell r="L25">
            <v>90</v>
          </cell>
          <cell r="M25">
            <v>105.7</v>
          </cell>
          <cell r="N25">
            <v>-0.14853358561967836</v>
          </cell>
          <cell r="P25" t="str">
            <v></v>
          </cell>
          <cell r="Q25">
            <v>2.5</v>
          </cell>
          <cell r="R25" t="str">
            <v></v>
          </cell>
          <cell r="T25">
            <v>1</v>
          </cell>
          <cell r="U25" t="str">
            <v/>
          </cell>
          <cell r="V25">
            <v>2</v>
          </cell>
          <cell r="W25">
            <v>2.4</v>
          </cell>
          <cell r="X25" t="str">
            <v></v>
          </cell>
          <cell r="Z25">
            <v>10.58625</v>
          </cell>
          <cell r="AA25">
            <v>12.618838282867314</v>
          </cell>
          <cell r="AB25">
            <v>11.315553630200343</v>
          </cell>
          <cell r="AC25" t="str">
            <v>11.32 </v>
          </cell>
          <cell r="AD25">
            <v>2.9498799999999998</v>
          </cell>
          <cell r="AE25">
            <v>11.82709</v>
          </cell>
          <cell r="AF25">
            <v>1.71376</v>
          </cell>
          <cell r="AG25">
            <v>5.5999741994251204</v>
          </cell>
        </row>
        <row r="26">
          <cell r="B26" t="str">
            <v xml:space="preserve">3I Infotech </v>
          </cell>
          <cell r="C26">
            <v>12.503755125606487</v>
          </cell>
          <cell r="D26" t="str">
            <v></v>
          </cell>
          <cell r="E26">
            <v>3.4301499999999998</v>
          </cell>
          <cell r="F26" t="str">
            <v></v>
          </cell>
          <cell r="G26">
            <v>14.896769610153628</v>
          </cell>
          <cell r="H26" t="str">
            <v></v>
          </cell>
          <cell r="I26">
            <v>0.76978386717628511</v>
          </cell>
          <cell r="J26" t="str">
            <v></v>
          </cell>
          <cell r="K26" t="str">
            <v>B06965</v>
          </cell>
          <cell r="L26">
            <v>170</v>
          </cell>
          <cell r="M26">
            <v>119.5</v>
          </cell>
          <cell r="N26">
            <v>0.42259414225941422</v>
          </cell>
          <cell r="P26" t="str">
            <v></v>
          </cell>
          <cell r="Q26">
            <v>1</v>
          </cell>
          <cell r="R26" t="str">
            <v></v>
          </cell>
          <cell r="T26">
            <v>6</v>
          </cell>
          <cell r="U26" t="str">
            <v/>
          </cell>
          <cell r="V26" t="str">
            <v/>
          </cell>
          <cell r="W26">
            <v>1</v>
          </cell>
          <cell r="X26" t="str">
            <v></v>
          </cell>
          <cell r="Z26">
            <v>13.42047</v>
          </cell>
          <cell r="AA26">
            <v>12.503755125606487</v>
          </cell>
          <cell r="AB26">
            <v>8.499045388671675</v>
          </cell>
          <cell r="AC26" t="str">
            <v>8.50 </v>
          </cell>
          <cell r="AD26">
            <v>3.4301499999999998</v>
          </cell>
          <cell r="AE26">
            <v>9.9772400000000001</v>
          </cell>
          <cell r="AF26">
            <v>1.9758599999999999</v>
          </cell>
          <cell r="AG26">
            <v>14.896769610153628</v>
          </cell>
        </row>
        <row r="27">
          <cell r="B27" t="str">
            <v xml:space="preserve">Tata Elxsi (India) </v>
          </cell>
          <cell r="C27">
            <v>11.864705882352942</v>
          </cell>
          <cell r="D27" t="str">
            <v></v>
          </cell>
          <cell r="E27">
            <v>9.6974499999999999</v>
          </cell>
          <cell r="F27" t="str">
            <v></v>
          </cell>
          <cell r="G27">
            <v>8.8415433659000549</v>
          </cell>
          <cell r="H27" t="str">
            <v></v>
          </cell>
          <cell r="I27" t="str">
            <v/>
          </cell>
          <cell r="J27" t="str">
            <v></v>
          </cell>
          <cell r="K27" t="str">
            <v>621120</v>
          </cell>
          <cell r="L27" t="e">
            <v>#N/A</v>
          </cell>
          <cell r="M27">
            <v>210.95000000000002</v>
          </cell>
          <cell r="N27" t="e">
            <v>#N/A</v>
          </cell>
          <cell r="P27" t="str">
            <v></v>
          </cell>
          <cell r="Q27" t="e">
            <v>#N/A</v>
          </cell>
          <cell r="R27" t="str">
            <v></v>
          </cell>
          <cell r="T27" t="str">
            <v/>
          </cell>
          <cell r="U27" t="str">
            <v/>
          </cell>
          <cell r="V27" t="str">
            <v/>
          </cell>
          <cell r="W27" t="e">
            <v>#N/A</v>
          </cell>
          <cell r="X27" t="str">
            <v></v>
          </cell>
          <cell r="Z27">
            <v>17.219239999999999</v>
          </cell>
          <cell r="AA27">
            <v>11.864705882352942</v>
          </cell>
          <cell r="AC27" t="str">
            <v></v>
          </cell>
          <cell r="AD27">
            <v>9.6974499999999999</v>
          </cell>
          <cell r="AE27">
            <v>14.89174</v>
          </cell>
          <cell r="AF27">
            <v>2.9144999999999999</v>
          </cell>
          <cell r="AG27">
            <v>8.8415433659000549</v>
          </cell>
        </row>
        <row r="28">
          <cell r="B28" t="str">
            <v xml:space="preserve">HCL Infosystems </v>
          </cell>
          <cell r="C28">
            <v>9.6874321462188036</v>
          </cell>
          <cell r="D28" t="str">
            <v></v>
          </cell>
          <cell r="E28">
            <v>3.7365200000000001</v>
          </cell>
          <cell r="F28" t="str">
            <v></v>
          </cell>
          <cell r="G28">
            <v>6.7567410975847926</v>
          </cell>
          <cell r="H28" t="str">
            <v></v>
          </cell>
          <cell r="I28">
            <v>0.19007635509268694</v>
          </cell>
          <cell r="J28" t="str">
            <v></v>
          </cell>
          <cell r="K28" t="str">
            <v>B0BZM4</v>
          </cell>
          <cell r="L28">
            <v>230</v>
          </cell>
          <cell r="M28">
            <v>166.25</v>
          </cell>
          <cell r="N28">
            <v>0.38345864661654133</v>
          </cell>
          <cell r="P28" t="str">
            <v></v>
          </cell>
          <cell r="Q28">
            <v>1.5</v>
          </cell>
          <cell r="R28" t="str">
            <v></v>
          </cell>
          <cell r="T28">
            <v>1</v>
          </cell>
          <cell r="U28" t="str">
            <v/>
          </cell>
          <cell r="V28" t="str">
            <v/>
          </cell>
          <cell r="W28">
            <v>1.375</v>
          </cell>
          <cell r="X28" t="str">
            <v></v>
          </cell>
          <cell r="Z28">
            <v>10.15508</v>
          </cell>
          <cell r="AA28">
            <v>9.6874321462188036</v>
          </cell>
          <cell r="AB28">
            <v>8.0914195401031552</v>
          </cell>
          <cell r="AC28" t="str">
            <v>8.09 </v>
          </cell>
          <cell r="AD28">
            <v>3.7365200000000001</v>
          </cell>
          <cell r="AE28">
            <v>9.2448099999999993</v>
          </cell>
          <cell r="AF28">
            <v>0.27451999999999999</v>
          </cell>
          <cell r="AG28">
            <v>6.7567410975847926</v>
          </cell>
        </row>
        <row r="29">
          <cell r="B29" t="str">
            <v xml:space="preserve">Mastek </v>
          </cell>
          <cell r="C29">
            <v>9.5661768158129501</v>
          </cell>
          <cell r="D29" t="str">
            <v></v>
          </cell>
          <cell r="E29">
            <v>2.3425400000000001</v>
          </cell>
          <cell r="F29" t="str">
            <v></v>
          </cell>
          <cell r="G29">
            <v>7.0488494478281964</v>
          </cell>
          <cell r="H29" t="str">
            <v></v>
          </cell>
          <cell r="I29">
            <v>0.31713018710809826</v>
          </cell>
          <cell r="J29" t="str">
            <v></v>
          </cell>
          <cell r="K29" t="str">
            <v>629317</v>
          </cell>
          <cell r="L29">
            <v>412</v>
          </cell>
          <cell r="M29">
            <v>400.05</v>
          </cell>
          <cell r="N29">
            <v>2.9871266091738503E-2</v>
          </cell>
          <cell r="P29" t="str">
            <v></v>
          </cell>
          <cell r="Q29">
            <v>1.5</v>
          </cell>
          <cell r="R29" t="str">
            <v></v>
          </cell>
          <cell r="T29">
            <v>1</v>
          </cell>
          <cell r="U29" t="str">
            <v/>
          </cell>
          <cell r="V29">
            <v>1</v>
          </cell>
          <cell r="W29">
            <v>1.9</v>
          </cell>
          <cell r="X29" t="str">
            <v></v>
          </cell>
          <cell r="Z29">
            <v>10.29161</v>
          </cell>
          <cell r="AA29">
            <v>9.5661768158129501</v>
          </cell>
          <cell r="AB29">
            <v>9.0428536953187066</v>
          </cell>
          <cell r="AC29" t="str">
            <v>9.04 </v>
          </cell>
          <cell r="AD29">
            <v>2.3425400000000001</v>
          </cell>
          <cell r="AE29">
            <v>6.5165899999999999</v>
          </cell>
          <cell r="AF29">
            <v>1.0308600000000001</v>
          </cell>
          <cell r="AG29">
            <v>7.0488494478281964</v>
          </cell>
        </row>
        <row r="30">
          <cell r="B30" t="str">
            <v xml:space="preserve">Spanco Telesystems &amp; Solutions </v>
          </cell>
          <cell r="C30">
            <v>4.7904941434474635</v>
          </cell>
          <cell r="D30" t="str">
            <v></v>
          </cell>
          <cell r="E30">
            <v>1.5045599999999999</v>
          </cell>
          <cell r="F30" t="str">
            <v></v>
          </cell>
          <cell r="G30">
            <v>5.5710768818103258</v>
          </cell>
          <cell r="H30" t="str">
            <v></v>
          </cell>
          <cell r="I30">
            <v>0.96948557633904464</v>
          </cell>
          <cell r="J30" t="str">
            <v></v>
          </cell>
          <cell r="K30" t="str">
            <v>B02T8X</v>
          </cell>
          <cell r="L30" t="e">
            <v>#N/A</v>
          </cell>
          <cell r="M30">
            <v>141.75</v>
          </cell>
          <cell r="N30" t="e">
            <v>#N/A</v>
          </cell>
          <cell r="P30" t="str">
            <v></v>
          </cell>
          <cell r="Q30" t="e">
            <v>#N/A</v>
          </cell>
          <cell r="R30" t="str">
            <v></v>
          </cell>
          <cell r="T30" t="str">
            <v/>
          </cell>
          <cell r="U30" t="str">
            <v/>
          </cell>
          <cell r="V30" t="str">
            <v/>
          </cell>
          <cell r="W30" t="e">
            <v>#N/A</v>
          </cell>
          <cell r="X30" t="str">
            <v></v>
          </cell>
          <cell r="Z30">
            <v>9.5725099999999994</v>
          </cell>
          <cell r="AA30">
            <v>4.7904941434474635</v>
          </cell>
          <cell r="AB30">
            <v>3.7152621024892651</v>
          </cell>
          <cell r="AC30" t="str">
            <v>3.72 </v>
          </cell>
          <cell r="AD30">
            <v>1.5045599999999999</v>
          </cell>
          <cell r="AE30">
            <v>6.8803999999999998</v>
          </cell>
          <cell r="AF30">
            <v>0.72328999999999999</v>
          </cell>
          <cell r="AG30">
            <v>5.5710768818103258</v>
          </cell>
        </row>
        <row r="31">
          <cell r="B31" t="str">
            <v xml:space="preserve">Prithvi Information Solutions </v>
          </cell>
          <cell r="C31">
            <v>2.7297297297297298</v>
          </cell>
          <cell r="D31" t="str">
            <v></v>
          </cell>
          <cell r="E31">
            <v>1.2845500000000001</v>
          </cell>
          <cell r="F31" t="str">
            <v></v>
          </cell>
          <cell r="G31">
            <v>3.5454691520084012</v>
          </cell>
          <cell r="H31" t="str">
            <v></v>
          </cell>
          <cell r="I31">
            <v>0.95210946408209818</v>
          </cell>
          <cell r="J31" t="str">
            <v></v>
          </cell>
          <cell r="K31" t="str">
            <v>B0Q0QX</v>
          </cell>
          <cell r="L31">
            <v>439</v>
          </cell>
          <cell r="M31">
            <v>160.80000000000001</v>
          </cell>
          <cell r="N31">
            <v>1.7300995024875621</v>
          </cell>
          <cell r="P31" t="str">
            <v></v>
          </cell>
          <cell r="Q31" t="e">
            <v>#N/A</v>
          </cell>
          <cell r="R31" t="str">
            <v></v>
          </cell>
          <cell r="T31" t="str">
            <v/>
          </cell>
          <cell r="U31" t="str">
            <v/>
          </cell>
          <cell r="V31" t="str">
            <v/>
          </cell>
          <cell r="W31" t="e">
            <v>#N/A</v>
          </cell>
          <cell r="X31" t="str">
            <v></v>
          </cell>
          <cell r="Z31">
            <v>5.4681699999999998</v>
          </cell>
          <cell r="AA31">
            <v>2.7297297297297298</v>
          </cell>
          <cell r="AB31">
            <v>1.8878504672897196</v>
          </cell>
          <cell r="AC31" t="str">
            <v>1.89 </v>
          </cell>
          <cell r="AD31">
            <v>1.2845500000000001</v>
          </cell>
          <cell r="AE31">
            <v>5.1436500000000001</v>
          </cell>
          <cell r="AF31">
            <v>0.61897000000000002</v>
          </cell>
          <cell r="AG31">
            <v>3.5454691520084012</v>
          </cell>
        </row>
        <row r="32">
          <cell r="B32" t="str">
            <v xml:space="preserve">Financial Technologies (India) </v>
          </cell>
          <cell r="D32" t="str">
            <v></v>
          </cell>
          <cell r="E32">
            <v>25.72418</v>
          </cell>
          <cell r="F32" t="str">
            <v></v>
          </cell>
          <cell r="G32">
            <v>46.536364834406065</v>
          </cell>
          <cell r="H32" t="str">
            <v></v>
          </cell>
          <cell r="I32" t="str">
            <v/>
          </cell>
          <cell r="J32" t="str">
            <v></v>
          </cell>
          <cell r="K32" t="str">
            <v>625752</v>
          </cell>
          <cell r="L32" t="e">
            <v>#N/A</v>
          </cell>
          <cell r="M32">
            <v>1736.15</v>
          </cell>
          <cell r="N32" t="e">
            <v>#N/A</v>
          </cell>
          <cell r="P32" t="str">
            <v></v>
          </cell>
          <cell r="Q32" t="e">
            <v>#N/A</v>
          </cell>
          <cell r="R32" t="str">
            <v></v>
          </cell>
          <cell r="T32" t="str">
            <v/>
          </cell>
          <cell r="U32" t="str">
            <v/>
          </cell>
          <cell r="V32" t="str">
            <v/>
          </cell>
          <cell r="W32" t="e">
            <v>#N/A</v>
          </cell>
          <cell r="X32" t="str">
            <v></v>
          </cell>
          <cell r="Z32">
            <v>115.31861000000001</v>
          </cell>
          <cell r="AC32" t="str">
            <v></v>
          </cell>
          <cell r="AD32">
            <v>25.72418</v>
          </cell>
          <cell r="AE32">
            <v>81.286860000000004</v>
          </cell>
          <cell r="AF32">
            <v>30.42801</v>
          </cell>
          <cell r="AG32">
            <v>46.536364834406065</v>
          </cell>
        </row>
        <row r="33">
          <cell r="B33" t="str">
            <v xml:space="preserve">GTL Infrastructure </v>
          </cell>
          <cell r="D33" t="str">
            <v></v>
          </cell>
          <cell r="E33">
            <v>3.6036899999999998</v>
          </cell>
          <cell r="F33" t="str">
            <v></v>
          </cell>
          <cell r="G33">
            <v>91.648456727018555</v>
          </cell>
          <cell r="H33" t="str">
            <v></v>
          </cell>
          <cell r="I33">
            <v>0.5</v>
          </cell>
          <cell r="J33" t="str">
            <v></v>
          </cell>
          <cell r="K33" t="str">
            <v>B1GYMK</v>
          </cell>
          <cell r="L33">
            <v>66</v>
          </cell>
          <cell r="M33">
            <v>48.550000000000004</v>
          </cell>
          <cell r="N33">
            <v>0.35942327497425325</v>
          </cell>
          <cell r="P33" t="str">
            <v></v>
          </cell>
          <cell r="Q33">
            <v>1.25</v>
          </cell>
          <cell r="R33" t="str">
            <v></v>
          </cell>
          <cell r="T33">
            <v>1</v>
          </cell>
          <cell r="U33" t="str">
            <v/>
          </cell>
          <cell r="V33" t="str">
            <v/>
          </cell>
          <cell r="W33">
            <v>1.25</v>
          </cell>
          <cell r="X33" t="str">
            <v></v>
          </cell>
          <cell r="Z33">
            <v>-36.31559</v>
          </cell>
          <cell r="AA33">
            <v>-51.05</v>
          </cell>
          <cell r="AB33">
            <v>-48.61904761904762</v>
          </cell>
          <cell r="AC33" t="str">
            <v>48.62 </v>
          </cell>
          <cell r="AD33">
            <v>3.6036899999999998</v>
          </cell>
          <cell r="AE33">
            <v>37.015520000000002</v>
          </cell>
          <cell r="AF33">
            <v>16.815899999999999</v>
          </cell>
          <cell r="AG33">
            <v>91.648456727018555</v>
          </cell>
        </row>
        <row r="34">
          <cell r="B34" t="str">
            <v xml:space="preserve">Hinduja Ventures </v>
          </cell>
          <cell r="D34" t="str">
            <v></v>
          </cell>
          <cell r="E34">
            <v>4.6322599999999996</v>
          </cell>
          <cell r="F34" t="str">
            <v></v>
          </cell>
          <cell r="G34">
            <v>0.50858046224124609</v>
          </cell>
          <cell r="H34" t="str">
            <v></v>
          </cell>
          <cell r="I34" t="str">
            <v/>
          </cell>
          <cell r="J34" t="str">
            <v></v>
          </cell>
          <cell r="K34" t="str">
            <v>B1VLWQ</v>
          </cell>
          <cell r="L34" t="e">
            <v>#N/A</v>
          </cell>
          <cell r="M34">
            <v>306.25</v>
          </cell>
          <cell r="N34" t="e">
            <v>#N/A</v>
          </cell>
          <cell r="P34" t="str">
            <v></v>
          </cell>
          <cell r="Q34" t="e">
            <v>#N/A</v>
          </cell>
          <cell r="R34" t="str">
            <v></v>
          </cell>
          <cell r="T34" t="str">
            <v/>
          </cell>
          <cell r="U34" t="str">
            <v/>
          </cell>
          <cell r="V34" t="str">
            <v/>
          </cell>
          <cell r="W34" t="e">
            <v>#N/A</v>
          </cell>
          <cell r="X34" t="str">
            <v></v>
          </cell>
          <cell r="Z34">
            <v>4.4329900000000002</v>
          </cell>
          <cell r="AC34" t="str">
            <v></v>
          </cell>
          <cell r="AD34">
            <v>4.6322599999999996</v>
          </cell>
          <cell r="AE34">
            <v>-23.10829</v>
          </cell>
          <cell r="AF34">
            <v>10.380459999999999</v>
          </cell>
          <cell r="AG34">
            <v>0.50858046224124609</v>
          </cell>
        </row>
        <row r="35">
          <cell r="B35" t="str">
            <v xml:space="preserve">Core Projects &amp; Technologies </v>
          </cell>
          <cell r="D35" t="str">
            <v></v>
          </cell>
          <cell r="E35">
            <v>8.1354799999999994</v>
          </cell>
          <cell r="F35" t="str">
            <v></v>
          </cell>
          <cell r="G35">
            <v>37.672830380277055</v>
          </cell>
          <cell r="H35" t="str">
            <v></v>
          </cell>
          <cell r="I35" t="str">
            <v/>
          </cell>
          <cell r="J35" t="str">
            <v></v>
          </cell>
          <cell r="K35" t="str">
            <v>B1XX1Q</v>
          </cell>
          <cell r="L35" t="e">
            <v>#N/A</v>
          </cell>
          <cell r="M35">
            <v>198.05</v>
          </cell>
          <cell r="N35" t="e">
            <v>#N/A</v>
          </cell>
          <cell r="P35" t="str">
            <v></v>
          </cell>
          <cell r="Q35" t="e">
            <v>#N/A</v>
          </cell>
          <cell r="R35" t="str">
            <v></v>
          </cell>
          <cell r="T35" t="str">
            <v/>
          </cell>
          <cell r="U35" t="str">
            <v/>
          </cell>
          <cell r="V35" t="str">
            <v/>
          </cell>
          <cell r="W35" t="e">
            <v>#N/A</v>
          </cell>
          <cell r="X35" t="str">
            <v></v>
          </cell>
          <cell r="Z35">
            <v>16.638120000000001</v>
          </cell>
          <cell r="AC35" t="str">
            <v></v>
          </cell>
          <cell r="AD35">
            <v>8.1354799999999994</v>
          </cell>
          <cell r="AE35">
            <v>13.7371</v>
          </cell>
          <cell r="AF35">
            <v>2.6687500000000002</v>
          </cell>
          <cell r="AG35">
            <v>37.672830380277055</v>
          </cell>
        </row>
        <row r="36">
          <cell r="B36" t="str">
            <v xml:space="preserve">Aftek </v>
          </cell>
          <cell r="D36" t="str">
            <v></v>
          </cell>
          <cell r="E36">
            <v>1.3754599999999999</v>
          </cell>
          <cell r="F36" t="str">
            <v></v>
          </cell>
          <cell r="G36">
            <v>1.589551028872529</v>
          </cell>
          <cell r="H36" t="str">
            <v></v>
          </cell>
          <cell r="I36" t="str">
            <v/>
          </cell>
          <cell r="J36" t="str">
            <v></v>
          </cell>
          <cell r="K36" t="str">
            <v>673586</v>
          </cell>
          <cell r="L36" t="e">
            <v>#N/A</v>
          </cell>
          <cell r="M36">
            <v>46.900000000000006</v>
          </cell>
          <cell r="N36" t="e">
            <v>#N/A</v>
          </cell>
          <cell r="P36" t="str">
            <v></v>
          </cell>
          <cell r="Q36" t="e">
            <v>#N/A</v>
          </cell>
          <cell r="R36" t="str">
            <v></v>
          </cell>
          <cell r="T36" t="str">
            <v/>
          </cell>
          <cell r="U36" t="str">
            <v/>
          </cell>
          <cell r="V36" t="str">
            <v/>
          </cell>
          <cell r="W36" t="e">
            <v>#N/A</v>
          </cell>
          <cell r="X36" t="str">
            <v></v>
          </cell>
          <cell r="Z36">
            <v>14.03909</v>
          </cell>
          <cell r="AC36" t="str">
            <v></v>
          </cell>
          <cell r="AD36">
            <v>1.3754599999999999</v>
          </cell>
          <cell r="AE36">
            <v>8.1959400000000002</v>
          </cell>
          <cell r="AF36">
            <v>2.3648400000000001</v>
          </cell>
          <cell r="AG36">
            <v>1.589551028872529</v>
          </cell>
        </row>
        <row r="37">
          <cell r="B37" t="str">
            <v xml:space="preserve">I.C.S.A. (India) </v>
          </cell>
          <cell r="D37" t="str">
            <v></v>
          </cell>
          <cell r="E37">
            <v>6.55213</v>
          </cell>
          <cell r="F37" t="str">
            <v></v>
          </cell>
          <cell r="G37">
            <v>17.375668041441394</v>
          </cell>
          <cell r="H37" t="str">
            <v></v>
          </cell>
          <cell r="I37" t="str">
            <v/>
          </cell>
          <cell r="J37" t="str">
            <v></v>
          </cell>
          <cell r="K37" t="str">
            <v>654062</v>
          </cell>
          <cell r="L37">
            <v>545</v>
          </cell>
          <cell r="M37">
            <v>406.45</v>
          </cell>
          <cell r="N37">
            <v>0.34087833681879692</v>
          </cell>
          <cell r="P37" t="str">
            <v></v>
          </cell>
          <cell r="Q37">
            <v>1</v>
          </cell>
          <cell r="R37" t="str">
            <v></v>
          </cell>
          <cell r="T37">
            <v>1</v>
          </cell>
          <cell r="U37" t="str">
            <v/>
          </cell>
          <cell r="V37" t="str">
            <v/>
          </cell>
          <cell r="W37">
            <v>1</v>
          </cell>
          <cell r="X37" t="str">
            <v></v>
          </cell>
          <cell r="Z37">
            <v>12.012090000000001</v>
          </cell>
          <cell r="AC37" t="str">
            <v></v>
          </cell>
          <cell r="AD37">
            <v>6.55213</v>
          </cell>
          <cell r="AE37">
            <v>11.458460000000001</v>
          </cell>
          <cell r="AF37">
            <v>2.1322100000000002</v>
          </cell>
          <cell r="AG37">
            <v>17.375668041441394</v>
          </cell>
        </row>
        <row r="38">
          <cell r="B38" t="str">
            <v xml:space="preserve">Vindhya Telelinks </v>
          </cell>
          <cell r="D38" t="str">
            <v></v>
          </cell>
          <cell r="E38">
            <v>0.51188</v>
          </cell>
          <cell r="F38" t="str">
            <v></v>
          </cell>
          <cell r="G38">
            <v>8.3445728765316378</v>
          </cell>
          <cell r="H38" t="str">
            <v></v>
          </cell>
          <cell r="I38" t="str">
            <v/>
          </cell>
          <cell r="J38" t="str">
            <v></v>
          </cell>
          <cell r="K38" t="str">
            <v>692772</v>
          </cell>
          <cell r="L38" t="e">
            <v>#N/A</v>
          </cell>
          <cell r="M38">
            <v>126</v>
          </cell>
          <cell r="N38" t="e">
            <v>#N/A</v>
          </cell>
          <cell r="P38" t="str">
            <v></v>
          </cell>
          <cell r="Q38" t="e">
            <v>#N/A</v>
          </cell>
          <cell r="R38" t="str">
            <v></v>
          </cell>
          <cell r="T38" t="e">
            <v>#N/A</v>
          </cell>
          <cell r="U38" t="e">
            <v>#N/A</v>
          </cell>
          <cell r="V38" t="e">
            <v>#N/A</v>
          </cell>
          <cell r="W38" t="e">
            <v>#N/A</v>
          </cell>
          <cell r="X38" t="str">
            <v></v>
          </cell>
          <cell r="Z38">
            <v>11.121549999999999</v>
          </cell>
          <cell r="AC38" t="str">
            <v></v>
          </cell>
          <cell r="AD38">
            <v>0.51188</v>
          </cell>
          <cell r="AE38">
            <v>12.82169</v>
          </cell>
          <cell r="AF38">
            <v>2.1120000000000001</v>
          </cell>
          <cell r="AG38">
            <v>8.3445728765316378</v>
          </cell>
        </row>
        <row r="39">
          <cell r="B39" t="str">
            <v xml:space="preserve">CMC </v>
          </cell>
          <cell r="D39" t="str">
            <v></v>
          </cell>
          <cell r="E39">
            <v>7.6935200000000004</v>
          </cell>
          <cell r="F39" t="str">
            <v></v>
          </cell>
          <cell r="G39">
            <v>10.860213886009559</v>
          </cell>
          <cell r="H39" t="str">
            <v></v>
          </cell>
          <cell r="I39" t="str">
            <v/>
          </cell>
          <cell r="J39" t="str">
            <v></v>
          </cell>
          <cell r="K39" t="str">
            <v>614306</v>
          </cell>
          <cell r="L39" t="e">
            <v>#N/A</v>
          </cell>
          <cell r="M39">
            <v>762.65</v>
          </cell>
          <cell r="N39" t="e">
            <v>#N/A</v>
          </cell>
          <cell r="P39" t="str">
            <v></v>
          </cell>
          <cell r="Q39" t="e">
            <v>#N/A</v>
          </cell>
          <cell r="R39" t="str">
            <v></v>
          </cell>
          <cell r="T39" t="str">
            <v/>
          </cell>
          <cell r="U39" t="str">
            <v/>
          </cell>
          <cell r="V39" t="str">
            <v/>
          </cell>
          <cell r="W39" t="e">
            <v>#N/A</v>
          </cell>
          <cell r="X39" t="str">
            <v></v>
          </cell>
          <cell r="Z39">
            <v>26.468530000000001</v>
          </cell>
          <cell r="AC39" t="str">
            <v></v>
          </cell>
          <cell r="AD39">
            <v>7.6935200000000004</v>
          </cell>
          <cell r="AE39">
            <v>20.061350000000001</v>
          </cell>
          <cell r="AF39">
            <v>1.7015499999999999</v>
          </cell>
          <cell r="AG39">
            <v>10.860213886009559</v>
          </cell>
        </row>
        <row r="40">
          <cell r="B40" t="str">
            <v xml:space="preserve">Mascon Global </v>
          </cell>
          <cell r="D40" t="str">
            <v></v>
          </cell>
          <cell r="E40">
            <v>0.48300999999999999</v>
          </cell>
          <cell r="F40" t="str">
            <v></v>
          </cell>
          <cell r="G40">
            <v>13.109146135295031</v>
          </cell>
          <cell r="H40" t="str">
            <v></v>
          </cell>
          <cell r="I40" t="str">
            <v/>
          </cell>
          <cell r="J40" t="str">
            <v></v>
          </cell>
          <cell r="K40" t="str">
            <v>625739</v>
          </cell>
          <cell r="L40" t="e">
            <v>#N/A</v>
          </cell>
          <cell r="M40">
            <v>22.200000000000003</v>
          </cell>
          <cell r="N40" t="e">
            <v>#N/A</v>
          </cell>
          <cell r="P40" t="str">
            <v></v>
          </cell>
          <cell r="Q40" t="e">
            <v>#N/A</v>
          </cell>
          <cell r="R40" t="str">
            <v></v>
          </cell>
          <cell r="T40" t="str">
            <v/>
          </cell>
          <cell r="U40" t="str">
            <v/>
          </cell>
          <cell r="V40" t="str">
            <v/>
          </cell>
          <cell r="W40" t="e">
            <v>#N/A</v>
          </cell>
          <cell r="X40" t="str">
            <v></v>
          </cell>
          <cell r="Z40">
            <v>7.1538500000000003</v>
          </cell>
          <cell r="AC40" t="str">
            <v></v>
          </cell>
          <cell r="AD40">
            <v>0.48300999999999999</v>
          </cell>
          <cell r="AE40">
            <v>4.52799</v>
          </cell>
          <cell r="AF40">
            <v>0.42587999999999998</v>
          </cell>
          <cell r="AG40">
            <v>13.109146135295031</v>
          </cell>
        </row>
      </sheetData>
      <sheetData sheetId="2" refreshError="1"/>
      <sheetData sheetId="3" refreshError="1"/>
      <sheetData sheetId="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 FLOW-BASE BIZ"/>
    </sheetNames>
    <sheetDataSet>
      <sheetData sheetId="0" refreshError="1">
        <row r="177">
          <cell r="H177">
            <v>0</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IS Quarterly"/>
      <sheetName val="Scenario"/>
      <sheetName val="Bakery"/>
      <sheetName val="Input-CB Revenues"/>
      <sheetName val="P&amp;L"/>
      <sheetName val="P"/>
      <sheetName val="NKEBALST"/>
      <sheetName val="Analysis"/>
      <sheetName val="MACRS"/>
      <sheetName val="NKEQTR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8 MASTER"/>
      <sheetName val="Balance Sheet"/>
      <sheetName val="inputs"/>
      <sheetName val="other"/>
    </sheetNames>
    <definedNames>
      <definedName name="Print_Presentation"/>
    </definedNames>
    <sheetDataSet>
      <sheetData sheetId="0" refreshError="1"/>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nci"/>
      <sheetName val="Summary"/>
      <sheetName val="LBO"/>
      <sheetName val="Debt"/>
      <sheetName val="Assumptions"/>
      <sheetName val="__FDSCACHE__"/>
      <sheetName val="Projections"/>
      <sheetName val="Store Level"/>
      <sheetName val="RYAN LBO (6 22 2001)v7"/>
    </sheetNames>
    <sheetDataSet>
      <sheetData sheetId="0" refreshError="1"/>
      <sheetData sheetId="1" refreshError="1"/>
      <sheetData sheetId="2" refreshError="1"/>
      <sheetData sheetId="3" refreshError="1"/>
      <sheetData sheetId="4" refreshError="1"/>
      <sheetData sheetId="5" refreshError="1"/>
      <sheetData sheetId="6" refreshError="1">
        <row r="1">
          <cell r="A1" t="str">
            <v>Project RSH</v>
          </cell>
          <cell r="Y1" t="str">
            <v>ROBERTSON STEPHENS</v>
          </cell>
        </row>
        <row r="2">
          <cell r="A2" t="str">
            <v>Income Statement</v>
          </cell>
          <cell r="Y2" t="str">
            <v>Mergers &amp; Acquisitions</v>
          </cell>
        </row>
        <row r="3">
          <cell r="A3" t="str">
            <v>FYE December 31</v>
          </cell>
        </row>
        <row r="4">
          <cell r="A4" t="str">
            <v>($millions)</v>
          </cell>
          <cell r="Q4" t="str">
            <v>Projected</v>
          </cell>
        </row>
        <row r="5">
          <cell r="E5">
            <v>1998</v>
          </cell>
          <cell r="G5">
            <v>1999</v>
          </cell>
          <cell r="I5">
            <v>2000</v>
          </cell>
          <cell r="K5">
            <v>2001</v>
          </cell>
          <cell r="Q5">
            <v>2002</v>
          </cell>
          <cell r="S5">
            <v>2003</v>
          </cell>
          <cell r="U5">
            <v>2004</v>
          </cell>
          <cell r="W5">
            <v>2005</v>
          </cell>
          <cell r="Y5">
            <v>2006</v>
          </cell>
          <cell r="AA5">
            <v>2007</v>
          </cell>
          <cell r="AC5">
            <v>2008</v>
          </cell>
          <cell r="AE5">
            <v>2009</v>
          </cell>
          <cell r="AG5">
            <v>2010</v>
          </cell>
          <cell r="AI5">
            <v>2011</v>
          </cell>
          <cell r="AK5">
            <v>2012</v>
          </cell>
        </row>
        <row r="7">
          <cell r="A7" t="str">
            <v>Restaurant Sales</v>
          </cell>
          <cell r="E7">
            <v>637.00300000000004</v>
          </cell>
          <cell r="G7">
            <v>664.68100000000004</v>
          </cell>
          <cell r="I7">
            <v>704.62400000000002</v>
          </cell>
          <cell r="K7">
            <v>733.66066999999998</v>
          </cell>
          <cell r="Q7">
            <v>776.14737693016241</v>
          </cell>
          <cell r="S7">
            <v>771.81257566743238</v>
          </cell>
          <cell r="U7">
            <v>783.38976430244384</v>
          </cell>
          <cell r="W7">
            <v>795.14061076698033</v>
          </cell>
          <cell r="Y7">
            <v>807.06771992848496</v>
          </cell>
          <cell r="AA7">
            <v>819.17373572741212</v>
          </cell>
          <cell r="AC7">
            <v>831.46134176332328</v>
          </cell>
          <cell r="AE7">
            <v>883.72339522786569</v>
          </cell>
          <cell r="AG7">
            <v>906.52409387874695</v>
          </cell>
          <cell r="AI7">
            <v>938.80461558227091</v>
          </cell>
          <cell r="AK7">
            <v>0</v>
          </cell>
        </row>
        <row r="9">
          <cell r="A9" t="str">
            <v>Operating Costs and Expenses</v>
          </cell>
        </row>
        <row r="10">
          <cell r="A10" t="str">
            <v xml:space="preserve">     Food and Beverage </v>
          </cell>
          <cell r="E10">
            <v>248.90299999999999</v>
          </cell>
          <cell r="G10">
            <v>254.05199999999999</v>
          </cell>
          <cell r="I10">
            <v>263.79899999999998</v>
          </cell>
          <cell r="K10">
            <v>271.49599499999999</v>
          </cell>
          <cell r="Q10">
            <v>287.17452946416006</v>
          </cell>
          <cell r="S10">
            <v>285.57065299695</v>
          </cell>
          <cell r="U10">
            <v>289.85421279190422</v>
          </cell>
          <cell r="W10">
            <v>294.20202598378273</v>
          </cell>
          <cell r="Y10">
            <v>298.61505637353946</v>
          </cell>
          <cell r="AA10">
            <v>303.09428221914249</v>
          </cell>
          <cell r="AC10">
            <v>307.64069645242961</v>
          </cell>
          <cell r="AE10">
            <v>326.9776562343103</v>
          </cell>
          <cell r="AG10">
            <v>335.41391473513636</v>
          </cell>
          <cell r="AI10">
            <v>347.35770776544024</v>
          </cell>
          <cell r="AK10">
            <v>0</v>
          </cell>
        </row>
        <row r="11">
          <cell r="A11" t="str">
            <v xml:space="preserve">     Payroll and Benefits</v>
          </cell>
          <cell r="E11">
            <v>186.565</v>
          </cell>
          <cell r="G11">
            <v>196.84700000000001</v>
          </cell>
          <cell r="I11">
            <v>212.108</v>
          </cell>
          <cell r="K11">
            <v>222.884151</v>
          </cell>
          <cell r="Q11">
            <v>234.39650783290904</v>
          </cell>
          <cell r="S11">
            <v>233.08739785156456</v>
          </cell>
          <cell r="U11">
            <v>236.58370881933803</v>
          </cell>
          <cell r="W11">
            <v>240.13246445162804</v>
          </cell>
          <cell r="Y11">
            <v>243.73445141840244</v>
          </cell>
          <cell r="AA11">
            <v>247.39046818967844</v>
          </cell>
          <cell r="AC11">
            <v>251.10132521252362</v>
          </cell>
          <cell r="AE11">
            <v>266.88446535881542</v>
          </cell>
          <cell r="AG11">
            <v>273.7702763513816</v>
          </cell>
          <cell r="AI11">
            <v>283.51899390584583</v>
          </cell>
          <cell r="AK11">
            <v>0</v>
          </cell>
        </row>
        <row r="12">
          <cell r="A12" t="str">
            <v xml:space="preserve">     Other Operating Expenses</v>
          </cell>
          <cell r="E12">
            <v>79.837999999999994</v>
          </cell>
          <cell r="G12">
            <v>82.822999999999993</v>
          </cell>
          <cell r="I12">
            <v>90.051000000000002</v>
          </cell>
          <cell r="K12">
            <v>94.657297</v>
          </cell>
          <cell r="Q12">
            <v>100.89915900092112</v>
          </cell>
          <cell r="S12">
            <v>100.33563483676622</v>
          </cell>
          <cell r="U12">
            <v>101.8406693593177</v>
          </cell>
          <cell r="W12">
            <v>103.36827939970745</v>
          </cell>
          <cell r="Y12">
            <v>104.91880359070305</v>
          </cell>
          <cell r="AA12">
            <v>106.49258564456358</v>
          </cell>
          <cell r="AC12">
            <v>108.08997442923203</v>
          </cell>
          <cell r="AE12">
            <v>114.88404137962254</v>
          </cell>
          <cell r="AG12">
            <v>117.8481322042371</v>
          </cell>
          <cell r="AI12">
            <v>122.04460002569522</v>
          </cell>
          <cell r="AK12">
            <v>0</v>
          </cell>
        </row>
        <row r="13">
          <cell r="A13" t="str">
            <v xml:space="preserve">     Incremental Rent (Sale/Leaseback)</v>
          </cell>
          <cell r="E13">
            <v>0</v>
          </cell>
          <cell r="G13">
            <v>0</v>
          </cell>
          <cell r="I13">
            <v>0</v>
          </cell>
          <cell r="K13">
            <v>0</v>
          </cell>
          <cell r="Q13">
            <v>15</v>
          </cell>
          <cell r="S13">
            <v>15</v>
          </cell>
          <cell r="U13">
            <v>15</v>
          </cell>
          <cell r="W13">
            <v>15</v>
          </cell>
          <cell r="Y13">
            <v>15</v>
          </cell>
          <cell r="AA13">
            <v>15</v>
          </cell>
          <cell r="AC13">
            <v>15</v>
          </cell>
          <cell r="AE13">
            <v>15</v>
          </cell>
          <cell r="AG13">
            <v>15</v>
          </cell>
          <cell r="AI13">
            <v>15</v>
          </cell>
          <cell r="AK13">
            <v>15</v>
          </cell>
        </row>
        <row r="14">
          <cell r="A14" t="str">
            <v xml:space="preserve">     Depreciation and Amortization</v>
          </cell>
          <cell r="E14">
            <v>25.317</v>
          </cell>
          <cell r="G14">
            <v>26.456</v>
          </cell>
          <cell r="I14">
            <v>27.667999999999999</v>
          </cell>
          <cell r="K14">
            <v>29.630436</v>
          </cell>
          <cell r="Q14">
            <v>36.322625718778568</v>
          </cell>
          <cell r="S14">
            <v>36.322625718778568</v>
          </cell>
          <cell r="U14">
            <v>36.322625718778568</v>
          </cell>
          <cell r="W14">
            <v>36.322625718778568</v>
          </cell>
          <cell r="Y14">
            <v>36.322625718778568</v>
          </cell>
          <cell r="AA14">
            <v>36.322625718778568</v>
          </cell>
          <cell r="AC14">
            <v>36.322625718778568</v>
          </cell>
          <cell r="AE14">
            <v>34.626197147349998</v>
          </cell>
          <cell r="AG14">
            <v>34.626197147349998</v>
          </cell>
          <cell r="AI14">
            <v>34.626197147349998</v>
          </cell>
          <cell r="AK14">
            <v>34.626197147349998</v>
          </cell>
        </row>
        <row r="15">
          <cell r="A15" t="str">
            <v xml:space="preserve">  Total Restaurant Operating Costs and Expenses</v>
          </cell>
          <cell r="E15">
            <v>540.62299999999993</v>
          </cell>
          <cell r="G15">
            <v>560.178</v>
          </cell>
          <cell r="I15">
            <v>593.62599999999998</v>
          </cell>
          <cell r="K15">
            <v>618.66787899999997</v>
          </cell>
          <cell r="Q15">
            <v>673.79282201676881</v>
          </cell>
          <cell r="S15">
            <v>670.31631140405932</v>
          </cell>
          <cell r="U15">
            <v>679.60121668933846</v>
          </cell>
          <cell r="W15">
            <v>689.02539555389683</v>
          </cell>
          <cell r="Y15">
            <v>698.59093710142361</v>
          </cell>
          <cell r="AA15">
            <v>708.2999617721631</v>
          </cell>
          <cell r="AC15">
            <v>718.1546218129638</v>
          </cell>
          <cell r="AE15">
            <v>758.37236012009828</v>
          </cell>
          <cell r="AG15">
            <v>776.65852043810514</v>
          </cell>
          <cell r="AI15">
            <v>802.54749884433136</v>
          </cell>
          <cell r="AK15">
            <v>49.626197147349998</v>
          </cell>
        </row>
        <row r="17">
          <cell r="A17" t="str">
            <v>Restaurant Contribution</v>
          </cell>
          <cell r="E17">
            <v>96.380000000000109</v>
          </cell>
          <cell r="G17">
            <v>104.50300000000004</v>
          </cell>
          <cell r="I17">
            <v>110.99800000000005</v>
          </cell>
          <cell r="K17">
            <v>114.99279100000001</v>
          </cell>
          <cell r="Q17">
            <v>102.3545549133936</v>
          </cell>
          <cell r="S17">
            <v>101.49626426337306</v>
          </cell>
          <cell r="U17">
            <v>103.78854761310538</v>
          </cell>
          <cell r="W17">
            <v>106.1152152130835</v>
          </cell>
          <cell r="Y17">
            <v>108.47678282706136</v>
          </cell>
          <cell r="AA17">
            <v>110.87377395524902</v>
          </cell>
          <cell r="AC17">
            <v>113.30671995035948</v>
          </cell>
          <cell r="AE17">
            <v>125.35103510776742</v>
          </cell>
          <cell r="AG17">
            <v>129.86557344064181</v>
          </cell>
          <cell r="AI17">
            <v>136.25711673793955</v>
          </cell>
          <cell r="AK17">
            <v>-49.626197147349998</v>
          </cell>
        </row>
        <row r="19">
          <cell r="A19" t="str">
            <v>General and Administrative</v>
          </cell>
          <cell r="E19">
            <v>29.67</v>
          </cell>
          <cell r="G19">
            <v>33.191000000000003</v>
          </cell>
          <cell r="I19">
            <v>34.854999999999997</v>
          </cell>
          <cell r="K19">
            <v>35.517589999999998</v>
          </cell>
          <cell r="Q19">
            <v>37.255074092647796</v>
          </cell>
          <cell r="S19">
            <v>36.275191056369323</v>
          </cell>
          <cell r="U19">
            <v>36.035929157912413</v>
          </cell>
          <cell r="W19">
            <v>35.781327484514115</v>
          </cell>
          <cell r="Y19">
            <v>35.510979676853339</v>
          </cell>
          <cell r="AA19">
            <v>35.224470636278717</v>
          </cell>
          <cell r="AC19">
            <v>34.921376354059582</v>
          </cell>
          <cell r="AE19">
            <v>36.232659204342497</v>
          </cell>
          <cell r="AG19">
            <v>36.260963755149881</v>
          </cell>
          <cell r="AI19">
            <v>37.552184623290835</v>
          </cell>
          <cell r="AK19">
            <v>0</v>
          </cell>
        </row>
        <row r="21">
          <cell r="A21" t="str">
            <v>EBIT</v>
          </cell>
          <cell r="E21">
            <v>66.710000000000107</v>
          </cell>
          <cell r="G21">
            <v>71.31200000000004</v>
          </cell>
          <cell r="I21">
            <v>76.143000000000058</v>
          </cell>
          <cell r="K21">
            <v>79.475201000000013</v>
          </cell>
          <cell r="Q21">
            <v>65.099480820745811</v>
          </cell>
          <cell r="S21">
            <v>65.221073207003741</v>
          </cell>
          <cell r="U21">
            <v>67.752618455192959</v>
          </cell>
          <cell r="W21">
            <v>70.33388772856938</v>
          </cell>
          <cell r="Y21">
            <v>72.965803150208018</v>
          </cell>
          <cell r="AA21">
            <v>75.649303318970311</v>
          </cell>
          <cell r="AC21">
            <v>78.38534359629989</v>
          </cell>
          <cell r="AE21">
            <v>89.118375903424919</v>
          </cell>
          <cell r="AG21">
            <v>93.604609685491937</v>
          </cell>
          <cell r="AI21">
            <v>98.704932114648727</v>
          </cell>
          <cell r="AK21">
            <v>-49.626197147349998</v>
          </cell>
        </row>
        <row r="23">
          <cell r="A23" t="str">
            <v>Interest Income</v>
          </cell>
          <cell r="E23">
            <v>0</v>
          </cell>
          <cell r="G23">
            <v>0</v>
          </cell>
          <cell r="I23">
            <v>0</v>
          </cell>
          <cell r="K23">
            <v>0</v>
          </cell>
          <cell r="Q23">
            <v>0.16451846444290366</v>
          </cell>
          <cell r="S23">
            <v>0</v>
          </cell>
          <cell r="U23">
            <v>0.65668955499531179</v>
          </cell>
          <cell r="W23">
            <v>1.2359821186352995</v>
          </cell>
          <cell r="Y23">
            <v>2.3416751272281835</v>
          </cell>
          <cell r="AA23">
            <v>4.4172612966083706</v>
          </cell>
          <cell r="AC23">
            <v>2.8193971974630787</v>
          </cell>
          <cell r="AE23">
            <v>0</v>
          </cell>
          <cell r="AG23">
            <v>0.84690408763513225</v>
          </cell>
          <cell r="AI23">
            <v>3.54664213689811</v>
          </cell>
          <cell r="AK23">
            <v>3.9279141213148288</v>
          </cell>
        </row>
        <row r="25">
          <cell r="A25" t="str">
            <v>Interest Expense:</v>
          </cell>
        </row>
        <row r="26">
          <cell r="A26" t="str">
            <v xml:space="preserve">     Revolver (incl. commit. fee)</v>
          </cell>
          <cell r="Q26">
            <v>1.4024437594055872</v>
          </cell>
          <cell r="S26">
            <v>1.25</v>
          </cell>
          <cell r="U26">
            <v>1.25</v>
          </cell>
          <cell r="W26">
            <v>1.25</v>
          </cell>
          <cell r="Y26">
            <v>1.25</v>
          </cell>
          <cell r="AA26">
            <v>1.25</v>
          </cell>
          <cell r="AC26">
            <v>3.2323963396117241</v>
          </cell>
          <cell r="AE26">
            <v>3.3882878081989851</v>
          </cell>
          <cell r="AG26">
            <v>1.4058914685872608</v>
          </cell>
          <cell r="AI26">
            <v>1.25</v>
          </cell>
          <cell r="AK26">
            <v>1.25</v>
          </cell>
        </row>
        <row r="27">
          <cell r="A27" t="str">
            <v xml:space="preserve">     Demand Note</v>
          </cell>
          <cell r="Q27">
            <v>0</v>
          </cell>
          <cell r="S27">
            <v>0</v>
          </cell>
          <cell r="U27">
            <v>0</v>
          </cell>
          <cell r="W27">
            <v>0</v>
          </cell>
          <cell r="Y27">
            <v>0</v>
          </cell>
          <cell r="AA27">
            <v>0</v>
          </cell>
          <cell r="AC27">
            <v>0</v>
          </cell>
          <cell r="AE27">
            <v>0</v>
          </cell>
          <cell r="AG27">
            <v>0</v>
          </cell>
          <cell r="AI27">
            <v>0</v>
          </cell>
          <cell r="AK27">
            <v>0</v>
          </cell>
        </row>
        <row r="28">
          <cell r="A28" t="str">
            <v xml:space="preserve">     Term Loan A</v>
          </cell>
          <cell r="Q28">
            <v>9.9675547197629637</v>
          </cell>
          <cell r="S28">
            <v>8.7719827472103287</v>
          </cell>
          <cell r="U28">
            <v>6.5004658577291794</v>
          </cell>
          <cell r="W28">
            <v>4.0472190150641945</v>
          </cell>
          <cell r="Y28">
            <v>2.4822479847611114</v>
          </cell>
          <cell r="AA28">
            <v>0.61659976879830369</v>
          </cell>
          <cell r="AC28">
            <v>0</v>
          </cell>
          <cell r="AE28">
            <v>0</v>
          </cell>
          <cell r="AG28">
            <v>0</v>
          </cell>
          <cell r="AI28">
            <v>0</v>
          </cell>
          <cell r="AK28">
            <v>0</v>
          </cell>
        </row>
        <row r="29">
          <cell r="A29" t="str">
            <v xml:space="preserve">     Term Loan B</v>
          </cell>
          <cell r="Q29">
            <v>0</v>
          </cell>
          <cell r="S29">
            <v>0</v>
          </cell>
          <cell r="U29">
            <v>0</v>
          </cell>
          <cell r="W29">
            <v>0</v>
          </cell>
          <cell r="Y29">
            <v>0</v>
          </cell>
          <cell r="AA29">
            <v>0</v>
          </cell>
          <cell r="AC29">
            <v>0</v>
          </cell>
          <cell r="AE29">
            <v>0</v>
          </cell>
          <cell r="AG29">
            <v>0</v>
          </cell>
          <cell r="AI29">
            <v>0</v>
          </cell>
          <cell r="AK29">
            <v>0</v>
          </cell>
        </row>
        <row r="30">
          <cell r="A30" t="str">
            <v xml:space="preserve">     Capital Lease Obligations</v>
          </cell>
          <cell r="Q30">
            <v>0</v>
          </cell>
          <cell r="S30">
            <v>0</v>
          </cell>
          <cell r="U30">
            <v>0</v>
          </cell>
          <cell r="W30">
            <v>0</v>
          </cell>
          <cell r="Y30">
            <v>0</v>
          </cell>
          <cell r="AA30">
            <v>0</v>
          </cell>
          <cell r="AC30">
            <v>0</v>
          </cell>
          <cell r="AE30">
            <v>0</v>
          </cell>
          <cell r="AG30">
            <v>0</v>
          </cell>
          <cell r="AI30">
            <v>0</v>
          </cell>
          <cell r="AK30">
            <v>0</v>
          </cell>
        </row>
        <row r="31">
          <cell r="A31" t="str">
            <v xml:space="preserve">     Other Long Term Debt</v>
          </cell>
          <cell r="Q31">
            <v>0</v>
          </cell>
          <cell r="S31">
            <v>0</v>
          </cell>
          <cell r="U31">
            <v>0</v>
          </cell>
          <cell r="W31">
            <v>0</v>
          </cell>
          <cell r="Y31">
            <v>0</v>
          </cell>
          <cell r="AA31">
            <v>0</v>
          </cell>
          <cell r="AC31">
            <v>0</v>
          </cell>
          <cell r="AE31">
            <v>0</v>
          </cell>
          <cell r="AG31">
            <v>0</v>
          </cell>
          <cell r="AI31">
            <v>0</v>
          </cell>
          <cell r="AK31">
            <v>0</v>
          </cell>
        </row>
        <row r="32">
          <cell r="A32" t="str">
            <v xml:space="preserve">     Senior Subordinated Note</v>
          </cell>
          <cell r="Q32">
            <v>27.5</v>
          </cell>
          <cell r="S32">
            <v>27.5</v>
          </cell>
          <cell r="U32">
            <v>27.5</v>
          </cell>
          <cell r="W32">
            <v>27.5</v>
          </cell>
          <cell r="Y32">
            <v>27.5</v>
          </cell>
          <cell r="AA32">
            <v>27.5</v>
          </cell>
          <cell r="AC32">
            <v>27.5</v>
          </cell>
          <cell r="AE32">
            <v>0</v>
          </cell>
          <cell r="AG32">
            <v>0</v>
          </cell>
          <cell r="AI32">
            <v>0</v>
          </cell>
          <cell r="AK32">
            <v>0</v>
          </cell>
        </row>
        <row r="33">
          <cell r="A33" t="str">
            <v>Total Interest Expense</v>
          </cell>
          <cell r="E33">
            <v>6.8019999999999996</v>
          </cell>
          <cell r="G33">
            <v>7.9859999999999998</v>
          </cell>
          <cell r="I33">
            <v>13.904999999999999</v>
          </cell>
          <cell r="K33">
            <v>15.698</v>
          </cell>
          <cell r="Q33">
            <v>38.869998479168551</v>
          </cell>
          <cell r="S33">
            <v>37.52198274721033</v>
          </cell>
          <cell r="U33">
            <v>35.250465857729182</v>
          </cell>
          <cell r="W33">
            <v>32.797219015064194</v>
          </cell>
          <cell r="Y33">
            <v>31.232247984761113</v>
          </cell>
          <cell r="AA33">
            <v>29.366599768798302</v>
          </cell>
          <cell r="AC33">
            <v>30.732396339611725</v>
          </cell>
          <cell r="AE33">
            <v>3.3882878081989851</v>
          </cell>
          <cell r="AG33">
            <v>1.4058914685872608</v>
          </cell>
          <cell r="AI33">
            <v>1.25</v>
          </cell>
          <cell r="AK33">
            <v>1.25</v>
          </cell>
        </row>
        <row r="34">
          <cell r="A34" t="str">
            <v>Revenues From Franchised Restaurants</v>
          </cell>
          <cell r="E34">
            <v>-1.143</v>
          </cell>
          <cell r="G34">
            <v>-1.167</v>
          </cell>
          <cell r="I34">
            <v>-1.171</v>
          </cell>
          <cell r="K34">
            <v>-1.231563</v>
          </cell>
          <cell r="Q34">
            <v>-1.319450540781276</v>
          </cell>
          <cell r="S34">
            <v>-1.312081378634635</v>
          </cell>
          <cell r="U34">
            <v>-1.3317625993141544</v>
          </cell>
          <cell r="W34">
            <v>-1.3517390383038665</v>
          </cell>
          <cell r="Y34">
            <v>-1.3720151238784244</v>
          </cell>
          <cell r="AA34">
            <v>-1.3925953507366005</v>
          </cell>
          <cell r="AC34">
            <v>-1.4134842809976496</v>
          </cell>
          <cell r="AE34">
            <v>-1.5023297718873716</v>
          </cell>
          <cell r="AG34">
            <v>-1.5410909595938698</v>
          </cell>
          <cell r="AI34">
            <v>-1.5959678464898606</v>
          </cell>
          <cell r="AK34">
            <v>0</v>
          </cell>
        </row>
        <row r="35">
          <cell r="A35" t="str">
            <v>Other (Gains) / Losses</v>
          </cell>
          <cell r="E35">
            <v>-1.9379999999999999</v>
          </cell>
          <cell r="G35">
            <v>-1.8660000000000001</v>
          </cell>
          <cell r="I35">
            <v>-2.4129999999999998</v>
          </cell>
          <cell r="K35">
            <v>-0.12</v>
          </cell>
          <cell r="Q35">
            <v>-1.2418358030882599</v>
          </cell>
          <cell r="S35">
            <v>-1.2349001210678918</v>
          </cell>
          <cell r="U35">
            <v>-1.2534236228839102</v>
          </cell>
          <cell r="W35">
            <v>-1.2722249772271685</v>
          </cell>
          <cell r="Y35">
            <v>-1.2913083518855759</v>
          </cell>
          <cell r="AA35">
            <v>-1.3106779771638595</v>
          </cell>
          <cell r="AC35">
            <v>-1.3303381468213173</v>
          </cell>
          <cell r="AE35">
            <v>-1.4139574323645852</v>
          </cell>
          <cell r="AG35">
            <v>-1.4504385502059951</v>
          </cell>
          <cell r="AI35">
            <v>-1.5020873849316336</v>
          </cell>
          <cell r="AK35">
            <v>0</v>
          </cell>
        </row>
        <row r="36">
          <cell r="A36" t="str">
            <v>Earnings Before Tax</v>
          </cell>
          <cell r="E36">
            <v>62.989000000000111</v>
          </cell>
          <cell r="G36">
            <v>66.359000000000037</v>
          </cell>
          <cell r="I36">
            <v>65.82200000000006</v>
          </cell>
          <cell r="K36">
            <v>65.128764000000018</v>
          </cell>
          <cell r="Q36">
            <v>28.955287149889699</v>
          </cell>
          <cell r="S36">
            <v>30.246071959495936</v>
          </cell>
          <cell r="U36">
            <v>35.744028374657148</v>
          </cell>
          <cell r="W36">
            <v>41.396614847671522</v>
          </cell>
          <cell r="Y36">
            <v>46.73855376843909</v>
          </cell>
          <cell r="AA36">
            <v>53.403238174680844</v>
          </cell>
          <cell r="AC36">
            <v>53.21616688197021</v>
          </cell>
          <cell r="AE36">
            <v>88.646375299477896</v>
          </cell>
          <cell r="AG36">
            <v>96.037151814339694</v>
          </cell>
          <cell r="AI36">
            <v>104.09962948296833</v>
          </cell>
          <cell r="AK36">
            <v>-46.94828302603517</v>
          </cell>
        </row>
        <row r="38">
          <cell r="A38" t="str">
            <v>Income Taxes</v>
          </cell>
          <cell r="E38">
            <v>22.669</v>
          </cell>
          <cell r="G38">
            <v>24.742000000000001</v>
          </cell>
          <cell r="I38">
            <v>23.838999999999999</v>
          </cell>
          <cell r="K38">
            <v>22.911999999999999</v>
          </cell>
          <cell r="Q38">
            <v>10.423903373960291</v>
          </cell>
          <cell r="S38">
            <v>10.888585905418536</v>
          </cell>
          <cell r="U38">
            <v>12.867850214876572</v>
          </cell>
          <cell r="W38">
            <v>14.902781345161747</v>
          </cell>
          <cell r="Y38">
            <v>16.825879356638072</v>
          </cell>
          <cell r="AA38">
            <v>19.225165742885103</v>
          </cell>
          <cell r="AC38">
            <v>19.157820077509275</v>
          </cell>
          <cell r="AE38">
            <v>31.912695107812041</v>
          </cell>
          <cell r="AG38">
            <v>34.57337465316229</v>
          </cell>
          <cell r="AI38">
            <v>37.475866613868597</v>
          </cell>
          <cell r="AK38">
            <v>-16.901381889372662</v>
          </cell>
        </row>
        <row r="40">
          <cell r="A40" t="str">
            <v>Net Income</v>
          </cell>
          <cell r="E40">
            <v>40.320000000000107</v>
          </cell>
          <cell r="G40">
            <v>41.617000000000033</v>
          </cell>
          <cell r="I40">
            <v>41.983000000000061</v>
          </cell>
          <cell r="K40">
            <v>42.216764000000019</v>
          </cell>
          <cell r="Q40">
            <v>18.531383775929406</v>
          </cell>
          <cell r="S40">
            <v>19.357486054077398</v>
          </cell>
          <cell r="U40">
            <v>22.876178159780576</v>
          </cell>
          <cell r="W40">
            <v>26.493833502509773</v>
          </cell>
          <cell r="Y40">
            <v>29.912674411801017</v>
          </cell>
          <cell r="AA40">
            <v>34.178072431795741</v>
          </cell>
          <cell r="AC40">
            <v>34.058346804460939</v>
          </cell>
          <cell r="AE40">
            <v>56.733680191665854</v>
          </cell>
          <cell r="AG40">
            <v>61.463777161177404</v>
          </cell>
          <cell r="AI40">
            <v>66.623762869099721</v>
          </cell>
          <cell r="AK40">
            <v>-30.046901136662509</v>
          </cell>
        </row>
        <row r="42">
          <cell r="A42" t="str">
            <v>Preferred Stock Dividends</v>
          </cell>
          <cell r="E42">
            <v>0</v>
          </cell>
          <cell r="G42">
            <v>0</v>
          </cell>
          <cell r="I42">
            <v>0</v>
          </cell>
          <cell r="K42">
            <v>0</v>
          </cell>
          <cell r="Q42">
            <v>0</v>
          </cell>
          <cell r="S42">
            <v>0</v>
          </cell>
          <cell r="U42">
            <v>0</v>
          </cell>
          <cell r="W42">
            <v>0</v>
          </cell>
          <cell r="Y42">
            <v>0</v>
          </cell>
          <cell r="AA42">
            <v>0</v>
          </cell>
          <cell r="AC42">
            <v>0</v>
          </cell>
          <cell r="AE42">
            <v>0</v>
          </cell>
          <cell r="AG42">
            <v>0</v>
          </cell>
          <cell r="AI42">
            <v>0</v>
          </cell>
          <cell r="AK42">
            <v>0</v>
          </cell>
        </row>
        <row r="43">
          <cell r="A43" t="str">
            <v>Dividends to Common Shareholders</v>
          </cell>
          <cell r="E43">
            <v>0</v>
          </cell>
          <cell r="G43">
            <v>0</v>
          </cell>
          <cell r="I43">
            <v>0</v>
          </cell>
          <cell r="K43">
            <v>0</v>
          </cell>
          <cell r="Q43">
            <v>0</v>
          </cell>
          <cell r="S43">
            <v>0</v>
          </cell>
          <cell r="U43">
            <v>0</v>
          </cell>
          <cell r="W43">
            <v>0</v>
          </cell>
          <cell r="Y43">
            <v>0</v>
          </cell>
          <cell r="AA43">
            <v>0</v>
          </cell>
          <cell r="AC43">
            <v>0</v>
          </cell>
          <cell r="AE43">
            <v>0</v>
          </cell>
          <cell r="AG43">
            <v>0</v>
          </cell>
          <cell r="AI43">
            <v>0</v>
          </cell>
          <cell r="AK43">
            <v>0</v>
          </cell>
        </row>
        <row r="44">
          <cell r="A44" t="str">
            <v>Addition to Retained Earnings</v>
          </cell>
          <cell r="E44">
            <v>40.320000000000107</v>
          </cell>
          <cell r="G44">
            <v>41.617000000000033</v>
          </cell>
          <cell r="I44">
            <v>41.983000000000061</v>
          </cell>
          <cell r="K44">
            <v>42.216764000000019</v>
          </cell>
          <cell r="Q44">
            <v>18.531383775929406</v>
          </cell>
          <cell r="S44">
            <v>19.357486054077398</v>
          </cell>
          <cell r="U44">
            <v>22.876178159780576</v>
          </cell>
          <cell r="W44">
            <v>26.493833502509773</v>
          </cell>
          <cell r="Y44">
            <v>29.912674411801017</v>
          </cell>
          <cell r="AA44">
            <v>34.178072431795741</v>
          </cell>
          <cell r="AC44">
            <v>34.058346804460939</v>
          </cell>
          <cell r="AE44">
            <v>56.733680191665854</v>
          </cell>
          <cell r="AG44">
            <v>61.463777161177404</v>
          </cell>
          <cell r="AI44">
            <v>66.623762869099721</v>
          </cell>
          <cell r="AK44">
            <v>-30.046901136662509</v>
          </cell>
        </row>
        <row r="46">
          <cell r="A46" t="str">
            <v>Total PIK Interest</v>
          </cell>
          <cell r="E46">
            <v>0</v>
          </cell>
          <cell r="G46">
            <v>0</v>
          </cell>
          <cell r="I46">
            <v>0</v>
          </cell>
          <cell r="K46">
            <v>0</v>
          </cell>
          <cell r="Q46">
            <v>0</v>
          </cell>
          <cell r="S46">
            <v>0</v>
          </cell>
          <cell r="U46">
            <v>0</v>
          </cell>
          <cell r="W46">
            <v>0</v>
          </cell>
          <cell r="Y46">
            <v>0</v>
          </cell>
          <cell r="AA46">
            <v>0</v>
          </cell>
          <cell r="AC46">
            <v>0</v>
          </cell>
          <cell r="AE46">
            <v>0</v>
          </cell>
          <cell r="AG46">
            <v>0</v>
          </cell>
          <cell r="AI46">
            <v>0</v>
          </cell>
          <cell r="AK46">
            <v>0</v>
          </cell>
        </row>
        <row r="48">
          <cell r="A48" t="str">
            <v>Weighted Average Shares Outstanding (000s)</v>
          </cell>
        </row>
        <row r="49">
          <cell r="A49" t="str">
            <v>EPS (Including Restructuring Charge)</v>
          </cell>
          <cell r="E49" t="e">
            <v>#DIV/0!</v>
          </cell>
          <cell r="G49" t="e">
            <v>#DIV/0!</v>
          </cell>
          <cell r="I49" t="e">
            <v>#DIV/0!</v>
          </cell>
          <cell r="K49" t="e">
            <v>#DIV/0!</v>
          </cell>
          <cell r="Q49" t="e">
            <v>#DIV/0!</v>
          </cell>
          <cell r="S49" t="e">
            <v>#DIV/0!</v>
          </cell>
          <cell r="U49" t="e">
            <v>#DIV/0!</v>
          </cell>
          <cell r="W49" t="e">
            <v>#DIV/0!</v>
          </cell>
          <cell r="Y49" t="e">
            <v>#DIV/0!</v>
          </cell>
          <cell r="AA49" t="e">
            <v>#DIV/0!</v>
          </cell>
          <cell r="AC49" t="e">
            <v>#DIV/0!</v>
          </cell>
          <cell r="AE49" t="e">
            <v>#DIV/0!</v>
          </cell>
          <cell r="AG49" t="e">
            <v>#DIV/0!</v>
          </cell>
          <cell r="AI49" t="e">
            <v>#DIV/0!</v>
          </cell>
          <cell r="AK49" t="e">
            <v>#DIV/0!</v>
          </cell>
        </row>
        <row r="52">
          <cell r="A52" t="str">
            <v>EBITDA</v>
          </cell>
          <cell r="E52">
            <v>92.0270000000001</v>
          </cell>
          <cell r="G52">
            <v>97.768000000000043</v>
          </cell>
          <cell r="I52">
            <v>103.81100000000006</v>
          </cell>
          <cell r="K52">
            <v>109.10563700000002</v>
          </cell>
          <cell r="Q52">
            <v>101.42210653952438</v>
          </cell>
          <cell r="S52">
            <v>101.54369892578231</v>
          </cell>
          <cell r="U52">
            <v>104.07524417397153</v>
          </cell>
          <cell r="W52">
            <v>106.65651344734795</v>
          </cell>
          <cell r="Y52">
            <v>109.28842886898659</v>
          </cell>
          <cell r="AA52">
            <v>111.97192903774888</v>
          </cell>
          <cell r="AC52">
            <v>114.70796931507846</v>
          </cell>
          <cell r="AE52">
            <v>123.74457305077492</v>
          </cell>
          <cell r="AG52">
            <v>128.23080683284195</v>
          </cell>
          <cell r="AI52">
            <v>133.33112926199874</v>
          </cell>
          <cell r="AK52">
            <v>-15</v>
          </cell>
        </row>
        <row r="55">
          <cell r="A55" t="str">
            <v>Common Shares Outstanding (Diluted)</v>
          </cell>
          <cell r="E55">
            <v>42.881</v>
          </cell>
          <cell r="G55">
            <v>37.874000000000002</v>
          </cell>
          <cell r="I55">
            <v>33.094999999999999</v>
          </cell>
          <cell r="K55">
            <v>30.451000000000001</v>
          </cell>
          <cell r="Q55">
            <v>14.43871683615842</v>
          </cell>
          <cell r="S55">
            <v>14.43871683615842</v>
          </cell>
          <cell r="U55">
            <v>14.43871683615842</v>
          </cell>
          <cell r="W55">
            <v>14.43871683615842</v>
          </cell>
          <cell r="Y55">
            <v>14.43871683615842</v>
          </cell>
          <cell r="AA55">
            <v>14.43871683615842</v>
          </cell>
          <cell r="AC55">
            <v>14.43871683615842</v>
          </cell>
          <cell r="AE55">
            <v>14.43871683615842</v>
          </cell>
          <cell r="AG55">
            <v>14.43871683615842</v>
          </cell>
          <cell r="AI55">
            <v>14.43871683615842</v>
          </cell>
          <cell r="AK55">
            <v>14.43871683615842</v>
          </cell>
        </row>
        <row r="56">
          <cell r="A56" t="str">
            <v>EPS (Diluted)</v>
          </cell>
          <cell r="E56">
            <v>0.94027657937081943</v>
          </cell>
          <cell r="G56">
            <v>1.0988276918202469</v>
          </cell>
          <cell r="I56">
            <v>1.2685602054691061</v>
          </cell>
          <cell r="K56">
            <v>1.3863835013628458</v>
          </cell>
          <cell r="Q56">
            <v>1.2834508762940657</v>
          </cell>
          <cell r="S56">
            <v>1.3406652595056827</v>
          </cell>
          <cell r="U56">
            <v>1.5843636535964531</v>
          </cell>
          <cell r="W56">
            <v>1.8349160665137574</v>
          </cell>
          <cell r="Y56">
            <v>2.0716989432808637</v>
          </cell>
          <cell r="AA56">
            <v>2.3671128687976397</v>
          </cell>
          <cell r="AC56">
            <v>2.3588208835268314</v>
          </cell>
          <cell r="AE56">
            <v>3.9292743832741079</v>
          </cell>
          <cell r="AG56">
            <v>4.2568725364331277</v>
          </cell>
          <cell r="AI56">
            <v>4.6142440235586548</v>
          </cell>
          <cell r="AK56">
            <v>-2.0809952489280077</v>
          </cell>
        </row>
        <row r="58">
          <cell r="A58" t="str">
            <v>Balance Sheet</v>
          </cell>
          <cell r="Y58" t="str">
            <v>Mergers &amp; Acquisitions</v>
          </cell>
        </row>
        <row r="59">
          <cell r="A59" t="str">
            <v>FYE December 31</v>
          </cell>
        </row>
        <row r="60">
          <cell r="A60" t="str">
            <v>($ 000s)</v>
          </cell>
        </row>
        <row r="61">
          <cell r="M61" t="str">
            <v>Adjust-</v>
          </cell>
          <cell r="O61" t="str">
            <v>Pro Forma</v>
          </cell>
          <cell r="Q61" t="str">
            <v>Projected</v>
          </cell>
        </row>
        <row r="62">
          <cell r="A62" t="str">
            <v>ASSETS</v>
          </cell>
          <cell r="E62">
            <v>1998</v>
          </cell>
          <cell r="G62">
            <v>1999</v>
          </cell>
          <cell r="I62">
            <v>2000</v>
          </cell>
          <cell r="K62">
            <v>2001</v>
          </cell>
          <cell r="M62" t="str">
            <v>ments</v>
          </cell>
          <cell r="O62" t="str">
            <v>Opening</v>
          </cell>
          <cell r="Q62">
            <v>2002</v>
          </cell>
          <cell r="S62">
            <v>2003</v>
          </cell>
          <cell r="U62">
            <v>2004</v>
          </cell>
          <cell r="W62">
            <v>2005</v>
          </cell>
          <cell r="Y62">
            <v>2006</v>
          </cell>
          <cell r="AA62">
            <v>2007</v>
          </cell>
          <cell r="AC62">
            <v>2008</v>
          </cell>
          <cell r="AE62">
            <v>2009</v>
          </cell>
          <cell r="AG62">
            <v>2010</v>
          </cell>
          <cell r="AI62">
            <v>2011</v>
          </cell>
          <cell r="AK62">
            <v>2012</v>
          </cell>
        </row>
        <row r="63">
          <cell r="A63" t="str">
            <v>Excess Cash</v>
          </cell>
          <cell r="E63">
            <v>0</v>
          </cell>
          <cell r="G63">
            <v>0</v>
          </cell>
          <cell r="I63">
            <v>0</v>
          </cell>
          <cell r="K63">
            <v>0</v>
          </cell>
          <cell r="M63">
            <v>0</v>
          </cell>
          <cell r="O63">
            <v>0</v>
          </cell>
          <cell r="Q63">
            <v>8.2259232221451839</v>
          </cell>
          <cell r="S63">
            <v>14.246771447450101</v>
          </cell>
          <cell r="U63">
            <v>24.608554527620413</v>
          </cell>
          <cell r="W63">
            <v>37.190551404144571</v>
          </cell>
          <cell r="Y63">
            <v>79.893204957264629</v>
          </cell>
          <cell r="AA63">
            <v>140.96985987315395</v>
          </cell>
          <cell r="AC63">
            <v>0</v>
          </cell>
          <cell r="AE63">
            <v>0</v>
          </cell>
          <cell r="AG63">
            <v>42.345204381756616</v>
          </cell>
          <cell r="AI63">
            <v>134.98690246314891</v>
          </cell>
          <cell r="AK63">
            <v>61.40880360259257</v>
          </cell>
        </row>
        <row r="64">
          <cell r="A64" t="str">
            <v>Cash and Cash Equivalents</v>
          </cell>
          <cell r="E64">
            <v>1.502</v>
          </cell>
          <cell r="G64">
            <v>0.64200000000000002</v>
          </cell>
          <cell r="I64">
            <v>2.0979999999999999</v>
          </cell>
          <cell r="K64">
            <v>3</v>
          </cell>
          <cell r="M64">
            <v>0</v>
          </cell>
          <cell r="O64">
            <v>3</v>
          </cell>
          <cell r="Q64">
            <v>3</v>
          </cell>
          <cell r="S64">
            <v>3</v>
          </cell>
          <cell r="U64">
            <v>3</v>
          </cell>
          <cell r="W64">
            <v>3</v>
          </cell>
          <cell r="Y64">
            <v>3</v>
          </cell>
          <cell r="AA64">
            <v>3</v>
          </cell>
          <cell r="AC64">
            <v>3</v>
          </cell>
          <cell r="AE64">
            <v>3</v>
          </cell>
          <cell r="AG64">
            <v>3</v>
          </cell>
          <cell r="AI64">
            <v>3</v>
          </cell>
          <cell r="AK64">
            <v>3</v>
          </cell>
        </row>
        <row r="65">
          <cell r="A65" t="str">
            <v>Receivables</v>
          </cell>
          <cell r="E65">
            <v>2.6749999999999998</v>
          </cell>
          <cell r="G65">
            <v>3.0270000000000001</v>
          </cell>
          <cell r="I65">
            <v>3.6309999999999993</v>
          </cell>
          <cell r="K65">
            <v>4.0200584657534248</v>
          </cell>
          <cell r="M65">
            <v>0</v>
          </cell>
          <cell r="O65">
            <v>4.0200584657534248</v>
          </cell>
          <cell r="Q65">
            <v>4.2528623393433556</v>
          </cell>
          <cell r="S65">
            <v>4.2291100036571638</v>
          </cell>
          <cell r="U65">
            <v>4.2925466537120212</v>
          </cell>
          <cell r="W65">
            <v>4.3569348535177008</v>
          </cell>
          <cell r="Y65">
            <v>4.422288876320466</v>
          </cell>
          <cell r="AA65">
            <v>4.4886232094652723</v>
          </cell>
          <cell r="AC65">
            <v>4.5559525576072506</v>
          </cell>
          <cell r="AE65">
            <v>4.8423199738513185</v>
          </cell>
          <cell r="AG65">
            <v>4.9672553089246412</v>
          </cell>
          <cell r="AI65">
            <v>5.1441348799028539</v>
          </cell>
          <cell r="AK65">
            <v>0</v>
          </cell>
        </row>
        <row r="66">
          <cell r="A66" t="str">
            <v>Inventories</v>
          </cell>
          <cell r="E66">
            <v>4.327</v>
          </cell>
          <cell r="G66">
            <v>4.6630000000000003</v>
          </cell>
          <cell r="I66">
            <v>5.085</v>
          </cell>
          <cell r="K66">
            <v>5.2067725068493154</v>
          </cell>
          <cell r="M66">
            <v>0</v>
          </cell>
          <cell r="O66">
            <v>5.2067725068493154</v>
          </cell>
          <cell r="Q66">
            <v>5.507456729449645</v>
          </cell>
          <cell r="S66">
            <v>5.4766974547360272</v>
          </cell>
          <cell r="U66">
            <v>5.5588479165570668</v>
          </cell>
          <cell r="W66">
            <v>5.6422306353054221</v>
          </cell>
          <cell r="Y66">
            <v>5.7268640948350029</v>
          </cell>
          <cell r="AA66">
            <v>5.8127670562575275</v>
          </cell>
          <cell r="AC66">
            <v>5.8999585621013901</v>
          </cell>
          <cell r="AE66">
            <v>6.2708043661374573</v>
          </cell>
          <cell r="AG66">
            <v>6.4325956250574103</v>
          </cell>
          <cell r="AI66">
            <v>6.6616546694741956</v>
          </cell>
          <cell r="AK66">
            <v>0</v>
          </cell>
        </row>
        <row r="67">
          <cell r="A67" t="str">
            <v>Deferred Income Taxes</v>
          </cell>
          <cell r="E67">
            <v>4.3109999999999999</v>
          </cell>
          <cell r="G67">
            <v>4.3419999999999996</v>
          </cell>
          <cell r="I67">
            <v>4.806</v>
          </cell>
          <cell r="K67">
            <v>5.1356246900000002</v>
          </cell>
          <cell r="M67">
            <v>0</v>
          </cell>
          <cell r="O67">
            <v>5.1356246900000002</v>
          </cell>
          <cell r="Q67">
            <v>5.433031638511137</v>
          </cell>
          <cell r="S67">
            <v>5.402688029672027</v>
          </cell>
          <cell r="U67">
            <v>5.483728350117107</v>
          </cell>
          <cell r="W67">
            <v>5.5659842753688622</v>
          </cell>
          <cell r="Y67">
            <v>5.6494740394993945</v>
          </cell>
          <cell r="AA67">
            <v>5.7342161500918847</v>
          </cell>
          <cell r="AC67">
            <v>5.8202293923432631</v>
          </cell>
          <cell r="AE67">
            <v>6.1860637665950602</v>
          </cell>
          <cell r="AG67">
            <v>6.3456686571512284</v>
          </cell>
          <cell r="AI67">
            <v>6.5716323090758966</v>
          </cell>
          <cell r="AK67">
            <v>0</v>
          </cell>
        </row>
        <row r="68">
          <cell r="A68" t="str">
            <v>Other Current Assets</v>
          </cell>
          <cell r="E68">
            <v>0.54600000000000004</v>
          </cell>
          <cell r="G68">
            <v>0.5</v>
          </cell>
          <cell r="I68">
            <v>0.82</v>
          </cell>
          <cell r="K68">
            <v>0.73366067000000001</v>
          </cell>
          <cell r="M68">
            <v>0</v>
          </cell>
          <cell r="O68">
            <v>0.73366067000000001</v>
          </cell>
          <cell r="Q68">
            <v>0.77614737693016245</v>
          </cell>
          <cell r="S68">
            <v>0.77181257566743244</v>
          </cell>
          <cell r="U68">
            <v>0.78338976430244389</v>
          </cell>
          <cell r="W68">
            <v>0.79514061076698039</v>
          </cell>
          <cell r="Y68">
            <v>0.80706771992848503</v>
          </cell>
          <cell r="AA68">
            <v>0.81917373572741214</v>
          </cell>
          <cell r="AC68">
            <v>0.83146134176332331</v>
          </cell>
          <cell r="AE68">
            <v>0.88372339522786569</v>
          </cell>
          <cell r="AG68">
            <v>0.90652409387874699</v>
          </cell>
          <cell r="AI68">
            <v>0.93880461558227091</v>
          </cell>
          <cell r="AK68">
            <v>0</v>
          </cell>
        </row>
        <row r="69">
          <cell r="A69" t="str">
            <v xml:space="preserve">  Total Current Assets</v>
          </cell>
          <cell r="E69">
            <v>13.360999999999999</v>
          </cell>
          <cell r="G69">
            <v>13.173999999999999</v>
          </cell>
          <cell r="I69">
            <v>16.440000000000001</v>
          </cell>
          <cell r="K69">
            <v>18.09611633260274</v>
          </cell>
          <cell r="M69">
            <v>0</v>
          </cell>
          <cell r="O69">
            <v>18.09611633260274</v>
          </cell>
          <cell r="Q69">
            <v>27.195421306379487</v>
          </cell>
          <cell r="S69">
            <v>33.12707951118275</v>
          </cell>
          <cell r="U69">
            <v>43.727067212309052</v>
          </cell>
          <cell r="W69">
            <v>56.550841779103536</v>
          </cell>
          <cell r="Y69">
            <v>99.498899687847981</v>
          </cell>
          <cell r="AA69">
            <v>160.82464002469604</v>
          </cell>
          <cell r="AC69">
            <v>20.107601853815225</v>
          </cell>
          <cell r="AE69">
            <v>21.182911501811699</v>
          </cell>
          <cell r="AG69">
            <v>63.997248066768641</v>
          </cell>
          <cell r="AI69">
            <v>157.30312893718414</v>
          </cell>
          <cell r="AK69">
            <v>64.40880360259257</v>
          </cell>
        </row>
        <row r="71">
          <cell r="A71" t="str">
            <v xml:space="preserve">Property and Equipment </v>
          </cell>
        </row>
        <row r="72">
          <cell r="A72" t="str">
            <v xml:space="preserve">  Land &amp; Improvements</v>
          </cell>
          <cell r="E72">
            <v>114.307</v>
          </cell>
          <cell r="G72">
            <v>119.95</v>
          </cell>
          <cell r="I72">
            <v>126.36199999999999</v>
          </cell>
        </row>
        <row r="73">
          <cell r="A73" t="str">
            <v xml:space="preserve">  Buildings</v>
          </cell>
          <cell r="E73">
            <v>311.80900000000003</v>
          </cell>
          <cell r="G73">
            <v>333.33699999999999</v>
          </cell>
          <cell r="I73">
            <v>358.41500000000002</v>
          </cell>
        </row>
        <row r="74">
          <cell r="A74" t="str">
            <v xml:space="preserve">  Equipment</v>
          </cell>
          <cell r="E74">
            <v>193.01400000000001</v>
          </cell>
          <cell r="G74">
            <v>177.857</v>
          </cell>
          <cell r="I74">
            <v>193.01300000000001</v>
          </cell>
        </row>
        <row r="75">
          <cell r="A75" t="str">
            <v xml:space="preserve">  Construction In Progress</v>
          </cell>
          <cell r="E75">
            <v>35.741999999999997</v>
          </cell>
          <cell r="G75">
            <v>35.073999999999998</v>
          </cell>
          <cell r="I75">
            <v>37.054000000000002</v>
          </cell>
        </row>
        <row r="76">
          <cell r="A76" t="str">
            <v xml:space="preserve">    Total Property and Equipment</v>
          </cell>
          <cell r="E76">
            <v>654.87200000000007</v>
          </cell>
          <cell r="G76">
            <v>666.21799999999996</v>
          </cell>
          <cell r="I76">
            <v>714.84400000000005</v>
          </cell>
          <cell r="K76">
            <v>776.88066666666668</v>
          </cell>
          <cell r="M76">
            <v>-150</v>
          </cell>
          <cell r="O76">
            <v>626.88066666666668</v>
          </cell>
          <cell r="Q76">
            <v>648.34922702104097</v>
          </cell>
          <cell r="S76">
            <v>669.81778737541526</v>
          </cell>
          <cell r="U76">
            <v>691.28634772978955</v>
          </cell>
          <cell r="W76">
            <v>712.75490808416384</v>
          </cell>
          <cell r="Y76">
            <v>723.1868017718715</v>
          </cell>
          <cell r="AA76">
            <v>733.61869545957916</v>
          </cell>
          <cell r="AC76">
            <v>744.05058914728681</v>
          </cell>
          <cell r="AE76">
            <v>795.48248283499447</v>
          </cell>
          <cell r="AG76">
            <v>847.34627021040978</v>
          </cell>
          <cell r="AI76">
            <v>858.64195127353275</v>
          </cell>
          <cell r="AK76">
            <v>858.64195127353275</v>
          </cell>
        </row>
        <row r="77">
          <cell r="A77" t="str">
            <v xml:space="preserve">  Less Accumulated Depreciation</v>
          </cell>
          <cell r="E77">
            <v>162.018</v>
          </cell>
          <cell r="G77">
            <v>157.43899999999999</v>
          </cell>
          <cell r="I77">
            <v>182.37899999999999</v>
          </cell>
          <cell r="K77">
            <v>212.00943599999999</v>
          </cell>
          <cell r="M77">
            <v>0</v>
          </cell>
          <cell r="O77">
            <v>212.00943599999999</v>
          </cell>
          <cell r="Q77">
            <v>241.639872</v>
          </cell>
          <cell r="S77">
            <v>271.270308</v>
          </cell>
          <cell r="U77">
            <v>300.90074399999997</v>
          </cell>
          <cell r="W77">
            <v>330.53117999999995</v>
          </cell>
          <cell r="Y77">
            <v>360.16161599999992</v>
          </cell>
          <cell r="AA77">
            <v>389.7920519999999</v>
          </cell>
          <cell r="AC77">
            <v>419.42248799999987</v>
          </cell>
          <cell r="AE77">
            <v>449.05292399999985</v>
          </cell>
          <cell r="AG77">
            <v>478.68335999999982</v>
          </cell>
          <cell r="AI77">
            <v>508.3137959999998</v>
          </cell>
          <cell r="AK77">
            <v>537.94423199999983</v>
          </cell>
        </row>
        <row r="78">
          <cell r="A78" t="str">
            <v>Net Property and Equipment</v>
          </cell>
          <cell r="E78">
            <v>492.85400000000004</v>
          </cell>
          <cell r="G78">
            <v>508.779</v>
          </cell>
          <cell r="I78">
            <v>532.46500000000003</v>
          </cell>
          <cell r="K78">
            <v>564.87123066666663</v>
          </cell>
          <cell r="M78">
            <v>-150</v>
          </cell>
          <cell r="O78">
            <v>414.87123066666669</v>
          </cell>
          <cell r="Q78">
            <v>406.70935502104101</v>
          </cell>
          <cell r="S78">
            <v>398.54747937541526</v>
          </cell>
          <cell r="U78">
            <v>390.38560372978958</v>
          </cell>
          <cell r="W78">
            <v>382.22372808416389</v>
          </cell>
          <cell r="Y78">
            <v>363.02518577187158</v>
          </cell>
          <cell r="AA78">
            <v>343.82664345957926</v>
          </cell>
          <cell r="AC78">
            <v>324.62810114728694</v>
          </cell>
          <cell r="AE78">
            <v>346.42955883499462</v>
          </cell>
          <cell r="AG78">
            <v>368.66291021040996</v>
          </cell>
          <cell r="AI78">
            <v>350.32815527353296</v>
          </cell>
          <cell r="AK78">
            <v>320.69771927353293</v>
          </cell>
        </row>
        <row r="79">
          <cell r="A79" t="str">
            <v>Goodwill</v>
          </cell>
          <cell r="E79">
            <v>0</v>
          </cell>
          <cell r="G79">
            <v>0</v>
          </cell>
          <cell r="I79">
            <v>0</v>
          </cell>
          <cell r="K79">
            <v>0</v>
          </cell>
          <cell r="M79">
            <v>199.83044589399998</v>
          </cell>
          <cell r="O79">
            <v>199.83044589399998</v>
          </cell>
          <cell r="Q79">
            <v>194.83468474664997</v>
          </cell>
          <cell r="S79">
            <v>189.83892359929996</v>
          </cell>
          <cell r="U79">
            <v>184.84316245194995</v>
          </cell>
          <cell r="W79">
            <v>179.84740130459994</v>
          </cell>
          <cell r="Y79">
            <v>174.85164015724993</v>
          </cell>
          <cell r="AA79">
            <v>169.85587900989992</v>
          </cell>
          <cell r="AC79">
            <v>164.86011786254991</v>
          </cell>
          <cell r="AE79">
            <v>159.8643567151999</v>
          </cell>
          <cell r="AG79">
            <v>154.86859556784989</v>
          </cell>
          <cell r="AI79">
            <v>149.87283442049988</v>
          </cell>
          <cell r="AK79">
            <v>144.87707327314988</v>
          </cell>
        </row>
        <row r="80">
          <cell r="A80" t="str">
            <v>Prepaid Financing Costs</v>
          </cell>
          <cell r="E80">
            <v>0</v>
          </cell>
          <cell r="G80">
            <v>0</v>
          </cell>
          <cell r="I80">
            <v>0</v>
          </cell>
          <cell r="K80">
            <v>0</v>
          </cell>
          <cell r="M80">
            <v>11.875</v>
          </cell>
          <cell r="O80">
            <v>11.875</v>
          </cell>
          <cell r="Q80">
            <v>10.178571428571429</v>
          </cell>
          <cell r="S80">
            <v>8.4821428571428577</v>
          </cell>
          <cell r="U80">
            <v>6.7857142857142865</v>
          </cell>
          <cell r="W80">
            <v>5.0892857142857153</v>
          </cell>
          <cell r="Y80">
            <v>3.3928571428571441</v>
          </cell>
          <cell r="AA80">
            <v>1.6964285714285727</v>
          </cell>
          <cell r="AC80">
            <v>0</v>
          </cell>
          <cell r="AE80">
            <v>0</v>
          </cell>
          <cell r="AG80">
            <v>0</v>
          </cell>
          <cell r="AI80">
            <v>0</v>
          </cell>
          <cell r="AK80">
            <v>0</v>
          </cell>
        </row>
        <row r="81">
          <cell r="A81" t="str">
            <v>Other Assets</v>
          </cell>
          <cell r="E81">
            <v>3.1779999999999999</v>
          </cell>
          <cell r="G81">
            <v>3.8740000000000001</v>
          </cell>
          <cell r="I81">
            <v>7.1559999999999997</v>
          </cell>
          <cell r="K81">
            <v>7.3366066999999999</v>
          </cell>
          <cell r="M81">
            <v>0</v>
          </cell>
          <cell r="O81">
            <v>7.3366066999999999</v>
          </cell>
          <cell r="Q81">
            <v>7.7614737693016247</v>
          </cell>
          <cell r="S81">
            <v>7.7181257566743238</v>
          </cell>
          <cell r="U81">
            <v>7.8338976430244385</v>
          </cell>
          <cell r="W81">
            <v>7.9514061076698033</v>
          </cell>
          <cell r="Y81">
            <v>8.0706771992848498</v>
          </cell>
          <cell r="AA81">
            <v>8.1917373572741212</v>
          </cell>
          <cell r="AC81">
            <v>8.3146134176332325</v>
          </cell>
          <cell r="AE81">
            <v>8.8372339522786572</v>
          </cell>
          <cell r="AG81">
            <v>9.0652409387874702</v>
          </cell>
          <cell r="AI81">
            <v>9.3880461558227086</v>
          </cell>
          <cell r="AK81">
            <v>0</v>
          </cell>
        </row>
        <row r="82">
          <cell r="A82" t="str">
            <v xml:space="preserve">  Total Assets</v>
          </cell>
          <cell r="E82">
            <v>509.39300000000003</v>
          </cell>
          <cell r="G82">
            <v>525.827</v>
          </cell>
          <cell r="I82">
            <v>556.06100000000004</v>
          </cell>
          <cell r="K82">
            <v>590.3039536992693</v>
          </cell>
          <cell r="M82">
            <v>61.705445893999979</v>
          </cell>
          <cell r="O82">
            <v>652.00939959326934</v>
          </cell>
          <cell r="Q82">
            <v>646.67950627194341</v>
          </cell>
          <cell r="S82">
            <v>637.71375109971518</v>
          </cell>
          <cell r="U82">
            <v>633.57544532278735</v>
          </cell>
          <cell r="W82">
            <v>631.66266298982282</v>
          </cell>
          <cell r="Y82">
            <v>648.83925995911147</v>
          </cell>
          <cell r="AA82">
            <v>684.39532842287781</v>
          </cell>
          <cell r="AC82">
            <v>517.91043428128523</v>
          </cell>
          <cell r="AE82">
            <v>536.31406100428478</v>
          </cell>
          <cell r="AG82">
            <v>596.59399478381602</v>
          </cell>
          <cell r="AI82">
            <v>666.89216478703975</v>
          </cell>
          <cell r="AK82">
            <v>529.9835961492754</v>
          </cell>
        </row>
        <row r="84">
          <cell r="A84" t="str">
            <v>LIABILITIES</v>
          </cell>
        </row>
        <row r="85">
          <cell r="A85" t="str">
            <v>Notes Payable</v>
          </cell>
          <cell r="C85" t="str">
            <v xml:space="preserve"> </v>
          </cell>
          <cell r="E85">
            <v>72.400000000000006</v>
          </cell>
          <cell r="G85">
            <v>0</v>
          </cell>
          <cell r="I85">
            <v>0</v>
          </cell>
          <cell r="K85">
            <v>0</v>
          </cell>
          <cell r="M85">
            <v>0</v>
          </cell>
          <cell r="O85">
            <v>0</v>
          </cell>
          <cell r="Q85">
            <v>0</v>
          </cell>
          <cell r="S85">
            <v>0</v>
          </cell>
          <cell r="U85">
            <v>0</v>
          </cell>
          <cell r="W85">
            <v>0</v>
          </cell>
          <cell r="Y85">
            <v>0</v>
          </cell>
          <cell r="AA85">
            <v>0</v>
          </cell>
          <cell r="AC85">
            <v>0</v>
          </cell>
          <cell r="AE85">
            <v>0</v>
          </cell>
          <cell r="AG85">
            <v>0</v>
          </cell>
          <cell r="AI85">
            <v>0</v>
          </cell>
          <cell r="AK85">
            <v>0</v>
          </cell>
        </row>
        <row r="86">
          <cell r="A86" t="str">
            <v>CMLTD</v>
          </cell>
          <cell r="E86">
            <v>11.625999999999999</v>
          </cell>
          <cell r="G86">
            <v>0</v>
          </cell>
          <cell r="I86">
            <v>0</v>
          </cell>
          <cell r="K86">
            <v>0</v>
          </cell>
          <cell r="M86">
            <v>25</v>
          </cell>
          <cell r="O86">
            <v>25</v>
          </cell>
          <cell r="Q86">
            <v>25</v>
          </cell>
          <cell r="S86">
            <v>25</v>
          </cell>
          <cell r="U86">
            <v>25</v>
          </cell>
          <cell r="W86">
            <v>25</v>
          </cell>
          <cell r="Y86">
            <v>0</v>
          </cell>
          <cell r="AA86">
            <v>250</v>
          </cell>
          <cell r="AC86">
            <v>0</v>
          </cell>
          <cell r="AE86">
            <v>0</v>
          </cell>
          <cell r="AG86">
            <v>0</v>
          </cell>
          <cell r="AI86">
            <v>0</v>
          </cell>
          <cell r="AK86">
            <v>0</v>
          </cell>
        </row>
        <row r="87">
          <cell r="A87" t="str">
            <v>Accounts Payable</v>
          </cell>
          <cell r="E87">
            <v>6.8109999999999999</v>
          </cell>
          <cell r="G87">
            <v>11.891</v>
          </cell>
          <cell r="I87">
            <v>11.003</v>
          </cell>
          <cell r="K87">
            <v>11.901194301369863</v>
          </cell>
          <cell r="M87">
            <v>0</v>
          </cell>
          <cell r="O87">
            <v>11.901194301369863</v>
          </cell>
          <cell r="Q87">
            <v>12.588472524456332</v>
          </cell>
          <cell r="S87">
            <v>12.518165610825205</v>
          </cell>
          <cell r="U87">
            <v>12.705938094987582</v>
          </cell>
          <cell r="W87">
            <v>12.896527166412394</v>
          </cell>
          <cell r="Y87">
            <v>13.08997507390858</v>
          </cell>
          <cell r="AA87">
            <v>13.286324700017206</v>
          </cell>
          <cell r="AC87">
            <v>13.485619570517462</v>
          </cell>
          <cell r="AE87">
            <v>14.333267122599903</v>
          </cell>
          <cell r="AG87">
            <v>14.703075714416936</v>
          </cell>
          <cell r="AI87">
            <v>15.226639244512448</v>
          </cell>
          <cell r="AK87">
            <v>0</v>
          </cell>
        </row>
        <row r="88">
          <cell r="A88" t="str">
            <v>Income Taxes Payable</v>
          </cell>
          <cell r="E88">
            <v>3.7589999999999999</v>
          </cell>
          <cell r="G88">
            <v>2.9969999999999999</v>
          </cell>
          <cell r="I88">
            <v>3.2629999999999999</v>
          </cell>
          <cell r="K88">
            <v>3.3974641315226273</v>
          </cell>
          <cell r="M88">
            <v>0</v>
          </cell>
          <cell r="O88">
            <v>3.3974641315226273</v>
          </cell>
          <cell r="Q88">
            <v>3.5942132128952742</v>
          </cell>
          <cell r="S88">
            <v>3.5741394479933009</v>
          </cell>
          <cell r="U88">
            <v>3.6277515397132003</v>
          </cell>
          <cell r="W88">
            <v>3.6821678128088973</v>
          </cell>
          <cell r="Y88">
            <v>3.7374003300010306</v>
          </cell>
          <cell r="AA88">
            <v>3.7934613349510453</v>
          </cell>
          <cell r="AC88">
            <v>3.8503632549753108</v>
          </cell>
          <cell r="AE88">
            <v>4.0923803881623755</v>
          </cell>
          <cell r="AG88">
            <v>4.1979667430095358</v>
          </cell>
          <cell r="AI88">
            <v>4.3474526281320953</v>
          </cell>
          <cell r="AK88">
            <v>0</v>
          </cell>
        </row>
        <row r="89">
          <cell r="A89" t="str">
            <v>Accrued Liabilities</v>
          </cell>
          <cell r="E89">
            <v>30.431000000000001</v>
          </cell>
          <cell r="G89">
            <v>29.152000000000001</v>
          </cell>
          <cell r="I89">
            <v>33.805999999999997</v>
          </cell>
          <cell r="K89">
            <v>35.199102798116435</v>
          </cell>
          <cell r="M89">
            <v>0</v>
          </cell>
          <cell r="O89">
            <v>35.199102798116435</v>
          </cell>
          <cell r="Q89">
            <v>37.237502873165077</v>
          </cell>
          <cell r="S89">
            <v>37.029530548226028</v>
          </cell>
          <cell r="U89">
            <v>37.584973506449415</v>
          </cell>
          <cell r="W89">
            <v>38.148748109046146</v>
          </cell>
          <cell r="Y89">
            <v>38.720979330681836</v>
          </cell>
          <cell r="AA89">
            <v>39.301794020642063</v>
          </cell>
          <cell r="AC89">
            <v>39.891320930951693</v>
          </cell>
          <cell r="AE89">
            <v>42.398716335340872</v>
          </cell>
          <cell r="AG89">
            <v>43.492633685007775</v>
          </cell>
          <cell r="AI89">
            <v>45.041367927255166</v>
          </cell>
          <cell r="AK89">
            <v>0</v>
          </cell>
        </row>
        <row r="90">
          <cell r="A90" t="str">
            <v xml:space="preserve">     Total Current Liabilities</v>
          </cell>
          <cell r="E90">
            <v>125.02700000000002</v>
          </cell>
          <cell r="G90">
            <v>44.04</v>
          </cell>
          <cell r="I90">
            <v>48.071999999999996</v>
          </cell>
          <cell r="K90">
            <v>50.497761231008923</v>
          </cell>
          <cell r="M90">
            <v>25</v>
          </cell>
          <cell r="O90">
            <v>75.497761231008923</v>
          </cell>
          <cell r="Q90">
            <v>78.420188610516689</v>
          </cell>
          <cell r="S90">
            <v>78.121835607044545</v>
          </cell>
          <cell r="U90">
            <v>78.918663141150205</v>
          </cell>
          <cell r="W90">
            <v>79.727443088267449</v>
          </cell>
          <cell r="Y90">
            <v>55.548354734591442</v>
          </cell>
          <cell r="AA90">
            <v>306.38158005561024</v>
          </cell>
          <cell r="AC90">
            <v>57.227303756444471</v>
          </cell>
          <cell r="AE90">
            <v>60.824363846103154</v>
          </cell>
          <cell r="AG90">
            <v>62.393676142434245</v>
          </cell>
          <cell r="AI90">
            <v>64.61545979989971</v>
          </cell>
          <cell r="AK90">
            <v>0</v>
          </cell>
        </row>
        <row r="92">
          <cell r="A92" t="str">
            <v>Revolver</v>
          </cell>
          <cell r="E92">
            <v>81.373999999999995</v>
          </cell>
          <cell r="G92">
            <v>172.375</v>
          </cell>
          <cell r="I92">
            <v>192</v>
          </cell>
          <cell r="K92">
            <v>182.14569831826032</v>
          </cell>
          <cell r="M92">
            <v>-178.45009202964002</v>
          </cell>
          <cell r="O92">
            <v>3.6956062886202972</v>
          </cell>
          <cell r="Q92">
            <v>0</v>
          </cell>
          <cell r="S92">
            <v>0</v>
          </cell>
          <cell r="U92">
            <v>0</v>
          </cell>
          <cell r="W92">
            <v>0</v>
          </cell>
          <cell r="Y92">
            <v>0</v>
          </cell>
          <cell r="AA92">
            <v>0</v>
          </cell>
          <cell r="AC92">
            <v>48.058093081496338</v>
          </cell>
          <cell r="AE92">
            <v>3.7791871172669289</v>
          </cell>
          <cell r="AG92">
            <v>0</v>
          </cell>
          <cell r="AI92">
            <v>0</v>
          </cell>
          <cell r="AK92">
            <v>0</v>
          </cell>
        </row>
        <row r="93">
          <cell r="A93" t="str">
            <v>Term Loan A</v>
          </cell>
          <cell r="M93">
            <v>100</v>
          </cell>
          <cell r="O93">
            <v>100</v>
          </cell>
          <cell r="Q93">
            <v>75</v>
          </cell>
          <cell r="S93">
            <v>47.170177833989385</v>
          </cell>
          <cell r="U93">
            <v>18.837892874599817</v>
          </cell>
          <cell r="W93">
            <v>-10.906290998895916</v>
          </cell>
          <cell r="Y93">
            <v>0</v>
          </cell>
          <cell r="AA93">
            <v>0</v>
          </cell>
          <cell r="AC93">
            <v>0</v>
          </cell>
          <cell r="AE93">
            <v>0</v>
          </cell>
          <cell r="AG93">
            <v>0</v>
          </cell>
          <cell r="AI93">
            <v>0</v>
          </cell>
          <cell r="AK93">
            <v>0</v>
          </cell>
        </row>
        <row r="94">
          <cell r="A94" t="str">
            <v>Term Loan B</v>
          </cell>
          <cell r="M94">
            <v>0</v>
          </cell>
          <cell r="O94">
            <v>0</v>
          </cell>
          <cell r="Q94">
            <v>0</v>
          </cell>
          <cell r="S94">
            <v>0</v>
          </cell>
          <cell r="U94">
            <v>0</v>
          </cell>
          <cell r="W94">
            <v>0</v>
          </cell>
          <cell r="Y94">
            <v>0</v>
          </cell>
          <cell r="AA94">
            <v>0</v>
          </cell>
          <cell r="AC94">
            <v>0</v>
          </cell>
          <cell r="AE94">
            <v>0</v>
          </cell>
          <cell r="AG94">
            <v>0</v>
          </cell>
          <cell r="AI94">
            <v>0</v>
          </cell>
          <cell r="AK94">
            <v>0</v>
          </cell>
        </row>
        <row r="95">
          <cell r="A95" t="str">
            <v>Capital Lease Obligations</v>
          </cell>
          <cell r="M95">
            <v>0</v>
          </cell>
          <cell r="O95">
            <v>0</v>
          </cell>
          <cell r="Q95">
            <v>0</v>
          </cell>
          <cell r="S95">
            <v>0</v>
          </cell>
          <cell r="U95">
            <v>0</v>
          </cell>
          <cell r="W95">
            <v>0</v>
          </cell>
          <cell r="Y95">
            <v>0</v>
          </cell>
          <cell r="AA95">
            <v>0</v>
          </cell>
          <cell r="AC95">
            <v>0</v>
          </cell>
          <cell r="AE95">
            <v>0</v>
          </cell>
          <cell r="AG95">
            <v>0</v>
          </cell>
          <cell r="AI95">
            <v>0</v>
          </cell>
          <cell r="AK95">
            <v>0</v>
          </cell>
        </row>
        <row r="96">
          <cell r="A96" t="str">
            <v>Other Long Term Debt</v>
          </cell>
          <cell r="M96">
            <v>0</v>
          </cell>
          <cell r="O96">
            <v>0</v>
          </cell>
          <cell r="Q96">
            <v>0</v>
          </cell>
          <cell r="S96">
            <v>0</v>
          </cell>
          <cell r="U96">
            <v>0</v>
          </cell>
          <cell r="W96">
            <v>0</v>
          </cell>
          <cell r="Y96">
            <v>0</v>
          </cell>
          <cell r="AA96">
            <v>0</v>
          </cell>
          <cell r="AC96">
            <v>0</v>
          </cell>
          <cell r="AE96">
            <v>0</v>
          </cell>
          <cell r="AG96">
            <v>0</v>
          </cell>
          <cell r="AI96">
            <v>0</v>
          </cell>
          <cell r="AK96">
            <v>0</v>
          </cell>
        </row>
        <row r="97">
          <cell r="A97" t="str">
            <v>Subordinated Debt</v>
          </cell>
          <cell r="M97">
            <v>250</v>
          </cell>
          <cell r="O97">
            <v>250</v>
          </cell>
          <cell r="Q97">
            <v>250</v>
          </cell>
          <cell r="S97">
            <v>250</v>
          </cell>
          <cell r="U97">
            <v>250</v>
          </cell>
          <cell r="W97">
            <v>250</v>
          </cell>
          <cell r="Y97">
            <v>250</v>
          </cell>
          <cell r="AA97">
            <v>0</v>
          </cell>
          <cell r="AC97">
            <v>0</v>
          </cell>
          <cell r="AE97">
            <v>0</v>
          </cell>
          <cell r="AG97">
            <v>0</v>
          </cell>
          <cell r="AI97">
            <v>0</v>
          </cell>
          <cell r="AK97">
            <v>0</v>
          </cell>
        </row>
        <row r="98">
          <cell r="A98" t="str">
            <v xml:space="preserve">     Total Long-Term Debt</v>
          </cell>
          <cell r="E98">
            <v>81.373999999999995</v>
          </cell>
          <cell r="G98">
            <v>172.375</v>
          </cell>
          <cell r="I98">
            <v>192</v>
          </cell>
          <cell r="K98">
            <v>182.14569831826032</v>
          </cell>
          <cell r="M98">
            <v>171.54990797035998</v>
          </cell>
          <cell r="O98">
            <v>353.6956062886203</v>
          </cell>
          <cell r="Q98">
            <v>325</v>
          </cell>
          <cell r="S98">
            <v>297.17017783398938</v>
          </cell>
          <cell r="U98">
            <v>268.83789287459979</v>
          </cell>
          <cell r="W98">
            <v>239.09370900110409</v>
          </cell>
          <cell r="Y98">
            <v>250</v>
          </cell>
          <cell r="AA98">
            <v>0</v>
          </cell>
          <cell r="AC98">
            <v>48.058093081496338</v>
          </cell>
          <cell r="AE98">
            <v>3.7791871172669289</v>
          </cell>
          <cell r="AG98">
            <v>0</v>
          </cell>
          <cell r="AI98">
            <v>0</v>
          </cell>
          <cell r="AK98">
            <v>0</v>
          </cell>
        </row>
        <row r="100">
          <cell r="A100" t="str">
            <v>Deferred Income Taxes</v>
          </cell>
          <cell r="E100">
            <v>22.62</v>
          </cell>
          <cell r="G100">
            <v>24.734999999999999</v>
          </cell>
          <cell r="I100">
            <v>30.628</v>
          </cell>
          <cell r="K100">
            <v>29.3464268</v>
          </cell>
          <cell r="M100">
            <v>0</v>
          </cell>
          <cell r="O100">
            <v>29.3464268</v>
          </cell>
          <cell r="Q100">
            <v>31.045895077206499</v>
          </cell>
          <cell r="S100">
            <v>30.872503026697295</v>
          </cell>
          <cell r="U100">
            <v>31.335590572097754</v>
          </cell>
          <cell r="W100">
            <v>31.805624430679213</v>
          </cell>
          <cell r="Y100">
            <v>32.282708797139399</v>
          </cell>
          <cell r="AA100">
            <v>32.766949429096485</v>
          </cell>
          <cell r="AC100">
            <v>33.25845367053293</v>
          </cell>
          <cell r="AE100">
            <v>35.348935809114629</v>
          </cell>
          <cell r="AG100">
            <v>36.260963755149881</v>
          </cell>
          <cell r="AI100">
            <v>37.552184623290835</v>
          </cell>
          <cell r="AK100">
            <v>0</v>
          </cell>
        </row>
        <row r="101">
          <cell r="A101" t="str">
            <v>Other Long-Term Liabilities</v>
          </cell>
          <cell r="E101">
            <v>0</v>
          </cell>
          <cell r="G101">
            <v>1.284</v>
          </cell>
          <cell r="I101">
            <v>2.9319999999999999</v>
          </cell>
          <cell r="K101">
            <v>3.66830335</v>
          </cell>
          <cell r="M101">
            <v>0</v>
          </cell>
          <cell r="O101">
            <v>3.66830335</v>
          </cell>
          <cell r="Q101">
            <v>3.8807368846508123</v>
          </cell>
          <cell r="S101">
            <v>3.8590628783371619</v>
          </cell>
          <cell r="U101">
            <v>3.9169488215122192</v>
          </cell>
          <cell r="W101">
            <v>3.9757030538349016</v>
          </cell>
          <cell r="Y101">
            <v>4.0353385996424249</v>
          </cell>
          <cell r="AA101">
            <v>4.0958686786370606</v>
          </cell>
          <cell r="AC101">
            <v>4.1573067088166162</v>
          </cell>
          <cell r="AE101">
            <v>4.4186169761393286</v>
          </cell>
          <cell r="AG101">
            <v>4.5326204693937351</v>
          </cell>
          <cell r="AI101">
            <v>4.6940230779113543</v>
          </cell>
          <cell r="AK101">
            <v>0</v>
          </cell>
        </row>
        <row r="102">
          <cell r="A102" t="str">
            <v xml:space="preserve">     Total Liabilities</v>
          </cell>
          <cell r="E102">
            <v>229.02100000000002</v>
          </cell>
          <cell r="G102">
            <v>242.434</v>
          </cell>
          <cell r="I102">
            <v>273.63199999999995</v>
          </cell>
          <cell r="K102">
            <v>265.6581896992692</v>
          </cell>
          <cell r="M102">
            <v>196.54990797035998</v>
          </cell>
          <cell r="O102">
            <v>462.20809766962918</v>
          </cell>
          <cell r="Q102">
            <v>438.34682057237399</v>
          </cell>
          <cell r="S102">
            <v>410.0235793460684</v>
          </cell>
          <cell r="U102">
            <v>383.00909540935999</v>
          </cell>
          <cell r="W102">
            <v>354.6024795738856</v>
          </cell>
          <cell r="Y102">
            <v>341.86640213137326</v>
          </cell>
          <cell r="AA102">
            <v>343.24439816334382</v>
          </cell>
          <cell r="AC102">
            <v>142.70115721729036</v>
          </cell>
          <cell r="AE102">
            <v>104.37110374862404</v>
          </cell>
          <cell r="AG102">
            <v>103.18726036697785</v>
          </cell>
          <cell r="AI102">
            <v>106.86166750110189</v>
          </cell>
          <cell r="AK102">
            <v>0</v>
          </cell>
        </row>
        <row r="104">
          <cell r="A104" t="str">
            <v>Common Stock</v>
          </cell>
          <cell r="E104">
            <v>39.158000000000001</v>
          </cell>
          <cell r="G104">
            <v>35.854999999999997</v>
          </cell>
          <cell r="I104">
            <v>31.192</v>
          </cell>
          <cell r="K104">
            <v>31.192</v>
          </cell>
          <cell r="M104">
            <v>173.60930192364003</v>
          </cell>
          <cell r="O104">
            <v>204.80130192364004</v>
          </cell>
          <cell r="Q104">
            <v>204.80130192364004</v>
          </cell>
          <cell r="S104">
            <v>204.80130192364004</v>
          </cell>
          <cell r="U104">
            <v>204.80130192364004</v>
          </cell>
          <cell r="W104">
            <v>204.80130192364004</v>
          </cell>
          <cell r="Y104">
            <v>204.80130192364004</v>
          </cell>
          <cell r="AA104">
            <v>204.80130192364004</v>
          </cell>
          <cell r="AC104">
            <v>204.80130192364004</v>
          </cell>
          <cell r="AE104">
            <v>204.80130192364004</v>
          </cell>
          <cell r="AG104">
            <v>204.80130192364004</v>
          </cell>
          <cell r="AI104">
            <v>204.80130192364004</v>
          </cell>
          <cell r="AK104">
            <v>204.80130192364004</v>
          </cell>
        </row>
        <row r="105">
          <cell r="A105" t="str">
            <v>Treasury Stock</v>
          </cell>
          <cell r="E105">
            <v>0</v>
          </cell>
          <cell r="G105">
            <v>0</v>
          </cell>
          <cell r="I105">
            <v>0</v>
          </cell>
          <cell r="K105">
            <v>0</v>
          </cell>
          <cell r="M105">
            <v>0</v>
          </cell>
          <cell r="O105">
            <v>0</v>
          </cell>
          <cell r="Q105">
            <v>0</v>
          </cell>
          <cell r="S105">
            <v>0</v>
          </cell>
          <cell r="U105">
            <v>0</v>
          </cell>
          <cell r="W105">
            <v>0</v>
          </cell>
          <cell r="Y105">
            <v>0</v>
          </cell>
          <cell r="AA105">
            <v>0</v>
          </cell>
          <cell r="AC105">
            <v>0</v>
          </cell>
          <cell r="AE105">
            <v>0</v>
          </cell>
          <cell r="AG105">
            <v>0</v>
          </cell>
          <cell r="AI105">
            <v>0</v>
          </cell>
          <cell r="AK105">
            <v>0</v>
          </cell>
        </row>
        <row r="106">
          <cell r="A106" t="str">
            <v>Preferred Stock</v>
          </cell>
          <cell r="E106">
            <v>0</v>
          </cell>
          <cell r="G106">
            <v>0</v>
          </cell>
          <cell r="I106">
            <v>0</v>
          </cell>
          <cell r="K106">
            <v>0</v>
          </cell>
          <cell r="M106">
            <v>0</v>
          </cell>
          <cell r="O106">
            <v>0</v>
          </cell>
          <cell r="Q106">
            <v>0</v>
          </cell>
          <cell r="S106">
            <v>0</v>
          </cell>
          <cell r="U106">
            <v>0</v>
          </cell>
          <cell r="W106">
            <v>0</v>
          </cell>
          <cell r="Y106">
            <v>0</v>
          </cell>
          <cell r="AA106">
            <v>0</v>
          </cell>
          <cell r="AC106">
            <v>0</v>
          </cell>
          <cell r="AE106">
            <v>0</v>
          </cell>
          <cell r="AG106">
            <v>0</v>
          </cell>
          <cell r="AI106">
            <v>0</v>
          </cell>
          <cell r="AK106">
            <v>0</v>
          </cell>
        </row>
        <row r="107">
          <cell r="A107" t="str">
            <v>Additional Paid-In-Capital</v>
          </cell>
          <cell r="E107">
            <v>1.274</v>
          </cell>
          <cell r="G107">
            <v>0.70299999999999996</v>
          </cell>
          <cell r="I107">
            <v>8.8999999999999996E-2</v>
          </cell>
          <cell r="K107">
            <v>8.8999999999999996E-2</v>
          </cell>
          <cell r="M107">
            <v>-8.8999999999999996E-2</v>
          </cell>
          <cell r="O107">
            <v>0</v>
          </cell>
          <cell r="Q107">
            <v>0</v>
          </cell>
          <cell r="S107">
            <v>0</v>
          </cell>
          <cell r="U107">
            <v>0</v>
          </cell>
          <cell r="W107">
            <v>0</v>
          </cell>
          <cell r="Y107">
            <v>0</v>
          </cell>
          <cell r="AA107">
            <v>0</v>
          </cell>
          <cell r="AC107">
            <v>0</v>
          </cell>
          <cell r="AE107">
            <v>0</v>
          </cell>
          <cell r="AG107">
            <v>0</v>
          </cell>
          <cell r="AI107">
            <v>0</v>
          </cell>
          <cell r="AK107">
            <v>0</v>
          </cell>
        </row>
        <row r="108">
          <cell r="A108" t="str">
            <v>Retained Earnings</v>
          </cell>
          <cell r="E108">
            <v>239.94</v>
          </cell>
          <cell r="G108">
            <v>246.83500000000001</v>
          </cell>
          <cell r="I108">
            <v>251.148</v>
          </cell>
          <cell r="K108">
            <v>293.36476400000004</v>
          </cell>
          <cell r="M108">
            <v>-308.36476400000004</v>
          </cell>
          <cell r="O108">
            <v>-15</v>
          </cell>
          <cell r="Q108">
            <v>3.531383775929406</v>
          </cell>
          <cell r="S108">
            <v>22.888869830006804</v>
          </cell>
          <cell r="U108">
            <v>45.765047989787377</v>
          </cell>
          <cell r="W108">
            <v>72.258881492297149</v>
          </cell>
          <cell r="Y108">
            <v>102.17155590409817</v>
          </cell>
          <cell r="AA108">
            <v>136.3496283358939</v>
          </cell>
          <cell r="AC108">
            <v>170.40797514035484</v>
          </cell>
          <cell r="AE108">
            <v>227.14165533202069</v>
          </cell>
          <cell r="AG108">
            <v>288.60543249319812</v>
          </cell>
          <cell r="AI108">
            <v>355.22919536229784</v>
          </cell>
          <cell r="AK108">
            <v>325.18229422563536</v>
          </cell>
        </row>
        <row r="109">
          <cell r="A109" t="str">
            <v xml:space="preserve">     Total Shareholders Equity</v>
          </cell>
          <cell r="E109">
            <v>280.37200000000001</v>
          </cell>
          <cell r="G109">
            <v>283.39300000000003</v>
          </cell>
          <cell r="I109">
            <v>282.42899999999997</v>
          </cell>
          <cell r="K109">
            <v>324.64576400000004</v>
          </cell>
          <cell r="M109">
            <v>-134.84446207636</v>
          </cell>
          <cell r="O109">
            <v>189.80130192364004</v>
          </cell>
          <cell r="Q109">
            <v>208.33268569956945</v>
          </cell>
          <cell r="S109">
            <v>227.69017175364684</v>
          </cell>
          <cell r="U109">
            <v>250.56634991342742</v>
          </cell>
          <cell r="W109">
            <v>277.06018341593722</v>
          </cell>
          <cell r="Y109">
            <v>306.97285782773821</v>
          </cell>
          <cell r="AA109">
            <v>341.15093025953394</v>
          </cell>
          <cell r="AC109">
            <v>375.20927706399488</v>
          </cell>
          <cell r="AE109">
            <v>431.94295725566076</v>
          </cell>
          <cell r="AG109">
            <v>493.40673441683816</v>
          </cell>
          <cell r="AI109">
            <v>560.03049728593783</v>
          </cell>
          <cell r="AK109">
            <v>529.9835961492754</v>
          </cell>
        </row>
        <row r="111">
          <cell r="A111" t="str">
            <v>Total Liabilities &amp; Equity</v>
          </cell>
          <cell r="E111">
            <v>509.39300000000003</v>
          </cell>
          <cell r="G111">
            <v>525.827</v>
          </cell>
          <cell r="I111">
            <v>556.06099999999992</v>
          </cell>
          <cell r="K111">
            <v>590.30395369926919</v>
          </cell>
          <cell r="M111">
            <v>61.705445893999979</v>
          </cell>
          <cell r="O111">
            <v>652.00939959326922</v>
          </cell>
          <cell r="Q111">
            <v>646.67950627194341</v>
          </cell>
          <cell r="S111">
            <v>637.71375109971518</v>
          </cell>
          <cell r="U111">
            <v>633.57544532278735</v>
          </cell>
          <cell r="W111">
            <v>631.66266298982282</v>
          </cell>
          <cell r="Y111">
            <v>648.83925995911147</v>
          </cell>
          <cell r="AA111">
            <v>684.39532842287781</v>
          </cell>
          <cell r="AC111">
            <v>517.91043428128523</v>
          </cell>
          <cell r="AE111">
            <v>536.31406100428478</v>
          </cell>
          <cell r="AG111">
            <v>596.59399478381602</v>
          </cell>
          <cell r="AI111">
            <v>666.89216478703975</v>
          </cell>
          <cell r="AK111">
            <v>529.9835961492754</v>
          </cell>
        </row>
        <row r="114">
          <cell r="A114" t="str">
            <v>Trial Balance</v>
          </cell>
          <cell r="E114">
            <v>0</v>
          </cell>
          <cell r="G114">
            <v>0</v>
          </cell>
          <cell r="I114">
            <v>0</v>
          </cell>
          <cell r="K114">
            <v>0</v>
          </cell>
          <cell r="M114">
            <v>0</v>
          </cell>
          <cell r="O114">
            <v>0</v>
          </cell>
          <cell r="Q114">
            <v>0</v>
          </cell>
          <cell r="S114">
            <v>0</v>
          </cell>
          <cell r="U114">
            <v>0</v>
          </cell>
          <cell r="W114">
            <v>0</v>
          </cell>
          <cell r="Y114">
            <v>0</v>
          </cell>
          <cell r="AA114">
            <v>0</v>
          </cell>
          <cell r="AC114">
            <v>0</v>
          </cell>
          <cell r="AE114">
            <v>0</v>
          </cell>
          <cell r="AG114">
            <v>0</v>
          </cell>
          <cell r="AI114">
            <v>0</v>
          </cell>
          <cell r="AK114">
            <v>0</v>
          </cell>
        </row>
        <row r="115">
          <cell r="A115" t="str">
            <v>Plug Figure</v>
          </cell>
          <cell r="K115">
            <v>182.14569831826032</v>
          </cell>
          <cell r="Q115">
            <v>-8.2259232221451839</v>
          </cell>
          <cell r="S115">
            <v>-14.246771447450101</v>
          </cell>
          <cell r="U115">
            <v>-24.608554527620413</v>
          </cell>
          <cell r="W115">
            <v>-37.190551404144571</v>
          </cell>
          <cell r="Y115">
            <v>-79.893204957264629</v>
          </cell>
          <cell r="AA115">
            <v>-140.96985987315395</v>
          </cell>
          <cell r="AC115">
            <v>48.058093081496338</v>
          </cell>
          <cell r="AE115">
            <v>3.7791871172669289</v>
          </cell>
          <cell r="AG115">
            <v>-42.345204381756616</v>
          </cell>
          <cell r="AI115">
            <v>-134.98690246314891</v>
          </cell>
          <cell r="AK115">
            <v>-61.40880360259257</v>
          </cell>
        </row>
        <row r="116">
          <cell r="A116" t="str">
            <v>Reset (1=yes,0=no)</v>
          </cell>
          <cell r="C116">
            <v>0</v>
          </cell>
        </row>
        <row r="118">
          <cell r="A118" t="str">
            <v>Cash Flow Statement</v>
          </cell>
          <cell r="Y118" t="str">
            <v>Mergers &amp; Acquisitions</v>
          </cell>
        </row>
        <row r="119">
          <cell r="A119" t="str">
            <v>FYE December 31</v>
          </cell>
        </row>
        <row r="120">
          <cell r="A120" t="str">
            <v>($ 000s)</v>
          </cell>
          <cell r="Q120" t="str">
            <v>Projected</v>
          </cell>
        </row>
        <row r="121">
          <cell r="Q121">
            <v>2002</v>
          </cell>
          <cell r="S121">
            <v>2003</v>
          </cell>
          <cell r="U121">
            <v>2004</v>
          </cell>
          <cell r="W121">
            <v>2005</v>
          </cell>
          <cell r="Y121">
            <v>2006</v>
          </cell>
          <cell r="AA121">
            <v>2007</v>
          </cell>
          <cell r="AC121">
            <v>2008</v>
          </cell>
          <cell r="AE121">
            <v>2009</v>
          </cell>
          <cell r="AG121">
            <v>2010</v>
          </cell>
          <cell r="AI121">
            <v>2011</v>
          </cell>
          <cell r="AK121">
            <v>2012</v>
          </cell>
        </row>
        <row r="123">
          <cell r="A123" t="str">
            <v>EBIT</v>
          </cell>
          <cell r="Q123">
            <v>65.099480820745811</v>
          </cell>
          <cell r="S123">
            <v>65.221073207003741</v>
          </cell>
          <cell r="U123">
            <v>67.752618455192959</v>
          </cell>
          <cell r="W123">
            <v>70.33388772856938</v>
          </cell>
          <cell r="Y123">
            <v>72.965803150208018</v>
          </cell>
          <cell r="AA123">
            <v>75.649303318970311</v>
          </cell>
          <cell r="AC123">
            <v>78.38534359629989</v>
          </cell>
          <cell r="AE123">
            <v>89.118375903424919</v>
          </cell>
          <cell r="AG123">
            <v>93.604609685491937</v>
          </cell>
          <cell r="AI123">
            <v>98.704932114648727</v>
          </cell>
          <cell r="AK123">
            <v>-49.626197147349998</v>
          </cell>
        </row>
        <row r="124">
          <cell r="A124" t="str">
            <v>Depreciation</v>
          </cell>
          <cell r="Q124">
            <v>29.630436</v>
          </cell>
          <cell r="S124">
            <v>29.630436</v>
          </cell>
          <cell r="U124">
            <v>29.630436</v>
          </cell>
          <cell r="W124">
            <v>29.630436</v>
          </cell>
          <cell r="Y124">
            <v>29.630436</v>
          </cell>
          <cell r="AA124">
            <v>29.630436</v>
          </cell>
          <cell r="AC124">
            <v>29.630436</v>
          </cell>
          <cell r="AE124">
            <v>29.630436</v>
          </cell>
          <cell r="AG124">
            <v>29.630436</v>
          </cell>
          <cell r="AI124">
            <v>29.630436</v>
          </cell>
          <cell r="AK124">
            <v>29.630436</v>
          </cell>
        </row>
        <row r="125">
          <cell r="A125" t="str">
            <v>Amortization</v>
          </cell>
          <cell r="Q125">
            <v>6.6921897187785708</v>
          </cell>
          <cell r="S125">
            <v>6.6921897187785708</v>
          </cell>
          <cell r="U125">
            <v>6.6921897187785708</v>
          </cell>
          <cell r="W125">
            <v>6.6921897187785708</v>
          </cell>
          <cell r="Y125">
            <v>6.6921897187785708</v>
          </cell>
          <cell r="AA125">
            <v>6.6921897187785708</v>
          </cell>
          <cell r="AC125">
            <v>6.6921897187785708</v>
          </cell>
          <cell r="AE125">
            <v>4.9957611473499997</v>
          </cell>
          <cell r="AG125">
            <v>4.9957611473499997</v>
          </cell>
          <cell r="AI125">
            <v>4.9957611473499997</v>
          </cell>
          <cell r="AK125">
            <v>4.9957611473499997</v>
          </cell>
        </row>
        <row r="126">
          <cell r="A126" t="str">
            <v>Cash Taxes</v>
          </cell>
          <cell r="Q126">
            <v>-8.825092963892283</v>
          </cell>
          <cell r="S126">
            <v>-11.051708111990603</v>
          </cell>
          <cell r="U126">
            <v>-12.432190898201295</v>
          </cell>
          <cell r="W126">
            <v>-14.460587138736347</v>
          </cell>
          <cell r="Y126">
            <v>-16.377052237116285</v>
          </cell>
          <cell r="AA126">
            <v>-18.769606216570494</v>
          </cell>
          <cell r="AC126">
            <v>-18.695427158299943</v>
          </cell>
          <cell r="AE126">
            <v>-29.946030210295074</v>
          </cell>
          <cell r="AG126">
            <v>-33.715365242836043</v>
          </cell>
          <cell r="AI126">
            <v>-36.26112351252975</v>
          </cell>
          <cell r="AK126">
            <v>-18.426623052974371</v>
          </cell>
        </row>
        <row r="127">
          <cell r="A127" t="str">
            <v xml:space="preserve">  Cash from Operations</v>
          </cell>
          <cell r="Q127">
            <v>92.59701357563209</v>
          </cell>
          <cell r="S127">
            <v>90.491990813791702</v>
          </cell>
          <cell r="U127">
            <v>91.643053275770228</v>
          </cell>
          <cell r="W127">
            <v>92.195926308611604</v>
          </cell>
          <cell r="Y127">
            <v>92.911376631870297</v>
          </cell>
          <cell r="AA127">
            <v>93.202322821178385</v>
          </cell>
          <cell r="AC127">
            <v>96.012542156778522</v>
          </cell>
          <cell r="AE127">
            <v>93.79854284047984</v>
          </cell>
          <cell r="AG127">
            <v>94.515441590005906</v>
          </cell>
          <cell r="AI127">
            <v>97.07000574946899</v>
          </cell>
          <cell r="AK127">
            <v>-33.426623052974371</v>
          </cell>
        </row>
        <row r="129">
          <cell r="A129" t="str">
            <v>Working Capital Sources/(Uses)</v>
          </cell>
          <cell r="Q129">
            <v>2.1497034950146876</v>
          </cell>
          <cell r="S129">
            <v>-0.2194328269076351</v>
          </cell>
          <cell r="U129">
            <v>0.58605114187485441</v>
          </cell>
          <cell r="W129">
            <v>0.59484190900296596</v>
          </cell>
          <cell r="Y129">
            <v>0.60376453763802829</v>
          </cell>
          <cell r="AA129">
            <v>0.61282100570259246</v>
          </cell>
          <cell r="AC129">
            <v>0.62201332078814175</v>
          </cell>
          <cell r="AE129">
            <v>2.6455676827269343</v>
          </cell>
          <cell r="AG129">
            <v>1.1541986488397882</v>
          </cell>
          <cell r="AI129">
            <v>1.6340786352443786</v>
          </cell>
          <cell r="AK129">
            <v>-47.523413006808298</v>
          </cell>
        </row>
        <row r="130">
          <cell r="A130" t="str">
            <v>Capital Expenditures</v>
          </cell>
          <cell r="Q130">
            <v>-21.468560354374311</v>
          </cell>
          <cell r="S130">
            <v>-21.468560354374311</v>
          </cell>
          <cell r="U130">
            <v>-21.468560354374311</v>
          </cell>
          <cell r="W130">
            <v>-21.468560354374311</v>
          </cell>
          <cell r="Y130">
            <v>-10.431893687707642</v>
          </cell>
          <cell r="AA130">
            <v>-10.431893687707642</v>
          </cell>
          <cell r="AC130">
            <v>-10.431893687707642</v>
          </cell>
          <cell r="AE130">
            <v>-51.431893687707642</v>
          </cell>
          <cell r="AG130">
            <v>-51.863787375415285</v>
          </cell>
          <cell r="AI130">
            <v>-11.295681063122924</v>
          </cell>
          <cell r="AK130">
            <v>0</v>
          </cell>
        </row>
        <row r="131">
          <cell r="A131" t="str">
            <v>Miscellaneous Items</v>
          </cell>
          <cell r="Q131">
            <v>2.3488528092187235</v>
          </cell>
          <cell r="S131">
            <v>2.5686555060161771</v>
          </cell>
          <cell r="U131">
            <v>2.5273002790230072</v>
          </cell>
          <cell r="W131">
            <v>2.5652097832083527</v>
          </cell>
          <cell r="Y131">
            <v>2.603687929956477</v>
          </cell>
          <cell r="AA131">
            <v>2.6427432489058242</v>
          </cell>
          <cell r="AC131">
            <v>2.6823843976394111</v>
          </cell>
          <cell r="AE131">
            <v>2.6549769369292444</v>
          </cell>
          <cell r="AG131">
            <v>2.8775260165454584</v>
          </cell>
          <cell r="AI131">
            <v>2.9366526229038747</v>
          </cell>
          <cell r="AK131">
            <v>4.6940230779113543</v>
          </cell>
        </row>
        <row r="132">
          <cell r="A132" t="str">
            <v xml:space="preserve">  Cash Available for Debt Service</v>
          </cell>
          <cell r="Q132">
            <v>75.627009525491189</v>
          </cell>
          <cell r="S132">
            <v>71.372653138525919</v>
          </cell>
          <cell r="U132">
            <v>73.287844342293781</v>
          </cell>
          <cell r="W132">
            <v>73.887417646448625</v>
          </cell>
          <cell r="Y132">
            <v>85.686935411757162</v>
          </cell>
          <cell r="AA132">
            <v>86.025993388079172</v>
          </cell>
          <cell r="AC132">
            <v>88.885046187498432</v>
          </cell>
          <cell r="AE132">
            <v>47.667193772428377</v>
          </cell>
          <cell r="AG132">
            <v>46.683378879975862</v>
          </cell>
          <cell r="AI132">
            <v>90.34505594449432</v>
          </cell>
          <cell r="AK132">
            <v>-76.256012981871308</v>
          </cell>
        </row>
        <row r="134">
          <cell r="A134" t="str">
            <v>Cash Interest</v>
          </cell>
          <cell r="Q134">
            <v>-38.705480014725644</v>
          </cell>
          <cell r="S134">
            <v>-37.52198274721033</v>
          </cell>
          <cell r="U134">
            <v>-34.593776302733872</v>
          </cell>
          <cell r="W134">
            <v>-31.561236896428895</v>
          </cell>
          <cell r="Y134">
            <v>-28.890572857532931</v>
          </cell>
          <cell r="AA134">
            <v>-24.949338472189933</v>
          </cell>
          <cell r="AC134">
            <v>-27.912999142148646</v>
          </cell>
          <cell r="AE134">
            <v>-3.3882878081989851</v>
          </cell>
          <cell r="AG134">
            <v>-0.55898738095212852</v>
          </cell>
          <cell r="AI134">
            <v>2.29664213689811</v>
          </cell>
          <cell r="AK134">
            <v>2.6779141213148288</v>
          </cell>
        </row>
        <row r="136">
          <cell r="A136" t="str">
            <v>Amortization of Term Loan A</v>
          </cell>
          <cell r="Q136">
            <v>-25</v>
          </cell>
          <cell r="S136">
            <v>-25</v>
          </cell>
          <cell r="U136">
            <v>-25</v>
          </cell>
          <cell r="W136">
            <v>-25</v>
          </cell>
          <cell r="Y136">
            <v>-25</v>
          </cell>
          <cell r="AA136">
            <v>0</v>
          </cell>
          <cell r="AC136">
            <v>0</v>
          </cell>
          <cell r="AE136">
            <v>0</v>
          </cell>
          <cell r="AG136">
            <v>0</v>
          </cell>
          <cell r="AI136">
            <v>0</v>
          </cell>
          <cell r="AK136">
            <v>0</v>
          </cell>
        </row>
        <row r="137">
          <cell r="A137" t="str">
            <v>Amortization of Term Loan B</v>
          </cell>
          <cell r="Q137">
            <v>0</v>
          </cell>
          <cell r="S137">
            <v>0</v>
          </cell>
          <cell r="U137">
            <v>0</v>
          </cell>
          <cell r="W137">
            <v>0</v>
          </cell>
          <cell r="Y137">
            <v>0</v>
          </cell>
          <cell r="AA137">
            <v>0</v>
          </cell>
          <cell r="AC137">
            <v>0</v>
          </cell>
          <cell r="AE137">
            <v>0</v>
          </cell>
          <cell r="AG137">
            <v>0</v>
          </cell>
          <cell r="AI137">
            <v>0</v>
          </cell>
          <cell r="AK137">
            <v>0</v>
          </cell>
        </row>
        <row r="138">
          <cell r="A138" t="str">
            <v>Amortization of Capital Leases</v>
          </cell>
          <cell r="Q138">
            <v>0</v>
          </cell>
          <cell r="S138">
            <v>0</v>
          </cell>
          <cell r="U138">
            <v>0</v>
          </cell>
          <cell r="W138">
            <v>0</v>
          </cell>
          <cell r="Y138">
            <v>0</v>
          </cell>
          <cell r="AA138">
            <v>0</v>
          </cell>
          <cell r="AC138">
            <v>0</v>
          </cell>
          <cell r="AE138">
            <v>0</v>
          </cell>
          <cell r="AG138">
            <v>0</v>
          </cell>
          <cell r="AI138">
            <v>0</v>
          </cell>
          <cell r="AK138">
            <v>0</v>
          </cell>
        </row>
        <row r="139">
          <cell r="A139" t="str">
            <v>Amortization of Other Long Term Debt</v>
          </cell>
          <cell r="Q139">
            <v>0</v>
          </cell>
          <cell r="S139">
            <v>0</v>
          </cell>
          <cell r="U139">
            <v>0</v>
          </cell>
          <cell r="W139">
            <v>0</v>
          </cell>
          <cell r="Y139">
            <v>0</v>
          </cell>
          <cell r="AA139">
            <v>0</v>
          </cell>
          <cell r="AC139">
            <v>0</v>
          </cell>
          <cell r="AE139">
            <v>0</v>
          </cell>
          <cell r="AG139">
            <v>0</v>
          </cell>
          <cell r="AI139">
            <v>0</v>
          </cell>
          <cell r="AK139">
            <v>0</v>
          </cell>
        </row>
        <row r="140">
          <cell r="A140" t="str">
            <v>Amortization of Senior Subordinated Note</v>
          </cell>
          <cell r="Q140">
            <v>0</v>
          </cell>
          <cell r="S140">
            <v>0</v>
          </cell>
          <cell r="U140">
            <v>0</v>
          </cell>
          <cell r="W140">
            <v>0</v>
          </cell>
          <cell r="Y140">
            <v>0</v>
          </cell>
          <cell r="AA140">
            <v>0</v>
          </cell>
          <cell r="AC140">
            <v>-250</v>
          </cell>
          <cell r="AE140">
            <v>0</v>
          </cell>
          <cell r="AG140">
            <v>0</v>
          </cell>
          <cell r="AI140">
            <v>0</v>
          </cell>
          <cell r="AK140">
            <v>0</v>
          </cell>
        </row>
        <row r="141">
          <cell r="A141" t="str">
            <v>Other Debt Sources/(Uses)</v>
          </cell>
          <cell r="Q141">
            <v>0</v>
          </cell>
          <cell r="S141">
            <v>-2.8298221660106151</v>
          </cell>
          <cell r="U141">
            <v>-3.3322849593895967</v>
          </cell>
          <cell r="W141">
            <v>-4.7441838734957287</v>
          </cell>
          <cell r="Y141">
            <v>10.90629099889594</v>
          </cell>
          <cell r="AA141">
            <v>0</v>
          </cell>
          <cell r="AC141">
            <v>0</v>
          </cell>
          <cell r="AE141">
            <v>0</v>
          </cell>
          <cell r="AG141">
            <v>0</v>
          </cell>
          <cell r="AI141">
            <v>0</v>
          </cell>
          <cell r="AK141">
            <v>0</v>
          </cell>
        </row>
        <row r="142">
          <cell r="A142" t="str">
            <v xml:space="preserve">  Total Amortization of Debt</v>
          </cell>
          <cell r="Q142">
            <v>-25</v>
          </cell>
          <cell r="S142">
            <v>-27.829822166010615</v>
          </cell>
          <cell r="U142">
            <v>-28.332284959389597</v>
          </cell>
          <cell r="W142">
            <v>-29.744183873495729</v>
          </cell>
          <cell r="Y142">
            <v>-14.09370900110406</v>
          </cell>
          <cell r="AA142">
            <v>0</v>
          </cell>
          <cell r="AC142">
            <v>-250</v>
          </cell>
          <cell r="AE142">
            <v>0</v>
          </cell>
          <cell r="AG142">
            <v>0</v>
          </cell>
          <cell r="AI142">
            <v>0</v>
          </cell>
          <cell r="AK142">
            <v>0</v>
          </cell>
        </row>
        <row r="144">
          <cell r="A144" t="str">
            <v>Equity Sources/(Uses)</v>
          </cell>
          <cell r="Q144">
            <v>0</v>
          </cell>
          <cell r="S144">
            <v>0</v>
          </cell>
          <cell r="U144">
            <v>0</v>
          </cell>
          <cell r="W144">
            <v>0</v>
          </cell>
          <cell r="Y144">
            <v>0</v>
          </cell>
          <cell r="AA144">
            <v>0</v>
          </cell>
          <cell r="AC144">
            <v>0</v>
          </cell>
          <cell r="AE144">
            <v>0</v>
          </cell>
          <cell r="AG144">
            <v>0</v>
          </cell>
          <cell r="AI144">
            <v>0</v>
          </cell>
          <cell r="AK144">
            <v>0</v>
          </cell>
        </row>
        <row r="145">
          <cell r="A145" t="str">
            <v xml:space="preserve">  Cash Available for Dividends</v>
          </cell>
          <cell r="Q145">
            <v>11.921529510765545</v>
          </cell>
          <cell r="S145">
            <v>6.0208482253049738</v>
          </cell>
          <cell r="U145">
            <v>10.361783080170312</v>
          </cell>
          <cell r="W145">
            <v>12.581996876524002</v>
          </cell>
          <cell r="Y145">
            <v>42.702653553120172</v>
          </cell>
          <cell r="AA145">
            <v>61.076654915889236</v>
          </cell>
          <cell r="AC145">
            <v>-189.02795295465023</v>
          </cell>
          <cell r="AE145">
            <v>44.278905964229395</v>
          </cell>
          <cell r="AG145">
            <v>46.124391499023737</v>
          </cell>
          <cell r="AI145">
            <v>92.641698081392434</v>
          </cell>
          <cell r="AK145">
            <v>-73.57809886055648</v>
          </cell>
        </row>
        <row r="147">
          <cell r="A147" t="str">
            <v>Preferred Dividend</v>
          </cell>
          <cell r="Q147">
            <v>0</v>
          </cell>
          <cell r="S147">
            <v>0</v>
          </cell>
          <cell r="U147">
            <v>0</v>
          </cell>
          <cell r="W147">
            <v>0</v>
          </cell>
          <cell r="Y147">
            <v>0</v>
          </cell>
          <cell r="AA147">
            <v>0</v>
          </cell>
          <cell r="AC147">
            <v>0</v>
          </cell>
          <cell r="AE147">
            <v>0</v>
          </cell>
          <cell r="AG147">
            <v>0</v>
          </cell>
          <cell r="AI147">
            <v>0</v>
          </cell>
          <cell r="AK147">
            <v>0</v>
          </cell>
        </row>
        <row r="148">
          <cell r="A148" t="str">
            <v>Common Dividend</v>
          </cell>
          <cell r="Q148">
            <v>0</v>
          </cell>
          <cell r="S148">
            <v>0</v>
          </cell>
          <cell r="U148">
            <v>0</v>
          </cell>
          <cell r="W148">
            <v>0</v>
          </cell>
          <cell r="Y148">
            <v>0</v>
          </cell>
          <cell r="AA148">
            <v>0</v>
          </cell>
          <cell r="AC148">
            <v>0</v>
          </cell>
          <cell r="AE148">
            <v>0</v>
          </cell>
          <cell r="AG148">
            <v>0</v>
          </cell>
          <cell r="AI148">
            <v>0</v>
          </cell>
          <cell r="AK148">
            <v>0</v>
          </cell>
        </row>
        <row r="149">
          <cell r="A149" t="str">
            <v xml:space="preserve">  Cash Prior to Financing Flows</v>
          </cell>
          <cell r="Q149">
            <v>11.921529510765545</v>
          </cell>
          <cell r="S149">
            <v>6.0208482253049738</v>
          </cell>
          <cell r="U149">
            <v>10.361783080170312</v>
          </cell>
          <cell r="W149">
            <v>12.581996876524002</v>
          </cell>
          <cell r="Y149">
            <v>42.702653553120172</v>
          </cell>
          <cell r="AA149">
            <v>61.076654915889236</v>
          </cell>
          <cell r="AC149">
            <v>-189.02795295465023</v>
          </cell>
          <cell r="AE149">
            <v>44.278905964229395</v>
          </cell>
          <cell r="AG149">
            <v>46.124391499023737</v>
          </cell>
          <cell r="AI149">
            <v>92.641698081392434</v>
          </cell>
          <cell r="AK149">
            <v>-73.57809886055648</v>
          </cell>
        </row>
        <row r="151">
          <cell r="A151" t="str">
            <v>Revolver Increase (Decrease)</v>
          </cell>
          <cell r="Q151">
            <v>-3.6956062886202972</v>
          </cell>
          <cell r="S151">
            <v>0</v>
          </cell>
          <cell r="U151">
            <v>0</v>
          </cell>
          <cell r="W151">
            <v>0</v>
          </cell>
          <cell r="Y151">
            <v>0</v>
          </cell>
          <cell r="AA151">
            <v>0</v>
          </cell>
          <cell r="AC151">
            <v>48.058093081496338</v>
          </cell>
          <cell r="AE151">
            <v>-44.278905964229409</v>
          </cell>
          <cell r="AG151">
            <v>-3.7791871172669289</v>
          </cell>
          <cell r="AI151">
            <v>0</v>
          </cell>
          <cell r="AK151">
            <v>0</v>
          </cell>
        </row>
        <row r="152">
          <cell r="A152" t="str">
            <v>Net Free Cash Flow</v>
          </cell>
          <cell r="Q152">
            <v>8.2259232221452478</v>
          </cell>
          <cell r="S152">
            <v>6.0208482253049738</v>
          </cell>
          <cell r="U152">
            <v>10.361783080170312</v>
          </cell>
          <cell r="W152">
            <v>12.581996876524002</v>
          </cell>
          <cell r="Y152">
            <v>42.702653553120172</v>
          </cell>
          <cell r="AA152">
            <v>61.076654915889236</v>
          </cell>
          <cell r="AC152">
            <v>-140.96985987315389</v>
          </cell>
          <cell r="AE152">
            <v>0</v>
          </cell>
          <cell r="AG152">
            <v>42.345204381756808</v>
          </cell>
          <cell r="AI152">
            <v>92.641698081392434</v>
          </cell>
          <cell r="AK152">
            <v>-73.57809886055648</v>
          </cell>
        </row>
        <row r="154">
          <cell r="A154" t="str">
            <v>Check Total</v>
          </cell>
        </row>
      </sheetData>
      <sheetData sheetId="7" refreshError="1"/>
      <sheetData sheetId="8"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KEQTRIN"/>
      <sheetName val="NKEANNL"/>
      <sheetName val="NKEBALST"/>
      <sheetName val="CAL"/>
      <sheetName val="NKEFCF"/>
      <sheetName val="NKEDCF"/>
      <sheetName val="NKERI"/>
      <sheetName val="NKEEVA"/>
      <sheetName val="NKEFUTUR"/>
      <sheetName val="mStartup"/>
      <sheetName val="NY UPLOAD"/>
      <sheetName val="NY UPLOAD shadow"/>
      <sheetName val="SQLSheet"/>
      <sheetName val="PV Graph Data"/>
      <sheetName val="Switches"/>
      <sheetName val="Data"/>
    </sheetNames>
    <sheetDataSet>
      <sheetData sheetId="0" refreshError="1">
        <row r="1">
          <cell r="A1" t="str">
            <v>NIKE EARNINGS MODEL</v>
          </cell>
        </row>
        <row r="6">
          <cell r="A6" t="str">
            <v>Domestic</v>
          </cell>
          <cell r="L6">
            <v>209.166</v>
          </cell>
          <cell r="M6">
            <v>0.84441853964926916</v>
          </cell>
          <cell r="N6">
            <v>125.982</v>
          </cell>
          <cell r="O6">
            <v>0.77799124546353271</v>
          </cell>
          <cell r="P6">
            <v>154.08699999999999</v>
          </cell>
          <cell r="Q6">
            <v>0.81899891027539584</v>
          </cell>
          <cell r="R6">
            <v>151.465</v>
          </cell>
          <cell r="S6">
            <v>0.70451771689519949</v>
          </cell>
          <cell r="T6">
            <v>225.08800000000002</v>
          </cell>
          <cell r="U6">
            <v>0.82920943051774421</v>
          </cell>
          <cell r="V6">
            <v>168.68100000000001</v>
          </cell>
          <cell r="W6">
            <v>0.77559831483529429</v>
          </cell>
          <cell r="X6">
            <v>267.13200000000001</v>
          </cell>
          <cell r="Y6">
            <v>0.83285219211703865</v>
          </cell>
          <cell r="Z6">
            <v>239.49900000000002</v>
          </cell>
          <cell r="AA6">
            <v>0.72236916111999072</v>
          </cell>
          <cell r="AB6">
            <v>409.22899999999998</v>
          </cell>
          <cell r="AC6">
            <v>0.80133193390850732</v>
          </cell>
          <cell r="AD6">
            <v>217.04300000000001</v>
          </cell>
          <cell r="AE6">
            <v>0.67397751162147979</v>
          </cell>
          <cell r="AF6">
            <v>368.54300000000001</v>
          </cell>
          <cell r="AG6">
            <v>0.79314040498167493</v>
          </cell>
          <cell r="AH6">
            <v>274.42599999999999</v>
          </cell>
          <cell r="AI6">
            <v>0.6637930825961913</v>
          </cell>
          <cell r="AJ6">
            <v>474.745</v>
          </cell>
          <cell r="AK6">
            <v>0.83249454642378662</v>
          </cell>
          <cell r="AL6">
            <v>305.78899999999999</v>
          </cell>
          <cell r="AM6">
            <v>0.73607119301742285</v>
          </cell>
          <cell r="AN6">
            <v>442.09400000000005</v>
          </cell>
          <cell r="AO6">
            <v>0.76504190396093219</v>
          </cell>
          <cell r="AP6">
            <v>412.34500000000003</v>
          </cell>
          <cell r="AQ6">
            <v>0.67706092719146427</v>
          </cell>
          <cell r="AR6">
            <v>613.85599999999999</v>
          </cell>
          <cell r="AS6">
            <v>0.73638537104414914</v>
          </cell>
          <cell r="AT6">
            <v>422.78000000000003</v>
          </cell>
          <cell r="AU6">
            <v>0.65160566436713574</v>
          </cell>
          <cell r="AV6">
            <v>570.23</v>
          </cell>
          <cell r="AW6">
            <v>0.71082562128525273</v>
          </cell>
          <cell r="AX6">
            <v>395.185</v>
          </cell>
          <cell r="AY6">
            <v>0.54965666018050907</v>
          </cell>
          <cell r="AZ6">
            <v>656.90300000000002</v>
          </cell>
          <cell r="BA6">
            <v>0.69354945991230632</v>
          </cell>
          <cell r="BB6">
            <v>416.59000000000003</v>
          </cell>
          <cell r="BC6">
            <v>0.56037190432825734</v>
          </cell>
          <cell r="BD6">
            <v>575.22</v>
          </cell>
          <cell r="BE6">
            <v>0.66344566843402508</v>
          </cell>
          <cell r="BF6">
            <v>460.23500000000001</v>
          </cell>
          <cell r="BG6">
            <v>0.54297710986368786</v>
          </cell>
          <cell r="BH6">
            <v>691.3130000000001</v>
          </cell>
          <cell r="BI6">
            <v>0.62854521749092163</v>
          </cell>
          <cell r="BJ6">
            <v>459.26900000000001</v>
          </cell>
          <cell r="BK6">
            <v>0.52437605541657772</v>
          </cell>
          <cell r="BL6">
            <v>655.67500000000007</v>
          </cell>
          <cell r="BM6">
            <v>0.67455998123464522</v>
          </cell>
          <cell r="BN6">
            <v>521.08899999999994</v>
          </cell>
          <cell r="BO6">
            <v>0.52995029894872159</v>
          </cell>
          <cell r="BP6">
            <v>723.63400000000001</v>
          </cell>
          <cell r="BQ6">
            <v>0.6531711975506328</v>
          </cell>
          <cell r="BR6">
            <v>415.69</v>
          </cell>
          <cell r="BS6">
            <v>0.51587946720543465</v>
          </cell>
          <cell r="BT6">
            <v>562.13199999999995</v>
          </cell>
          <cell r="BU6">
            <v>0.64476139680791877</v>
          </cell>
          <cell r="BV6">
            <v>505.96799999999996</v>
          </cell>
          <cell r="BW6">
            <v>0.50387390007130362</v>
          </cell>
          <cell r="BX6">
            <v>749.87700000000007</v>
          </cell>
          <cell r="BY6">
            <v>0.64072610447257461</v>
          </cell>
          <cell r="BZ6">
            <v>749.87700000000007</v>
          </cell>
          <cell r="CA6">
            <v>0.5982127258324299</v>
          </cell>
          <cell r="CB6">
            <v>553.34299999999996</v>
          </cell>
          <cell r="CC6">
            <v>0.52511990555598786</v>
          </cell>
          <cell r="CD6">
            <v>553.34299999999996</v>
          </cell>
          <cell r="CE6">
            <v>0.56694166272205115</v>
          </cell>
          <cell r="CF6">
            <v>721.57799999999997</v>
          </cell>
          <cell r="CG6">
            <v>0.64157546432505808</v>
          </cell>
          <cell r="CH6">
            <v>721.57799999999997</v>
          </cell>
          <cell r="CI6">
            <v>0.59736690257970027</v>
          </cell>
          <cell r="CJ6">
            <v>708.44500000000005</v>
          </cell>
          <cell r="CK6">
            <v>0.50171879470495095</v>
          </cell>
          <cell r="CL6">
            <v>708.44500000000005</v>
          </cell>
          <cell r="CM6">
            <v>0.5243355741753748</v>
          </cell>
          <cell r="CN6">
            <v>974.05099999999993</v>
          </cell>
          <cell r="CO6">
            <v>0.60325866488630031</v>
          </cell>
          <cell r="CP6">
            <v>974.05099999999993</v>
          </cell>
          <cell r="CQ6">
            <v>0.57296443571252098</v>
          </cell>
          <cell r="CR6">
            <v>734.29199999999992</v>
          </cell>
          <cell r="CS6">
            <v>0.50885534366300833</v>
          </cell>
          <cell r="CT6">
            <v>734.29199999999992</v>
          </cell>
          <cell r="CU6">
            <v>0.54120994133081757</v>
          </cell>
          <cell r="CV6">
            <v>887.05700000000002</v>
          </cell>
          <cell r="CW6">
            <v>0.59469727697100649</v>
          </cell>
          <cell r="CX6">
            <v>887.05700000000002</v>
          </cell>
          <cell r="CY6">
            <v>0.56070524222553431</v>
          </cell>
          <cell r="CZ6">
            <v>1019.6510000000001</v>
          </cell>
          <cell r="DA6">
            <v>0.53069839872005864</v>
          </cell>
          <cell r="DB6">
            <v>1019.6510000000001</v>
          </cell>
          <cell r="DC6">
            <v>0.55054757738245963</v>
          </cell>
          <cell r="DD6">
            <v>1354.4879999999998</v>
          </cell>
          <cell r="DE6">
            <v>0.59357227184404748</v>
          </cell>
          <cell r="DF6">
            <v>1194.153</v>
          </cell>
          <cell r="DG6">
            <v>0.56674595663857341</v>
          </cell>
          <cell r="DH6">
            <v>1338.482</v>
          </cell>
          <cell r="DI6">
            <v>0.55225923896539431</v>
          </cell>
          <cell r="DJ6">
            <v>1314.5010000000002</v>
          </cell>
          <cell r="DK6">
            <v>0.55372450531313955</v>
          </cell>
          <cell r="DL6">
            <v>1500.3219999999999</v>
          </cell>
          <cell r="DM6">
            <v>0.5423963495160512</v>
          </cell>
          <cell r="DN6">
            <v>1223.566</v>
          </cell>
          <cell r="DO6">
            <v>0.54253588924085439</v>
          </cell>
          <cell r="DP6">
            <v>1147.693</v>
          </cell>
          <cell r="DQ6">
            <v>0.51606548590355183</v>
          </cell>
          <cell r="DR6">
            <v>1267.8309999999999</v>
          </cell>
          <cell r="DS6">
            <v>0.54937708020891252</v>
          </cell>
          <cell r="DT6">
            <v>1357.1</v>
          </cell>
          <cell r="DU6">
            <v>0.54179974449057799</v>
          </cell>
          <cell r="DV6">
            <v>1054.5999999999999</v>
          </cell>
          <cell r="DW6">
            <v>0.55128071092524822</v>
          </cell>
          <cell r="DX6">
            <v>1165.9000000000001</v>
          </cell>
          <cell r="DY6">
            <v>0.53560271958838657</v>
          </cell>
          <cell r="DZ6">
            <v>1173</v>
          </cell>
          <cell r="EA6">
            <v>0.53750630069193051</v>
          </cell>
          <cell r="EB6">
            <v>1331.7</v>
          </cell>
          <cell r="EC6">
            <v>0.53244572388149214</v>
          </cell>
          <cell r="ED6">
            <v>1078.615</v>
          </cell>
          <cell r="EE6">
            <v>0.52368594816620218</v>
          </cell>
          <cell r="EF6">
            <v>1161.115</v>
          </cell>
          <cell r="EG6">
            <v>0.53714888699525265</v>
          </cell>
          <cell r="EH6">
            <v>1160.7310000000002</v>
          </cell>
          <cell r="EI6">
            <v>0.51073136432517674</v>
          </cell>
          <cell r="EJ6">
            <v>1351.8999999999999</v>
          </cell>
          <cell r="EK6">
            <v>0.51272423863162286</v>
          </cell>
          <cell r="EL6">
            <v>1131.0999999999999</v>
          </cell>
          <cell r="EM6">
            <v>0.51444035111656883</v>
          </cell>
          <cell r="EN6">
            <v>1140</v>
          </cell>
          <cell r="EO6">
            <v>0.50983899821109124</v>
          </cell>
          <cell r="EP6">
            <v>1217</v>
          </cell>
          <cell r="EQ6">
            <v>0.50111175162645138</v>
          </cell>
          <cell r="ES6" t="str">
            <v>Domestic</v>
          </cell>
          <cell r="ET6">
            <v>5139.4120000000003</v>
          </cell>
          <cell r="EU6">
            <v>0.53798588745534037</v>
          </cell>
          <cell r="EV6">
            <v>4750.5999999999995</v>
          </cell>
          <cell r="EW6">
            <v>0.54126172110881976</v>
          </cell>
          <cell r="EX6">
            <v>4732.1610000000001</v>
          </cell>
          <cell r="EY6">
            <v>0.52608384370549632</v>
          </cell>
          <cell r="EZ6">
            <v>4840</v>
          </cell>
          <cell r="FA6">
            <v>0.5094736842105263</v>
          </cell>
          <cell r="FB6">
            <v>5150</v>
          </cell>
          <cell r="FC6">
            <v>0.49710424710424711</v>
          </cell>
          <cell r="FE6" t="str">
            <v>Domestic</v>
          </cell>
          <cell r="FF6">
            <v>4827.2240000000002</v>
          </cell>
          <cell r="FG6">
            <v>0.53938537279777965</v>
          </cell>
          <cell r="FH6">
            <v>4749.2150000000001</v>
          </cell>
          <cell r="FI6">
            <v>0.53243156282721926</v>
          </cell>
          <cell r="FJ6">
            <v>4804.8459999999995</v>
          </cell>
          <cell r="FK6">
            <v>0.51833832989381534</v>
          </cell>
          <cell r="FL6">
            <v>5080</v>
          </cell>
          <cell r="FM6">
            <v>0.47699530516431926</v>
          </cell>
        </row>
        <row r="7">
          <cell r="A7" t="str">
            <v xml:space="preserve">   Footwear</v>
          </cell>
          <cell r="B7">
            <v>131.89400000000001</v>
          </cell>
          <cell r="C7">
            <v>136</v>
          </cell>
          <cell r="D7">
            <v>223.51</v>
          </cell>
          <cell r="E7">
            <v>0.68204010887741517</v>
          </cell>
          <cell r="F7">
            <v>133.19200000000001</v>
          </cell>
          <cell r="G7">
            <v>0.55984666341611045</v>
          </cell>
          <cell r="H7">
            <v>164.714</v>
          </cell>
          <cell r="I7">
            <v>0.6368096499197774</v>
          </cell>
          <cell r="K7">
            <v>0</v>
          </cell>
          <cell r="L7">
            <v>174.21100000000001</v>
          </cell>
          <cell r="M7">
            <v>0.67730246915980152</v>
          </cell>
          <cell r="N7">
            <v>89.698999999999998</v>
          </cell>
          <cell r="O7">
            <v>0.48998978493742584</v>
          </cell>
          <cell r="P7">
            <v>122.69199999999999</v>
          </cell>
          <cell r="Q7">
            <v>0.61525037860173093</v>
          </cell>
          <cell r="R7">
            <v>123.398</v>
          </cell>
          <cell r="S7">
            <v>0.51921418142495879</v>
          </cell>
          <cell r="T7">
            <v>188.30500000000001</v>
          </cell>
          <cell r="U7">
            <v>0.66579334436477289</v>
          </cell>
          <cell r="V7">
            <v>134.99600000000001</v>
          </cell>
          <cell r="W7">
            <v>0.57590184635336683</v>
          </cell>
          <cell r="X7">
            <v>229.131</v>
          </cell>
          <cell r="Y7">
            <v>0.69059667798919178</v>
          </cell>
          <cell r="Z7">
            <v>205.06800000000001</v>
          </cell>
          <cell r="AA7">
            <v>0.57860655668322902</v>
          </cell>
          <cell r="AB7">
            <v>355.26499999999999</v>
          </cell>
          <cell r="AC7">
            <v>0.695662305212988</v>
          </cell>
          <cell r="AD7">
            <v>172.072</v>
          </cell>
          <cell r="AE7">
            <v>0.53433033260566465</v>
          </cell>
          <cell r="AF7">
            <v>311.721</v>
          </cell>
          <cell r="AG7">
            <v>0.6708539306981619</v>
          </cell>
          <cell r="AH7">
            <v>221.97499999999999</v>
          </cell>
          <cell r="AI7">
            <v>0.53692241081125536</v>
          </cell>
          <cell r="AJ7">
            <v>408.84899999999999</v>
          </cell>
          <cell r="AK7">
            <v>0.71694185891545725</v>
          </cell>
          <cell r="AL7">
            <v>246.50200000000001</v>
          </cell>
          <cell r="AM7">
            <v>0.59336019680623164</v>
          </cell>
          <cell r="AN7">
            <v>373.27800000000002</v>
          </cell>
          <cell r="AO7">
            <v>0.64595609039418955</v>
          </cell>
          <cell r="AP7">
            <v>340.28300000000002</v>
          </cell>
          <cell r="AQ7">
            <v>0.5587367944015158</v>
          </cell>
          <cell r="AR7">
            <v>534.07399999999996</v>
          </cell>
          <cell r="AS7">
            <v>0.64067840121304165</v>
          </cell>
          <cell r="AT7">
            <v>351.10500000000002</v>
          </cell>
          <cell r="AU7">
            <v>0.54113725055022277</v>
          </cell>
          <cell r="AV7">
            <v>469.72899999999998</v>
          </cell>
          <cell r="AW7">
            <v>0.58554514539869962</v>
          </cell>
          <cell r="AX7">
            <v>321.471</v>
          </cell>
          <cell r="AY7">
            <v>0.44712900592099508</v>
          </cell>
          <cell r="AZ7">
            <v>558.32600000000002</v>
          </cell>
          <cell r="BA7">
            <v>0.58947317298748569</v>
          </cell>
          <cell r="BB7">
            <v>343.50400000000002</v>
          </cell>
          <cell r="BC7">
            <v>0.46206099672189371</v>
          </cell>
          <cell r="BD7">
            <v>477.98700000000002</v>
          </cell>
          <cell r="BE7">
            <v>0.55129933715408774</v>
          </cell>
          <cell r="BF7">
            <v>367.74799999999999</v>
          </cell>
          <cell r="BG7">
            <v>0.43386258367606001</v>
          </cell>
          <cell r="BH7">
            <v>590.22400000000005</v>
          </cell>
          <cell r="BI7">
            <v>0.53663459597658614</v>
          </cell>
          <cell r="BJ7">
            <v>382.63099999999997</v>
          </cell>
          <cell r="BK7">
            <v>0.43687367198765981</v>
          </cell>
          <cell r="BL7">
            <v>549.23400000000004</v>
          </cell>
          <cell r="BM7">
            <v>0.56505323023362042</v>
          </cell>
          <cell r="BN7">
            <v>446.24599999999998</v>
          </cell>
          <cell r="BO7">
            <v>0.45383456780832299</v>
          </cell>
          <cell r="BP7">
            <v>622.43799999999999</v>
          </cell>
          <cell r="BQ7">
            <v>0.56182901005345343</v>
          </cell>
          <cell r="BR7">
            <v>340.32499999999999</v>
          </cell>
          <cell r="BS7">
            <v>0.42235001967016178</v>
          </cell>
          <cell r="BT7">
            <v>477.06099999999998</v>
          </cell>
          <cell r="BU7">
            <v>0.54718556624170578</v>
          </cell>
          <cell r="BV7">
            <v>429.10599999999999</v>
          </cell>
          <cell r="BW7">
            <v>0.42733001645162705</v>
          </cell>
          <cell r="BX7">
            <v>655.14200000000005</v>
          </cell>
          <cell r="BY7">
            <v>0.55978057939684966</v>
          </cell>
          <cell r="BZ7">
            <v>655.14200000000005</v>
          </cell>
          <cell r="CA7">
            <v>0.52263808814953627</v>
          </cell>
          <cell r="CB7">
            <v>455.459</v>
          </cell>
          <cell r="CC7">
            <v>0.43222844974026003</v>
          </cell>
          <cell r="CD7">
            <v>455.459</v>
          </cell>
          <cell r="CE7">
            <v>0.46665211769503312</v>
          </cell>
          <cell r="CF7">
            <v>603.529</v>
          </cell>
          <cell r="CG7">
            <v>0.53661475046167983</v>
          </cell>
          <cell r="CH7">
            <v>603.529</v>
          </cell>
          <cell r="CI7">
            <v>0.49963863829970417</v>
          </cell>
          <cell r="CJ7">
            <v>595.22900000000004</v>
          </cell>
          <cell r="CK7">
            <v>0.42153953581920017</v>
          </cell>
          <cell r="CL7">
            <v>595.22900000000004</v>
          </cell>
          <cell r="CM7">
            <v>0.44054194677192182</v>
          </cell>
          <cell r="CN7">
            <v>791.56799999999998</v>
          </cell>
          <cell r="CO7">
            <v>0.49024153237019319</v>
          </cell>
          <cell r="CP7">
            <v>791.56799999999998</v>
          </cell>
          <cell r="CQ7">
            <v>0.46562275737932496</v>
          </cell>
          <cell r="CR7">
            <v>538.49699999999996</v>
          </cell>
          <cell r="CS7">
            <v>0.37317181175404196</v>
          </cell>
          <cell r="CT7">
            <v>538.49699999999996</v>
          </cell>
          <cell r="CU7">
            <v>0.39689923051976772</v>
          </cell>
          <cell r="CV7">
            <v>668.54499999999996</v>
          </cell>
          <cell r="CW7">
            <v>0.44820331842551436</v>
          </cell>
          <cell r="CX7">
            <v>668.54499999999996</v>
          </cell>
          <cell r="CY7">
            <v>0.42258466610789364</v>
          </cell>
          <cell r="CZ7">
            <v>773.92200000000003</v>
          </cell>
          <cell r="DA7">
            <v>0.40280367119163835</v>
          </cell>
          <cell r="DB7">
            <v>773.92200000000003</v>
          </cell>
          <cell r="DC7">
            <v>0.41786933194101505</v>
          </cell>
          <cell r="DD7">
            <v>1001.593</v>
          </cell>
          <cell r="DE7">
            <v>0.43892439982716352</v>
          </cell>
          <cell r="DF7">
            <v>814.86099999999999</v>
          </cell>
          <cell r="DG7">
            <v>0.38673367397013997</v>
          </cell>
          <cell r="DH7">
            <v>980.36900000000003</v>
          </cell>
          <cell r="DI7">
            <v>0.40450139624235859</v>
          </cell>
          <cell r="DJ7">
            <v>956.74900000000002</v>
          </cell>
          <cell r="DK7">
            <v>0.403023935876687</v>
          </cell>
          <cell r="DL7">
            <v>1056.0319999999999</v>
          </cell>
          <cell r="DM7">
            <v>0.38177664646131604</v>
          </cell>
          <cell r="DN7">
            <v>787.63499999999999</v>
          </cell>
          <cell r="DO7">
            <v>0.34924168792057014</v>
          </cell>
          <cell r="DP7">
            <v>800.41</v>
          </cell>
          <cell r="DQ7">
            <v>0.35990807260483593</v>
          </cell>
          <cell r="DR7">
            <v>854.60699999999997</v>
          </cell>
          <cell r="DS7">
            <v>0.3703186768473859</v>
          </cell>
          <cell r="DT7">
            <v>917.4</v>
          </cell>
          <cell r="DU7">
            <v>0.36625678696901942</v>
          </cell>
          <cell r="DV7">
            <v>665.9</v>
          </cell>
          <cell r="DW7">
            <v>0.34809200209095659</v>
          </cell>
          <cell r="DX7">
            <v>828.5</v>
          </cell>
          <cell r="DY7">
            <v>0.38060455714810726</v>
          </cell>
          <cell r="DZ7">
            <v>832.7</v>
          </cell>
          <cell r="EA7">
            <v>0.38156990331301838</v>
          </cell>
          <cell r="EB7">
            <v>941</v>
          </cell>
          <cell r="EC7">
            <v>0.37623445683899087</v>
          </cell>
          <cell r="ED7">
            <v>722.9</v>
          </cell>
          <cell r="EE7">
            <v>0.35098025887767886</v>
          </cell>
          <cell r="EF7">
            <v>858.91</v>
          </cell>
          <cell r="EG7">
            <v>0.39734440647919661</v>
          </cell>
          <cell r="EH7">
            <v>828.38</v>
          </cell>
          <cell r="EI7">
            <v>0.36449413996842489</v>
          </cell>
          <cell r="EJ7">
            <v>934.9</v>
          </cell>
          <cell r="EK7">
            <v>0.35457200288239088</v>
          </cell>
          <cell r="EL7">
            <v>705</v>
          </cell>
          <cell r="EM7">
            <v>0.32064401691908856</v>
          </cell>
          <cell r="EN7">
            <v>800</v>
          </cell>
          <cell r="EO7">
            <v>0.35778175313059035</v>
          </cell>
          <cell r="EP7">
            <v>840.1</v>
          </cell>
          <cell r="EQ7">
            <v>0.34591945977106148</v>
          </cell>
          <cell r="ES7" t="str">
            <v xml:space="preserve">   Footwear</v>
          </cell>
          <cell r="ET7">
            <v>3498.6839999999997</v>
          </cell>
          <cell r="EU7">
            <v>0.36623695797608752</v>
          </cell>
          <cell r="EV7">
            <v>3244.5</v>
          </cell>
          <cell r="EW7">
            <v>0.36966354863334444</v>
          </cell>
          <cell r="EX7">
            <v>3351.19</v>
          </cell>
          <cell r="EY7">
            <v>0.37255852372466247</v>
          </cell>
          <cell r="EZ7">
            <v>3280</v>
          </cell>
          <cell r="FA7">
            <v>0.34526315789473683</v>
          </cell>
          <cell r="FB7">
            <v>3500</v>
          </cell>
          <cell r="FC7">
            <v>0.33783783783783783</v>
          </cell>
          <cell r="FE7" t="str">
            <v xml:space="preserve">   Footwear</v>
          </cell>
          <cell r="FF7">
            <v>3238.317</v>
          </cell>
          <cell r="FG7">
            <v>0.36184374752080856</v>
          </cell>
          <cell r="FH7">
            <v>3325.1</v>
          </cell>
          <cell r="FI7">
            <v>0.37277490902323573</v>
          </cell>
          <cell r="FJ7">
            <v>3327.19</v>
          </cell>
          <cell r="FK7">
            <v>0.35893140130597395</v>
          </cell>
          <cell r="FL7">
            <v>3550</v>
          </cell>
          <cell r="FM7">
            <v>0.33333333333333331</v>
          </cell>
        </row>
        <row r="8">
          <cell r="A8" t="str">
            <v xml:space="preserve">   Apparel</v>
          </cell>
          <cell r="B8">
            <v>47.707999999999998</v>
          </cell>
          <cell r="C8">
            <v>38.887999999999998</v>
          </cell>
          <cell r="D8">
            <v>48.804000000000002</v>
          </cell>
          <cell r="E8">
            <v>0.14892526273389725</v>
          </cell>
          <cell r="F8">
            <v>42.231999999999999</v>
          </cell>
          <cell r="G8">
            <v>0.17751399700724652</v>
          </cell>
          <cell r="H8">
            <v>41.847999999999999</v>
          </cell>
          <cell r="I8">
            <v>0.16179080242021227</v>
          </cell>
          <cell r="K8">
            <v>0</v>
          </cell>
          <cell r="L8">
            <v>34.954999999999998</v>
          </cell>
          <cell r="M8">
            <v>0.16711607048946769</v>
          </cell>
          <cell r="N8">
            <v>36.283000000000001</v>
          </cell>
          <cell r="O8">
            <v>0.28800146052610692</v>
          </cell>
          <cell r="P8">
            <v>31.395</v>
          </cell>
          <cell r="Q8">
            <v>0.20374853167366488</v>
          </cell>
          <cell r="R8">
            <v>28.067</v>
          </cell>
          <cell r="S8">
            <v>0.18530353547024064</v>
          </cell>
          <cell r="T8">
            <v>36.783000000000001</v>
          </cell>
          <cell r="U8">
            <v>0.16341608615297126</v>
          </cell>
          <cell r="V8">
            <v>33.685000000000002</v>
          </cell>
          <cell r="W8">
            <v>0.19969646848192743</v>
          </cell>
          <cell r="X8">
            <v>38.000999999999998</v>
          </cell>
          <cell r="Y8">
            <v>0.1422555141278469</v>
          </cell>
          <cell r="Z8">
            <v>34.430999999999997</v>
          </cell>
          <cell r="AA8">
            <v>0.14376260443676173</v>
          </cell>
          <cell r="AB8">
            <v>53.963999999999999</v>
          </cell>
          <cell r="AC8">
            <v>0.10566962869551937</v>
          </cell>
          <cell r="AD8">
            <v>44.970999999999997</v>
          </cell>
          <cell r="AE8">
            <v>0.13964717901581514</v>
          </cell>
          <cell r="AF8">
            <v>56.822000000000003</v>
          </cell>
          <cell r="AG8">
            <v>0.122286474283513</v>
          </cell>
          <cell r="AH8">
            <v>52.451000000000001</v>
          </cell>
          <cell r="AI8">
            <v>0.12687067178493594</v>
          </cell>
          <cell r="AJ8">
            <v>65.896000000000001</v>
          </cell>
          <cell r="AK8">
            <v>0.11555268750832941</v>
          </cell>
          <cell r="AL8">
            <v>59.286999999999999</v>
          </cell>
          <cell r="AM8">
            <v>0.14271099621119121</v>
          </cell>
          <cell r="AN8">
            <v>68.816000000000003</v>
          </cell>
          <cell r="AO8">
            <v>0.11908581356674261</v>
          </cell>
          <cell r="AP8">
            <v>72.061999999999998</v>
          </cell>
          <cell r="AQ8">
            <v>0.11832413278994847</v>
          </cell>
          <cell r="AR8">
            <v>79.781999999999996</v>
          </cell>
          <cell r="AS8">
            <v>9.5706969831107463E-2</v>
          </cell>
          <cell r="AT8">
            <v>71.674999999999997</v>
          </cell>
          <cell r="AU8">
            <v>0.11046841381691294</v>
          </cell>
          <cell r="AV8">
            <v>100.501</v>
          </cell>
          <cell r="AW8">
            <v>0.12528047588655311</v>
          </cell>
          <cell r="AX8">
            <v>73.713999999999999</v>
          </cell>
          <cell r="AY8">
            <v>0.10252765425951402</v>
          </cell>
          <cell r="AZ8">
            <v>98.576999999999998</v>
          </cell>
          <cell r="BA8">
            <v>0.10407628692482059</v>
          </cell>
          <cell r="BB8">
            <v>73.085999999999999</v>
          </cell>
          <cell r="BC8">
            <v>9.8310907606363601E-2</v>
          </cell>
          <cell r="BD8">
            <v>97.233000000000004</v>
          </cell>
          <cell r="BE8">
            <v>0.11214633127993735</v>
          </cell>
          <cell r="BF8">
            <v>92.486999999999995</v>
          </cell>
          <cell r="BG8">
            <v>0.10911452618762783</v>
          </cell>
          <cell r="BH8">
            <v>101.089</v>
          </cell>
          <cell r="BI8">
            <v>9.1910621514335433E-2</v>
          </cell>
          <cell r="BJ8">
            <v>76.638000000000005</v>
          </cell>
          <cell r="BK8">
            <v>8.750238342891789E-2</v>
          </cell>
          <cell r="BL8">
            <v>106.441</v>
          </cell>
          <cell r="BM8">
            <v>0.10950675100102469</v>
          </cell>
          <cell r="BN8">
            <v>74.843000000000004</v>
          </cell>
          <cell r="BO8">
            <v>7.6115731140398615E-2</v>
          </cell>
          <cell r="BP8">
            <v>101.196</v>
          </cell>
          <cell r="BQ8">
            <v>9.1342187497179275E-2</v>
          </cell>
          <cell r="BR8">
            <v>75.364999999999995</v>
          </cell>
          <cell r="BS8">
            <v>9.3529447535272883E-2</v>
          </cell>
          <cell r="BT8">
            <v>85.070999999999998</v>
          </cell>
          <cell r="BU8">
            <v>9.7575830566213023E-2</v>
          </cell>
          <cell r="BV8">
            <v>76.861999999999995</v>
          </cell>
          <cell r="BW8">
            <v>7.6543883619676623E-2</v>
          </cell>
          <cell r="BX8">
            <v>94.734999999999999</v>
          </cell>
          <cell r="BY8">
            <v>8.0945525075724889E-2</v>
          </cell>
          <cell r="BZ8">
            <v>94.734999999999999</v>
          </cell>
          <cell r="CA8">
            <v>7.5574637682893658E-2</v>
          </cell>
          <cell r="CB8">
            <v>97.884</v>
          </cell>
          <cell r="CC8">
            <v>9.28914558157279E-2</v>
          </cell>
          <cell r="CD8">
            <v>97.884</v>
          </cell>
          <cell r="CE8">
            <v>0.10028954502701806</v>
          </cell>
          <cell r="CF8">
            <v>118.04900000000001</v>
          </cell>
          <cell r="CG8">
            <v>0.10496071386337831</v>
          </cell>
          <cell r="CH8">
            <v>118.04900000000001</v>
          </cell>
          <cell r="CI8">
            <v>9.7728264279996133E-2</v>
          </cell>
          <cell r="CJ8">
            <v>113.21599999999999</v>
          </cell>
          <cell r="CK8">
            <v>8.0179258885750795E-2</v>
          </cell>
          <cell r="CL8">
            <v>113.21599999999999</v>
          </cell>
          <cell r="CM8">
            <v>8.3793627403452947E-2</v>
          </cell>
          <cell r="CN8">
            <v>182.483</v>
          </cell>
          <cell r="CO8">
            <v>0.11301713251610723</v>
          </cell>
          <cell r="CP8">
            <v>182.483</v>
          </cell>
          <cell r="CQ8">
            <v>0.10734167833319608</v>
          </cell>
          <cell r="CR8">
            <v>195.79499999999999</v>
          </cell>
          <cell r="CS8">
            <v>0.13568353190896634</v>
          </cell>
          <cell r="CT8">
            <v>195.79499999999999</v>
          </cell>
          <cell r="CU8">
            <v>0.14431071081104987</v>
          </cell>
          <cell r="CV8">
            <v>218.512</v>
          </cell>
          <cell r="CW8">
            <v>0.14649395854549208</v>
          </cell>
          <cell r="CX8">
            <v>218.512</v>
          </cell>
          <cell r="CY8">
            <v>0.13812057611764064</v>
          </cell>
          <cell r="CZ8">
            <v>245.72900000000001</v>
          </cell>
          <cell r="DA8">
            <v>0.12789472752842032</v>
          </cell>
          <cell r="DB8">
            <v>245.72900000000001</v>
          </cell>
          <cell r="DC8">
            <v>0.1326782454414446</v>
          </cell>
          <cell r="DD8">
            <v>346.20100000000002</v>
          </cell>
          <cell r="DE8">
            <v>0.15171438512905328</v>
          </cell>
          <cell r="DF8">
            <v>372.57100000000003</v>
          </cell>
          <cell r="DG8">
            <v>0.17682249076189563</v>
          </cell>
          <cell r="DH8">
            <v>348.702</v>
          </cell>
          <cell r="DI8">
            <v>0.14387485311398354</v>
          </cell>
          <cell r="DJ8">
            <v>339.11200000000002</v>
          </cell>
          <cell r="DK8">
            <v>0.14284859763952207</v>
          </cell>
          <cell r="DL8">
            <v>425.24099999999999</v>
          </cell>
          <cell r="DM8">
            <v>0.15373310933556605</v>
          </cell>
          <cell r="DN8">
            <v>418.26</v>
          </cell>
          <cell r="DO8">
            <v>0.18545878279870454</v>
          </cell>
          <cell r="DP8">
            <v>330.95800000000003</v>
          </cell>
          <cell r="DQ8">
            <v>0.14881680125579552</v>
          </cell>
          <cell r="DR8">
            <v>381.887</v>
          </cell>
          <cell r="DS8">
            <v>0.16547944089530939</v>
          </cell>
          <cell r="DT8">
            <v>374.7</v>
          </cell>
          <cell r="DU8">
            <v>0.14959278185883104</v>
          </cell>
          <cell r="DV8">
            <v>343</v>
          </cell>
          <cell r="DW8">
            <v>0.17929952953476216</v>
          </cell>
          <cell r="DX8">
            <v>287</v>
          </cell>
          <cell r="DY8">
            <v>0.13184490995957368</v>
          </cell>
          <cell r="DZ8">
            <v>288.7</v>
          </cell>
          <cell r="EA8">
            <v>0.13229161893415203</v>
          </cell>
          <cell r="EB8">
            <v>332</v>
          </cell>
          <cell r="EC8">
            <v>0.13274159369877256</v>
          </cell>
          <cell r="ED8">
            <v>307.03500000000003</v>
          </cell>
          <cell r="EE8">
            <v>0.14907072041016481</v>
          </cell>
          <cell r="EF8">
            <v>251.75200000000001</v>
          </cell>
          <cell r="EG8">
            <v>0.11646418020508635</v>
          </cell>
          <cell r="EH8">
            <v>263.625</v>
          </cell>
          <cell r="EI8">
            <v>0.11599720858685146</v>
          </cell>
          <cell r="EJ8">
            <v>325.89999999999998</v>
          </cell>
          <cell r="EK8">
            <v>0.12360147153639019</v>
          </cell>
          <cell r="EL8">
            <v>346.6</v>
          </cell>
          <cell r="EM8">
            <v>0.15763860463000867</v>
          </cell>
          <cell r="EN8">
            <v>270</v>
          </cell>
          <cell r="EO8">
            <v>0.12075134168157424</v>
          </cell>
          <cell r="EP8">
            <v>281.5</v>
          </cell>
          <cell r="EQ8">
            <v>0.11591040105410523</v>
          </cell>
          <cell r="ES8" t="str">
            <v xml:space="preserve">   Apparel</v>
          </cell>
          <cell r="ET8">
            <v>1556.346</v>
          </cell>
          <cell r="EU8">
            <v>0.16291594913923405</v>
          </cell>
          <cell r="EV8">
            <v>1293.4000000000001</v>
          </cell>
          <cell r="EW8">
            <v>0.14736410349895754</v>
          </cell>
          <cell r="EX8">
            <v>1154.412</v>
          </cell>
          <cell r="EY8">
            <v>0.12833830086925391</v>
          </cell>
          <cell r="EZ8">
            <v>1224</v>
          </cell>
          <cell r="FA8">
            <v>0.1288421052631579</v>
          </cell>
          <cell r="FB8">
            <v>1280</v>
          </cell>
          <cell r="FC8">
            <v>0.12355212355212356</v>
          </cell>
          <cell r="FE8" t="str">
            <v xml:space="preserve">   Apparel</v>
          </cell>
          <cell r="FF8">
            <v>1430.5450000000001</v>
          </cell>
          <cell r="FG8">
            <v>0.1598465387413138</v>
          </cell>
          <cell r="FH8">
            <v>1214.7350000000001</v>
          </cell>
          <cell r="FI8">
            <v>0.13618319121600564</v>
          </cell>
          <cell r="FJ8">
            <v>1187.877</v>
          </cell>
          <cell r="FK8">
            <v>0.12814608008233266</v>
          </cell>
          <cell r="FL8">
            <v>1250</v>
          </cell>
          <cell r="FM8">
            <v>0.11737089201877934</v>
          </cell>
        </row>
        <row r="9">
          <cell r="A9" t="str">
            <v xml:space="preserve">   Equipment</v>
          </cell>
          <cell r="DD9">
            <v>6.694</v>
          </cell>
          <cell r="DE9">
            <v>2.9334868878307186E-3</v>
          </cell>
          <cell r="DF9">
            <v>6.7210000000000001</v>
          </cell>
          <cell r="DG9">
            <v>3.1897919065378157E-3</v>
          </cell>
          <cell r="DH9">
            <v>9.4109999999999996</v>
          </cell>
          <cell r="DI9">
            <v>3.8829896090521393E-3</v>
          </cell>
          <cell r="DJ9">
            <v>18.64</v>
          </cell>
          <cell r="DK9">
            <v>7.8519717969304861E-3</v>
          </cell>
          <cell r="DL9">
            <v>19.048999999999999</v>
          </cell>
          <cell r="DM9">
            <v>6.8865937191691252E-3</v>
          </cell>
          <cell r="DN9">
            <v>17.670999999999999</v>
          </cell>
          <cell r="DO9">
            <v>7.8354185215796582E-3</v>
          </cell>
          <cell r="DP9">
            <v>16.324999999999999</v>
          </cell>
          <cell r="DQ9">
            <v>7.3406120429204361E-3</v>
          </cell>
          <cell r="DR9">
            <v>31.337</v>
          </cell>
          <cell r="DS9">
            <v>1.3578962466217259E-2</v>
          </cell>
          <cell r="DT9">
            <v>65</v>
          </cell>
          <cell r="DU9">
            <v>2.5950175662727563E-2</v>
          </cell>
          <cell r="DV9">
            <v>45.7</v>
          </cell>
          <cell r="DW9">
            <v>2.3889179299529537E-2</v>
          </cell>
          <cell r="DX9">
            <v>50.4</v>
          </cell>
          <cell r="DY9">
            <v>2.315325248070562E-2</v>
          </cell>
          <cell r="DZ9">
            <v>51.6</v>
          </cell>
          <cell r="EA9">
            <v>2.3644778444760116E-2</v>
          </cell>
          <cell r="EB9">
            <v>58.7</v>
          </cell>
          <cell r="EC9">
            <v>2.3469673343728761E-2</v>
          </cell>
          <cell r="ED9">
            <v>48.68</v>
          </cell>
          <cell r="EE9">
            <v>2.3634968878358566E-2</v>
          </cell>
          <cell r="EF9">
            <v>50.453000000000003</v>
          </cell>
          <cell r="EG9">
            <v>2.3340300310969612E-2</v>
          </cell>
          <cell r="EH9">
            <v>68.725999999999999</v>
          </cell>
          <cell r="EI9">
            <v>3.024001576990025E-2</v>
          </cell>
          <cell r="EJ9">
            <v>91.1</v>
          </cell>
          <cell r="EK9">
            <v>3.4550764212841811E-2</v>
          </cell>
          <cell r="EL9">
            <v>79.5</v>
          </cell>
          <cell r="EM9">
            <v>3.6157729567471694E-2</v>
          </cell>
          <cell r="EN9">
            <v>70</v>
          </cell>
          <cell r="EO9">
            <v>3.1305903398926652E-2</v>
          </cell>
          <cell r="EP9">
            <v>95.4</v>
          </cell>
          <cell r="EQ9">
            <v>3.9281890801284684E-2</v>
          </cell>
          <cell r="ET9">
            <v>84.382000000000005</v>
          </cell>
          <cell r="EU9">
            <v>8.8329803400187673E-3</v>
          </cell>
          <cell r="EV9">
            <v>212.7</v>
          </cell>
          <cell r="EW9">
            <v>2.4234068976517909E-2</v>
          </cell>
          <cell r="EX9">
            <v>226.559</v>
          </cell>
          <cell r="EY9">
            <v>2.5187019111580007E-2</v>
          </cell>
          <cell r="EZ9">
            <v>336</v>
          </cell>
          <cell r="FA9">
            <v>3.5368421052631577E-2</v>
          </cell>
          <cell r="FB9">
            <v>370</v>
          </cell>
          <cell r="FC9">
            <v>3.5714285714285712E-2</v>
          </cell>
          <cell r="FE9" t="str">
            <v xml:space="preserve">   Equipment</v>
          </cell>
          <cell r="FF9">
            <v>158.36200000000002</v>
          </cell>
          <cell r="FG9">
            <v>1.7695086535657347E-2</v>
          </cell>
          <cell r="FH9">
            <v>209.38</v>
          </cell>
          <cell r="FI9">
            <v>2.3473462587977837E-2</v>
          </cell>
          <cell r="FJ9">
            <v>289.779</v>
          </cell>
          <cell r="FK9">
            <v>3.1260848505508795E-2</v>
          </cell>
          <cell r="FL9">
            <v>280</v>
          </cell>
          <cell r="FM9">
            <v>2.6291079812206571E-2</v>
          </cell>
        </row>
        <row r="10">
          <cell r="A10" t="str">
            <v>International</v>
          </cell>
          <cell r="B10">
            <v>45.691000000000003</v>
          </cell>
          <cell r="C10">
            <v>81.525000000000006</v>
          </cell>
          <cell r="D10">
            <v>55.08</v>
          </cell>
          <cell r="E10">
            <v>0.1680764583104471</v>
          </cell>
          <cell r="F10">
            <v>61.555999999999997</v>
          </cell>
          <cell r="G10">
            <v>0.25873867209173296</v>
          </cell>
          <cell r="H10">
            <v>51.246000000000002</v>
          </cell>
          <cell r="I10">
            <v>0.1981249154278866</v>
          </cell>
          <cell r="K10">
            <v>0</v>
          </cell>
          <cell r="L10">
            <v>47.747999999999998</v>
          </cell>
          <cell r="M10">
            <v>0.18563602928312334</v>
          </cell>
          <cell r="N10">
            <v>56.777000000000001</v>
          </cell>
          <cell r="O10">
            <v>0.31015005763043324</v>
          </cell>
          <cell r="P10">
            <v>44.99</v>
          </cell>
          <cell r="Q10">
            <v>0.22560651495852932</v>
          </cell>
          <cell r="R10">
            <v>86.284999999999997</v>
          </cell>
          <cell r="S10">
            <v>0.36305609202947026</v>
          </cell>
          <cell r="T10">
            <v>57.74</v>
          </cell>
          <cell r="U10">
            <v>0.20415234700948984</v>
          </cell>
          <cell r="V10">
            <v>65.727000000000004</v>
          </cell>
          <cell r="W10">
            <v>0.28039572028258419</v>
          </cell>
          <cell r="X10">
            <v>64.655000000000001</v>
          </cell>
          <cell r="Y10">
            <v>0.19486899727837437</v>
          </cell>
          <cell r="Z10">
            <v>114.878</v>
          </cell>
          <cell r="AA10">
            <v>0.32413230742317661</v>
          </cell>
          <cell r="AB10">
            <v>77.884</v>
          </cell>
          <cell r="AC10">
            <v>0.15250858648954543</v>
          </cell>
          <cell r="AD10">
            <v>80.778999999999996</v>
          </cell>
          <cell r="AE10">
            <v>0.25084075234525655</v>
          </cell>
          <cell r="AF10">
            <v>75.325999999999993</v>
          </cell>
          <cell r="AG10">
            <v>0.16210888321213437</v>
          </cell>
          <cell r="AH10">
            <v>114.666</v>
          </cell>
          <cell r="AI10">
            <v>0.27735891500431764</v>
          </cell>
          <cell r="AJ10">
            <v>95.522999999999996</v>
          </cell>
          <cell r="AK10">
            <v>0.16750545357621327</v>
          </cell>
          <cell r="AL10">
            <v>109.645</v>
          </cell>
          <cell r="AM10">
            <v>0.26392880698257726</v>
          </cell>
          <cell r="AN10">
            <v>108.056</v>
          </cell>
          <cell r="AO10">
            <v>0.18699047708044553</v>
          </cell>
          <cell r="AP10">
            <v>166.524</v>
          </cell>
          <cell r="AQ10">
            <v>0.27342854609521494</v>
          </cell>
          <cell r="AR10">
            <v>180.89099999999999</v>
          </cell>
          <cell r="AS10">
            <v>0.21699793787720112</v>
          </cell>
          <cell r="AT10">
            <v>191.69800000000001</v>
          </cell>
          <cell r="AU10">
            <v>0.29545272398848382</v>
          </cell>
          <cell r="AV10">
            <v>199.761</v>
          </cell>
          <cell r="AW10">
            <v>0.24901397143882884</v>
          </cell>
          <cell r="AX10">
            <v>289.79899999999998</v>
          </cell>
          <cell r="AY10">
            <v>0.40307691451763439</v>
          </cell>
          <cell r="AZ10">
            <v>248.25300000000001</v>
          </cell>
          <cell r="BA10">
            <v>0.26210221915809456</v>
          </cell>
          <cell r="BB10">
            <v>286.38299999999998</v>
          </cell>
          <cell r="BC10">
            <v>0.38522525043145373</v>
          </cell>
          <cell r="BD10">
            <v>253.96299999999999</v>
          </cell>
          <cell r="BE10">
            <v>0.29291514949499375</v>
          </cell>
          <cell r="BF10">
            <v>345.73200000000003</v>
          </cell>
          <cell r="BG10">
            <v>0.40788849641464153</v>
          </cell>
          <cell r="BH10">
            <v>357.68700000000001</v>
          </cell>
          <cell r="BI10">
            <v>0.32521079917298712</v>
          </cell>
          <cell r="BJ10">
            <v>372.90899999999999</v>
          </cell>
          <cell r="BK10">
            <v>0.42577345836392305</v>
          </cell>
          <cell r="BL10">
            <v>265.19099999999997</v>
          </cell>
          <cell r="BM10">
            <v>0.27282912415998284</v>
          </cell>
          <cell r="BN10">
            <v>406.34800000000001</v>
          </cell>
          <cell r="BO10">
            <v>0.41325808849777129</v>
          </cell>
          <cell r="BP10">
            <v>319.89999999999998</v>
          </cell>
          <cell r="BQ10">
            <v>0.28875020534752016</v>
          </cell>
          <cell r="BR10">
            <v>334.03699999999998</v>
          </cell>
          <cell r="BS10">
            <v>0.41454648797638088</v>
          </cell>
          <cell r="BT10">
            <v>260.29000000000002</v>
          </cell>
          <cell r="BU10">
            <v>0.29855077450693646</v>
          </cell>
          <cell r="BV10">
            <v>442.77099999999996</v>
          </cell>
          <cell r="BW10">
            <v>0.4409384597612323</v>
          </cell>
          <cell r="BX10">
            <v>361.596</v>
          </cell>
          <cell r="BY10">
            <v>0.30896266517424198</v>
          </cell>
          <cell r="BZ10">
            <v>444.77</v>
          </cell>
          <cell r="CA10">
            <v>0.35481428830126782</v>
          </cell>
          <cell r="CB10">
            <v>440.01199999999994</v>
          </cell>
          <cell r="CC10">
            <v>0.41756931936159186</v>
          </cell>
          <cell r="CD10">
            <v>362.28</v>
          </cell>
          <cell r="CE10">
            <v>0.37118320024098017</v>
          </cell>
          <cell r="CF10">
            <v>345.70600000000002</v>
          </cell>
          <cell r="CG10">
            <v>0.30737700909667226</v>
          </cell>
          <cell r="CH10">
            <v>428.94</v>
          </cell>
          <cell r="CI10">
            <v>0.35510306466180602</v>
          </cell>
          <cell r="CJ10">
            <v>569.65699999999993</v>
          </cell>
          <cell r="CK10">
            <v>0.40342951596134941</v>
          </cell>
          <cell r="CL10">
            <v>508.75</v>
          </cell>
          <cell r="CM10">
            <v>0.37653695539063992</v>
          </cell>
          <cell r="CN10">
            <v>492.71199999999999</v>
          </cell>
          <cell r="CO10">
            <v>0.30515115049772429</v>
          </cell>
          <cell r="CP10">
            <v>578.08299999999997</v>
          </cell>
          <cell r="CQ10">
            <v>0.34004482300208233</v>
          </cell>
          <cell r="CR10">
            <v>573.327</v>
          </cell>
          <cell r="CS10">
            <v>0.39730857426784111</v>
          </cell>
          <cell r="CT10">
            <v>487.06</v>
          </cell>
          <cell r="CU10">
            <v>0.35898758807747877</v>
          </cell>
          <cell r="CV10">
            <v>498.88300000000004</v>
          </cell>
          <cell r="CW10">
            <v>0.33445918540423741</v>
          </cell>
          <cell r="CX10">
            <v>589.31000000000006</v>
          </cell>
          <cell r="CY10">
            <v>0.37250053412117784</v>
          </cell>
          <cell r="CZ10">
            <v>768.73699999999997</v>
          </cell>
          <cell r="DA10">
            <v>0.40010503097320721</v>
          </cell>
          <cell r="DB10">
            <v>699.46600000000001</v>
          </cell>
          <cell r="DC10">
            <v>0.37766776255934581</v>
          </cell>
          <cell r="DD10">
            <v>780.87699999999995</v>
          </cell>
          <cell r="DE10">
            <v>0.34220084262153988</v>
          </cell>
          <cell r="DF10">
            <v>779.25</v>
          </cell>
          <cell r="DG10">
            <v>0.36983266525362191</v>
          </cell>
          <cell r="DH10">
            <v>982.88499999999999</v>
          </cell>
          <cell r="DI10">
            <v>0.40553950078559259</v>
          </cell>
          <cell r="DJ10">
            <v>937.82699999999988</v>
          </cell>
          <cell r="DK10">
            <v>0.39505317351930935</v>
          </cell>
          <cell r="DL10">
            <v>1147.671</v>
          </cell>
          <cell r="DM10">
            <v>0.41490597408118796</v>
          </cell>
          <cell r="DN10">
            <v>902.4</v>
          </cell>
          <cell r="DO10">
            <v>0.40012911968046427</v>
          </cell>
          <cell r="DP10">
            <v>981.47799999999995</v>
          </cell>
          <cell r="DQ10">
            <v>0.4413261394585889</v>
          </cell>
          <cell r="DR10">
            <v>917.36400000000003</v>
          </cell>
          <cell r="DS10">
            <v>0.39751256737591123</v>
          </cell>
          <cell r="DT10">
            <v>1024.9000000000001</v>
          </cell>
          <cell r="DU10">
            <v>0.40917438518045351</v>
          </cell>
          <cell r="DV10">
            <v>746.80000000000007</v>
          </cell>
          <cell r="DW10">
            <v>0.39038159958180874</v>
          </cell>
          <cell r="DX10">
            <v>927</v>
          </cell>
          <cell r="DY10">
            <v>0.42585446527012122</v>
          </cell>
          <cell r="DZ10">
            <v>908.8</v>
          </cell>
          <cell r="EA10">
            <v>0.41644136919763547</v>
          </cell>
          <cell r="EB10">
            <v>1052.3</v>
          </cell>
          <cell r="EC10">
            <v>0.42073487665427212</v>
          </cell>
          <cell r="ED10">
            <v>872.34499999999991</v>
          </cell>
          <cell r="EE10">
            <v>0.42353835098996923</v>
          </cell>
          <cell r="EF10">
            <v>922.6</v>
          </cell>
          <cell r="EG10">
            <v>0.42680833779756533</v>
          </cell>
          <cell r="EH10">
            <v>1008.8970000000002</v>
          </cell>
          <cell r="EI10">
            <v>0.44392313229643887</v>
          </cell>
          <cell r="EJ10">
            <v>1166.0999999999999</v>
          </cell>
          <cell r="EK10">
            <v>0.44225736716349984</v>
          </cell>
          <cell r="EL10">
            <v>951.8</v>
          </cell>
          <cell r="EM10">
            <v>0.43289216355118937</v>
          </cell>
          <cell r="EN10">
            <v>1010</v>
          </cell>
          <cell r="EO10">
            <v>0.45169946332737032</v>
          </cell>
          <cell r="EP10">
            <v>1100.1000000000001</v>
          </cell>
          <cell r="EQ10">
            <v>0.45297702379971999</v>
          </cell>
          <cell r="ES10" t="str">
            <v>International</v>
          </cell>
          <cell r="ET10">
            <v>3948.913</v>
          </cell>
          <cell r="EU10">
            <v>0.41336624983343045</v>
          </cell>
          <cell r="EV10">
            <v>3607.5</v>
          </cell>
          <cell r="EW10">
            <v>0.41102211486971491</v>
          </cell>
          <cell r="EX10">
            <v>3856.1419999999998</v>
          </cell>
          <cell r="EY10">
            <v>0.42869505184506618</v>
          </cell>
          <cell r="EZ10">
            <v>4228</v>
          </cell>
          <cell r="FA10">
            <v>0.44505263157894737</v>
          </cell>
          <cell r="FB10">
            <v>4710</v>
          </cell>
          <cell r="FC10">
            <v>0.45463320463320461</v>
          </cell>
          <cell r="FE10" t="str">
            <v>International</v>
          </cell>
          <cell r="FF10">
            <v>3670.5419999999999</v>
          </cell>
          <cell r="FG10">
            <v>0.41013979567550785</v>
          </cell>
          <cell r="FH10">
            <v>3760.4449999999997</v>
          </cell>
          <cell r="FI10">
            <v>0.42158116831430081</v>
          </cell>
          <cell r="FJ10">
            <v>4049.3970000000004</v>
          </cell>
          <cell r="FK10">
            <v>0.43684182137305266</v>
          </cell>
          <cell r="FL10">
            <v>5120</v>
          </cell>
          <cell r="FM10">
            <v>0.48075117370892018</v>
          </cell>
        </row>
        <row r="11">
          <cell r="A11" t="str">
            <v xml:space="preserve">   Footwear</v>
          </cell>
          <cell r="AX11">
            <v>211.483</v>
          </cell>
          <cell r="AY11">
            <v>0.29414841014956183</v>
          </cell>
          <cell r="AZ11">
            <v>194.09800000000001</v>
          </cell>
          <cell r="BA11">
            <v>0.20492608965107306</v>
          </cell>
          <cell r="BB11">
            <v>211.53</v>
          </cell>
          <cell r="BC11">
            <v>0.28453748031051218</v>
          </cell>
          <cell r="BD11">
            <v>205.18799999999999</v>
          </cell>
          <cell r="BE11">
            <v>0.23665917355905694</v>
          </cell>
          <cell r="BF11">
            <v>256.75099999999998</v>
          </cell>
          <cell r="BG11">
            <v>0.30291028699384381</v>
          </cell>
          <cell r="BH11">
            <v>271.51</v>
          </cell>
          <cell r="BI11">
            <v>0.2468582422158416</v>
          </cell>
          <cell r="BJ11">
            <v>278.37599999999998</v>
          </cell>
          <cell r="BK11">
            <v>0.31783923757676924</v>
          </cell>
          <cell r="BL11">
            <v>204.06399999999999</v>
          </cell>
          <cell r="BM11">
            <v>0.20994152287439144</v>
          </cell>
          <cell r="BN11">
            <v>295.072</v>
          </cell>
          <cell r="BO11">
            <v>0.30008980157208692</v>
          </cell>
          <cell r="BP11">
            <v>244.905</v>
          </cell>
          <cell r="BQ11">
            <v>0.22105773379379315</v>
          </cell>
          <cell r="BR11">
            <v>239.458</v>
          </cell>
          <cell r="BS11">
            <v>0.29717208847477444</v>
          </cell>
          <cell r="BT11">
            <v>203.702</v>
          </cell>
          <cell r="BU11">
            <v>0.23364474189792908</v>
          </cell>
          <cell r="BV11">
            <v>310.08999999999997</v>
          </cell>
          <cell r="BW11">
            <v>0.30880659977135028</v>
          </cell>
          <cell r="BX11">
            <v>276.46199999999999</v>
          </cell>
          <cell r="BY11">
            <v>0.2362206339102238</v>
          </cell>
          <cell r="BZ11">
            <v>338</v>
          </cell>
          <cell r="CA11">
            <v>0.26963875586444352</v>
          </cell>
          <cell r="CB11">
            <v>306.82799999999997</v>
          </cell>
          <cell r="CC11">
            <v>0.29117832950255568</v>
          </cell>
          <cell r="CD11">
            <v>253.6</v>
          </cell>
          <cell r="CE11">
            <v>0.25983233847055476</v>
          </cell>
          <cell r="CF11">
            <v>262.97399999999999</v>
          </cell>
          <cell r="CG11">
            <v>0.23381764155145782</v>
          </cell>
          <cell r="CH11">
            <v>326</v>
          </cell>
          <cell r="CI11">
            <v>0.26988296516936811</v>
          </cell>
          <cell r="CJ11">
            <v>398.02199999999999</v>
          </cell>
          <cell r="CK11">
            <v>0.28187808242849333</v>
          </cell>
          <cell r="CL11">
            <v>356.12</v>
          </cell>
          <cell r="CM11">
            <v>0.26357216816454976</v>
          </cell>
          <cell r="CN11">
            <v>366.678</v>
          </cell>
          <cell r="CO11">
            <v>0.22709455739296902</v>
          </cell>
          <cell r="CP11">
            <v>427.03199999999998</v>
          </cell>
          <cell r="CQ11">
            <v>0.25119233891365983</v>
          </cell>
          <cell r="CR11">
            <v>394.71199999999999</v>
          </cell>
          <cell r="CS11">
            <v>0.27353057150004817</v>
          </cell>
          <cell r="CT11">
            <v>336.06</v>
          </cell>
          <cell r="CU11">
            <v>0.24769303340310744</v>
          </cell>
          <cell r="CV11">
            <v>371.04700000000003</v>
          </cell>
          <cell r="CW11">
            <v>0.24875587535892402</v>
          </cell>
          <cell r="CX11">
            <v>436.1</v>
          </cell>
          <cell r="CY11">
            <v>0.2756570954679976</v>
          </cell>
          <cell r="CZ11">
            <v>549.87599999999998</v>
          </cell>
          <cell r="DA11">
            <v>0.2861943083413746</v>
          </cell>
          <cell r="DB11">
            <v>500.34699999999998</v>
          </cell>
          <cell r="DC11">
            <v>0.27015599327670109</v>
          </cell>
          <cell r="DD11">
            <v>548.53800000000001</v>
          </cell>
          <cell r="DE11">
            <v>0.24038378106914948</v>
          </cell>
          <cell r="DF11">
            <v>517.22900000000004</v>
          </cell>
          <cell r="DG11">
            <v>0.24547729177602259</v>
          </cell>
          <cell r="DH11">
            <v>689.06399999999996</v>
          </cell>
          <cell r="DI11">
            <v>0.28430861247177802</v>
          </cell>
          <cell r="DJ11">
            <v>636.14400000000001</v>
          </cell>
          <cell r="DK11">
            <v>0.26797128469884907</v>
          </cell>
          <cell r="DL11">
            <v>769.62099999999998</v>
          </cell>
          <cell r="DM11">
            <v>0.27823335318077913</v>
          </cell>
          <cell r="DN11">
            <v>545.20000000000005</v>
          </cell>
          <cell r="DO11">
            <v>0.24174467647361386</v>
          </cell>
          <cell r="DP11">
            <v>595.43299999999999</v>
          </cell>
          <cell r="DQ11">
            <v>0.26773921289753411</v>
          </cell>
          <cell r="DR11">
            <v>550.10900000000004</v>
          </cell>
          <cell r="DS11">
            <v>0.23837347108301082</v>
          </cell>
          <cell r="DT11">
            <v>563.1</v>
          </cell>
          <cell r="DU11">
            <v>0.22480836793356754</v>
          </cell>
          <cell r="DV11">
            <v>362.09999999999997</v>
          </cell>
          <cell r="DW11">
            <v>0.18928384736016726</v>
          </cell>
          <cell r="DX11">
            <v>508.4</v>
          </cell>
          <cell r="DY11">
            <v>0.2335538404998162</v>
          </cell>
          <cell r="DZ11">
            <v>540.19999999999993</v>
          </cell>
          <cell r="EA11">
            <v>0.24753700224533742</v>
          </cell>
          <cell r="EB11">
            <v>599.5</v>
          </cell>
          <cell r="EC11">
            <v>0.23969453440486188</v>
          </cell>
          <cell r="ED11">
            <v>467.00599999999997</v>
          </cell>
          <cell r="EE11">
            <v>0.22673936474952178</v>
          </cell>
          <cell r="EF11">
            <v>530.21600000000001</v>
          </cell>
          <cell r="EG11">
            <v>0.2452857247275893</v>
          </cell>
          <cell r="EH11">
            <v>613.70900000000006</v>
          </cell>
          <cell r="EI11">
            <v>0.27003710150641264</v>
          </cell>
          <cell r="EJ11">
            <v>677.5</v>
          </cell>
          <cell r="EK11">
            <v>0.25694997534797287</v>
          </cell>
          <cell r="EL11">
            <v>507.40000000000003</v>
          </cell>
          <cell r="EM11">
            <v>0.23077272934006463</v>
          </cell>
          <cell r="EN11">
            <v>585</v>
          </cell>
          <cell r="EO11">
            <v>0.26162790697674421</v>
          </cell>
          <cell r="EP11">
            <v>670.1</v>
          </cell>
          <cell r="EQ11">
            <v>0.27592028329078477</v>
          </cell>
          <cell r="ES11" t="str">
            <v xml:space="preserve">   Footwear</v>
          </cell>
          <cell r="ET11">
            <v>2460.3629999999998</v>
          </cell>
          <cell r="EU11">
            <v>0.25754708359969652</v>
          </cell>
          <cell r="EV11">
            <v>1973.7999999999997</v>
          </cell>
          <cell r="EW11">
            <v>0.22488577971721224</v>
          </cell>
          <cell r="EX11">
            <v>2210.431</v>
          </cell>
          <cell r="EY11">
            <v>0.24573805428973869</v>
          </cell>
          <cell r="EZ11">
            <v>2440</v>
          </cell>
          <cell r="FA11">
            <v>0.25684210526315787</v>
          </cell>
          <cell r="FB11">
            <v>2682</v>
          </cell>
          <cell r="FC11">
            <v>0.25888030888030888</v>
          </cell>
          <cell r="FE11" t="str">
            <v xml:space="preserve">   Footwear</v>
          </cell>
          <cell r="FF11">
            <v>2070.7419999999997</v>
          </cell>
          <cell r="FG11">
            <v>0.23138100606850226</v>
          </cell>
          <cell r="FH11">
            <v>2115.1059999999998</v>
          </cell>
          <cell r="FI11">
            <v>0.23712322839147695</v>
          </cell>
          <cell r="FJ11">
            <v>2328.8250000000003</v>
          </cell>
          <cell r="FK11">
            <v>0.25122954224026428</v>
          </cell>
          <cell r="FL11">
            <v>3000</v>
          </cell>
          <cell r="FM11">
            <v>0.28169014084507044</v>
          </cell>
        </row>
        <row r="12">
          <cell r="A12" t="str">
            <v xml:space="preserve">   Apparel</v>
          </cell>
          <cell r="AX12">
            <v>78.316000000000003</v>
          </cell>
          <cell r="AY12">
            <v>0.10892850436807255</v>
          </cell>
          <cell r="AZ12">
            <v>54.155000000000001</v>
          </cell>
          <cell r="BA12">
            <v>5.7176129507021507E-2</v>
          </cell>
          <cell r="BB12">
            <v>74.852999999999994</v>
          </cell>
          <cell r="BC12">
            <v>0.10068777012094154</v>
          </cell>
          <cell r="BD12">
            <v>48.774999999999999</v>
          </cell>
          <cell r="BE12">
            <v>5.6255975935936814E-2</v>
          </cell>
          <cell r="BF12">
            <v>88.980999999999995</v>
          </cell>
          <cell r="BG12">
            <v>0.10497820942079765</v>
          </cell>
          <cell r="BH12">
            <v>86.177000000000007</v>
          </cell>
          <cell r="BI12">
            <v>7.8352556957145533E-2</v>
          </cell>
          <cell r="BJ12">
            <v>94.533000000000001</v>
          </cell>
          <cell r="BK12">
            <v>0.10793422078715381</v>
          </cell>
          <cell r="BL12">
            <v>61.127000000000002</v>
          </cell>
          <cell r="BM12">
            <v>6.2887601285591413E-2</v>
          </cell>
          <cell r="BN12">
            <v>111.276</v>
          </cell>
          <cell r="BO12">
            <v>0.11316828692568438</v>
          </cell>
          <cell r="BP12">
            <v>74.995000000000005</v>
          </cell>
          <cell r="BQ12">
            <v>6.7692471553727027E-2</v>
          </cell>
          <cell r="BR12">
            <v>94.578999999999994</v>
          </cell>
          <cell r="BS12">
            <v>0.1173743995016065</v>
          </cell>
          <cell r="BT12">
            <v>56.588000000000001</v>
          </cell>
          <cell r="BU12">
            <v>6.4906032609007333E-2</v>
          </cell>
          <cell r="BV12">
            <v>132.68100000000001</v>
          </cell>
          <cell r="BW12">
            <v>0.13213185998988206</v>
          </cell>
          <cell r="BX12">
            <v>85.134</v>
          </cell>
          <cell r="BY12">
            <v>7.2742031264018181E-2</v>
          </cell>
          <cell r="BZ12">
            <v>106.77</v>
          </cell>
          <cell r="CA12">
            <v>8.5175532436824353E-2</v>
          </cell>
          <cell r="CB12">
            <v>133.184</v>
          </cell>
          <cell r="CC12">
            <v>0.12639098985903624</v>
          </cell>
          <cell r="CD12">
            <v>108.68</v>
          </cell>
          <cell r="CE12">
            <v>0.11135086177042544</v>
          </cell>
          <cell r="CF12">
            <v>82.731999999999999</v>
          </cell>
          <cell r="CG12">
            <v>7.3559367545214388E-2</v>
          </cell>
          <cell r="CH12">
            <v>102.94</v>
          </cell>
          <cell r="CI12">
            <v>8.522009949243789E-2</v>
          </cell>
          <cell r="CJ12">
            <v>171.63499999999999</v>
          </cell>
          <cell r="CK12">
            <v>0.12155143353285611</v>
          </cell>
          <cell r="CL12">
            <v>152.63</v>
          </cell>
          <cell r="CM12">
            <v>0.11296478722609017</v>
          </cell>
          <cell r="CN12">
            <v>126.03400000000001</v>
          </cell>
          <cell r="CO12">
            <v>7.8056593104755281E-2</v>
          </cell>
          <cell r="CP12">
            <v>151.05099999999999</v>
          </cell>
          <cell r="CQ12">
            <v>8.8852484088422487E-2</v>
          </cell>
          <cell r="CR12">
            <v>178.61500000000001</v>
          </cell>
          <cell r="CS12">
            <v>0.12377800276779298</v>
          </cell>
          <cell r="CT12">
            <v>151</v>
          </cell>
          <cell r="CU12">
            <v>0.11129455467437131</v>
          </cell>
          <cell r="CV12">
            <v>127.836</v>
          </cell>
          <cell r="CW12">
            <v>8.5703310045313411E-2</v>
          </cell>
          <cell r="CX12">
            <v>153.21</v>
          </cell>
          <cell r="CY12">
            <v>9.684343865318025E-2</v>
          </cell>
          <cell r="CZ12">
            <v>218.86099999999999</v>
          </cell>
          <cell r="DA12">
            <v>0.11391072263183261</v>
          </cell>
          <cell r="DB12">
            <v>199.119</v>
          </cell>
          <cell r="DC12">
            <v>0.10751176928264473</v>
          </cell>
          <cell r="DD12">
            <v>232.339</v>
          </cell>
          <cell r="DE12">
            <v>0.1018170615523904</v>
          </cell>
          <cell r="DF12">
            <v>262.02100000000002</v>
          </cell>
          <cell r="DG12">
            <v>0.12435537347759931</v>
          </cell>
          <cell r="DH12">
            <v>293.82100000000003</v>
          </cell>
          <cell r="DI12">
            <v>0.12123088831381455</v>
          </cell>
          <cell r="DJ12">
            <v>298.73399999999998</v>
          </cell>
          <cell r="DK12">
            <v>0.12583964285323132</v>
          </cell>
          <cell r="DL12">
            <v>366.85199999999998</v>
          </cell>
          <cell r="DM12">
            <v>0.13262432038766506</v>
          </cell>
          <cell r="DN12">
            <v>345.4</v>
          </cell>
          <cell r="DO12">
            <v>0.15315225835287272</v>
          </cell>
          <cell r="DP12">
            <v>378.85700000000003</v>
          </cell>
          <cell r="DQ12">
            <v>0.17035480898895608</v>
          </cell>
          <cell r="DR12">
            <v>344.16800000000001</v>
          </cell>
          <cell r="DS12">
            <v>0.14913502741401735</v>
          </cell>
          <cell r="DT12">
            <v>437.20000000000005</v>
          </cell>
          <cell r="DU12">
            <v>0.17454487384222295</v>
          </cell>
          <cell r="DV12">
            <v>359.6</v>
          </cell>
          <cell r="DW12">
            <v>0.18797699947726085</v>
          </cell>
          <cell r="DX12">
            <v>395.9</v>
          </cell>
          <cell r="DY12">
            <v>0.18187247335538403</v>
          </cell>
          <cell r="DZ12">
            <v>337</v>
          </cell>
          <cell r="EA12">
            <v>0.15442423131558447</v>
          </cell>
          <cell r="EB12">
            <v>380.1</v>
          </cell>
          <cell r="EC12">
            <v>0.15197313182199834</v>
          </cell>
          <cell r="ED12">
            <v>347.67999999999995</v>
          </cell>
          <cell r="EE12">
            <v>0.16880455997591834</v>
          </cell>
          <cell r="EF12">
            <v>329.39300000000003</v>
          </cell>
          <cell r="EG12">
            <v>0.15238204943870956</v>
          </cell>
          <cell r="EH12">
            <v>335.38200000000001</v>
          </cell>
          <cell r="EI12">
            <v>0.14757088974974081</v>
          </cell>
          <cell r="EJ12">
            <v>403.59999999999997</v>
          </cell>
          <cell r="EK12">
            <v>0.15307012553570751</v>
          </cell>
          <cell r="EL12">
            <v>373.9</v>
          </cell>
          <cell r="EM12">
            <v>0.17005503251921592</v>
          </cell>
          <cell r="EN12">
            <v>356</v>
          </cell>
          <cell r="EO12">
            <v>0.15921288014311269</v>
          </cell>
          <cell r="EP12">
            <v>361.50000000000006</v>
          </cell>
          <cell r="EQ12">
            <v>0.14885118998600017</v>
          </cell>
          <cell r="ES12" t="str">
            <v xml:space="preserve">   Apparel</v>
          </cell>
          <cell r="ET12">
            <v>1435.277</v>
          </cell>
          <cell r="EU12">
            <v>0.15024262903795971</v>
          </cell>
          <cell r="EV12">
            <v>1529.7</v>
          </cell>
          <cell r="EW12">
            <v>0.17428704895806041</v>
          </cell>
          <cell r="EX12">
            <v>1392.5550000000001</v>
          </cell>
          <cell r="EY12">
            <v>0.15481313652923209</v>
          </cell>
          <cell r="EZ12">
            <v>1495</v>
          </cell>
          <cell r="FA12">
            <v>0.15736842105263157</v>
          </cell>
          <cell r="FB12">
            <v>1712</v>
          </cell>
          <cell r="FC12">
            <v>0.16525096525096525</v>
          </cell>
          <cell r="FE12" t="str">
            <v xml:space="preserve">   Apparel</v>
          </cell>
          <cell r="FF12">
            <v>1519.8250000000003</v>
          </cell>
          <cell r="FG12">
            <v>0.16982252619981705</v>
          </cell>
          <cell r="FH12">
            <v>1460.6799999999998</v>
          </cell>
          <cell r="FI12">
            <v>0.16375593338908903</v>
          </cell>
          <cell r="FJ12">
            <v>1442.2750000000001</v>
          </cell>
          <cell r="FK12">
            <v>0.15559008857882284</v>
          </cell>
          <cell r="FL12">
            <v>2000</v>
          </cell>
          <cell r="FM12">
            <v>0.18779342723004694</v>
          </cell>
        </row>
        <row r="13">
          <cell r="A13" t="str">
            <v xml:space="preserve">   Equipment</v>
          </cell>
          <cell r="DD13">
            <v>0</v>
          </cell>
          <cell r="DE13">
            <v>0</v>
          </cell>
          <cell r="DF13">
            <v>0</v>
          </cell>
          <cell r="DG13">
            <v>0</v>
          </cell>
          <cell r="DH13">
            <v>0</v>
          </cell>
          <cell r="DI13">
            <v>0</v>
          </cell>
          <cell r="DJ13">
            <v>2.9489999999999998</v>
          </cell>
          <cell r="DK13">
            <v>1.24224596722897E-3</v>
          </cell>
          <cell r="DL13">
            <v>11.198</v>
          </cell>
          <cell r="DM13">
            <v>4.0483005127437592E-3</v>
          </cell>
          <cell r="DN13">
            <v>11.8</v>
          </cell>
          <cell r="DO13">
            <v>5.2321848539777028E-3</v>
          </cell>
          <cell r="DP13">
            <v>7.1879999999999997</v>
          </cell>
          <cell r="DQ13">
            <v>3.2321175720987499E-3</v>
          </cell>
          <cell r="DR13">
            <v>23.087</v>
          </cell>
          <cell r="DS13">
            <v>1.0004068878883041E-2</v>
          </cell>
          <cell r="DT13">
            <v>24.6</v>
          </cell>
          <cell r="DU13">
            <v>9.8211434046630471E-3</v>
          </cell>
          <cell r="DV13">
            <v>25.1</v>
          </cell>
          <cell r="DW13">
            <v>1.3120752744380555E-2</v>
          </cell>
          <cell r="DX13">
            <v>22.7</v>
          </cell>
          <cell r="DY13">
            <v>1.0428151414920983E-2</v>
          </cell>
          <cell r="DZ13">
            <v>31.6</v>
          </cell>
          <cell r="EA13">
            <v>1.4480135636713558E-2</v>
          </cell>
          <cell r="EB13">
            <v>72.7</v>
          </cell>
          <cell r="EC13">
            <v>2.9067210427411942E-2</v>
          </cell>
          <cell r="ED13">
            <v>57.658999999999999</v>
          </cell>
          <cell r="EE13">
            <v>2.7994426264529099E-2</v>
          </cell>
          <cell r="EF13">
            <v>62.991</v>
          </cell>
          <cell r="EG13">
            <v>2.9140563631266461E-2</v>
          </cell>
          <cell r="EH13">
            <v>59.805999999999997</v>
          </cell>
          <cell r="EI13">
            <v>2.6315141040285397E-2</v>
          </cell>
          <cell r="EJ13">
            <v>85</v>
          </cell>
          <cell r="EK13">
            <v>3.2237266279819474E-2</v>
          </cell>
          <cell r="EL13">
            <v>70.5</v>
          </cell>
          <cell r="EM13">
            <v>3.2064401691908856E-2</v>
          </cell>
          <cell r="EN13">
            <v>69</v>
          </cell>
          <cell r="EO13">
            <v>3.0858676207513418E-2</v>
          </cell>
          <cell r="EP13">
            <v>68.5</v>
          </cell>
          <cell r="EQ13">
            <v>2.8205550522935021E-2</v>
          </cell>
          <cell r="ET13">
            <v>53.272999999999996</v>
          </cell>
          <cell r="EU13">
            <v>5.576537195774214E-3</v>
          </cell>
          <cell r="EV13">
            <v>104</v>
          </cell>
          <cell r="EW13">
            <v>1.1849286194442232E-2</v>
          </cell>
          <cell r="EX13">
            <v>253.15600000000001</v>
          </cell>
          <cell r="EY13">
            <v>2.8143861026095403E-2</v>
          </cell>
          <cell r="EZ13">
            <v>293</v>
          </cell>
          <cell r="FA13">
            <v>3.0842105263157896E-2</v>
          </cell>
          <cell r="FB13">
            <v>316</v>
          </cell>
          <cell r="FC13">
            <v>3.0501930501930501E-2</v>
          </cell>
          <cell r="FE13" t="str">
            <v xml:space="preserve">   Equipment</v>
          </cell>
          <cell r="FF13">
            <v>79.974999999999994</v>
          </cell>
          <cell r="FG13">
            <v>8.9362634071885674E-3</v>
          </cell>
          <cell r="FH13">
            <v>184.65899999999999</v>
          </cell>
          <cell r="FI13">
            <v>2.0702006533734833E-2</v>
          </cell>
          <cell r="FJ13">
            <v>278.29700000000003</v>
          </cell>
          <cell r="FK13">
            <v>3.0022190553965551E-2</v>
          </cell>
          <cell r="FL13">
            <v>120</v>
          </cell>
          <cell r="FM13">
            <v>1.1267605633802818E-2</v>
          </cell>
        </row>
        <row r="14">
          <cell r="A14" t="str">
            <v>Other</v>
          </cell>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23.573</v>
          </cell>
          <cell r="AC14">
            <v>4.615947960194719E-2</v>
          </cell>
          <cell r="AD14">
            <v>24.210999999999999</v>
          </cell>
          <cell r="AE14">
            <v>7.5181736033263669E-2</v>
          </cell>
          <cell r="AF14">
            <v>20.794</v>
          </cell>
          <cell r="AG14">
            <v>4.4750711806190724E-2</v>
          </cell>
          <cell r="AH14">
            <v>24.329000000000001</v>
          </cell>
          <cell r="AI14">
            <v>5.8848002399491076E-2</v>
          </cell>
          <cell r="AJ14">
            <v>32.380000000000003</v>
          </cell>
          <cell r="AK14">
            <v>5.6780320831608999E-2</v>
          </cell>
          <cell r="AL14">
            <v>30.271000000000001</v>
          </cell>
          <cell r="AM14">
            <v>7.2865966675813729E-2</v>
          </cell>
          <cell r="AN14">
            <v>27.719000000000001</v>
          </cell>
          <cell r="AO14">
            <v>4.7967618958622102E-2</v>
          </cell>
          <cell r="AP14">
            <v>30.152999999999999</v>
          </cell>
          <cell r="AQ14">
            <v>4.9510526713320693E-2</v>
          </cell>
          <cell r="AR14">
            <v>38.86</v>
          </cell>
          <cell r="AS14">
            <v>4.6616691078649769E-2</v>
          </cell>
          <cell r="AT14">
            <v>34.35</v>
          </cell>
          <cell r="AU14">
            <v>5.2941611644380326E-2</v>
          </cell>
          <cell r="AV14">
            <v>32.216999999999999</v>
          </cell>
          <cell r="AW14">
            <v>4.0160407275918464E-2</v>
          </cell>
          <cell r="AX14">
            <v>33.982999999999997</v>
          </cell>
          <cell r="AY14">
            <v>4.7266425301856693E-2</v>
          </cell>
          <cell r="AZ14">
            <v>42.005000000000003</v>
          </cell>
          <cell r="BA14">
            <v>4.4348320929599089E-2</v>
          </cell>
          <cell r="BB14">
            <v>40.444000000000003</v>
          </cell>
          <cell r="BC14">
            <v>5.4402845240289106E-2</v>
          </cell>
          <cell r="BD14">
            <v>37.835999999999999</v>
          </cell>
          <cell r="BE14">
            <v>4.3639182070981143E-2</v>
          </cell>
          <cell r="BF14">
            <v>41.646999999999998</v>
          </cell>
          <cell r="BG14">
            <v>4.9134393721670465E-2</v>
          </cell>
          <cell r="BH14">
            <v>50.862000000000002</v>
          </cell>
          <cell r="BI14">
            <v>4.6243983336091254E-2</v>
          </cell>
          <cell r="BJ14">
            <v>43.661000000000001</v>
          </cell>
          <cell r="BK14">
            <v>4.9850486219499252E-2</v>
          </cell>
          <cell r="BL14">
            <v>51.137999999999998</v>
          </cell>
          <cell r="BM14">
            <v>5.2610894605371994E-2</v>
          </cell>
          <cell r="BN14">
            <v>55.841999999999999</v>
          </cell>
          <cell r="BO14">
            <v>5.6791612553507197E-2</v>
          </cell>
          <cell r="BP14">
            <v>64.343999999999994</v>
          </cell>
          <cell r="BQ14">
            <v>5.8078597101846943E-2</v>
          </cell>
          <cell r="BR14">
            <v>56.061999999999998</v>
          </cell>
          <cell r="BS14">
            <v>6.9574044818184411E-2</v>
          </cell>
          <cell r="BT14">
            <v>49.423000000000002</v>
          </cell>
          <cell r="BU14">
            <v>5.6687828685144721E-2</v>
          </cell>
          <cell r="BV14">
            <v>55.417000000000002</v>
          </cell>
          <cell r="BW14">
            <v>5.5187640167464025E-2</v>
          </cell>
          <cell r="BX14">
            <v>58.881999999999998</v>
          </cell>
          <cell r="BY14">
            <v>5.0311230353183432E-2</v>
          </cell>
          <cell r="BZ14">
            <v>58.881999999999998</v>
          </cell>
          <cell r="CA14">
            <v>4.6972985866302254E-2</v>
          </cell>
          <cell r="CB14">
            <v>60.390999999999998</v>
          </cell>
          <cell r="CC14">
            <v>5.7310775082420246E-2</v>
          </cell>
          <cell r="CD14">
            <v>60.390999999999998</v>
          </cell>
          <cell r="CE14">
            <v>6.1875137036968737E-2</v>
          </cell>
          <cell r="CF14">
            <v>57.412999999999997</v>
          </cell>
          <cell r="CG14">
            <v>5.1047526578269518E-2</v>
          </cell>
          <cell r="CH14">
            <v>57.412999999999997</v>
          </cell>
          <cell r="CI14">
            <v>4.753003275849365E-2</v>
          </cell>
          <cell r="CJ14">
            <v>133.934</v>
          </cell>
          <cell r="CK14">
            <v>9.4851689333699724E-2</v>
          </cell>
          <cell r="CL14">
            <v>133.934</v>
          </cell>
          <cell r="CM14">
            <v>9.912747043398519E-2</v>
          </cell>
          <cell r="CN14">
            <v>147.886</v>
          </cell>
          <cell r="CO14">
            <v>9.1590184615975359E-2</v>
          </cell>
          <cell r="CP14">
            <v>147.886</v>
          </cell>
          <cell r="CQ14">
            <v>8.6990741285396647E-2</v>
          </cell>
          <cell r="CR14">
            <v>135.40800000000002</v>
          </cell>
          <cell r="CS14">
            <v>9.3836082069150478E-2</v>
          </cell>
          <cell r="CT14">
            <v>135.40800000000002</v>
          </cell>
          <cell r="CU14">
            <v>9.9802470591703787E-2</v>
          </cell>
          <cell r="CV14">
            <v>105.67100000000001</v>
          </cell>
          <cell r="CW14">
            <v>7.0843537624756051E-2</v>
          </cell>
          <cell r="CX14">
            <v>105.67100000000001</v>
          </cell>
          <cell r="CY14">
            <v>6.6794223653287715E-2</v>
          </cell>
          <cell r="CZ14">
            <v>132.94999999999999</v>
          </cell>
          <cell r="DA14">
            <v>6.9196570306734151E-2</v>
          </cell>
          <cell r="DB14">
            <v>132.94999999999999</v>
          </cell>
          <cell r="DC14">
            <v>7.1784660058194422E-2</v>
          </cell>
          <cell r="DD14">
            <v>146.56100000000001</v>
          </cell>
          <cell r="DE14">
            <v>6.4226885534412609E-2</v>
          </cell>
          <cell r="DF14">
            <v>133.631</v>
          </cell>
          <cell r="DG14">
            <v>6.3421378107804613E-2</v>
          </cell>
          <cell r="DH14">
            <v>102.28100000000001</v>
          </cell>
          <cell r="DI14">
            <v>4.2201260249013058E-2</v>
          </cell>
          <cell r="DJ14">
            <v>121.60299999999999</v>
          </cell>
          <cell r="DK14">
            <v>5.1224427383161901E-2</v>
          </cell>
          <cell r="DL14">
            <v>118.10599999999999</v>
          </cell>
          <cell r="DM14">
            <v>4.2697676402760704E-2</v>
          </cell>
          <cell r="DN14">
            <v>129.30600000000001</v>
          </cell>
          <cell r="DO14">
            <v>5.7334991078681424E-2</v>
          </cell>
          <cell r="DP14">
            <v>94.757999999999996</v>
          </cell>
          <cell r="DQ14">
            <v>4.2608374637859395E-2</v>
          </cell>
          <cell r="DR14">
            <v>122.566</v>
          </cell>
          <cell r="DS14">
            <v>5.3110352415176455E-2</v>
          </cell>
          <cell r="DT14">
            <v>122.8</v>
          </cell>
          <cell r="DU14">
            <v>4.9025870328968373E-2</v>
          </cell>
          <cell r="DV14">
            <v>111.6</v>
          </cell>
          <cell r="DW14">
            <v>5.8337689492943018E-2</v>
          </cell>
          <cell r="DX14">
            <v>83.9</v>
          </cell>
          <cell r="DY14">
            <v>3.8542815141492097E-2</v>
          </cell>
          <cell r="DZ14">
            <v>100.5</v>
          </cell>
          <cell r="EA14">
            <v>4.6052330110433942E-2</v>
          </cell>
          <cell r="EB14">
            <v>117.1</v>
          </cell>
          <cell r="EC14">
            <v>4.6819399464235738E-2</v>
          </cell>
          <cell r="ED14">
            <v>108.7</v>
          </cell>
          <cell r="EE14">
            <v>5.2775700843828599E-2</v>
          </cell>
          <cell r="EF14">
            <v>77.911000000000001</v>
          </cell>
          <cell r="EG14">
            <v>3.6042775207182E-2</v>
          </cell>
          <cell r="EH14">
            <v>103.056</v>
          </cell>
          <cell r="EI14">
            <v>4.5345503378384312E-2</v>
          </cell>
          <cell r="EJ14">
            <v>118.7</v>
          </cell>
          <cell r="EK14">
            <v>4.5018394204877313E-2</v>
          </cell>
          <cell r="EL14">
            <v>115.8</v>
          </cell>
          <cell r="EM14">
            <v>5.2667485332241783E-2</v>
          </cell>
          <cell r="EN14">
            <v>86</v>
          </cell>
          <cell r="EO14">
            <v>3.8461538461538464E-2</v>
          </cell>
          <cell r="EP14">
            <v>111.5</v>
          </cell>
          <cell r="EQ14">
            <v>4.5911224573828534E-2</v>
          </cell>
          <cell r="ES14" t="str">
            <v>Other</v>
          </cell>
          <cell r="ET14">
            <v>464.73599999999999</v>
          </cell>
          <cell r="EU14">
            <v>4.864786271122943E-2</v>
          </cell>
          <cell r="EV14">
            <v>418.79999999999995</v>
          </cell>
          <cell r="EW14">
            <v>4.7716164021465446E-2</v>
          </cell>
          <cell r="EX14">
            <v>406.767</v>
          </cell>
          <cell r="EY14">
            <v>4.5221104449437298E-2</v>
          </cell>
          <cell r="EZ14">
            <v>432</v>
          </cell>
          <cell r="FA14">
            <v>4.5473684210526319E-2</v>
          </cell>
          <cell r="FB14">
            <v>500</v>
          </cell>
          <cell r="FC14">
            <v>4.8262548262548263E-2</v>
          </cell>
          <cell r="FE14" t="str">
            <v>Other</v>
          </cell>
          <cell r="FF14">
            <v>451.72400000000005</v>
          </cell>
          <cell r="FG14">
            <v>5.0474831526712713E-2</v>
          </cell>
          <cell r="FH14">
            <v>410.2</v>
          </cell>
          <cell r="FI14">
            <v>4.5987268858479841E-2</v>
          </cell>
          <cell r="FJ14">
            <v>415.46699999999998</v>
          </cell>
          <cell r="FK14">
            <v>4.4819848733131884E-2</v>
          </cell>
          <cell r="FL14">
            <v>450</v>
          </cell>
          <cell r="FM14">
            <v>4.2253521126760563E-2</v>
          </cell>
        </row>
        <row r="15">
          <cell r="A15" t="str">
            <v xml:space="preserve">   Canstar</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76</v>
          </cell>
          <cell r="CK15">
            <v>5.3822990348688003E-2</v>
          </cell>
          <cell r="CL15">
            <v>76</v>
          </cell>
          <cell r="CM15">
            <v>5.6249255252459232E-2</v>
          </cell>
          <cell r="CN15">
            <v>74.75</v>
          </cell>
          <cell r="CO15">
            <v>4.6294891335516265E-2</v>
          </cell>
          <cell r="CP15">
            <v>74.75</v>
          </cell>
          <cell r="CQ15">
            <v>4.3970070940341881E-2</v>
          </cell>
          <cell r="CR15">
            <v>66.408000000000001</v>
          </cell>
          <cell r="CS15">
            <v>4.6019928941038526E-2</v>
          </cell>
          <cell r="CT15">
            <v>66.408000000000001</v>
          </cell>
          <cell r="CU15">
            <v>4.8946018455732786E-2</v>
          </cell>
          <cell r="CV15">
            <v>38.5</v>
          </cell>
          <cell r="CW15">
            <v>2.5811019092779549E-2</v>
          </cell>
          <cell r="CX15">
            <v>38.5</v>
          </cell>
          <cell r="CY15">
            <v>2.4335698636821616E-2</v>
          </cell>
          <cell r="CZ15">
            <v>73</v>
          </cell>
          <cell r="DA15">
            <v>3.7994356016484349E-2</v>
          </cell>
          <cell r="DB15">
            <v>73</v>
          </cell>
          <cell r="DC15">
            <v>3.9415420716421158E-2</v>
          </cell>
          <cell r="DD15">
            <v>70.561000000000007</v>
          </cell>
          <cell r="DE15">
            <v>3.0921686329880991E-2</v>
          </cell>
          <cell r="DF15">
            <v>65.631</v>
          </cell>
          <cell r="DG15">
            <v>3.1148524418685222E-2</v>
          </cell>
          <cell r="DH15">
            <v>32.28</v>
          </cell>
          <cell r="DI15">
            <v>1.3318765761364686E-2</v>
          </cell>
          <cell r="DJ15">
            <v>69.53</v>
          </cell>
          <cell r="DK15">
            <v>2.9289034283292742E-2</v>
          </cell>
          <cell r="DL15">
            <v>74</v>
          </cell>
          <cell r="DM15">
            <v>2.6752477044386335E-2</v>
          </cell>
          <cell r="DN15">
            <v>68</v>
          </cell>
          <cell r="DO15">
            <v>3.0151573734786757E-2</v>
          </cell>
          <cell r="DP15">
            <v>42</v>
          </cell>
          <cell r="DQ15">
            <v>1.8885494995568658E-2</v>
          </cell>
          <cell r="DR15">
            <v>78</v>
          </cell>
          <cell r="DS15">
            <v>3.3798993916614423E-2</v>
          </cell>
          <cell r="DT15">
            <v>74</v>
          </cell>
          <cell r="DU15">
            <v>2.9543276908335993E-2</v>
          </cell>
          <cell r="DV15">
            <v>68</v>
          </cell>
          <cell r="DW15">
            <v>3.5546262415054888E-2</v>
          </cell>
          <cell r="DX15">
            <v>74</v>
          </cell>
          <cell r="DY15">
            <v>3.3994854832782063E-2</v>
          </cell>
          <cell r="DZ15">
            <v>68</v>
          </cell>
          <cell r="EA15">
            <v>3.115978554735829E-2</v>
          </cell>
          <cell r="EB15">
            <v>74</v>
          </cell>
          <cell r="EC15">
            <v>2.9586981728039665E-2</v>
          </cell>
          <cell r="ED15">
            <v>68</v>
          </cell>
          <cell r="EE15">
            <v>3.3015157841585506E-2</v>
          </cell>
          <cell r="EF15">
            <v>74</v>
          </cell>
          <cell r="EG15">
            <v>3.4233489049447036E-2</v>
          </cell>
          <cell r="EH15">
            <v>68</v>
          </cell>
          <cell r="EI15">
            <v>2.9920569687646843E-2</v>
          </cell>
          <cell r="EJ15">
            <v>15.7</v>
          </cell>
          <cell r="EK15">
            <v>5.9544127128607731E-3</v>
          </cell>
          <cell r="EL15">
            <v>68</v>
          </cell>
          <cell r="EM15">
            <v>3.0927366170919183E-2</v>
          </cell>
          <cell r="EN15">
            <v>74</v>
          </cell>
          <cell r="EO15">
            <v>3.3094812164579608E-2</v>
          </cell>
          <cell r="EP15">
            <v>68</v>
          </cell>
          <cell r="EQ15">
            <v>2.7999670592110677E-2</v>
          </cell>
          <cell r="ES15" t="str">
            <v xml:space="preserve">   Canstar</v>
          </cell>
          <cell r="ET15">
            <v>262</v>
          </cell>
          <cell r="EU15">
            <v>2.74257643701846E-2</v>
          </cell>
          <cell r="EV15">
            <v>262</v>
          </cell>
          <cell r="EW15">
            <v>2.9851086374460239E-2</v>
          </cell>
          <cell r="EX15">
            <v>262</v>
          </cell>
          <cell r="EY15">
            <v>2.9127066270746082E-2</v>
          </cell>
          <cell r="EZ15">
            <v>294</v>
          </cell>
          <cell r="FA15">
            <v>3.0947368421052633E-2</v>
          </cell>
          <cell r="FB15">
            <v>284</v>
          </cell>
          <cell r="FC15">
            <v>2.7413127413127413E-2</v>
          </cell>
          <cell r="FE15" t="str">
            <v xml:space="preserve">   Canstar</v>
          </cell>
          <cell r="FF15">
            <v>262</v>
          </cell>
          <cell r="FG15">
            <v>2.9275411224550234E-2</v>
          </cell>
          <cell r="FH15">
            <v>280</v>
          </cell>
          <cell r="FI15">
            <v>3.1390627207153472E-2</v>
          </cell>
          <cell r="FJ15">
            <v>280</v>
          </cell>
          <cell r="FK15">
            <v>3.0205907196665265E-2</v>
          </cell>
          <cell r="FL15">
            <v>280</v>
          </cell>
          <cell r="FM15">
            <v>2.6291079812206571E-2</v>
          </cell>
        </row>
        <row r="16">
          <cell r="A16" t="str">
            <v xml:space="preserve">  Sprt Spec/Cole Haan</v>
          </cell>
          <cell r="AX16">
            <v>33.982999999999997</v>
          </cell>
          <cell r="AY16">
            <v>4.7266425301856693E-2</v>
          </cell>
          <cell r="AZ16">
            <v>42.005000000000003</v>
          </cell>
          <cell r="BA16">
            <v>4.4348320929599089E-2</v>
          </cell>
          <cell r="BB16">
            <v>40.444000000000003</v>
          </cell>
          <cell r="BC16">
            <v>5.4402845240289106E-2</v>
          </cell>
          <cell r="BD16">
            <v>37.835999999999999</v>
          </cell>
          <cell r="BE16">
            <v>4.3639182070981143E-2</v>
          </cell>
          <cell r="BF16">
            <v>41.646999999999998</v>
          </cell>
          <cell r="BG16">
            <v>4.9134393721670465E-2</v>
          </cell>
          <cell r="BH16">
            <v>50.862000000000002</v>
          </cell>
          <cell r="BI16">
            <v>4.6243983336091254E-2</v>
          </cell>
          <cell r="BJ16">
            <v>43.661000000000001</v>
          </cell>
          <cell r="BK16">
            <v>4.9850486219499252E-2</v>
          </cell>
          <cell r="BL16">
            <v>51.137999999999998</v>
          </cell>
          <cell r="BM16">
            <v>5.2610894605371994E-2</v>
          </cell>
          <cell r="BN16">
            <v>55.841999999999999</v>
          </cell>
          <cell r="BO16">
            <v>5.6791612553507197E-2</v>
          </cell>
          <cell r="BP16">
            <v>64.343999999999994</v>
          </cell>
          <cell r="BQ16">
            <v>5.8078597101846943E-2</v>
          </cell>
          <cell r="BR16">
            <v>56.061999999999998</v>
          </cell>
          <cell r="BS16">
            <v>6.9574044818184411E-2</v>
          </cell>
          <cell r="BT16">
            <v>49.423000000000002</v>
          </cell>
          <cell r="BU16">
            <v>5.6687828685144721E-2</v>
          </cell>
          <cell r="BV16">
            <v>55.417000000000002</v>
          </cell>
          <cell r="BW16">
            <v>5.5187640167464025E-2</v>
          </cell>
          <cell r="BX16">
            <v>58.881999999999998</v>
          </cell>
          <cell r="BY16">
            <v>5.0311230353183432E-2</v>
          </cell>
          <cell r="BZ16">
            <v>58.881999999999998</v>
          </cell>
          <cell r="CA16">
            <v>4.6972985866302254E-2</v>
          </cell>
          <cell r="CB16">
            <v>60.390999999999998</v>
          </cell>
          <cell r="CC16">
            <v>5.7310775082420246E-2</v>
          </cell>
          <cell r="CD16">
            <v>60.390999999999998</v>
          </cell>
          <cell r="CE16">
            <v>6.1875137036968737E-2</v>
          </cell>
          <cell r="CF16">
            <v>57.412999999999997</v>
          </cell>
          <cell r="CG16">
            <v>5.1047526578269518E-2</v>
          </cell>
          <cell r="CH16">
            <v>57.412999999999997</v>
          </cell>
          <cell r="CI16">
            <v>4.753003275849365E-2</v>
          </cell>
          <cell r="CJ16">
            <v>57.933999999999997</v>
          </cell>
          <cell r="CK16">
            <v>4.1028698985011713E-2</v>
          </cell>
          <cell r="CL16">
            <v>57.933999999999997</v>
          </cell>
          <cell r="CM16">
            <v>4.2878215181525965E-2</v>
          </cell>
          <cell r="CN16">
            <v>73.135999999999996</v>
          </cell>
          <cell r="CO16">
            <v>4.5295293280459094E-2</v>
          </cell>
          <cell r="CP16">
            <v>73.135999999999996</v>
          </cell>
          <cell r="CQ16">
            <v>4.302067034505476E-2</v>
          </cell>
          <cell r="CR16">
            <v>69</v>
          </cell>
          <cell r="CS16">
            <v>4.7816153128111945E-2</v>
          </cell>
          <cell r="CT16">
            <v>69</v>
          </cell>
          <cell r="CU16">
            <v>5.0856452135971002E-2</v>
          </cell>
          <cell r="CV16">
            <v>67.2</v>
          </cell>
          <cell r="CW16">
            <v>4.5051960598306129E-2</v>
          </cell>
          <cell r="CX16">
            <v>67.2</v>
          </cell>
          <cell r="CY16">
            <v>4.2476855802452272E-2</v>
          </cell>
          <cell r="CZ16">
            <v>59.95</v>
          </cell>
          <cell r="DA16">
            <v>3.1202214290249816E-2</v>
          </cell>
          <cell r="DB16">
            <v>59.95</v>
          </cell>
          <cell r="DC16">
            <v>3.236923934177327E-2</v>
          </cell>
          <cell r="DD16">
            <v>76</v>
          </cell>
          <cell r="DE16">
            <v>3.3305199204531614E-2</v>
          </cell>
          <cell r="DF16">
            <v>68</v>
          </cell>
          <cell r="DG16">
            <v>3.2272853689119398E-2</v>
          </cell>
          <cell r="DH16">
            <v>70</v>
          </cell>
          <cell r="DI16">
            <v>2.8882081886478565E-2</v>
          </cell>
          <cell r="DJ16">
            <v>62</v>
          </cell>
          <cell r="DK16">
            <v>2.6117073573481229E-2</v>
          </cell>
          <cell r="DL16">
            <v>84</v>
          </cell>
          <cell r="DM16">
            <v>3.0367676644979084E-2</v>
          </cell>
          <cell r="DN16">
            <v>74</v>
          </cell>
          <cell r="DO16">
            <v>3.2812006711385587E-2</v>
          </cell>
          <cell r="DP16">
            <v>78</v>
          </cell>
          <cell r="DQ16">
            <v>3.5073062134627506E-2</v>
          </cell>
          <cell r="DR16">
            <v>72</v>
          </cell>
          <cell r="DS16">
            <v>3.1199071307644082E-2</v>
          </cell>
          <cell r="DT16">
            <v>84</v>
          </cell>
          <cell r="DU16">
            <v>3.3535611625678696E-2</v>
          </cell>
          <cell r="DV16">
            <v>74</v>
          </cell>
          <cell r="DW16">
            <v>3.8682697334030319E-2</v>
          </cell>
          <cell r="DX16">
            <v>84</v>
          </cell>
          <cell r="DY16">
            <v>3.8588754134509365E-2</v>
          </cell>
          <cell r="DZ16">
            <v>74</v>
          </cell>
          <cell r="EA16">
            <v>3.3909178389772254E-2</v>
          </cell>
          <cell r="EB16">
            <v>84</v>
          </cell>
          <cell r="EC16">
            <v>3.3585222502099076E-2</v>
          </cell>
          <cell r="ED16">
            <v>74</v>
          </cell>
          <cell r="EE16">
            <v>3.5928260004078345E-2</v>
          </cell>
          <cell r="EF16">
            <v>84</v>
          </cell>
          <cell r="EG16">
            <v>3.8859636218291228E-2</v>
          </cell>
          <cell r="EH16">
            <v>74</v>
          </cell>
          <cell r="EI16">
            <v>3.2560619954203916E-2</v>
          </cell>
          <cell r="EJ16">
            <v>103</v>
          </cell>
          <cell r="EK16">
            <v>3.9063981492016536E-2</v>
          </cell>
          <cell r="EL16">
            <v>74</v>
          </cell>
          <cell r="EM16">
            <v>3.3656251421294407E-2</v>
          </cell>
          <cell r="EN16">
            <v>84</v>
          </cell>
          <cell r="EO16">
            <v>3.7567084078711989E-2</v>
          </cell>
          <cell r="EP16">
            <v>74</v>
          </cell>
          <cell r="EQ16">
            <v>3.0470229762002796E-2</v>
          </cell>
          <cell r="ES16" t="str">
            <v xml:space="preserve">  Sprt Spec/Cole Haan</v>
          </cell>
          <cell r="ET16">
            <v>308</v>
          </cell>
          <cell r="EU16">
            <v>3.2240974908461284E-2</v>
          </cell>
          <cell r="EV16">
            <v>308</v>
          </cell>
          <cell r="EW16">
            <v>3.5092116806617377E-2</v>
          </cell>
          <cell r="EX16">
            <v>308</v>
          </cell>
          <cell r="EY16">
            <v>3.4240978669426693E-2</v>
          </cell>
          <cell r="EZ16">
            <v>314</v>
          </cell>
          <cell r="FA16">
            <v>3.3052631578947368E-2</v>
          </cell>
          <cell r="FB16">
            <v>316</v>
          </cell>
          <cell r="FC16">
            <v>3.0501930501930501E-2</v>
          </cell>
          <cell r="FE16" t="str">
            <v xml:space="preserve">  Sprt Spec/Cole Haan</v>
          </cell>
          <cell r="FF16">
            <v>308</v>
          </cell>
          <cell r="FG16">
            <v>3.4415368920463631E-2</v>
          </cell>
          <cell r="FH16">
            <v>330</v>
          </cell>
          <cell r="FI16">
            <v>3.6996096351288026E-2</v>
          </cell>
          <cell r="FJ16">
            <v>330</v>
          </cell>
          <cell r="FK16">
            <v>3.5599819196069776E-2</v>
          </cell>
          <cell r="FL16">
            <v>330</v>
          </cell>
          <cell r="FM16">
            <v>3.0985915492957747E-2</v>
          </cell>
        </row>
        <row r="17">
          <cell r="A17" t="str">
            <v>TOTAL SALES</v>
          </cell>
          <cell r="B17">
            <v>220.744</v>
          </cell>
          <cell r="C17">
            <v>257.13799999999998</v>
          </cell>
          <cell r="D17">
            <v>327.70800000000003</v>
          </cell>
          <cell r="E17">
            <v>1</v>
          </cell>
          <cell r="F17">
            <v>237.90799999999999</v>
          </cell>
          <cell r="G17">
            <v>1</v>
          </cell>
          <cell r="H17">
            <v>258.65499999999997</v>
          </cell>
          <cell r="I17">
            <v>1</v>
          </cell>
          <cell r="J17">
            <v>244.95099999999999</v>
          </cell>
          <cell r="K17">
            <v>1</v>
          </cell>
          <cell r="L17">
            <v>257.21299999999997</v>
          </cell>
          <cell r="M17">
            <v>1</v>
          </cell>
          <cell r="N17">
            <v>183.06300000000002</v>
          </cell>
          <cell r="O17">
            <v>1</v>
          </cell>
          <cell r="P17">
            <v>199.41800000000001</v>
          </cell>
          <cell r="Q17">
            <v>1</v>
          </cell>
          <cell r="R17">
            <v>237.66300000000001</v>
          </cell>
          <cell r="S17">
            <v>1.0675738089246698</v>
          </cell>
          <cell r="T17">
            <v>282.82800000000003</v>
          </cell>
          <cell r="U17">
            <v>1.0333617775272341</v>
          </cell>
          <cell r="V17">
            <v>234.40800000000002</v>
          </cell>
          <cell r="W17">
            <v>1.0559940351178785</v>
          </cell>
          <cell r="X17">
            <v>331.78700000000003</v>
          </cell>
          <cell r="Y17">
            <v>1.027721189395413</v>
          </cell>
          <cell r="Z17">
            <v>354.41700000000003</v>
          </cell>
          <cell r="AA17">
            <v>1.0465014685431673</v>
          </cell>
          <cell r="AB17">
            <v>510.68599999999998</v>
          </cell>
          <cell r="AC17">
            <v>1</v>
          </cell>
          <cell r="AD17">
            <v>322.03300000000002</v>
          </cell>
          <cell r="AE17">
            <v>1</v>
          </cell>
          <cell r="AF17">
            <v>464.66300000000001</v>
          </cell>
          <cell r="AG17">
            <v>1</v>
          </cell>
          <cell r="AH17">
            <v>413.42099999999999</v>
          </cell>
          <cell r="AI17">
            <v>1</v>
          </cell>
          <cell r="AJ17">
            <v>570.26800000000003</v>
          </cell>
          <cell r="AK17">
            <v>0.99999999999999989</v>
          </cell>
          <cell r="AL17">
            <v>415.43399999999997</v>
          </cell>
          <cell r="AM17">
            <v>1</v>
          </cell>
          <cell r="AN17">
            <v>577.86900000000014</v>
          </cell>
          <cell r="AO17">
            <v>0.95203238104137777</v>
          </cell>
          <cell r="AP17">
            <v>609.02200000000005</v>
          </cell>
          <cell r="AQ17">
            <v>0.95048947328667921</v>
          </cell>
          <cell r="AR17">
            <v>833.60699999999997</v>
          </cell>
          <cell r="AS17">
            <v>1</v>
          </cell>
          <cell r="AT17">
            <v>648.82800000000009</v>
          </cell>
          <cell r="AU17">
            <v>1</v>
          </cell>
          <cell r="AV17">
            <v>802.20799999999997</v>
          </cell>
          <cell r="AW17">
            <v>1</v>
          </cell>
          <cell r="AX17">
            <v>718.96699999999987</v>
          </cell>
          <cell r="AY17">
            <v>1.0000000000000002</v>
          </cell>
          <cell r="AZ17">
            <v>947.16100000000006</v>
          </cell>
          <cell r="BA17">
            <v>0.99999999999999989</v>
          </cell>
          <cell r="BB17">
            <v>743.41699999999992</v>
          </cell>
          <cell r="BC17">
            <v>1.0000000000000002</v>
          </cell>
          <cell r="BD17">
            <v>867.01900000000001</v>
          </cell>
          <cell r="BE17">
            <v>1</v>
          </cell>
          <cell r="BF17">
            <v>847.61400000000015</v>
          </cell>
          <cell r="BG17">
            <v>0.99999999999999989</v>
          </cell>
          <cell r="BH17">
            <v>1099.8620000000001</v>
          </cell>
          <cell r="BI17">
            <v>1</v>
          </cell>
          <cell r="BJ17">
            <v>875.83899999999994</v>
          </cell>
          <cell r="BK17">
            <v>1</v>
          </cell>
          <cell r="BL17">
            <v>972.00400000000002</v>
          </cell>
          <cell r="BM17">
            <v>1</v>
          </cell>
          <cell r="BN17">
            <v>983.27899999999988</v>
          </cell>
          <cell r="BO17">
            <v>1.0000000000000002</v>
          </cell>
          <cell r="BP17">
            <v>1107.8780000000002</v>
          </cell>
          <cell r="BQ17">
            <v>0.99999999999999989</v>
          </cell>
          <cell r="BR17">
            <v>805.78899999999999</v>
          </cell>
          <cell r="BS17">
            <v>0.99999999999999989</v>
          </cell>
          <cell r="BT17">
            <v>871.84500000000003</v>
          </cell>
          <cell r="BU17">
            <v>1</v>
          </cell>
          <cell r="BV17">
            <v>1004.1559999999999</v>
          </cell>
          <cell r="BW17">
            <v>1</v>
          </cell>
          <cell r="BX17">
            <v>1170.355</v>
          </cell>
          <cell r="BY17">
            <v>1</v>
          </cell>
          <cell r="BZ17">
            <v>1253.529</v>
          </cell>
          <cell r="CA17">
            <v>1</v>
          </cell>
          <cell r="CB17">
            <v>1053.7459999999999</v>
          </cell>
          <cell r="CC17">
            <v>1</v>
          </cell>
          <cell r="CD17">
            <v>976.0139999999999</v>
          </cell>
          <cell r="CE17">
            <v>1</v>
          </cell>
          <cell r="CF17">
            <v>1124.6970000000001</v>
          </cell>
          <cell r="CG17">
            <v>0.99999999999999978</v>
          </cell>
          <cell r="CH17">
            <v>1207.931</v>
          </cell>
          <cell r="CI17">
            <v>0.99999999999999989</v>
          </cell>
          <cell r="CJ17">
            <v>1412.0359999999998</v>
          </cell>
          <cell r="CK17">
            <v>1</v>
          </cell>
          <cell r="CL17">
            <v>1351.1290000000001</v>
          </cell>
          <cell r="CM17">
            <v>0.99999999999999989</v>
          </cell>
          <cell r="CN17">
            <v>1614.6489999999999</v>
          </cell>
          <cell r="CO17">
            <v>0.99999999999999989</v>
          </cell>
          <cell r="CP17">
            <v>1700.02</v>
          </cell>
          <cell r="CQ17">
            <v>0.99999999999999989</v>
          </cell>
          <cell r="CR17">
            <v>1443.027</v>
          </cell>
          <cell r="CS17">
            <v>0.99999999999999989</v>
          </cell>
          <cell r="CT17">
            <v>1356.7599999999998</v>
          </cell>
          <cell r="CU17">
            <v>1.0000000000000002</v>
          </cell>
          <cell r="CV17">
            <v>1491.6110000000001</v>
          </cell>
          <cell r="CW17">
            <v>1</v>
          </cell>
          <cell r="CX17">
            <v>1582.0380000000002</v>
          </cell>
          <cell r="CY17">
            <v>0.99999999999999978</v>
          </cell>
          <cell r="CZ17">
            <v>1921.338</v>
          </cell>
          <cell r="DA17">
            <v>1</v>
          </cell>
          <cell r="DB17">
            <v>1852.0670000000002</v>
          </cell>
          <cell r="DC17">
            <v>0.99999999999999978</v>
          </cell>
          <cell r="DD17">
            <v>2281.9259999999999</v>
          </cell>
          <cell r="DE17">
            <v>1</v>
          </cell>
          <cell r="DF17">
            <v>2107.0340000000001</v>
          </cell>
          <cell r="DG17">
            <v>0.99999999999999989</v>
          </cell>
          <cell r="DH17">
            <v>2423.6480000000001</v>
          </cell>
          <cell r="DI17">
            <v>0.99999999999999989</v>
          </cell>
          <cell r="DJ17">
            <v>2373.9259999999999</v>
          </cell>
          <cell r="DK17">
            <v>1.0000021062156108</v>
          </cell>
          <cell r="DL17">
            <v>2766.0990000000002</v>
          </cell>
          <cell r="DM17">
            <v>0.99999999999999978</v>
          </cell>
          <cell r="DN17">
            <v>2255.2719999999999</v>
          </cell>
          <cell r="DO17">
            <v>1</v>
          </cell>
          <cell r="DP17">
            <v>2223.9289999999996</v>
          </cell>
          <cell r="DQ17">
            <v>1.0000000000000002</v>
          </cell>
          <cell r="DR17">
            <v>2307.7609999999995</v>
          </cell>
          <cell r="DS17">
            <v>1.0000000000000002</v>
          </cell>
          <cell r="DT17">
            <v>2504.8000000000002</v>
          </cell>
          <cell r="DU17">
            <v>0.99999999999999978</v>
          </cell>
          <cell r="DV17">
            <v>1913</v>
          </cell>
          <cell r="DW17">
            <v>1</v>
          </cell>
          <cell r="DX17">
            <v>2176.8000000000002</v>
          </cell>
          <cell r="DY17">
            <v>0.99999999999999989</v>
          </cell>
          <cell r="DZ17">
            <v>2182.3000000000002</v>
          </cell>
          <cell r="EA17">
            <v>0.99999999999999989</v>
          </cell>
          <cell r="EB17">
            <v>2501.1</v>
          </cell>
          <cell r="EC17">
            <v>1</v>
          </cell>
          <cell r="ED17">
            <v>2059.66</v>
          </cell>
          <cell r="EE17">
            <v>1</v>
          </cell>
          <cell r="EF17">
            <v>2161.6260000000002</v>
          </cell>
          <cell r="EG17">
            <v>1</v>
          </cell>
          <cell r="EH17">
            <v>2272.6840000000007</v>
          </cell>
          <cell r="EI17">
            <v>0.99999999999999989</v>
          </cell>
          <cell r="EJ17">
            <v>2636.7</v>
          </cell>
          <cell r="EK17">
            <v>1</v>
          </cell>
          <cell r="EL17">
            <v>2198.6999999999998</v>
          </cell>
          <cell r="EM17">
            <v>1</v>
          </cell>
          <cell r="EN17">
            <v>2236</v>
          </cell>
          <cell r="EO17">
            <v>1</v>
          </cell>
          <cell r="EP17">
            <v>2428.6000000000004</v>
          </cell>
          <cell r="EQ17">
            <v>0.99999999999999989</v>
          </cell>
          <cell r="ES17" t="str">
            <v>Total Sales</v>
          </cell>
          <cell r="ET17">
            <v>9553.0609999999979</v>
          </cell>
          <cell r="EU17">
            <v>1</v>
          </cell>
          <cell r="EV17">
            <v>8776.8999999999978</v>
          </cell>
          <cell r="EW17">
            <v>1</v>
          </cell>
          <cell r="EX17">
            <v>8995.0700000000015</v>
          </cell>
          <cell r="EY17">
            <v>1</v>
          </cell>
          <cell r="EZ17">
            <v>9500</v>
          </cell>
          <cell r="FA17">
            <v>1</v>
          </cell>
          <cell r="FB17">
            <v>10360</v>
          </cell>
          <cell r="FC17">
            <v>1</v>
          </cell>
          <cell r="FE17" t="str">
            <v>Total Sales</v>
          </cell>
          <cell r="FF17">
            <v>8949.489999999998</v>
          </cell>
          <cell r="FG17">
            <v>1.0000000000000002</v>
          </cell>
          <cell r="FH17">
            <v>8919.86</v>
          </cell>
          <cell r="FI17">
            <v>0.99999999999999989</v>
          </cell>
          <cell r="FJ17">
            <v>9269.7100000000009</v>
          </cell>
          <cell r="FK17">
            <v>1</v>
          </cell>
          <cell r="FL17">
            <v>10650</v>
          </cell>
          <cell r="FM17">
            <v>1</v>
          </cell>
        </row>
        <row r="18">
          <cell r="A18" t="str">
            <v xml:space="preserve">  % Change</v>
          </cell>
          <cell r="D18" t="str">
            <v xml:space="preserve"> </v>
          </cell>
          <cell r="F18" t="str">
            <v xml:space="preserve"> </v>
          </cell>
          <cell r="G18" t="str">
            <v xml:space="preserve"> </v>
          </cell>
          <cell r="H18">
            <v>0.17174192730040216</v>
          </cell>
          <cell r="I18" t="str">
            <v xml:space="preserve"> </v>
          </cell>
          <cell r="J18">
            <v>-4.7394784123700053E-2</v>
          </cell>
          <cell r="K18" t="str">
            <v xml:space="preserve"> </v>
          </cell>
          <cell r="L18">
            <v>-0.21511528555909543</v>
          </cell>
          <cell r="M18" t="str">
            <v xml:space="preserve"> </v>
          </cell>
          <cell r="N18">
            <v>-0.23053028901928463</v>
          </cell>
          <cell r="O18" t="str">
            <v xml:space="preserve"> </v>
          </cell>
          <cell r="P18">
            <v>-0.22901935009955332</v>
          </cell>
          <cell r="R18">
            <v>-2.9752889353380829E-2</v>
          </cell>
          <cell r="T18">
            <v>9.9586723843662961E-2</v>
          </cell>
          <cell r="U18" t="str">
            <v xml:space="preserve"> </v>
          </cell>
          <cell r="V18">
            <v>0.28047721276281923</v>
          </cell>
          <cell r="W18" t="str">
            <v xml:space="preserve"> </v>
          </cell>
          <cell r="X18">
            <v>0.66377658987654087</v>
          </cell>
          <cell r="Y18" t="str">
            <v xml:space="preserve"> </v>
          </cell>
          <cell r="Z18">
            <v>0.49125863091856958</v>
          </cell>
          <cell r="AB18">
            <v>0.80564159135587676</v>
          </cell>
          <cell r="AC18" t="str">
            <v xml:space="preserve"> </v>
          </cell>
          <cell r="AD18">
            <v>0.37381403365072852</v>
          </cell>
          <cell r="AE18" t="str">
            <v xml:space="preserve"> </v>
          </cell>
          <cell r="AF18">
            <v>0.40048585387613134</v>
          </cell>
          <cell r="AG18" t="str">
            <v xml:space="preserve"> </v>
          </cell>
          <cell r="AH18">
            <v>0.16648185611863986</v>
          </cell>
          <cell r="AJ18">
            <v>0.11667051769580539</v>
          </cell>
          <cell r="AK18" t="str">
            <v xml:space="preserve"> </v>
          </cell>
          <cell r="AL18">
            <v>0.29003549325690203</v>
          </cell>
          <cell r="AM18" t="str">
            <v xml:space="preserve"> </v>
          </cell>
          <cell r="AN18">
            <v>0.24363032993804135</v>
          </cell>
          <cell r="AO18" t="str">
            <v xml:space="preserve"> </v>
          </cell>
          <cell r="AP18">
            <v>0.47312787690997804</v>
          </cell>
          <cell r="AR18">
            <v>0.46178112746989125</v>
          </cell>
          <cell r="AT18">
            <v>0.56180765175695813</v>
          </cell>
          <cell r="AU18" t="str">
            <v xml:space="preserve"> </v>
          </cell>
          <cell r="AV18">
            <v>0.38821774485220661</v>
          </cell>
          <cell r="AW18" t="str">
            <v xml:space="preserve"> </v>
          </cell>
          <cell r="AX18">
            <v>0.18052714023467109</v>
          </cell>
          <cell r="AZ18">
            <v>0.13622006533054556</v>
          </cell>
          <cell r="BB18">
            <v>0.14578439894702422</v>
          </cell>
          <cell r="BC18" t="str">
            <v xml:space="preserve"> </v>
          </cell>
          <cell r="BD18">
            <v>8.0790767481750514E-2</v>
          </cell>
          <cell r="BE18" t="str">
            <v xml:space="preserve"> </v>
          </cell>
          <cell r="BF18">
            <v>0.17893310819550878</v>
          </cell>
          <cell r="BH18">
            <v>0.16121968704370218</v>
          </cell>
          <cell r="BJ18">
            <v>0.17812613916550202</v>
          </cell>
          <cell r="BK18" t="str">
            <v xml:space="preserve"> </v>
          </cell>
          <cell r="BL18">
            <v>0.12108731181208254</v>
          </cell>
          <cell r="BM18" t="str">
            <v xml:space="preserve"> </v>
          </cell>
          <cell r="BN18">
            <v>0.16005516662065489</v>
          </cell>
          <cell r="BP18">
            <v>7.288187063468031E-3</v>
          </cell>
          <cell r="BR18">
            <v>-7.9980453028467569E-2</v>
          </cell>
          <cell r="BS18" t="str">
            <v xml:space="preserve"> </v>
          </cell>
          <cell r="BT18">
            <v>-0.10304381463450767</v>
          </cell>
          <cell r="BU18" t="str">
            <v xml:space="preserve"> </v>
          </cell>
          <cell r="BV18">
            <v>2.1232020616732451E-2</v>
          </cell>
          <cell r="BX18">
            <v>5.6393393496395681E-2</v>
          </cell>
          <cell r="BZ18">
            <v>0.13146844688675091</v>
          </cell>
          <cell r="CB18">
            <v>0.30771951466202685</v>
          </cell>
          <cell r="CC18" t="str">
            <v xml:space="preserve"> </v>
          </cell>
          <cell r="CD18">
            <v>0.21125257356454341</v>
          </cell>
          <cell r="CE18" t="str">
            <v xml:space="preserve"> </v>
          </cell>
          <cell r="CF18">
            <v>0.29001944152917103</v>
          </cell>
          <cell r="CG18" t="str">
            <v xml:space="preserve"> </v>
          </cell>
          <cell r="CH18">
            <v>0.38548824619055</v>
          </cell>
          <cell r="CI18" t="str">
            <v xml:space="preserve"> </v>
          </cell>
          <cell r="CJ18">
            <v>0.40619186660240025</v>
          </cell>
          <cell r="CL18">
            <v>0.34553694844227412</v>
          </cell>
          <cell r="CN18">
            <v>0.37962327669809576</v>
          </cell>
          <cell r="CP18">
            <v>0.35618721226234096</v>
          </cell>
          <cell r="CR18">
            <v>0.36942583886439451</v>
          </cell>
          <cell r="CS18" t="str">
            <v xml:space="preserve"> </v>
          </cell>
          <cell r="CT18">
            <v>0.39010301081746768</v>
          </cell>
          <cell r="CU18" t="str">
            <v xml:space="preserve"> </v>
          </cell>
          <cell r="CV18">
            <v>0.32623364337239269</v>
          </cell>
          <cell r="CW18" t="str">
            <v xml:space="preserve"> </v>
          </cell>
          <cell r="CX18">
            <v>0.3097089154926897</v>
          </cell>
          <cell r="CY18" t="str">
            <v xml:space="preserve"> </v>
          </cell>
          <cell r="CZ18">
            <v>0.36068627145483556</v>
          </cell>
          <cell r="DB18">
            <v>0.3707551240481109</v>
          </cell>
          <cell r="DD18">
            <v>0.34229362007505792</v>
          </cell>
          <cell r="DF18">
            <v>0.55298947492555839</v>
          </cell>
          <cell r="DG18" t="str">
            <v xml:space="preserve"> </v>
          </cell>
          <cell r="DH18">
            <v>0.53197837220092037</v>
          </cell>
          <cell r="DI18" t="str">
            <v xml:space="preserve"> </v>
          </cell>
          <cell r="DJ18">
            <v>0.28177112383083314</v>
          </cell>
          <cell r="DL18">
            <v>0.21217734492704854</v>
          </cell>
          <cell r="DN18">
            <v>7.0353871840701077E-2</v>
          </cell>
          <cell r="DO18" t="str">
            <v xml:space="preserve"> </v>
          </cell>
          <cell r="DP18">
            <v>-8.2404293032651843E-2</v>
          </cell>
          <cell r="DQ18" t="str">
            <v xml:space="preserve"> </v>
          </cell>
          <cell r="DR18">
            <v>-2.7871551177248377E-2</v>
          </cell>
          <cell r="DT18">
            <v>-9.4464804043528416E-2</v>
          </cell>
          <cell r="DV18">
            <v>-0.15176528596107253</v>
          </cell>
          <cell r="DW18" t="str">
            <v xml:space="preserve"> </v>
          </cell>
          <cell r="DX18">
            <v>-2.1191773658241542E-2</v>
          </cell>
          <cell r="DZ18">
            <v>-5.4364815074004369E-2</v>
          </cell>
          <cell r="EA18" t="str">
            <v xml:space="preserve"> </v>
          </cell>
          <cell r="EB18">
            <v>-1.4771638454169622E-3</v>
          </cell>
          <cell r="ED18">
            <v>7.6664924202822782E-2</v>
          </cell>
          <cell r="EE18" t="str">
            <v xml:space="preserve"> </v>
          </cell>
          <cell r="EF18">
            <v>-6.9707828004410555E-3</v>
          </cell>
          <cell r="EH18">
            <v>4.1416853778124318E-2</v>
          </cell>
          <cell r="EI18" t="str">
            <v xml:space="preserve"> </v>
          </cell>
          <cell r="EJ18">
            <v>5.421614489624571E-2</v>
          </cell>
          <cell r="EL18">
            <v>6.7506287445500801E-2</v>
          </cell>
          <cell r="EM18" t="str">
            <v xml:space="preserve"> </v>
          </cell>
          <cell r="EN18">
            <v>3.4406506953561733E-2</v>
          </cell>
          <cell r="EP18">
            <v>6.8604346226752044E-2</v>
          </cell>
          <cell r="EQ18" t="str">
            <v xml:space="preserve"> </v>
          </cell>
          <cell r="ES18" t="str">
            <v xml:space="preserve">  % Change</v>
          </cell>
          <cell r="ET18">
            <v>3.9898290258328029E-2</v>
          </cell>
          <cell r="EV18">
            <v>-8.1247361447812416E-2</v>
          </cell>
          <cell r="EX18">
            <v>2.485729585616836E-2</v>
          </cell>
          <cell r="EZ18">
            <v>5.6134082336212865E-2</v>
          </cell>
          <cell r="FB18">
            <v>9.0526315789473788E-2</v>
          </cell>
          <cell r="FE18" t="str">
            <v xml:space="preserve">  % Change</v>
          </cell>
          <cell r="FF18">
            <v>-8.8548718828754147E-2</v>
          </cell>
          <cell r="FH18">
            <v>-3.3108031854326425E-3</v>
          </cell>
          <cell r="FJ18">
            <v>3.9221467601509463E-2</v>
          </cell>
          <cell r="FL18">
            <v>0.14890325587316089</v>
          </cell>
        </row>
        <row r="19">
          <cell r="A19" t="str">
            <v>Cost of Goods Sold</v>
          </cell>
          <cell r="C19">
            <v>182.27</v>
          </cell>
          <cell r="D19">
            <v>221.63800000000001</v>
          </cell>
          <cell r="E19">
            <v>0.67632770637274642</v>
          </cell>
          <cell r="F19">
            <v>160.39400000000001</v>
          </cell>
          <cell r="G19">
            <v>0.67418497906753883</v>
          </cell>
          <cell r="H19">
            <v>177.84100000000001</v>
          </cell>
          <cell r="I19">
            <v>0.68756065028706204</v>
          </cell>
          <cell r="J19">
            <v>163.05000000000001</v>
          </cell>
          <cell r="K19">
            <v>0.66564333274818233</v>
          </cell>
          <cell r="L19">
            <v>173.39599999999999</v>
          </cell>
          <cell r="M19">
            <v>0.6741338890336025</v>
          </cell>
          <cell r="N19">
            <v>126.31399999999999</v>
          </cell>
          <cell r="O19">
            <v>0.6900028951781626</v>
          </cell>
          <cell r="P19">
            <v>138.749</v>
          </cell>
          <cell r="Q19">
            <v>0.69576968979731013</v>
          </cell>
          <cell r="R19">
            <v>158.203</v>
          </cell>
          <cell r="S19">
            <v>0.66566104105392931</v>
          </cell>
          <cell r="T19">
            <v>187.42599999999999</v>
          </cell>
          <cell r="U19">
            <v>0.66268544839973398</v>
          </cell>
          <cell r="V19">
            <v>163.465</v>
          </cell>
          <cell r="W19">
            <v>0.69735247943756185</v>
          </cell>
          <cell r="X19">
            <v>225.39</v>
          </cell>
          <cell r="Y19">
            <v>0.67932137184398411</v>
          </cell>
          <cell r="Z19">
            <v>227.09899999999999</v>
          </cell>
          <cell r="AA19">
            <v>0.64076779612716084</v>
          </cell>
          <cell r="AB19">
            <v>325.14999999999998</v>
          </cell>
          <cell r="AC19">
            <v>0.6366926056324238</v>
          </cell>
          <cell r="AD19">
            <v>205.11099999999999</v>
          </cell>
          <cell r="AE19">
            <v>0.6369254082656125</v>
          </cell>
          <cell r="AF19">
            <v>292.92399999999998</v>
          </cell>
          <cell r="AG19">
            <v>0.63040095725289069</v>
          </cell>
          <cell r="AH19">
            <v>251.64599999999999</v>
          </cell>
          <cell r="AI19">
            <v>0.60869186616064497</v>
          </cell>
          <cell r="AJ19">
            <v>374.37299999999999</v>
          </cell>
          <cell r="AK19">
            <v>0.65648607321469898</v>
          </cell>
          <cell r="AL19">
            <v>281.65800000000002</v>
          </cell>
          <cell r="AM19">
            <v>0.67798495067808617</v>
          </cell>
          <cell r="AN19">
            <v>357.92899999999997</v>
          </cell>
          <cell r="AO19">
            <v>0.6193947071048973</v>
          </cell>
          <cell r="AP19">
            <v>370.21199999999999</v>
          </cell>
          <cell r="AQ19">
            <v>0.60787951830968334</v>
          </cell>
          <cell r="AR19">
            <v>521.87</v>
          </cell>
          <cell r="AS19">
            <v>0.62603840898648888</v>
          </cell>
          <cell r="AT19">
            <v>406.755</v>
          </cell>
          <cell r="AU19">
            <v>0.62690728513565985</v>
          </cell>
          <cell r="AV19">
            <v>496.173</v>
          </cell>
          <cell r="AW19">
            <v>0.61850916470541306</v>
          </cell>
          <cell r="AX19">
            <v>425.73200000000003</v>
          </cell>
          <cell r="AY19">
            <v>0.59214400660948296</v>
          </cell>
          <cell r="AZ19">
            <v>580.58600000000001</v>
          </cell>
          <cell r="BA19">
            <v>0.61297498524538063</v>
          </cell>
          <cell r="BB19">
            <v>455.43799999999999</v>
          </cell>
          <cell r="BC19">
            <v>0.61262790600699213</v>
          </cell>
          <cell r="BD19">
            <v>532.57299999999998</v>
          </cell>
          <cell r="BE19">
            <v>0.61425758835734856</v>
          </cell>
          <cell r="BF19">
            <v>520.49199999999996</v>
          </cell>
          <cell r="BG19">
            <v>0.61406725231060355</v>
          </cell>
          <cell r="BH19">
            <v>666.66300000000001</v>
          </cell>
          <cell r="BI19">
            <v>0.60613331490677913</v>
          </cell>
          <cell r="BJ19">
            <v>529.60400000000004</v>
          </cell>
          <cell r="BK19">
            <v>0.60468191071646737</v>
          </cell>
          <cell r="BL19">
            <v>596.02300000000002</v>
          </cell>
          <cell r="BM19">
            <v>0.61318986341619997</v>
          </cell>
          <cell r="BN19">
            <v>594.70299999999997</v>
          </cell>
          <cell r="BO19">
            <v>0.60481613051839822</v>
          </cell>
          <cell r="BP19">
            <v>667.80700000000002</v>
          </cell>
          <cell r="BQ19">
            <v>0.60278027002973245</v>
          </cell>
          <cell r="BR19">
            <v>496.12799999999999</v>
          </cell>
          <cell r="BS19">
            <v>0.61570460753373402</v>
          </cell>
          <cell r="BT19">
            <v>537.06600000000003</v>
          </cell>
          <cell r="BU19">
            <v>0.61601087349242123</v>
          </cell>
          <cell r="BV19">
            <v>600.42200000000003</v>
          </cell>
          <cell r="BW19">
            <v>0.59793697393632073</v>
          </cell>
          <cell r="BX19">
            <v>700.447</v>
          </cell>
          <cell r="BY19">
            <v>0.59849105613254094</v>
          </cell>
          <cell r="BZ19">
            <v>746.91399999999999</v>
          </cell>
          <cell r="CA19">
            <v>0.59584899910572475</v>
          </cell>
          <cell r="CB19">
            <v>640.03099999999995</v>
          </cell>
          <cell r="CC19">
            <v>0.60738641000772486</v>
          </cell>
          <cell r="CD19">
            <v>599.38499999999999</v>
          </cell>
          <cell r="CE19">
            <v>0.61411516638081021</v>
          </cell>
          <cell r="CF19">
            <v>678.404</v>
          </cell>
          <cell r="CG19">
            <v>0.60318823647613529</v>
          </cell>
          <cell r="CH19">
            <v>720.548</v>
          </cell>
          <cell r="CI19">
            <v>0.59651420486766216</v>
          </cell>
          <cell r="CJ19">
            <v>846.39800000000002</v>
          </cell>
          <cell r="CK19">
            <v>0.59941672875195828</v>
          </cell>
          <cell r="CL19">
            <v>816.76800000000003</v>
          </cell>
          <cell r="CM19">
            <v>0.6045077857110609</v>
          </cell>
          <cell r="CN19">
            <v>967.52200000000005</v>
          </cell>
          <cell r="CO19">
            <v>0.59921506160162374</v>
          </cell>
          <cell r="CP19">
            <v>1013.379</v>
          </cell>
          <cell r="CQ19">
            <v>0.59609828119669184</v>
          </cell>
          <cell r="CR19">
            <v>875.44600000000003</v>
          </cell>
          <cell r="CS19">
            <v>0.60667333320859551</v>
          </cell>
          <cell r="CT19">
            <v>828.12900000000002</v>
          </cell>
          <cell r="CU19">
            <v>0.61037250508564533</v>
          </cell>
          <cell r="CV19">
            <v>902.37599999999998</v>
          </cell>
          <cell r="CW19">
            <v>0.60496738090561142</v>
          </cell>
          <cell r="CX19">
            <v>953.31600000000003</v>
          </cell>
          <cell r="CY19">
            <v>0.60258729562753854</v>
          </cell>
          <cell r="CZ19">
            <v>1161.402</v>
          </cell>
          <cell r="DA19">
            <v>0.60447563104461577</v>
          </cell>
          <cell r="DB19">
            <v>1120.5530000000001</v>
          </cell>
          <cell r="DC19">
            <v>0.60502832780887517</v>
          </cell>
          <cell r="DD19">
            <v>1335.1189999999999</v>
          </cell>
          <cell r="DE19">
            <v>0.58508426653625045</v>
          </cell>
          <cell r="DF19">
            <v>1246.4289999999999</v>
          </cell>
          <cell r="DG19">
            <v>0.59155618751287342</v>
          </cell>
          <cell r="DH19">
            <v>1398.8489999999999</v>
          </cell>
          <cell r="DI19">
            <v>0.57716673378312355</v>
          </cell>
          <cell r="DJ19">
            <v>1384.596</v>
          </cell>
          <cell r="DK19">
            <v>0.58325154196044871</v>
          </cell>
          <cell r="DL19">
            <v>1621.665</v>
          </cell>
          <cell r="DM19">
            <v>0.58626426602952386</v>
          </cell>
          <cell r="DN19">
            <v>1365.2639999999999</v>
          </cell>
          <cell r="DO19">
            <v>0.60536556122720453</v>
          </cell>
          <cell r="DP19">
            <v>1383.9269999999999</v>
          </cell>
          <cell r="DQ19">
            <v>0.62228920077934147</v>
          </cell>
          <cell r="DR19">
            <v>1510.1130000000001</v>
          </cell>
          <cell r="DS19">
            <v>0.6543628218000046</v>
          </cell>
          <cell r="DT19">
            <v>1505.3999999999999</v>
          </cell>
          <cell r="DU19">
            <v>0.60100606834877024</v>
          </cell>
          <cell r="DV19">
            <v>1184.8</v>
          </cell>
          <cell r="DW19">
            <v>0.61934134866701518</v>
          </cell>
          <cell r="DX19">
            <v>1315.7</v>
          </cell>
          <cell r="DY19">
            <v>0.60441933112826163</v>
          </cell>
          <cell r="DZ19">
            <v>1258.8000000000002</v>
          </cell>
          <cell r="EA19">
            <v>0.57682261833845028</v>
          </cell>
          <cell r="EB19">
            <v>1473.1000000000001</v>
          </cell>
          <cell r="EC19">
            <v>0.58898084842669229</v>
          </cell>
          <cell r="ED19">
            <v>1188.2</v>
          </cell>
          <cell r="EE19">
            <v>0.57689133157899852</v>
          </cell>
          <cell r="EF19">
            <v>1230.4000000000001</v>
          </cell>
          <cell r="EG19">
            <v>0.56920114765458962</v>
          </cell>
          <cell r="EH19">
            <v>1288.5</v>
          </cell>
          <cell r="EI19">
            <v>0.5669507947431317</v>
          </cell>
          <cell r="EJ19">
            <v>1516.8</v>
          </cell>
          <cell r="EK19">
            <v>0.57526453521447263</v>
          </cell>
          <cell r="EL19">
            <v>1272.3999999999999</v>
          </cell>
          <cell r="EM19">
            <v>0.57870559876290539</v>
          </cell>
          <cell r="EN19">
            <v>1324</v>
          </cell>
          <cell r="EO19">
            <v>0.59212880143112701</v>
          </cell>
          <cell r="EP19">
            <v>1386.8</v>
          </cell>
          <cell r="EQ19">
            <v>0.57102857613439828</v>
          </cell>
          <cell r="ES19" t="str">
            <v>Cost of Goods Sold</v>
          </cell>
          <cell r="ET19">
            <v>5880.9690000000001</v>
          </cell>
          <cell r="EU19">
            <v>0.61561095443648917</v>
          </cell>
          <cell r="EV19">
            <v>5264.7</v>
          </cell>
          <cell r="EW19">
            <v>0.59983593296038473</v>
          </cell>
          <cell r="EX19">
            <v>5180.2000000000007</v>
          </cell>
          <cell r="EY19">
            <v>0.57589323929663694</v>
          </cell>
          <cell r="EZ19">
            <v>5500</v>
          </cell>
          <cell r="FA19">
            <v>0.57894736842105265</v>
          </cell>
          <cell r="FB19">
            <v>5920</v>
          </cell>
          <cell r="FC19">
            <v>0.5714285714285714</v>
          </cell>
          <cell r="FE19" t="str">
            <v>Cost of Goods Sold</v>
          </cell>
          <cell r="FF19">
            <v>5584.24</v>
          </cell>
          <cell r="FG19">
            <v>0.62397298617016173</v>
          </cell>
          <cell r="FH19">
            <v>5235.8</v>
          </cell>
          <cell r="FI19">
            <v>0.58698230689719344</v>
          </cell>
          <cell r="FJ19">
            <v>5308.0999999999995</v>
          </cell>
          <cell r="FK19">
            <v>0.57262848568078173</v>
          </cell>
          <cell r="FL19">
            <v>6080</v>
          </cell>
          <cell r="FM19">
            <v>0.5708920187793427</v>
          </cell>
        </row>
        <row r="20">
          <cell r="A20" t="str">
            <v>Depreciation/Amortization</v>
          </cell>
          <cell r="DD20">
            <v>27</v>
          </cell>
          <cell r="DE20">
            <v>1.1832110243715178E-2</v>
          </cell>
          <cell r="DF20">
            <v>31.199000000000002</v>
          </cell>
          <cell r="DG20">
            <v>1.4807070033041707E-2</v>
          </cell>
          <cell r="DH20">
            <v>36.578000000000003</v>
          </cell>
          <cell r="DI20">
            <v>1.5092125589194471E-2</v>
          </cell>
          <cell r="DJ20">
            <v>43.222999999999999</v>
          </cell>
          <cell r="DK20">
            <v>1.8207391468815792E-2</v>
          </cell>
          <cell r="DL20">
            <v>43.8</v>
          </cell>
          <cell r="DM20">
            <v>1.5834574250596235E-2</v>
          </cell>
          <cell r="DN20">
            <v>44.258000000000003</v>
          </cell>
          <cell r="DO20">
            <v>1.9624240446385183E-2</v>
          </cell>
          <cell r="DP20">
            <v>44.921999999999997</v>
          </cell>
          <cell r="DQ20">
            <v>2.0199385861688932E-2</v>
          </cell>
          <cell r="DR20">
            <v>51.52</v>
          </cell>
          <cell r="DS20">
            <v>2.2324668802358658E-2</v>
          </cell>
          <cell r="DT20">
            <v>57.2</v>
          </cell>
          <cell r="DU20">
            <v>2.2836154583200256E-2</v>
          </cell>
          <cell r="DV20">
            <v>44.8</v>
          </cell>
          <cell r="DW20">
            <v>2.3418714061683218E-2</v>
          </cell>
          <cell r="DX20">
            <v>49.2</v>
          </cell>
          <cell r="DY20">
            <v>2.2601984564498346E-2</v>
          </cell>
          <cell r="DZ20">
            <v>77.599999999999994</v>
          </cell>
          <cell r="EA20">
            <v>3.5558814095220631E-2</v>
          </cell>
          <cell r="EB20">
            <v>61.6</v>
          </cell>
          <cell r="EC20">
            <v>2.462916316820599E-2</v>
          </cell>
          <cell r="ED20">
            <v>49.800000000000004</v>
          </cell>
          <cell r="EE20">
            <v>2.4178747948690564E-2</v>
          </cell>
          <cell r="EF20">
            <v>56.000000000000007</v>
          </cell>
          <cell r="EG20">
            <v>2.5906424145527487E-2</v>
          </cell>
          <cell r="EH20">
            <v>56.2</v>
          </cell>
          <cell r="EI20">
            <v>2.4728470830084601E-2</v>
          </cell>
          <cell r="EJ20">
            <v>52.4</v>
          </cell>
          <cell r="EK20">
            <v>1.9873326506618123E-2</v>
          </cell>
          <cell r="EL20">
            <v>54.9</v>
          </cell>
          <cell r="EM20">
            <v>2.4969300040933281E-2</v>
          </cell>
          <cell r="EN20">
            <v>56</v>
          </cell>
          <cell r="EO20">
            <v>2.5044722719141325E-2</v>
          </cell>
          <cell r="EP20">
            <v>56.7</v>
          </cell>
          <cell r="EQ20">
            <v>2.334678415548052E-2</v>
          </cell>
          <cell r="ET20">
            <v>184.5</v>
          </cell>
          <cell r="EU20">
            <v>1.9313181398088009E-2</v>
          </cell>
          <cell r="EV20">
            <v>228.79999999999998</v>
          </cell>
          <cell r="EW20">
            <v>2.6068429627772907E-2</v>
          </cell>
          <cell r="EX20">
            <v>223.60000000000002</v>
          </cell>
          <cell r="EY20">
            <v>2.4858061137934446E-2</v>
          </cell>
          <cell r="EZ20">
            <v>220</v>
          </cell>
          <cell r="FA20">
            <v>2.3157894736842106E-2</v>
          </cell>
          <cell r="FB20">
            <v>280</v>
          </cell>
          <cell r="FC20">
            <v>2.7027027027027029E-2</v>
          </cell>
          <cell r="FE20" t="str">
            <v>Depreciation/Amortization</v>
          </cell>
          <cell r="FF20">
            <v>198.44200000000001</v>
          </cell>
          <cell r="FG20">
            <v>2.2173554023748845E-2</v>
          </cell>
          <cell r="FH20">
            <v>238.20000000000002</v>
          </cell>
          <cell r="FI20">
            <v>2.6704455002656991E-2</v>
          </cell>
          <cell r="FJ20">
            <v>219.50000000000003</v>
          </cell>
          <cell r="FK20">
            <v>2.3679273677385808E-2</v>
          </cell>
          <cell r="FL20">
            <v>320</v>
          </cell>
          <cell r="FM20">
            <v>3.0046948356807511E-2</v>
          </cell>
        </row>
        <row r="21">
          <cell r="A21" t="str">
            <v>Gross Profit</v>
          </cell>
          <cell r="C21">
            <v>74.867999999999967</v>
          </cell>
          <cell r="D21">
            <v>106.07000000000002</v>
          </cell>
          <cell r="E21">
            <v>0.32367229362725358</v>
          </cell>
          <cell r="F21">
            <v>77.513999999999982</v>
          </cell>
          <cell r="G21">
            <v>0.32581502093246123</v>
          </cell>
          <cell r="H21">
            <v>80.813999999999965</v>
          </cell>
          <cell r="I21">
            <v>0.31243934971293796</v>
          </cell>
          <cell r="J21">
            <v>81.900999999999982</v>
          </cell>
          <cell r="K21">
            <v>0.33435666725181762</v>
          </cell>
          <cell r="L21">
            <v>83.816999999999979</v>
          </cell>
          <cell r="M21">
            <v>0.32586611096639745</v>
          </cell>
          <cell r="N21">
            <v>56.749000000000024</v>
          </cell>
          <cell r="O21">
            <v>0.3099971048218374</v>
          </cell>
          <cell r="P21">
            <v>60.669000000000011</v>
          </cell>
          <cell r="Q21">
            <v>0.30423031020268987</v>
          </cell>
          <cell r="R21">
            <v>79.460000000000008</v>
          </cell>
          <cell r="S21">
            <v>0.33433895894607074</v>
          </cell>
          <cell r="T21">
            <v>95.402000000000044</v>
          </cell>
          <cell r="U21">
            <v>0.33731455160026602</v>
          </cell>
          <cell r="V21">
            <v>70.943000000000012</v>
          </cell>
          <cell r="W21">
            <v>0.30264752056243815</v>
          </cell>
          <cell r="X21">
            <v>106.39700000000005</v>
          </cell>
          <cell r="Y21">
            <v>0.32067862815601589</v>
          </cell>
          <cell r="Z21">
            <v>127.31800000000004</v>
          </cell>
          <cell r="AA21">
            <v>0.35923220387283916</v>
          </cell>
          <cell r="AB21">
            <v>185.536</v>
          </cell>
          <cell r="AC21">
            <v>0.3633073943675762</v>
          </cell>
          <cell r="AD21">
            <v>116.92200000000003</v>
          </cell>
          <cell r="AE21">
            <v>0.36307459173438755</v>
          </cell>
          <cell r="AF21">
            <v>171.73900000000003</v>
          </cell>
          <cell r="AG21">
            <v>0.36959904274710925</v>
          </cell>
          <cell r="AH21">
            <v>161.77500000000001</v>
          </cell>
          <cell r="AI21">
            <v>0.39130813383935509</v>
          </cell>
          <cell r="AJ21">
            <v>195.89500000000004</v>
          </cell>
          <cell r="AK21">
            <v>0.34351392678530102</v>
          </cell>
          <cell r="AL21">
            <v>133.77599999999995</v>
          </cell>
          <cell r="AM21">
            <v>0.32201504932191388</v>
          </cell>
          <cell r="AN21">
            <v>219.94000000000017</v>
          </cell>
          <cell r="AO21">
            <v>0.3806052928951027</v>
          </cell>
          <cell r="AP21">
            <v>238.81000000000006</v>
          </cell>
          <cell r="AQ21">
            <v>0.39212048169031666</v>
          </cell>
          <cell r="AR21">
            <v>311.73699999999997</v>
          </cell>
          <cell r="AS21">
            <v>0.37396159101351112</v>
          </cell>
          <cell r="AT21">
            <v>242.07300000000009</v>
          </cell>
          <cell r="AU21">
            <v>0.37309271486434009</v>
          </cell>
          <cell r="AV21">
            <v>306.03499999999997</v>
          </cell>
          <cell r="AW21">
            <v>0.38149083529458694</v>
          </cell>
          <cell r="AX21">
            <v>293.23499999999984</v>
          </cell>
          <cell r="AY21">
            <v>0.40785599339051709</v>
          </cell>
          <cell r="AZ21">
            <v>366.57500000000005</v>
          </cell>
          <cell r="BA21">
            <v>0.38702501475461937</v>
          </cell>
          <cell r="BB21">
            <v>287.97899999999993</v>
          </cell>
          <cell r="BC21">
            <v>0.38737209399300793</v>
          </cell>
          <cell r="BD21">
            <v>334.44600000000003</v>
          </cell>
          <cell r="BE21">
            <v>0.38574241164265144</v>
          </cell>
          <cell r="BF21">
            <v>327.12200000000018</v>
          </cell>
          <cell r="BG21">
            <v>0.3859327476893965</v>
          </cell>
          <cell r="BH21">
            <v>433.19900000000007</v>
          </cell>
          <cell r="BI21">
            <v>0.39386668509322081</v>
          </cell>
          <cell r="BJ21">
            <v>346.2349999999999</v>
          </cell>
          <cell r="BK21">
            <v>0.39531808928353263</v>
          </cell>
          <cell r="BL21">
            <v>375.98099999999999</v>
          </cell>
          <cell r="BM21">
            <v>0.38681013658380003</v>
          </cell>
          <cell r="BN21">
            <v>388.57599999999991</v>
          </cell>
          <cell r="BO21">
            <v>0.39518386948160183</v>
          </cell>
          <cell r="BP21">
            <v>440.07100000000014</v>
          </cell>
          <cell r="BQ21">
            <v>0.39721972997026755</v>
          </cell>
          <cell r="BR21">
            <v>309.661</v>
          </cell>
          <cell r="BS21">
            <v>0.38429539246626598</v>
          </cell>
          <cell r="BT21">
            <v>334.779</v>
          </cell>
          <cell r="BU21">
            <v>0.38398912650757872</v>
          </cell>
          <cell r="BV21">
            <v>403.73399999999992</v>
          </cell>
          <cell r="BW21">
            <v>0.40206302606367927</v>
          </cell>
          <cell r="BX21">
            <v>469.90800000000002</v>
          </cell>
          <cell r="BY21">
            <v>0.401508943867459</v>
          </cell>
          <cell r="BZ21">
            <v>506.61500000000001</v>
          </cell>
          <cell r="CA21">
            <v>0.4041510008942753</v>
          </cell>
          <cell r="CB21">
            <v>413.71499999999992</v>
          </cell>
          <cell r="CC21">
            <v>0.39261358999227514</v>
          </cell>
          <cell r="CD21">
            <v>376.62899999999991</v>
          </cell>
          <cell r="CE21">
            <v>0.38588483361918985</v>
          </cell>
          <cell r="CF21">
            <v>446.29300000000012</v>
          </cell>
          <cell r="CG21">
            <v>0.39681176352386471</v>
          </cell>
          <cell r="CH21">
            <v>487.38300000000004</v>
          </cell>
          <cell r="CI21">
            <v>0.4034857951323379</v>
          </cell>
          <cell r="CJ21">
            <v>565.63799999999981</v>
          </cell>
          <cell r="CK21">
            <v>0.40058327124804177</v>
          </cell>
          <cell r="CL21">
            <v>534.3610000000001</v>
          </cell>
          <cell r="CM21">
            <v>0.39549221428893916</v>
          </cell>
          <cell r="CN21">
            <v>647.12699999999984</v>
          </cell>
          <cell r="CO21">
            <v>0.40078493839837631</v>
          </cell>
          <cell r="CP21">
            <v>686.64099999999996</v>
          </cell>
          <cell r="CQ21">
            <v>0.40390171880330816</v>
          </cell>
          <cell r="CR21">
            <v>567.58100000000002</v>
          </cell>
          <cell r="CS21">
            <v>0.39332666679140443</v>
          </cell>
          <cell r="CT21">
            <v>528.63099999999974</v>
          </cell>
          <cell r="CU21">
            <v>0.38962749491435467</v>
          </cell>
          <cell r="CV21">
            <v>589.23500000000013</v>
          </cell>
          <cell r="CW21">
            <v>0.39503261909438858</v>
          </cell>
          <cell r="CX21">
            <v>628.72200000000021</v>
          </cell>
          <cell r="CY21">
            <v>0.3974127043724614</v>
          </cell>
          <cell r="CZ21">
            <v>759.93599999999992</v>
          </cell>
          <cell r="DA21">
            <v>0.39552436895538418</v>
          </cell>
          <cell r="DB21">
            <v>731.51400000000012</v>
          </cell>
          <cell r="DC21">
            <v>0.39497167219112483</v>
          </cell>
          <cell r="DD21">
            <v>919.80700000000002</v>
          </cell>
          <cell r="DE21">
            <v>0.40308362322003433</v>
          </cell>
          <cell r="DF21">
            <v>829.40600000000029</v>
          </cell>
          <cell r="DG21">
            <v>0.39363674245408486</v>
          </cell>
          <cell r="DH21">
            <v>988.22100000000023</v>
          </cell>
          <cell r="DI21">
            <v>0.40774114062768196</v>
          </cell>
          <cell r="DJ21">
            <v>946.10699999999997</v>
          </cell>
          <cell r="DK21">
            <v>0.39854106657073557</v>
          </cell>
          <cell r="DL21">
            <v>1100.6340000000002</v>
          </cell>
          <cell r="DM21">
            <v>0.39790115971987994</v>
          </cell>
          <cell r="DN21">
            <v>845.75</v>
          </cell>
          <cell r="DO21">
            <v>0.3750101983264103</v>
          </cell>
          <cell r="DP21">
            <v>795.0799999999997</v>
          </cell>
          <cell r="DQ21">
            <v>0.35751141335896958</v>
          </cell>
          <cell r="DR21">
            <v>746.12799999999947</v>
          </cell>
          <cell r="DS21">
            <v>0.32331250939763678</v>
          </cell>
          <cell r="DT21">
            <v>942.20000000000027</v>
          </cell>
          <cell r="DU21">
            <v>0.37615777706802944</v>
          </cell>
          <cell r="DV21">
            <v>683.40000000000009</v>
          </cell>
          <cell r="DW21">
            <v>0.35723993727130166</v>
          </cell>
          <cell r="DX21">
            <v>811.90000000000009</v>
          </cell>
          <cell r="DY21">
            <v>0.37297868430724002</v>
          </cell>
          <cell r="DZ21">
            <v>845.9</v>
          </cell>
          <cell r="EA21">
            <v>0.38761856756632906</v>
          </cell>
          <cell r="EB21">
            <v>966.39999999999975</v>
          </cell>
          <cell r="EC21">
            <v>0.38638998840510169</v>
          </cell>
          <cell r="ED21">
            <v>821.65999999999985</v>
          </cell>
          <cell r="EE21">
            <v>0.39892992047231091</v>
          </cell>
          <cell r="EF21">
            <v>875.22600000000011</v>
          </cell>
          <cell r="EG21">
            <v>0.40489242819988286</v>
          </cell>
          <cell r="EH21">
            <v>927.98400000000061</v>
          </cell>
          <cell r="EI21">
            <v>0.40832073442678363</v>
          </cell>
          <cell r="EJ21">
            <v>1067.4999999999998</v>
          </cell>
          <cell r="EK21">
            <v>0.40486213827890921</v>
          </cell>
          <cell r="EL21">
            <v>871.4</v>
          </cell>
          <cell r="EM21">
            <v>0.39632510119616138</v>
          </cell>
          <cell r="EN21">
            <v>856</v>
          </cell>
          <cell r="EO21">
            <v>0.38282647584973167</v>
          </cell>
          <cell r="EP21">
            <v>985.10000000000036</v>
          </cell>
          <cell r="EQ21">
            <v>0.40562463971012114</v>
          </cell>
          <cell r="ES21" t="str">
            <v>Gross Profit</v>
          </cell>
          <cell r="ET21">
            <v>3487.5919999999996</v>
          </cell>
          <cell r="EU21">
            <v>0.36507586416542304</v>
          </cell>
          <cell r="EV21">
            <v>3283.3999999999978</v>
          </cell>
          <cell r="EW21">
            <v>0.37409563741184232</v>
          </cell>
          <cell r="EX21">
            <v>3591.2700000000009</v>
          </cell>
          <cell r="EY21">
            <v>0.39924869956542863</v>
          </cell>
          <cell r="EZ21">
            <v>3780</v>
          </cell>
          <cell r="FA21">
            <v>0.39789473684210525</v>
          </cell>
          <cell r="FB21">
            <v>4160</v>
          </cell>
          <cell r="FC21">
            <v>0.40154440154440152</v>
          </cell>
          <cell r="FE21" t="str">
            <v>Gross Profit</v>
          </cell>
          <cell r="FF21">
            <v>3166.8079999999995</v>
          </cell>
          <cell r="FG21">
            <v>0.35385345980608957</v>
          </cell>
          <cell r="FH21">
            <v>3445.8600000000006</v>
          </cell>
          <cell r="FI21">
            <v>0.38631323810014961</v>
          </cell>
          <cell r="FJ21">
            <v>3742.1100000000015</v>
          </cell>
          <cell r="FK21">
            <v>0.40369224064183251</v>
          </cell>
          <cell r="FL21">
            <v>4250</v>
          </cell>
          <cell r="FM21">
            <v>0.39906103286384975</v>
          </cell>
        </row>
        <row r="22">
          <cell r="A22" t="str">
            <v>SG&amp;A Expense</v>
          </cell>
          <cell r="C22">
            <v>46.74</v>
          </cell>
          <cell r="D22">
            <v>55.579000000000001</v>
          </cell>
          <cell r="E22">
            <v>0.16959915534561254</v>
          </cell>
          <cell r="F22">
            <v>49.926000000000002</v>
          </cell>
          <cell r="G22">
            <v>0.20985422936597342</v>
          </cell>
          <cell r="H22">
            <v>51.220999999999997</v>
          </cell>
          <cell r="I22">
            <v>0.19802826158396319</v>
          </cell>
          <cell r="J22">
            <v>52.493000000000002</v>
          </cell>
          <cell r="K22">
            <v>0.21430000285771442</v>
          </cell>
          <cell r="L22">
            <v>51.63</v>
          </cell>
          <cell r="M22">
            <v>0.20072857903760699</v>
          </cell>
          <cell r="N22">
            <v>50.301000000000002</v>
          </cell>
          <cell r="O22">
            <v>0.27477425804231331</v>
          </cell>
          <cell r="P22">
            <v>46.548999999999999</v>
          </cell>
          <cell r="Q22">
            <v>0.23342426461001514</v>
          </cell>
          <cell r="R22">
            <v>56.262</v>
          </cell>
          <cell r="S22">
            <v>0.23673015993234117</v>
          </cell>
          <cell r="T22">
            <v>53.546999999999997</v>
          </cell>
          <cell r="U22">
            <v>0.189327082184225</v>
          </cell>
          <cell r="V22">
            <v>53.953000000000003</v>
          </cell>
          <cell r="W22">
            <v>0.23016705914473909</v>
          </cell>
          <cell r="X22">
            <v>60.801000000000002</v>
          </cell>
          <cell r="Y22">
            <v>0.1832531111827769</v>
          </cell>
          <cell r="Z22">
            <v>78.281999999999996</v>
          </cell>
          <cell r="AA22">
            <v>0.22087540947527909</v>
          </cell>
          <cell r="AB22">
            <v>85.721000000000004</v>
          </cell>
          <cell r="AC22">
            <v>0.16785461124839923</v>
          </cell>
          <cell r="AD22">
            <v>76.771000000000001</v>
          </cell>
          <cell r="AE22">
            <v>0.23839482289082173</v>
          </cell>
          <cell r="AF22">
            <v>87.945999999999998</v>
          </cell>
          <cell r="AG22">
            <v>0.18926835147192697</v>
          </cell>
          <cell r="AH22">
            <v>104.387</v>
          </cell>
          <cell r="AI22">
            <v>0.25249564003763719</v>
          </cell>
          <cell r="AJ22">
            <v>101.227</v>
          </cell>
          <cell r="AK22">
            <v>0.17750776827737133</v>
          </cell>
          <cell r="AL22">
            <v>104.14100000000001</v>
          </cell>
          <cell r="AM22">
            <v>0.25068001174675164</v>
          </cell>
          <cell r="AN22">
            <v>114.71599999999999</v>
          </cell>
          <cell r="AO22">
            <v>0.19851558052084464</v>
          </cell>
          <cell r="AP22">
            <v>134.43700000000001</v>
          </cell>
          <cell r="AQ22">
            <v>0.22074243623383064</v>
          </cell>
          <cell r="AR22">
            <v>146.41200000000001</v>
          </cell>
          <cell r="AS22">
            <v>0.17563672090085616</v>
          </cell>
          <cell r="AT22">
            <v>142.99</v>
          </cell>
          <cell r="AU22">
            <v>0.22038198104890663</v>
          </cell>
          <cell r="AV22">
            <v>181.75899999999999</v>
          </cell>
          <cell r="AW22">
            <v>0.22657340739558818</v>
          </cell>
          <cell r="AX22">
            <v>192.9</v>
          </cell>
          <cell r="AY22">
            <v>0.26830160494153421</v>
          </cell>
          <cell r="AZ22">
            <v>172.28399999999999</v>
          </cell>
          <cell r="BA22">
            <v>0.18189515826770736</v>
          </cell>
          <cell r="BB22">
            <v>181.35400000000001</v>
          </cell>
          <cell r="BC22">
            <v>0.24394653337225278</v>
          </cell>
          <cell r="BD22">
            <v>193.69200000000001</v>
          </cell>
          <cell r="BE22">
            <v>0.22339994855937415</v>
          </cell>
          <cell r="BF22">
            <v>214.16800000000001</v>
          </cell>
          <cell r="BG22">
            <v>0.25267161703322499</v>
          </cell>
          <cell r="BH22">
            <v>228.005</v>
          </cell>
          <cell r="BI22">
            <v>0.20730327986601954</v>
          </cell>
          <cell r="BJ22">
            <v>213.542</v>
          </cell>
          <cell r="BK22">
            <v>0.2438142169965028</v>
          </cell>
          <cell r="BL22">
            <v>222.67400000000001</v>
          </cell>
          <cell r="BM22">
            <v>0.22908753461919909</v>
          </cell>
          <cell r="BN22">
            <v>258.04000000000002</v>
          </cell>
          <cell r="BO22">
            <v>0.26242805958430931</v>
          </cell>
          <cell r="BP22">
            <v>239.279</v>
          </cell>
          <cell r="BQ22">
            <v>0.2159795573158777</v>
          </cell>
          <cell r="BR22">
            <v>223.46799999999999</v>
          </cell>
          <cell r="BS22">
            <v>0.27732818392904346</v>
          </cell>
          <cell r="BT22">
            <v>231.285</v>
          </cell>
          <cell r="BU22">
            <v>0.26528224627083941</v>
          </cell>
          <cell r="BV22">
            <v>280.06700000000001</v>
          </cell>
          <cell r="BW22">
            <v>0.27890785893825265</v>
          </cell>
          <cell r="BX22">
            <v>292.29399999999998</v>
          </cell>
          <cell r="BY22">
            <v>0.2497481533380897</v>
          </cell>
          <cell r="BZ22">
            <v>301.38299999999998</v>
          </cell>
          <cell r="CA22">
            <v>0.24042762472986265</v>
          </cell>
          <cell r="CB22">
            <v>268.87299999999999</v>
          </cell>
          <cell r="CC22">
            <v>0.25515921294125909</v>
          </cell>
          <cell r="CD22">
            <v>255.96</v>
          </cell>
          <cell r="CE22">
            <v>0.26225033657304098</v>
          </cell>
          <cell r="CF22">
            <v>278.31099999999998</v>
          </cell>
          <cell r="CG22">
            <v>0.24745420322095635</v>
          </cell>
          <cell r="CH22">
            <v>283.50799999999998</v>
          </cell>
          <cell r="CI22">
            <v>0.2347054591694393</v>
          </cell>
          <cell r="CJ22">
            <v>370.28199999999998</v>
          </cell>
          <cell r="CK22">
            <v>0.2622326909512222</v>
          </cell>
          <cell r="CL22">
            <v>373.48200000000003</v>
          </cell>
          <cell r="CM22">
            <v>0.2764221625026182</v>
          </cell>
          <cell r="CN22">
            <v>359.52499999999998</v>
          </cell>
          <cell r="CO22">
            <v>0.22266449240670882</v>
          </cell>
          <cell r="CP22">
            <v>369.04300000000001</v>
          </cell>
          <cell r="CQ22">
            <v>0.21708156374630888</v>
          </cell>
          <cell r="CR22">
            <v>358.58300000000003</v>
          </cell>
          <cell r="CS22">
            <v>0.24849361792953287</v>
          </cell>
          <cell r="CT22">
            <v>353.71499999999997</v>
          </cell>
          <cell r="CU22">
            <v>0.26070565169963739</v>
          </cell>
          <cell r="CV22">
            <v>382.71699999999998</v>
          </cell>
          <cell r="CW22">
            <v>0.25657963101639769</v>
          </cell>
          <cell r="CX22">
            <v>387.53399999999999</v>
          </cell>
          <cell r="CY22">
            <v>0.24495871780576695</v>
          </cell>
          <cell r="CZ22">
            <v>487.78699999999998</v>
          </cell>
          <cell r="DA22">
            <v>0.25387880737277874</v>
          </cell>
          <cell r="DB22">
            <v>497.70299999999997</v>
          </cell>
          <cell r="DC22">
            <v>0.26872839913458851</v>
          </cell>
          <cell r="DD22">
            <v>529.53700000000003</v>
          </cell>
          <cell r="DE22">
            <v>0.23205704304171129</v>
          </cell>
          <cell r="DF22">
            <v>530.45299999999997</v>
          </cell>
          <cell r="DG22">
            <v>0.2517534126169772</v>
          </cell>
          <cell r="DH22">
            <v>577.57899999999995</v>
          </cell>
          <cell r="DI22">
            <v>0.23830977105586287</v>
          </cell>
          <cell r="DJ22">
            <v>666.13499999999999</v>
          </cell>
          <cell r="DK22">
            <v>0.28060478717533738</v>
          </cell>
          <cell r="DL22">
            <v>658.91600000000005</v>
          </cell>
          <cell r="DM22">
            <v>0.23821128600241712</v>
          </cell>
          <cell r="DN22">
            <v>593.04399999999998</v>
          </cell>
          <cell r="DO22">
            <v>0.26295896902901289</v>
          </cell>
          <cell r="DP22">
            <v>651.37800000000004</v>
          </cell>
          <cell r="DQ22">
            <v>0.2928951418862743</v>
          </cell>
          <cell r="DR22">
            <v>720.47299999999996</v>
          </cell>
          <cell r="DS22">
            <v>0.31219567364211465</v>
          </cell>
          <cell r="DT22">
            <v>652.6</v>
          </cell>
          <cell r="DU22">
            <v>0.26053976365378473</v>
          </cell>
          <cell r="DV22">
            <v>531.9</v>
          </cell>
          <cell r="DW22">
            <v>0.27804495556717196</v>
          </cell>
          <cell r="DX22">
            <v>569.79999999999995</v>
          </cell>
          <cell r="DY22">
            <v>0.26176038221242187</v>
          </cell>
          <cell r="DZ22">
            <v>672.3</v>
          </cell>
          <cell r="EA22">
            <v>0.30806946799248497</v>
          </cell>
          <cell r="EB22">
            <v>626.5</v>
          </cell>
          <cell r="EC22">
            <v>0.25048978449482229</v>
          </cell>
          <cell r="ED22">
            <v>624.79999999999995</v>
          </cell>
          <cell r="EE22">
            <v>0.30335103852092093</v>
          </cell>
          <cell r="EF22">
            <v>632.4</v>
          </cell>
          <cell r="EG22">
            <v>0.2925575469577068</v>
          </cell>
          <cell r="EH22">
            <v>722.7</v>
          </cell>
          <cell r="EI22">
            <v>0.31799405460679964</v>
          </cell>
          <cell r="EJ22">
            <v>701.1</v>
          </cell>
          <cell r="EK22">
            <v>0.26590055751507569</v>
          </cell>
          <cell r="EL22">
            <v>673.1</v>
          </cell>
          <cell r="EM22">
            <v>0.30613544367126033</v>
          </cell>
          <cell r="EN22">
            <v>686</v>
          </cell>
          <cell r="EO22">
            <v>0.30679785330948123</v>
          </cell>
          <cell r="EP22">
            <v>750.8</v>
          </cell>
          <cell r="EQ22">
            <v>0.30914930412583375</v>
          </cell>
          <cell r="ES22" t="str">
            <v>SG&amp;A Expense</v>
          </cell>
          <cell r="ET22">
            <v>2623.8110000000001</v>
          </cell>
          <cell r="EU22">
            <v>0.27465657342709321</v>
          </cell>
          <cell r="EV22">
            <v>2426.6</v>
          </cell>
          <cell r="EW22">
            <v>0.27647574884070691</v>
          </cell>
          <cell r="EX22">
            <v>2606.3999999999996</v>
          </cell>
          <cell r="EY22">
            <v>0.28975872338958997</v>
          </cell>
          <cell r="EZ22">
            <v>2811</v>
          </cell>
          <cell r="FA22">
            <v>0.29589473684210527</v>
          </cell>
          <cell r="FB22">
            <v>3080</v>
          </cell>
          <cell r="FC22">
            <v>0.29729729729729731</v>
          </cell>
          <cell r="FE22" t="str">
            <v>SG&amp;A Expense</v>
          </cell>
          <cell r="FF22">
            <v>2556.3510000000001</v>
          </cell>
          <cell r="FG22">
            <v>0.28564208686751991</v>
          </cell>
          <cell r="FH22">
            <v>2493.3999999999996</v>
          </cell>
          <cell r="FI22">
            <v>0.27953353527970165</v>
          </cell>
          <cell r="FJ22">
            <v>2729.2999999999997</v>
          </cell>
          <cell r="FK22">
            <v>0.29443208039949464</v>
          </cell>
          <cell r="FL22">
            <v>3120</v>
          </cell>
          <cell r="FM22">
            <v>0.29295774647887324</v>
          </cell>
        </row>
        <row r="23">
          <cell r="A23" t="str">
            <v xml:space="preserve">  % Change </v>
          </cell>
          <cell r="D23" t="str">
            <v xml:space="preserve"> </v>
          </cell>
          <cell r="F23" t="str">
            <v xml:space="preserve"> </v>
          </cell>
          <cell r="H23" t="str">
            <v xml:space="preserve"> </v>
          </cell>
          <cell r="J23">
            <v>0.12308515190415062</v>
          </cell>
          <cell r="L23">
            <v>-7.1052016049227174E-2</v>
          </cell>
          <cell r="N23">
            <v>7.5111164523495866E-3</v>
          </cell>
          <cell r="O23" t="str">
            <v xml:space="preserve"> </v>
          </cell>
          <cell r="P23">
            <v>-9.121258858671244E-2</v>
          </cell>
          <cell r="R23">
            <v>7.1800049530413634E-2</v>
          </cell>
          <cell r="T23">
            <v>3.71295758280068E-2</v>
          </cell>
          <cell r="V23">
            <v>7.2602930359237483E-2</v>
          </cell>
          <cell r="W23" t="str">
            <v xml:space="preserve"> </v>
          </cell>
          <cell r="X23">
            <v>0.30617199080538793</v>
          </cell>
          <cell r="Y23" t="str">
            <v xml:space="preserve"> </v>
          </cell>
          <cell r="Z23">
            <v>0.39138317159006064</v>
          </cell>
          <cell r="AB23">
            <v>0.60085532336078606</v>
          </cell>
          <cell r="AD23">
            <v>0.42292365577447022</v>
          </cell>
          <cell r="AE23" t="str">
            <v xml:space="preserve"> </v>
          </cell>
          <cell r="AF23">
            <v>0.44645647275538214</v>
          </cell>
          <cell r="AG23" t="str">
            <v xml:space="preserve"> </v>
          </cell>
          <cell r="AH23">
            <v>0.33347385094913262</v>
          </cell>
          <cell r="AJ23">
            <v>0.18088916368217833</v>
          </cell>
          <cell r="AL23">
            <v>0.35651482981855143</v>
          </cell>
          <cell r="AM23" t="str">
            <v xml:space="preserve"> </v>
          </cell>
          <cell r="AN23">
            <v>0.30439133104404981</v>
          </cell>
          <cell r="AO23" t="str">
            <v xml:space="preserve"> </v>
          </cell>
          <cell r="AP23">
            <v>0.28787109505972985</v>
          </cell>
          <cell r="AR23">
            <v>0.44637300325012103</v>
          </cell>
          <cell r="AT23">
            <v>0.3730423176270633</v>
          </cell>
          <cell r="AU23" t="str">
            <v xml:space="preserve"> </v>
          </cell>
          <cell r="AV23">
            <v>0.58442588653718741</v>
          </cell>
          <cell r="AW23" t="str">
            <v xml:space="preserve"> </v>
          </cell>
          <cell r="AX23">
            <v>0.43487284006635063</v>
          </cell>
          <cell r="AZ23">
            <v>0.17670682730923684</v>
          </cell>
          <cell r="BB23">
            <v>0.26829848241135745</v>
          </cell>
          <cell r="BC23" t="str">
            <v xml:space="preserve"> </v>
          </cell>
          <cell r="BD23">
            <v>6.5652870009188069E-2</v>
          </cell>
          <cell r="BE23" t="str">
            <v xml:space="preserve"> </v>
          </cell>
          <cell r="BF23">
            <v>0.11025401762571274</v>
          </cell>
          <cell r="BH23">
            <v>0.3234252745466788</v>
          </cell>
          <cell r="BJ23">
            <v>0.17748712462917826</v>
          </cell>
          <cell r="BK23" t="str">
            <v xml:space="preserve"> </v>
          </cell>
          <cell r="BL23">
            <v>0.14962930838651056</v>
          </cell>
          <cell r="BM23" t="str">
            <v xml:space="preserve"> </v>
          </cell>
          <cell r="BN23">
            <v>0.20484853012588244</v>
          </cell>
          <cell r="BP23">
            <v>4.9446284072717707E-2</v>
          </cell>
          <cell r="BR23">
            <v>4.6482659149019723E-2</v>
          </cell>
          <cell r="BS23" t="str">
            <v xml:space="preserve"> </v>
          </cell>
          <cell r="BT23">
            <v>3.8670882096697369E-2</v>
          </cell>
          <cell r="BU23" t="str">
            <v xml:space="preserve"> </v>
          </cell>
          <cell r="BV23">
            <v>8.5362734459773618E-2</v>
          </cell>
          <cell r="BX23">
            <v>0.22156144082848886</v>
          </cell>
          <cell r="BZ23">
            <v>0.34866289580611093</v>
          </cell>
          <cell r="CB23">
            <v>0.20318345355934642</v>
          </cell>
          <cell r="CC23" t="str">
            <v xml:space="preserve"> </v>
          </cell>
          <cell r="CD23">
            <v>0.14539889380134974</v>
          </cell>
          <cell r="CE23" t="str">
            <v xml:space="preserve"> </v>
          </cell>
          <cell r="CF23">
            <v>0.20332490217696764</v>
          </cell>
          <cell r="CG23" t="str">
            <v xml:space="preserve"> </v>
          </cell>
          <cell r="CH23">
            <v>0.22579501480856945</v>
          </cell>
          <cell r="CI23" t="str">
            <v xml:space="preserve"> </v>
          </cell>
          <cell r="CJ23">
            <v>0.32211935001267533</v>
          </cell>
          <cell r="CL23">
            <v>0.33354518740158601</v>
          </cell>
          <cell r="CN23">
            <v>0.23001156369956277</v>
          </cell>
          <cell r="CP23">
            <v>0.22449839572902264</v>
          </cell>
          <cell r="CR23">
            <v>0.33365194720183888</v>
          </cell>
          <cell r="CS23" t="str">
            <v xml:space="preserve"> </v>
          </cell>
          <cell r="CT23">
            <v>0.3819151429910923</v>
          </cell>
          <cell r="CU23" t="str">
            <v xml:space="preserve"> </v>
          </cell>
          <cell r="CV23">
            <v>0.37514147841802881</v>
          </cell>
          <cell r="CW23" t="str">
            <v xml:space="preserve"> </v>
          </cell>
          <cell r="CX23">
            <v>0.3669243901406663</v>
          </cell>
          <cell r="CY23" t="str">
            <v xml:space="preserve"> </v>
          </cell>
          <cell r="CZ23">
            <v>0.31733921713720892</v>
          </cell>
          <cell r="DB23">
            <v>0.33260237441161805</v>
          </cell>
          <cell r="DD23">
            <v>0.43489241091146569</v>
          </cell>
          <cell r="DF23">
            <v>0.49966215738659669</v>
          </cell>
          <cell r="DG23" t="str">
            <v xml:space="preserve"> </v>
          </cell>
          <cell r="DH23">
            <v>0.4903956814111794</v>
          </cell>
          <cell r="DI23" t="str">
            <v xml:space="preserve"> </v>
          </cell>
          <cell r="DJ23">
            <v>0.3384186954870676</v>
          </cell>
          <cell r="DL23">
            <v>0.24432475917641261</v>
          </cell>
          <cell r="DN23">
            <v>0.117995373765442</v>
          </cell>
          <cell r="DO23" t="str">
            <v xml:space="preserve"> </v>
          </cell>
          <cell r="DP23">
            <v>0.12777299728695146</v>
          </cell>
          <cell r="DQ23" t="str">
            <v xml:space="preserve"> </v>
          </cell>
          <cell r="DR23">
            <v>8.1572053712835935E-2</v>
          </cell>
          <cell r="DT23">
            <v>-9.5854403292681169E-3</v>
          </cell>
          <cell r="DV23">
            <v>-0.10310196208038525</v>
          </cell>
          <cell r="DW23" t="str">
            <v xml:space="preserve"> </v>
          </cell>
          <cell r="DX23">
            <v>-0.12523910847464925</v>
          </cell>
          <cell r="DZ23">
            <v>-6.6863019155471437E-2</v>
          </cell>
          <cell r="EA23" t="str">
            <v xml:space="preserve"> </v>
          </cell>
          <cell r="EB23">
            <v>-3.9993870671161544E-2</v>
          </cell>
          <cell r="ED23">
            <v>0.17465689039293086</v>
          </cell>
          <cell r="EE23" t="str">
            <v xml:space="preserve"> </v>
          </cell>
          <cell r="EF23">
            <v>0.10986310986310992</v>
          </cell>
          <cell r="EH23">
            <v>7.4966532797858143E-2</v>
          </cell>
          <cell r="EI23" t="str">
            <v xml:space="preserve"> </v>
          </cell>
          <cell r="EJ23">
            <v>0.119074221867518</v>
          </cell>
          <cell r="EL23">
            <v>7.7304737516005195E-2</v>
          </cell>
          <cell r="EM23" t="str">
            <v xml:space="preserve"> </v>
          </cell>
          <cell r="EN23">
            <v>8.4756483238456706E-2</v>
          </cell>
          <cell r="EP23">
            <v>3.8881970388819465E-2</v>
          </cell>
          <cell r="EQ23" t="str">
            <v xml:space="preserve"> </v>
          </cell>
          <cell r="ES23" t="str">
            <v xml:space="preserve">  % Change</v>
          </cell>
          <cell r="ET23">
            <v>0.13895318148512148</v>
          </cell>
          <cell r="EV23">
            <v>-7.5162044827161822E-2</v>
          </cell>
          <cell r="EX23">
            <v>7.4095442182477322E-2</v>
          </cell>
          <cell r="EZ23">
            <v>7.8499079189687127E-2</v>
          </cell>
          <cell r="FB23">
            <v>9.5695482034863E-2</v>
          </cell>
          <cell r="FE23" t="str">
            <v xml:space="preserve">  % Change</v>
          </cell>
          <cell r="FF23">
            <v>2.4312870991964441E-2</v>
          </cell>
          <cell r="FH23">
            <v>-2.4625335096784662E-2</v>
          </cell>
          <cell r="FJ23">
            <v>9.4609769792251663E-2</v>
          </cell>
          <cell r="FL23">
            <v>0.14315025830799111</v>
          </cell>
        </row>
        <row r="24">
          <cell r="A24" t="str">
            <v>Operating Income</v>
          </cell>
          <cell r="C24">
            <v>28.127999999999965</v>
          </cell>
          <cell r="D24">
            <v>50.491000000000021</v>
          </cell>
          <cell r="E24">
            <v>0.15407313828164101</v>
          </cell>
          <cell r="F24">
            <v>27.58799999999998</v>
          </cell>
          <cell r="G24">
            <v>0.11596079156648781</v>
          </cell>
          <cell r="H24">
            <v>29.592999999999968</v>
          </cell>
          <cell r="I24">
            <v>0.11441108812897478</v>
          </cell>
          <cell r="J24">
            <v>29.40799999999998</v>
          </cell>
          <cell r="K24">
            <v>0.12005666439410323</v>
          </cell>
          <cell r="L24">
            <v>32.186999999999976</v>
          </cell>
          <cell r="M24">
            <v>0.12513753192879046</v>
          </cell>
          <cell r="N24">
            <v>6.4480000000000217</v>
          </cell>
          <cell r="O24">
            <v>3.5222846779524107E-2</v>
          </cell>
          <cell r="P24">
            <v>14.120000000000012</v>
          </cell>
          <cell r="Q24">
            <v>7.0806045592674741E-2</v>
          </cell>
          <cell r="R24">
            <v>23.198000000000008</v>
          </cell>
          <cell r="S24">
            <v>9.7608799013729555E-2</v>
          </cell>
          <cell r="T24">
            <v>41.855000000000047</v>
          </cell>
          <cell r="U24">
            <v>0.14798746941604099</v>
          </cell>
          <cell r="V24">
            <v>16.990000000000009</v>
          </cell>
          <cell r="W24">
            <v>7.2480461417699094E-2</v>
          </cell>
          <cell r="X24">
            <v>45.596000000000046</v>
          </cell>
          <cell r="Y24">
            <v>0.13742551697323899</v>
          </cell>
          <cell r="Z24">
            <v>49.036000000000044</v>
          </cell>
          <cell r="AA24">
            <v>0.13835679439756005</v>
          </cell>
          <cell r="AB24">
            <v>99.814999999999998</v>
          </cell>
          <cell r="AC24">
            <v>0.19545278311917696</v>
          </cell>
          <cell r="AD24">
            <v>40.151000000000025</v>
          </cell>
          <cell r="AE24">
            <v>0.1246797688435658</v>
          </cell>
          <cell r="AF24">
            <v>83.793000000000035</v>
          </cell>
          <cell r="AG24">
            <v>0.18033069127518231</v>
          </cell>
          <cell r="AH24">
            <v>57.388000000000005</v>
          </cell>
          <cell r="AI24">
            <v>0.13881249380171787</v>
          </cell>
          <cell r="AJ24">
            <v>94.668000000000035</v>
          </cell>
          <cell r="AK24">
            <v>0.16600615850792966</v>
          </cell>
          <cell r="AL24">
            <v>29.634999999999948</v>
          </cell>
          <cell r="AM24">
            <v>7.1335037575162241E-2</v>
          </cell>
          <cell r="AN24">
            <v>105.22400000000017</v>
          </cell>
          <cell r="AO24">
            <v>0.18208971237425808</v>
          </cell>
          <cell r="AP24">
            <v>104.37300000000005</v>
          </cell>
          <cell r="AQ24">
            <v>0.17137804545648605</v>
          </cell>
          <cell r="AR24">
            <v>165.32499999999996</v>
          </cell>
          <cell r="AS24">
            <v>0.19832487011265496</v>
          </cell>
          <cell r="AT24">
            <v>99.083000000000084</v>
          </cell>
          <cell r="AU24">
            <v>0.15271073381543349</v>
          </cell>
          <cell r="AV24">
            <v>124.27599999999998</v>
          </cell>
          <cell r="AW24">
            <v>0.15491742789899873</v>
          </cell>
          <cell r="AX24">
            <v>100.33499999999984</v>
          </cell>
          <cell r="AY24">
            <v>0.13955438844898285</v>
          </cell>
          <cell r="AZ24">
            <v>194.29100000000005</v>
          </cell>
          <cell r="BA24">
            <v>0.20512985648691198</v>
          </cell>
          <cell r="BB24">
            <v>106.62499999999991</v>
          </cell>
          <cell r="BC24">
            <v>0.14342556062075515</v>
          </cell>
          <cell r="BD24">
            <v>140.75400000000002</v>
          </cell>
          <cell r="BE24">
            <v>0.16234246308327732</v>
          </cell>
          <cell r="BF24">
            <v>112.95400000000018</v>
          </cell>
          <cell r="BG24">
            <v>0.13326113065617151</v>
          </cell>
          <cell r="BH24">
            <v>205.19400000000007</v>
          </cell>
          <cell r="BI24">
            <v>0.18656340522720127</v>
          </cell>
          <cell r="BJ24">
            <v>132.6929999999999</v>
          </cell>
          <cell r="BK24">
            <v>0.15150387228702983</v>
          </cell>
          <cell r="BL24">
            <v>153.30699999999999</v>
          </cell>
          <cell r="BM24">
            <v>0.15772260196460094</v>
          </cell>
          <cell r="BN24">
            <v>130.53599999999989</v>
          </cell>
          <cell r="BO24">
            <v>0.13275580989729252</v>
          </cell>
          <cell r="BP24">
            <v>200.79200000000014</v>
          </cell>
          <cell r="BQ24">
            <v>0.18124017265438985</v>
          </cell>
          <cell r="BR24">
            <v>86.193000000000012</v>
          </cell>
          <cell r="BS24">
            <v>0.10696720853722254</v>
          </cell>
          <cell r="BT24">
            <v>103.494</v>
          </cell>
          <cell r="BU24">
            <v>0.11870688023673932</v>
          </cell>
          <cell r="BV24">
            <v>123.66699999999992</v>
          </cell>
          <cell r="BW24">
            <v>0.12315516712542665</v>
          </cell>
          <cell r="BX24">
            <v>177.61400000000003</v>
          </cell>
          <cell r="BY24">
            <v>0.15176079052936933</v>
          </cell>
          <cell r="BZ24">
            <v>205.23200000000003</v>
          </cell>
          <cell r="CA24">
            <v>0.16372337616441265</v>
          </cell>
          <cell r="CB24">
            <v>144.84199999999993</v>
          </cell>
          <cell r="CC24">
            <v>0.13745437705101604</v>
          </cell>
          <cell r="CD24">
            <v>120.6689999999999</v>
          </cell>
          <cell r="CE24">
            <v>0.12363449704614883</v>
          </cell>
          <cell r="CF24">
            <v>167.98200000000014</v>
          </cell>
          <cell r="CG24">
            <v>0.14935756030290837</v>
          </cell>
          <cell r="CH24">
            <v>203.87500000000006</v>
          </cell>
          <cell r="CI24">
            <v>0.1687803359628986</v>
          </cell>
          <cell r="CJ24">
            <v>195.35599999999982</v>
          </cell>
          <cell r="CK24">
            <v>0.13835058029681951</v>
          </cell>
          <cell r="CL24">
            <v>160.87900000000008</v>
          </cell>
          <cell r="CM24">
            <v>0.11907005178632096</v>
          </cell>
          <cell r="CN24">
            <v>287.60199999999986</v>
          </cell>
          <cell r="CO24">
            <v>0.17812044599166746</v>
          </cell>
          <cell r="CP24">
            <v>317.59799999999996</v>
          </cell>
          <cell r="CQ24">
            <v>0.18682015505699931</v>
          </cell>
          <cell r="CR24">
            <v>208.99799999999999</v>
          </cell>
          <cell r="CS24">
            <v>0.14483304886187159</v>
          </cell>
          <cell r="CT24">
            <v>174.91599999999977</v>
          </cell>
          <cell r="CU24">
            <v>0.12892184321471728</v>
          </cell>
          <cell r="CV24">
            <v>206.51800000000014</v>
          </cell>
          <cell r="CW24">
            <v>0.13845298807799092</v>
          </cell>
          <cell r="CX24">
            <v>241.18800000000022</v>
          </cell>
          <cell r="CY24">
            <v>0.15245398656669445</v>
          </cell>
          <cell r="CZ24">
            <v>272.14899999999994</v>
          </cell>
          <cell r="DA24">
            <v>0.14164556158260544</v>
          </cell>
          <cell r="DB24">
            <v>233.81100000000015</v>
          </cell>
          <cell r="DC24">
            <v>0.12624327305653635</v>
          </cell>
          <cell r="DD24">
            <v>390.27</v>
          </cell>
          <cell r="DE24">
            <v>0.17102658017832303</v>
          </cell>
          <cell r="DF24">
            <v>298.95300000000032</v>
          </cell>
          <cell r="DG24">
            <v>0.14188332983710766</v>
          </cell>
          <cell r="DH24">
            <v>410.64200000000028</v>
          </cell>
          <cell r="DI24">
            <v>0.16943136957181912</v>
          </cell>
          <cell r="DJ24">
            <v>279.97199999999998</v>
          </cell>
          <cell r="DK24">
            <v>0.11793627939539816</v>
          </cell>
          <cell r="DL24">
            <v>441.71800000000019</v>
          </cell>
          <cell r="DM24">
            <v>0.15968987371746282</v>
          </cell>
          <cell r="DN24">
            <v>252.70600000000002</v>
          </cell>
          <cell r="DO24">
            <v>0.1120512292973974</v>
          </cell>
          <cell r="DP24">
            <v>143.70199999999966</v>
          </cell>
          <cell r="DQ24">
            <v>6.4616271472695247E-2</v>
          </cell>
          <cell r="DR24">
            <v>25.654999999999518</v>
          </cell>
          <cell r="DS24">
            <v>1.1116835755522138E-2</v>
          </cell>
          <cell r="DT24">
            <v>289.60000000000025</v>
          </cell>
          <cell r="DU24">
            <v>0.11561801341424474</v>
          </cell>
          <cell r="DV24">
            <v>151.50000000000011</v>
          </cell>
          <cell r="DW24">
            <v>7.9194981704129697E-2</v>
          </cell>
          <cell r="DX24">
            <v>242.10000000000014</v>
          </cell>
          <cell r="DY24">
            <v>0.11121830209481813</v>
          </cell>
          <cell r="DZ24">
            <v>173.60000000000002</v>
          </cell>
          <cell r="EA24">
            <v>7.9549099573844109E-2</v>
          </cell>
          <cell r="EB24">
            <v>339.89999999999975</v>
          </cell>
          <cell r="EC24">
            <v>0.13590020391027938</v>
          </cell>
          <cell r="ED24">
            <v>196.8599999999999</v>
          </cell>
          <cell r="EE24">
            <v>9.5578881951389999E-2</v>
          </cell>
          <cell r="EF24">
            <v>242.82600000000014</v>
          </cell>
          <cell r="EG24">
            <v>0.11233488124217608</v>
          </cell>
          <cell r="EH24">
            <v>205.28400000000056</v>
          </cell>
          <cell r="EI24">
            <v>9.032667981998399E-2</v>
          </cell>
          <cell r="EJ24">
            <v>366.39999999999975</v>
          </cell>
          <cell r="EK24">
            <v>0.1389615807638335</v>
          </cell>
          <cell r="EL24">
            <v>198.29999999999995</v>
          </cell>
          <cell r="EM24">
            <v>9.018965752490106E-2</v>
          </cell>
          <cell r="EN24">
            <v>170</v>
          </cell>
          <cell r="EO24">
            <v>7.6028622540250446E-2</v>
          </cell>
          <cell r="EP24">
            <v>234.30000000000041</v>
          </cell>
          <cell r="EQ24">
            <v>9.6475335584287392E-2</v>
          </cell>
          <cell r="ES24" t="str">
            <v>Operating Income</v>
          </cell>
          <cell r="ET24">
            <v>863.78099999999938</v>
          </cell>
          <cell r="EU24">
            <v>9.0419290738329799E-2</v>
          </cell>
          <cell r="EV24">
            <v>856.79999999999791</v>
          </cell>
          <cell r="EW24">
            <v>9.7619888571135377E-2</v>
          </cell>
          <cell r="EX24">
            <v>984.87000000000126</v>
          </cell>
          <cell r="EY24">
            <v>0.10948997617583867</v>
          </cell>
          <cell r="EZ24">
            <v>969</v>
          </cell>
          <cell r="FA24">
            <v>0.10199999999999999</v>
          </cell>
          <cell r="FB24">
            <v>1080</v>
          </cell>
          <cell r="FC24">
            <v>0.10424710424710425</v>
          </cell>
          <cell r="FE24" t="str">
            <v>Operating Income</v>
          </cell>
          <cell r="FF24">
            <v>610.45699999999954</v>
          </cell>
          <cell r="FG24">
            <v>6.8211372938569645E-2</v>
          </cell>
          <cell r="FH24">
            <v>952.46000000000095</v>
          </cell>
          <cell r="FI24">
            <v>0.10677970282044795</v>
          </cell>
          <cell r="FJ24">
            <v>1012.8100000000018</v>
          </cell>
          <cell r="FK24">
            <v>0.10926016024233785</v>
          </cell>
          <cell r="FL24">
            <v>1130</v>
          </cell>
          <cell r="FM24">
            <v>0.10610328638497653</v>
          </cell>
        </row>
        <row r="25">
          <cell r="A25" t="str">
            <v xml:space="preserve">  % Change </v>
          </cell>
          <cell r="D25" t="str">
            <v xml:space="preserve"> </v>
          </cell>
          <cell r="F25" t="str">
            <v xml:space="preserve"> </v>
          </cell>
          <cell r="H25" t="str">
            <v xml:space="preserve"> </v>
          </cell>
          <cell r="J25" t="str">
            <v xml:space="preserve"> </v>
          </cell>
          <cell r="L25">
            <v>-0.36252005307876722</v>
          </cell>
          <cell r="N25">
            <v>-0.76627519211251172</v>
          </cell>
          <cell r="P25">
            <v>-0.52286013584293489</v>
          </cell>
          <cell r="R25">
            <v>-0.21116702937975984</v>
          </cell>
          <cell r="T25">
            <v>0.30036971448100402</v>
          </cell>
          <cell r="V25">
            <v>1.6349255583126476</v>
          </cell>
          <cell r="X25">
            <v>2.2291784702549582</v>
          </cell>
          <cell r="Y25" t="str">
            <v xml:space="preserve"> </v>
          </cell>
          <cell r="Z25">
            <v>1.1138029140443155</v>
          </cell>
          <cell r="AB25">
            <v>1.3847807908254661</v>
          </cell>
          <cell r="AD25">
            <v>1.3632136550912302</v>
          </cell>
          <cell r="AF25">
            <v>0.83772699359592839</v>
          </cell>
          <cell r="AG25" t="str">
            <v xml:space="preserve"> </v>
          </cell>
          <cell r="AH25">
            <v>0.17032384370666365</v>
          </cell>
          <cell r="AJ25">
            <v>-5.1565395982567375E-2</v>
          </cell>
          <cell r="AL25">
            <v>-0.2619112848995061</v>
          </cell>
          <cell r="AN25">
            <v>0.25576122110438981</v>
          </cell>
          <cell r="AO25" t="str">
            <v xml:space="preserve"> </v>
          </cell>
          <cell r="AP25">
            <v>0.81872516902488401</v>
          </cell>
          <cell r="AR25">
            <v>0.74636624836269805</v>
          </cell>
          <cell r="AT25">
            <v>2.343445250548347</v>
          </cell>
          <cell r="AV25">
            <v>0.18106135482399233</v>
          </cell>
          <cell r="AW25" t="str">
            <v xml:space="preserve"> </v>
          </cell>
          <cell r="AX25">
            <v>-3.8688166479838748E-2</v>
          </cell>
          <cell r="AZ25">
            <v>0.17520641161348918</v>
          </cell>
          <cell r="BB25">
            <v>7.6118002079063274E-2</v>
          </cell>
          <cell r="BD25">
            <v>0.13259197270591305</v>
          </cell>
          <cell r="BE25" t="str">
            <v xml:space="preserve"> </v>
          </cell>
          <cell r="BF25">
            <v>0.12576867493895816</v>
          </cell>
          <cell r="BH25">
            <v>5.6116855644368586E-2</v>
          </cell>
          <cell r="BJ25">
            <v>0.2444830011723329</v>
          </cell>
          <cell r="BL25">
            <v>8.9183966352643473E-2</v>
          </cell>
          <cell r="BM25" t="str">
            <v xml:space="preserve"> </v>
          </cell>
          <cell r="BN25">
            <v>0.15565628485932037</v>
          </cell>
          <cell r="BP25">
            <v>-2.145286899227038E-2</v>
          </cell>
          <cell r="BR25">
            <v>-0.35043295426284671</v>
          </cell>
          <cell r="BS25" t="str">
            <v xml:space="preserve"> </v>
          </cell>
          <cell r="BT25">
            <v>-0.32492319333102854</v>
          </cell>
          <cell r="BU25" t="str">
            <v xml:space="preserve"> </v>
          </cell>
          <cell r="BV25">
            <v>-5.2621499050070304E-2</v>
          </cell>
          <cell r="BX25">
            <v>-0.11543288577234199</v>
          </cell>
          <cell r="BZ25">
            <v>2.2112434758356312E-2</v>
          </cell>
          <cell r="CB25">
            <v>0.68043808661956207</v>
          </cell>
          <cell r="CC25" t="str">
            <v xml:space="preserve"> </v>
          </cell>
          <cell r="CD25">
            <v>0.39998607775573292</v>
          </cell>
          <cell r="CE25" t="str">
            <v xml:space="preserve"> </v>
          </cell>
          <cell r="CF25">
            <v>0.6231085860049872</v>
          </cell>
          <cell r="CG25" t="str">
            <v xml:space="preserve"> </v>
          </cell>
          <cell r="CH25">
            <v>0.96992096160163932</v>
          </cell>
          <cell r="CI25" t="str">
            <v xml:space="preserve"> </v>
          </cell>
          <cell r="CJ25">
            <v>0.57969385527262696</v>
          </cell>
          <cell r="CL25">
            <v>0.30090484931307615</v>
          </cell>
          <cell r="CN25">
            <v>0.61925298681410146</v>
          </cell>
          <cell r="CP25">
            <v>0.54750721135105596</v>
          </cell>
          <cell r="CR25">
            <v>0.44293782190248754</v>
          </cell>
          <cell r="CS25" t="str">
            <v xml:space="preserve"> </v>
          </cell>
          <cell r="CT25">
            <v>0.44955208048463091</v>
          </cell>
          <cell r="CU25" t="str">
            <v xml:space="preserve"> </v>
          </cell>
          <cell r="CV25">
            <v>0.22940553154504631</v>
          </cell>
          <cell r="CW25" t="str">
            <v xml:space="preserve"> </v>
          </cell>
          <cell r="CX25">
            <v>0.18301900674432936</v>
          </cell>
          <cell r="CY25" t="str">
            <v xml:space="preserve"> </v>
          </cell>
          <cell r="CZ25">
            <v>0.39309261041380961</v>
          </cell>
          <cell r="DB25">
            <v>0.45333449362564437</v>
          </cell>
          <cell r="DD25">
            <v>0.22881756182343729</v>
          </cell>
          <cell r="DF25">
            <v>0.70912323629628338</v>
          </cell>
          <cell r="DG25" t="str">
            <v xml:space="preserve"> </v>
          </cell>
          <cell r="DH25">
            <v>0.70258055956349375</v>
          </cell>
          <cell r="DI25" t="str">
            <v xml:space="preserve"> </v>
          </cell>
          <cell r="DJ25">
            <v>0.19742869240540362</v>
          </cell>
          <cell r="DL25">
            <v>0.13182668409050199</v>
          </cell>
          <cell r="DN25">
            <v>-0.15469655765287604</v>
          </cell>
          <cell r="DO25" t="str">
            <v xml:space="preserve"> </v>
          </cell>
          <cell r="DP25">
            <v>-0.65005527929437434</v>
          </cell>
          <cell r="DQ25" t="str">
            <v xml:space="preserve"> </v>
          </cell>
          <cell r="DR25">
            <v>-0.9083658365836601</v>
          </cell>
          <cell r="DT25">
            <v>-0.34437808737701403</v>
          </cell>
          <cell r="DV25">
            <v>-0.40048910591754805</v>
          </cell>
          <cell r="DW25" t="str">
            <v xml:space="preserve"> </v>
          </cell>
          <cell r="DX25">
            <v>0.68473646852514725</v>
          </cell>
          <cell r="DZ25">
            <v>5.7667121418828016</v>
          </cell>
          <cell r="EA25" t="str">
            <v xml:space="preserve"> </v>
          </cell>
          <cell r="EB25">
            <v>0.17368784530386552</v>
          </cell>
          <cell r="ED25">
            <v>0.29940594059405767</v>
          </cell>
          <cell r="EE25" t="str">
            <v xml:space="preserve"> </v>
          </cell>
          <cell r="EF25">
            <v>2.9987608426270082E-3</v>
          </cell>
          <cell r="EH25">
            <v>0.18251152073733024</v>
          </cell>
          <cell r="EI25" t="str">
            <v xml:space="preserve"> </v>
          </cell>
          <cell r="EJ25">
            <v>7.7964107090320742E-2</v>
          </cell>
          <cell r="EL25">
            <v>7.3148430356602123E-3</v>
          </cell>
          <cell r="EM25" t="str">
            <v xml:space="preserve"> </v>
          </cell>
          <cell r="EN25">
            <v>-0.29991022378163829</v>
          </cell>
          <cell r="EP25">
            <v>0.14134564798035787</v>
          </cell>
          <cell r="EQ25" t="str">
            <v xml:space="preserve"> </v>
          </cell>
          <cell r="ES25" t="str">
            <v xml:space="preserve">  % Change</v>
          </cell>
          <cell r="ET25">
            <v>-0.37399779829066837</v>
          </cell>
          <cell r="EV25">
            <v>-8.0819096507117605E-3</v>
          </cell>
          <cell r="EX25">
            <v>0.14947478991597074</v>
          </cell>
          <cell r="EZ25">
            <v>-1.6113801821561413E-2</v>
          </cell>
          <cell r="FB25">
            <v>0.11455108359133126</v>
          </cell>
          <cell r="FE25" t="str">
            <v xml:space="preserve">  % Change</v>
          </cell>
          <cell r="FF25">
            <v>-0.55924891591422088</v>
          </cell>
          <cell r="FH25">
            <v>0.56024093425090005</v>
          </cell>
          <cell r="FJ25">
            <v>6.3362240934003333E-2</v>
          </cell>
          <cell r="FL25">
            <v>0.11570778329597653</v>
          </cell>
        </row>
        <row r="26">
          <cell r="P26" t="str">
            <v xml:space="preserve"> </v>
          </cell>
          <cell r="V26" t="str">
            <v xml:space="preserve"> </v>
          </cell>
          <cell r="Y26" t="str">
            <v xml:space="preserve"> </v>
          </cell>
          <cell r="AD26" t="str">
            <v xml:space="preserve"> </v>
          </cell>
          <cell r="AG26" t="str">
            <v xml:space="preserve"> </v>
          </cell>
          <cell r="AL26" t="str">
            <v xml:space="preserve"> </v>
          </cell>
          <cell r="AO26" t="str">
            <v xml:space="preserve"> </v>
          </cell>
          <cell r="AT26" t="str">
            <v xml:space="preserve"> </v>
          </cell>
          <cell r="AW26" t="str">
            <v xml:space="preserve"> </v>
          </cell>
          <cell r="BB26" t="str">
            <v xml:space="preserve"> </v>
          </cell>
          <cell r="BE26" t="str">
            <v xml:space="preserve"> </v>
          </cell>
          <cell r="BJ26" t="str">
            <v xml:space="preserve"> </v>
          </cell>
          <cell r="BM26" t="str">
            <v xml:space="preserve"> </v>
          </cell>
          <cell r="BR26" t="str">
            <v xml:space="preserve"> </v>
          </cell>
          <cell r="BU26" t="str">
            <v xml:space="preserve"> </v>
          </cell>
          <cell r="CB26" t="str">
            <v xml:space="preserve"> </v>
          </cell>
          <cell r="CD26" t="str">
            <v xml:space="preserve"> </v>
          </cell>
          <cell r="CG26" t="str">
            <v xml:space="preserve"> </v>
          </cell>
          <cell r="CI26" t="str">
            <v xml:space="preserve"> </v>
          </cell>
          <cell r="CR26" t="str">
            <v xml:space="preserve"> </v>
          </cell>
          <cell r="CT26" t="str">
            <v xml:space="preserve"> </v>
          </cell>
          <cell r="CW26" t="str">
            <v xml:space="preserve"> </v>
          </cell>
          <cell r="CY26" t="str">
            <v xml:space="preserve"> </v>
          </cell>
          <cell r="DF26" t="str">
            <v xml:space="preserve"> </v>
          </cell>
          <cell r="DI26" t="str">
            <v xml:space="preserve"> </v>
          </cell>
          <cell r="DN26" t="str">
            <v xml:space="preserve"> </v>
          </cell>
          <cell r="DQ26" t="str">
            <v xml:space="preserve"> </v>
          </cell>
          <cell r="DV26" t="str">
            <v xml:space="preserve"> </v>
          </cell>
          <cell r="DZ26" t="str">
            <v xml:space="preserve"> </v>
          </cell>
          <cell r="ED26" t="str">
            <v xml:space="preserve"> </v>
          </cell>
          <cell r="EH26" t="str">
            <v xml:space="preserve"> </v>
          </cell>
          <cell r="EL26" t="str">
            <v xml:space="preserve"> </v>
          </cell>
          <cell r="EP26" t="str">
            <v xml:space="preserve"> </v>
          </cell>
        </row>
        <row r="27">
          <cell r="A27" t="str">
            <v>EBITDA</v>
          </cell>
          <cell r="EB27">
            <v>401.49999999999977</v>
          </cell>
          <cell r="EC27">
            <v>0.16052936707848539</v>
          </cell>
          <cell r="ED27">
            <v>246.65999999999991</v>
          </cell>
          <cell r="EE27">
            <v>0.11975762990008056</v>
          </cell>
          <cell r="EF27">
            <v>298.82600000000014</v>
          </cell>
          <cell r="EG27">
            <v>0.13824130538770357</v>
          </cell>
          <cell r="EH27">
            <v>261.48400000000055</v>
          </cell>
          <cell r="EI27">
            <v>0.11505515065006859</v>
          </cell>
          <cell r="EJ27">
            <v>418.79999999999973</v>
          </cell>
          <cell r="EK27">
            <v>0.1588349072704516</v>
          </cell>
          <cell r="EL27">
            <v>253.19999999999996</v>
          </cell>
          <cell r="EM27">
            <v>0.11515895756583434</v>
          </cell>
          <cell r="EN27">
            <v>226</v>
          </cell>
          <cell r="EO27">
            <v>0.10107334525939177</v>
          </cell>
          <cell r="EP27">
            <v>291.0000000000004</v>
          </cell>
          <cell r="EQ27">
            <v>0.11982211973976792</v>
          </cell>
          <cell r="EX27">
            <v>1208.4700000000012</v>
          </cell>
          <cell r="EY27">
            <v>0.13434803731377309</v>
          </cell>
          <cell r="EZ27">
            <v>1189</v>
          </cell>
          <cell r="FA27">
            <v>0.12515789473684211</v>
          </cell>
          <cell r="FB27">
            <v>1360</v>
          </cell>
          <cell r="FC27">
            <v>0.13127413127413126</v>
          </cell>
          <cell r="FE27" t="str">
            <v>EBITDA</v>
          </cell>
          <cell r="FF27">
            <v>808.89899999999955</v>
          </cell>
          <cell r="FG27">
            <v>9.0384926962318493E-2</v>
          </cell>
          <cell r="FH27">
            <v>1190.660000000001</v>
          </cell>
          <cell r="FI27">
            <v>0.13348415782310494</v>
          </cell>
          <cell r="FJ27">
            <v>1232.3100000000018</v>
          </cell>
          <cell r="FK27">
            <v>0.13293943391972365</v>
          </cell>
          <cell r="FL27">
            <v>1450</v>
          </cell>
          <cell r="FM27">
            <v>0.13615023474178403</v>
          </cell>
        </row>
        <row r="29">
          <cell r="A29" t="str">
            <v>Interest Expense</v>
          </cell>
          <cell r="D29">
            <v>4.0330000000000004</v>
          </cell>
          <cell r="E29">
            <v>1.2306687660966471E-2</v>
          </cell>
          <cell r="F29">
            <v>3.7850000000000001</v>
          </cell>
          <cell r="G29">
            <v>1.5909511239638855E-2</v>
          </cell>
          <cell r="H29">
            <v>4.0170000000000003</v>
          </cell>
          <cell r="I29">
            <v>1.5530339641607549E-2</v>
          </cell>
          <cell r="J29">
            <v>3.9849999999999999</v>
          </cell>
          <cell r="K29">
            <v>1.6268559834415861E-2</v>
          </cell>
          <cell r="L29">
            <v>2.2240000000000002</v>
          </cell>
          <cell r="M29">
            <v>8.646530307566104E-3</v>
          </cell>
          <cell r="N29">
            <v>2.1619999999999999</v>
          </cell>
          <cell r="O29">
            <v>1.1810141863729971E-2</v>
          </cell>
          <cell r="P29">
            <v>2.157</v>
          </cell>
          <cell r="Q29">
            <v>1.0816475944999949E-2</v>
          </cell>
          <cell r="R29">
            <v>1.9319999999999999</v>
          </cell>
          <cell r="S29">
            <v>8.1291576728392718E-3</v>
          </cell>
          <cell r="T29">
            <v>1.736</v>
          </cell>
          <cell r="U29">
            <v>6.1380061380061374E-3</v>
          </cell>
          <cell r="V29">
            <v>2.298</v>
          </cell>
          <cell r="W29">
            <v>9.8034196785092651E-3</v>
          </cell>
          <cell r="X29">
            <v>2.0169999999999999</v>
          </cell>
          <cell r="Y29">
            <v>6.0792014153658817E-3</v>
          </cell>
          <cell r="Z29">
            <v>1.9530000000000001</v>
          </cell>
          <cell r="AA29">
            <v>5.5104580197902469E-3</v>
          </cell>
          <cell r="AB29">
            <v>3.7410000000000001</v>
          </cell>
          <cell r="AC29">
            <v>7.3254406817496471E-3</v>
          </cell>
          <cell r="AD29">
            <v>3.1230000000000002</v>
          </cell>
          <cell r="AE29">
            <v>9.6977638937624407E-3</v>
          </cell>
          <cell r="AF29">
            <v>3.97</v>
          </cell>
          <cell r="AG29">
            <v>8.543826386004481E-3</v>
          </cell>
          <cell r="AH29">
            <v>3.1150000000000002</v>
          </cell>
          <cell r="AI29">
            <v>7.5346922386622843E-3</v>
          </cell>
          <cell r="AJ29">
            <v>2.452</v>
          </cell>
          <cell r="AK29">
            <v>4.2997327572299338E-3</v>
          </cell>
          <cell r="AL29">
            <v>2.4820000000000002</v>
          </cell>
          <cell r="AM29">
            <v>5.9744748865042351E-3</v>
          </cell>
          <cell r="AN29">
            <v>2.5179999999999998</v>
          </cell>
          <cell r="AO29">
            <v>4.357388958397144E-3</v>
          </cell>
          <cell r="AP29">
            <v>3.0049999999999999</v>
          </cell>
          <cell r="AQ29">
            <v>4.934140310202258E-3</v>
          </cell>
          <cell r="AR29">
            <v>2.383</v>
          </cell>
          <cell r="AS29">
            <v>2.8586612156567782E-3</v>
          </cell>
          <cell r="AT29">
            <v>5.2229999999999999</v>
          </cell>
          <cell r="AU29">
            <v>8.0498992028704055E-3</v>
          </cell>
          <cell r="AV29">
            <v>9.7059999999999995</v>
          </cell>
          <cell r="AW29">
            <v>1.2099106466153416E-2</v>
          </cell>
          <cell r="AX29">
            <v>10.004</v>
          </cell>
          <cell r="AY29">
            <v>1.3914407754458829E-2</v>
          </cell>
          <cell r="AZ29">
            <v>8.4770000000000003</v>
          </cell>
          <cell r="BA29">
            <v>8.9499039761983448E-3</v>
          </cell>
          <cell r="BB29">
            <v>7.1239999999999997</v>
          </cell>
          <cell r="BC29">
            <v>9.5827779025768854E-3</v>
          </cell>
          <cell r="BD29">
            <v>6.5990000000000002</v>
          </cell>
          <cell r="BE29">
            <v>7.6111365494873819E-3</v>
          </cell>
          <cell r="BF29">
            <v>8.4649999999999999</v>
          </cell>
          <cell r="BG29">
            <v>9.986857225104822E-3</v>
          </cell>
          <cell r="BH29">
            <v>5.8520000000000003</v>
          </cell>
          <cell r="BI29">
            <v>5.3206675019229687E-3</v>
          </cell>
          <cell r="BJ29">
            <v>7.3440000000000003</v>
          </cell>
          <cell r="BK29">
            <v>8.3851027414855936E-3</v>
          </cell>
          <cell r="BL29">
            <v>5.8230000000000004</v>
          </cell>
          <cell r="BM29">
            <v>5.9907160875881174E-3</v>
          </cell>
          <cell r="BN29">
            <v>6.72</v>
          </cell>
          <cell r="BO29">
            <v>6.8342759277885533E-3</v>
          </cell>
          <cell r="BP29">
            <v>4.6319999999999997</v>
          </cell>
          <cell r="BQ29">
            <v>4.1809657742097944E-3</v>
          </cell>
          <cell r="BR29">
            <v>3.88</v>
          </cell>
          <cell r="BS29">
            <v>4.8151563250429085E-3</v>
          </cell>
          <cell r="BT29">
            <v>3.988</v>
          </cell>
          <cell r="BU29">
            <v>4.5742075712999443E-3</v>
          </cell>
          <cell r="BV29">
            <v>2.782</v>
          </cell>
          <cell r="BW29">
            <v>2.7704858607626704E-3</v>
          </cell>
          <cell r="BX29">
            <v>4.7569999999999997</v>
          </cell>
          <cell r="BY29">
            <v>4.0645786962075605E-3</v>
          </cell>
          <cell r="BZ29">
            <v>5.2060000000000004</v>
          </cell>
          <cell r="CA29">
            <v>4.1530750385511631E-3</v>
          </cell>
          <cell r="CB29">
            <v>3.9409999999999998</v>
          </cell>
          <cell r="CC29">
            <v>3.7399904720872017E-3</v>
          </cell>
          <cell r="CD29">
            <v>4.3600000000000003</v>
          </cell>
          <cell r="CE29">
            <v>4.4671490367966041E-3</v>
          </cell>
          <cell r="CF29">
            <v>6.2569999999999997</v>
          </cell>
          <cell r="CG29">
            <v>5.5632761534884501E-3</v>
          </cell>
          <cell r="CH29">
            <v>6.0060000000000002</v>
          </cell>
          <cell r="CI29">
            <v>4.9721383092246165E-3</v>
          </cell>
          <cell r="CJ29">
            <v>9.2530000000000001</v>
          </cell>
          <cell r="CK29">
            <v>6.5529490749527642E-3</v>
          </cell>
          <cell r="CL29">
            <v>9.5649999999999995</v>
          </cell>
          <cell r="CM29">
            <v>7.0792648222338496E-3</v>
          </cell>
          <cell r="CN29">
            <v>11.377000000000001</v>
          </cell>
          <cell r="CO29">
            <v>7.0461134277480754E-3</v>
          </cell>
          <cell r="CP29">
            <v>11.250999999999999</v>
          </cell>
          <cell r="CQ29">
            <v>6.6181574334419589E-3</v>
          </cell>
          <cell r="CR29">
            <v>7.984</v>
          </cell>
          <cell r="CS29">
            <v>5.5328140083310984E-3</v>
          </cell>
          <cell r="CT29">
            <v>8.5269999999999992</v>
          </cell>
          <cell r="CU29">
            <v>6.2848256139626767E-3</v>
          </cell>
          <cell r="CV29">
            <v>11.638</v>
          </cell>
          <cell r="CW29">
            <v>7.8023023429030754E-3</v>
          </cell>
          <cell r="CX29">
            <v>12.086</v>
          </cell>
          <cell r="CY29">
            <v>7.6395130837565205E-3</v>
          </cell>
          <cell r="CZ29">
            <v>8.4990000000000006</v>
          </cell>
          <cell r="DA29">
            <v>4.4234798874534312E-3</v>
          </cell>
          <cell r="DB29">
            <v>4.9290000000000003</v>
          </cell>
          <cell r="DC29">
            <v>2.6613508042635605E-3</v>
          </cell>
          <cell r="DD29">
            <v>12.666</v>
          </cell>
          <cell r="DE29">
            <v>5.5505743832183867E-3</v>
          </cell>
          <cell r="DF29">
            <v>10.228</v>
          </cell>
          <cell r="DG29">
            <v>4.8542168754751938E-3</v>
          </cell>
          <cell r="DH29">
            <v>15.792999999999999</v>
          </cell>
          <cell r="DI29">
            <v>6.5162102747593703E-3</v>
          </cell>
          <cell r="DJ29">
            <v>18.853000000000002</v>
          </cell>
          <cell r="DK29">
            <v>7.9416965819490599E-3</v>
          </cell>
          <cell r="DL29">
            <v>16.919</v>
          </cell>
          <cell r="DM29">
            <v>6.1165562042428704E-3</v>
          </cell>
          <cell r="DN29">
            <v>17.135999999999999</v>
          </cell>
          <cell r="DO29">
            <v>7.5981965811662625E-3</v>
          </cell>
          <cell r="DP29">
            <v>13.167</v>
          </cell>
          <cell r="DQ29">
            <v>5.9206026811107742E-3</v>
          </cell>
          <cell r="DR29">
            <v>16.283999999999999</v>
          </cell>
          <cell r="DS29">
            <v>7.0561899607455032E-3</v>
          </cell>
          <cell r="DT29">
            <v>14.2</v>
          </cell>
          <cell r="DU29">
            <v>5.6691152986266362E-3</v>
          </cell>
          <cell r="DV29">
            <v>10.1</v>
          </cell>
          <cell r="DW29">
            <v>5.2796654469419758E-3</v>
          </cell>
          <cell r="DX29">
            <v>10.4</v>
          </cell>
          <cell r="DY29">
            <v>4.7776552737963983E-3</v>
          </cell>
          <cell r="DZ29">
            <v>9.4</v>
          </cell>
          <cell r="EA29">
            <v>4.3073821197818817E-3</v>
          </cell>
          <cell r="EB29">
            <v>10</v>
          </cell>
          <cell r="EC29">
            <v>3.9982407740594139E-3</v>
          </cell>
          <cell r="ED29">
            <v>6.7</v>
          </cell>
          <cell r="EE29">
            <v>3.2529640814503366E-3</v>
          </cell>
          <cell r="EF29">
            <v>13.9</v>
          </cell>
          <cell r="EG29">
            <v>6.4303445646934293E-3</v>
          </cell>
          <cell r="EH29">
            <v>14.4</v>
          </cell>
          <cell r="EI29">
            <v>6.3361206397369793E-3</v>
          </cell>
          <cell r="EJ29">
            <v>15.4</v>
          </cell>
          <cell r="EK29">
            <v>5.8406341259908227E-3</v>
          </cell>
          <cell r="EL29">
            <v>16.7</v>
          </cell>
          <cell r="EM29">
            <v>7.5953972802110343E-3</v>
          </cell>
          <cell r="EN29">
            <v>18</v>
          </cell>
          <cell r="EO29">
            <v>8.0500894454382833E-3</v>
          </cell>
          <cell r="EP29">
            <v>5.9</v>
          </cell>
          <cell r="EQ29">
            <v>2.4293831837272502E-3</v>
          </cell>
          <cell r="ES29" t="str">
            <v>Interest Expense</v>
          </cell>
          <cell r="ET29">
            <v>63.506</v>
          </cell>
          <cell r="EU29">
            <v>6.6477121835608515E-3</v>
          </cell>
          <cell r="EV29">
            <v>44.099999999999994</v>
          </cell>
          <cell r="EW29">
            <v>5.0245530882202152E-3</v>
          </cell>
          <cell r="EX29">
            <v>45</v>
          </cell>
          <cell r="EY29">
            <v>5.0027403900136398E-3</v>
          </cell>
          <cell r="EZ29">
            <v>56</v>
          </cell>
          <cell r="FA29">
            <v>5.8947368421052634E-3</v>
          </cell>
          <cell r="FB29">
            <v>50</v>
          </cell>
          <cell r="FC29">
            <v>4.8262548262548262E-3</v>
          </cell>
          <cell r="FE29" t="str">
            <v>Interest Expense</v>
          </cell>
          <cell r="FF29">
            <v>53.750999999999998</v>
          </cell>
          <cell r="FG29">
            <v>6.0060405676748072E-3</v>
          </cell>
          <cell r="FH29">
            <v>36.5</v>
          </cell>
          <cell r="FI29">
            <v>4.0919924752182207E-3</v>
          </cell>
          <cell r="FJ29">
            <v>60.400000000000006</v>
          </cell>
          <cell r="FK29">
            <v>6.5158456952806509E-3</v>
          </cell>
          <cell r="FL29">
            <v>42</v>
          </cell>
          <cell r="FM29">
            <v>3.9436619718309857E-3</v>
          </cell>
        </row>
        <row r="30">
          <cell r="A30" t="str">
            <v>Other Income/(Exp)</v>
          </cell>
          <cell r="D30">
            <v>0.78300000000000003</v>
          </cell>
          <cell r="E30">
            <v>2.3893222014720419E-3</v>
          </cell>
          <cell r="F30">
            <v>-5.3159999999999998</v>
          </cell>
          <cell r="G30">
            <v>-2.2344771928644688E-2</v>
          </cell>
          <cell r="H30">
            <v>3.9E-2</v>
          </cell>
          <cell r="I30">
            <v>1.5077999652046164E-4</v>
          </cell>
          <cell r="J30">
            <v>-6.7489999999999997</v>
          </cell>
          <cell r="K30">
            <v>-2.7552449265363276E-2</v>
          </cell>
          <cell r="L30">
            <v>-0.123</v>
          </cell>
          <cell r="M30">
            <v>-4.7820289021161455E-4</v>
          </cell>
          <cell r="N30">
            <v>2.5030000000000001</v>
          </cell>
          <cell r="O30">
            <v>1.3672888568416338E-2</v>
          </cell>
          <cell r="P30">
            <v>0.99199999999999999</v>
          </cell>
          <cell r="Q30">
            <v>4.9744757243578809E-3</v>
          </cell>
          <cell r="R30">
            <v>2.8290000000000002</v>
          </cell>
          <cell r="S30">
            <v>1.190340944951465E-2</v>
          </cell>
          <cell r="T30">
            <v>3.1619999999999999</v>
          </cell>
          <cell r="U30">
            <v>1.1179939751368322E-2</v>
          </cell>
          <cell r="V30">
            <v>16.6555</v>
          </cell>
          <cell r="W30">
            <v>7.1053462339169302E-2</v>
          </cell>
          <cell r="X30">
            <v>1.42</v>
          </cell>
          <cell r="Y30">
            <v>4.2798542438371601E-3</v>
          </cell>
          <cell r="Z30">
            <v>-0.51600000000000001</v>
          </cell>
          <cell r="AA30">
            <v>-1.4559121035390514E-3</v>
          </cell>
          <cell r="AB30">
            <v>-1.0880000000000001</v>
          </cell>
          <cell r="AC30">
            <v>-2.1304676454807847E-3</v>
          </cell>
          <cell r="AD30">
            <v>3.0470000000000002</v>
          </cell>
          <cell r="AE30">
            <v>9.4617632354448145E-3</v>
          </cell>
          <cell r="AF30">
            <v>5.0000000000000001E-3</v>
          </cell>
          <cell r="AG30">
            <v>1.0760486632247457E-5</v>
          </cell>
          <cell r="AH30">
            <v>1.4850000000000001</v>
          </cell>
          <cell r="AI30">
            <v>3.5919800880942192E-3</v>
          </cell>
          <cell r="AJ30">
            <v>0.25800000000000001</v>
          </cell>
          <cell r="AK30">
            <v>4.5241886271016432E-4</v>
          </cell>
          <cell r="AL30">
            <v>3.153</v>
          </cell>
          <cell r="AM30">
            <v>7.5896532301159758E-3</v>
          </cell>
          <cell r="AN30">
            <v>1.1990000000000001</v>
          </cell>
          <cell r="AO30">
            <v>2.0748647184742558E-3</v>
          </cell>
          <cell r="AP30">
            <v>2.6539999999999999</v>
          </cell>
          <cell r="AQ30">
            <v>4.357806450341695E-3</v>
          </cell>
          <cell r="AR30">
            <v>0.41</v>
          </cell>
          <cell r="AS30">
            <v>4.9183848024308811E-4</v>
          </cell>
          <cell r="AT30">
            <v>1.321</v>
          </cell>
          <cell r="AU30">
            <v>2.0359787185509869E-3</v>
          </cell>
          <cell r="AV30">
            <v>1.298</v>
          </cell>
          <cell r="AW30">
            <v>1.6180342255375166E-3</v>
          </cell>
          <cell r="AX30">
            <v>-2.988</v>
          </cell>
          <cell r="AY30">
            <v>-4.1559626519715098E-3</v>
          </cell>
          <cell r="AZ30">
            <v>0.32300000000000001</v>
          </cell>
          <cell r="BA30">
            <v>3.4101910868374014E-4</v>
          </cell>
          <cell r="BB30">
            <v>0.434</v>
          </cell>
          <cell r="BC30">
            <v>5.8379079305423474E-4</v>
          </cell>
          <cell r="BD30">
            <v>6.2E-2</v>
          </cell>
          <cell r="BE30">
            <v>7.1509390220975551E-5</v>
          </cell>
          <cell r="BF30">
            <v>-2.96</v>
          </cell>
          <cell r="BG30">
            <v>-3.4921556274436234E-3</v>
          </cell>
          <cell r="BH30">
            <v>0.85099999999999998</v>
          </cell>
          <cell r="BI30">
            <v>7.7373343201237962E-4</v>
          </cell>
          <cell r="BJ30">
            <v>-1.204</v>
          </cell>
          <cell r="BK30">
            <v>-1.3746818764635966E-3</v>
          </cell>
          <cell r="BL30">
            <v>-1.413</v>
          </cell>
          <cell r="BM30">
            <v>-1.4536977214085539E-3</v>
          </cell>
          <cell r="BN30">
            <v>0.29099999999999998</v>
          </cell>
          <cell r="BO30">
            <v>2.9594855580155786E-4</v>
          </cell>
          <cell r="BP30">
            <v>-3.36</v>
          </cell>
          <cell r="BQ30">
            <v>-3.0328249139345664E-3</v>
          </cell>
          <cell r="BR30">
            <v>1.1819999999999999</v>
          </cell>
          <cell r="BS30">
            <v>1.466885251598123E-3</v>
          </cell>
          <cell r="BT30">
            <v>3.2290000000000001</v>
          </cell>
          <cell r="BU30">
            <v>3.7036399818775128E-3</v>
          </cell>
          <cell r="BV30">
            <v>-9.3209999999999997</v>
          </cell>
          <cell r="BW30">
            <v>-9.2824222531160492E-3</v>
          </cell>
          <cell r="BX30">
            <v>0.83</v>
          </cell>
          <cell r="BY30">
            <v>7.0918652887371771E-4</v>
          </cell>
          <cell r="BZ30">
            <v>-1.1619999999999999</v>
          </cell>
          <cell r="CA30">
            <v>-9.2698294175882644E-4</v>
          </cell>
          <cell r="CB30">
            <v>-1.6619999999999999</v>
          </cell>
          <cell r="CC30">
            <v>-1.5772301864016567E-3</v>
          </cell>
          <cell r="CD30">
            <v>-2.98</v>
          </cell>
          <cell r="CE30">
            <v>-3.0532348921224494E-3</v>
          </cell>
          <cell r="CF30">
            <v>-5.3760000000000003</v>
          </cell>
          <cell r="CG30">
            <v>-4.7799540676288811E-3</v>
          </cell>
          <cell r="CH30">
            <v>-1.726</v>
          </cell>
          <cell r="CI30">
            <v>-1.4288895640562249E-3</v>
          </cell>
          <cell r="CJ30">
            <v>-5.5140000000000002</v>
          </cell>
          <cell r="CK30">
            <v>-3.9049995892456008E-3</v>
          </cell>
          <cell r="CL30">
            <v>-6.133</v>
          </cell>
          <cell r="CM30">
            <v>-4.5391668745175329E-3</v>
          </cell>
          <cell r="CN30">
            <v>-8.3439999999999994</v>
          </cell>
          <cell r="CO30">
            <v>-5.1676865993785645E-3</v>
          </cell>
          <cell r="CP30">
            <v>-10.249000000000001</v>
          </cell>
          <cell r="CQ30">
            <v>-6.028752602910554E-3</v>
          </cell>
          <cell r="CR30">
            <v>-8.798</v>
          </cell>
          <cell r="CS30">
            <v>-6.0969060176975206E-3</v>
          </cell>
          <cell r="CT30">
            <v>-7.375</v>
          </cell>
          <cell r="CU30">
            <v>-5.435743978301248E-3</v>
          </cell>
          <cell r="CV30">
            <v>-9.8309999999999995</v>
          </cell>
          <cell r="CW30">
            <v>-6.5908604857432664E-3</v>
          </cell>
          <cell r="CX30">
            <v>-11.429</v>
          </cell>
          <cell r="CY30">
            <v>-7.2242259667593314E-3</v>
          </cell>
          <cell r="CZ30">
            <v>-9.7059999999999995</v>
          </cell>
          <cell r="DA30">
            <v>-5.051687938301329E-3</v>
          </cell>
          <cell r="DB30">
            <v>-11.455</v>
          </cell>
          <cell r="DC30">
            <v>-6.1849814288575944E-3</v>
          </cell>
          <cell r="DD30">
            <v>-8.641</v>
          </cell>
          <cell r="DE30">
            <v>-3.7867135042941795E-3</v>
          </cell>
          <cell r="DF30">
            <v>0.14699999999999999</v>
          </cell>
          <cell r="DG30">
            <v>6.976631606324339E-5</v>
          </cell>
          <cell r="DH30">
            <v>-7.7160000000000002</v>
          </cell>
          <cell r="DI30">
            <v>-3.1836306262295515E-3</v>
          </cell>
          <cell r="DJ30">
            <v>-10.87</v>
          </cell>
          <cell r="DK30">
            <v>-4.5789127378022734E-3</v>
          </cell>
          <cell r="DL30">
            <v>-13.169</v>
          </cell>
          <cell r="DM30">
            <v>-4.7608563540205897E-3</v>
          </cell>
          <cell r="DN30">
            <v>-6.3209999999999997</v>
          </cell>
          <cell r="DO30">
            <v>-2.8027661408468688E-3</v>
          </cell>
          <cell r="DP30">
            <v>-7.9829999999999997</v>
          </cell>
          <cell r="DQ30">
            <v>-3.5895930130862997E-3</v>
          </cell>
          <cell r="DR30">
            <v>10.028</v>
          </cell>
          <cell r="DS30">
            <v>4.3453373204590954E-3</v>
          </cell>
          <cell r="DT30">
            <v>-4.5999999999999996</v>
          </cell>
          <cell r="DU30">
            <v>-1.8364739699776426E-3</v>
          </cell>
          <cell r="DV30">
            <v>-27.6</v>
          </cell>
          <cell r="DW30">
            <v>-1.4427600627286985E-2</v>
          </cell>
          <cell r="DX30">
            <v>-26.3</v>
          </cell>
          <cell r="DY30">
            <v>-1.2081955163542815E-2</v>
          </cell>
          <cell r="DZ30">
            <v>15.2</v>
          </cell>
          <cell r="EA30">
            <v>6.9651285341153822E-3</v>
          </cell>
          <cell r="EB30">
            <v>-7</v>
          </cell>
          <cell r="EC30">
            <v>-2.7987685418415899E-3</v>
          </cell>
          <cell r="ED30">
            <v>-16.8</v>
          </cell>
          <cell r="EE30">
            <v>-8.1566860549799492E-3</v>
          </cell>
          <cell r="EF30">
            <v>0.2</v>
          </cell>
          <cell r="EG30">
            <v>9.2522943376883873E-5</v>
          </cell>
          <cell r="EH30">
            <v>2.8</v>
          </cell>
          <cell r="EI30">
            <v>1.2320234577266346E-3</v>
          </cell>
          <cell r="EJ30">
            <v>-20</v>
          </cell>
          <cell r="EK30">
            <v>-7.5852391246634052E-3</v>
          </cell>
          <cell r="EL30">
            <v>6.4</v>
          </cell>
          <cell r="EM30">
            <v>2.9108109337335703E-3</v>
          </cell>
          <cell r="EN30">
            <v>-2</v>
          </cell>
          <cell r="EO30">
            <v>-8.9445438282647585E-4</v>
          </cell>
          <cell r="EP30">
            <v>5.6</v>
          </cell>
          <cell r="EQ30">
            <v>2.3058552252326436E-3</v>
          </cell>
          <cell r="ES30" t="str">
            <v>Other Income/(Exp)</v>
          </cell>
          <cell r="ET30">
            <v>-17.445</v>
          </cell>
          <cell r="EU30">
            <v>-1.8261162573964516E-3</v>
          </cell>
          <cell r="EV30">
            <v>-43.3</v>
          </cell>
          <cell r="EW30">
            <v>-4.9334047328783524E-3</v>
          </cell>
          <cell r="EX30">
            <v>-20.8</v>
          </cell>
          <cell r="EY30">
            <v>-2.3123777802729712E-3</v>
          </cell>
          <cell r="EZ30">
            <v>-10</v>
          </cell>
          <cell r="FA30">
            <v>-1.0526315789473684E-3</v>
          </cell>
          <cell r="FB30">
            <v>-10</v>
          </cell>
          <cell r="FC30">
            <v>-9.6525096525096527E-4</v>
          </cell>
          <cell r="FE30" t="str">
            <v>Other Income/(Exp)</v>
          </cell>
          <cell r="FF30">
            <v>-30.155000000000001</v>
          </cell>
          <cell r="FG30">
            <v>-3.3694657460927951E-3</v>
          </cell>
          <cell r="FH30">
            <v>-34.900000000000006</v>
          </cell>
          <cell r="FI30">
            <v>-3.9126174626059156E-3</v>
          </cell>
          <cell r="FJ30">
            <v>-10.6</v>
          </cell>
          <cell r="FK30">
            <v>-1.1435093438737563E-3</v>
          </cell>
          <cell r="FL30">
            <v>-15</v>
          </cell>
          <cell r="FM30">
            <v>-1.4084507042253522E-3</v>
          </cell>
        </row>
        <row r="31">
          <cell r="A31" t="str">
            <v>Pretax Income</v>
          </cell>
          <cell r="D31">
            <v>47.241000000000021</v>
          </cell>
          <cell r="E31">
            <v>0.14415577282214659</v>
          </cell>
          <cell r="F31">
            <v>18.486999999999981</v>
          </cell>
          <cell r="G31">
            <v>7.7706508398204269E-2</v>
          </cell>
          <cell r="H31">
            <v>25.61499999999997</v>
          </cell>
          <cell r="I31">
            <v>9.9031528483887701E-2</v>
          </cell>
          <cell r="J31">
            <v>18.673999999999982</v>
          </cell>
          <cell r="K31">
            <v>7.6235655294324092E-2</v>
          </cell>
          <cell r="L31">
            <v>29.839999999999975</v>
          </cell>
          <cell r="M31">
            <v>0.11601279873101274</v>
          </cell>
          <cell r="N31">
            <v>6.7890000000000219</v>
          </cell>
          <cell r="O31">
            <v>3.708559348421047E-2</v>
          </cell>
          <cell r="P31">
            <v>12.955000000000013</v>
          </cell>
          <cell r="Q31">
            <v>6.496404537203268E-2</v>
          </cell>
          <cell r="R31">
            <v>24.09500000000001</v>
          </cell>
          <cell r="S31">
            <v>0.10138305079040494</v>
          </cell>
          <cell r="T31">
            <v>43.281000000000049</v>
          </cell>
          <cell r="U31">
            <v>0.15302940302940318</v>
          </cell>
          <cell r="V31">
            <v>31.347500000000011</v>
          </cell>
          <cell r="W31">
            <v>0.13373050407835912</v>
          </cell>
          <cell r="X31">
            <v>44.999000000000045</v>
          </cell>
          <cell r="Y31">
            <v>0.13562616980171024</v>
          </cell>
          <cell r="Z31">
            <v>46.567000000000043</v>
          </cell>
          <cell r="AA31">
            <v>0.13139042427423075</v>
          </cell>
          <cell r="AB31">
            <v>94.986000000000004</v>
          </cell>
          <cell r="AC31">
            <v>0.18599687479194654</v>
          </cell>
          <cell r="AD31">
            <v>40.075000000000024</v>
          </cell>
          <cell r="AE31">
            <v>0.12444376818524816</v>
          </cell>
          <cell r="AF31">
            <v>79.828000000000031</v>
          </cell>
          <cell r="AG31">
            <v>0.17179762537581006</v>
          </cell>
          <cell r="AH31">
            <v>55.758000000000003</v>
          </cell>
          <cell r="AI31">
            <v>0.13486978165114979</v>
          </cell>
          <cell r="AJ31">
            <v>92.474000000000032</v>
          </cell>
          <cell r="AK31">
            <v>0.16215884461340987</v>
          </cell>
          <cell r="AL31">
            <v>30.305999999999948</v>
          </cell>
          <cell r="AM31">
            <v>7.2950215918773986E-2</v>
          </cell>
          <cell r="AN31">
            <v>103.90500000000017</v>
          </cell>
          <cell r="AO31">
            <v>0.17980718813433519</v>
          </cell>
          <cell r="AP31">
            <v>104.02200000000005</v>
          </cell>
          <cell r="AQ31">
            <v>0.17080171159662547</v>
          </cell>
          <cell r="AR31">
            <v>163.35199999999995</v>
          </cell>
          <cell r="AS31">
            <v>0.19595804737724126</v>
          </cell>
          <cell r="AT31">
            <v>95.181000000000083</v>
          </cell>
          <cell r="AU31">
            <v>0.14669681333111406</v>
          </cell>
          <cell r="AV31">
            <v>115.86799999999998</v>
          </cell>
          <cell r="AW31">
            <v>0.14443635565838284</v>
          </cell>
          <cell r="AX31">
            <v>87.342999999999833</v>
          </cell>
          <cell r="AY31">
            <v>0.1214840180425525</v>
          </cell>
          <cell r="AZ31">
            <v>186.13700000000006</v>
          </cell>
          <cell r="BA31">
            <v>0.19652097161939738</v>
          </cell>
          <cell r="BB31">
            <v>99.934999999999917</v>
          </cell>
          <cell r="BC31">
            <v>0.13442657351123249</v>
          </cell>
          <cell r="BD31">
            <v>134.21700000000004</v>
          </cell>
          <cell r="BE31">
            <v>0.15480283592401095</v>
          </cell>
          <cell r="BF31">
            <v>101.52900000000018</v>
          </cell>
          <cell r="BG31">
            <v>0.11978211780362306</v>
          </cell>
          <cell r="BH31">
            <v>200.19300000000007</v>
          </cell>
          <cell r="BI31">
            <v>0.18201647115729069</v>
          </cell>
          <cell r="BJ31">
            <v>124.14499999999991</v>
          </cell>
          <cell r="BK31">
            <v>0.14174408766908064</v>
          </cell>
          <cell r="BL31">
            <v>146.07099999999997</v>
          </cell>
          <cell r="BM31">
            <v>0.15027818815560426</v>
          </cell>
          <cell r="BN31">
            <v>124.10699999999989</v>
          </cell>
          <cell r="BO31">
            <v>0.12621748252530554</v>
          </cell>
          <cell r="BP31">
            <v>192.80000000000013</v>
          </cell>
          <cell r="BQ31">
            <v>0.17402638196624548</v>
          </cell>
          <cell r="BR31">
            <v>83.495000000000019</v>
          </cell>
          <cell r="BS31">
            <v>0.10361893746377776</v>
          </cell>
          <cell r="BT31">
            <v>102.735</v>
          </cell>
          <cell r="BU31">
            <v>0.11783631264731689</v>
          </cell>
          <cell r="BV31">
            <v>111.56399999999992</v>
          </cell>
          <cell r="BW31">
            <v>0.11110225901154794</v>
          </cell>
          <cell r="BX31">
            <v>173.68700000000004</v>
          </cell>
          <cell r="BY31">
            <v>0.14840539836203548</v>
          </cell>
          <cell r="BZ31">
            <v>198.86400000000003</v>
          </cell>
          <cell r="CA31">
            <v>0.15864331818410266</v>
          </cell>
          <cell r="CB31">
            <v>139.23899999999992</v>
          </cell>
          <cell r="CC31">
            <v>0.13213715639252718</v>
          </cell>
          <cell r="CD31">
            <v>113.32899999999989</v>
          </cell>
          <cell r="CE31">
            <v>0.11611411311722979</v>
          </cell>
          <cell r="CF31">
            <v>156.34900000000013</v>
          </cell>
          <cell r="CG31">
            <v>0.13901433008179101</v>
          </cell>
          <cell r="CH31">
            <v>196.14300000000006</v>
          </cell>
          <cell r="CI31">
            <v>0.16237930808961776</v>
          </cell>
          <cell r="CJ31">
            <v>180.58899999999983</v>
          </cell>
          <cell r="CK31">
            <v>0.12789263163262116</v>
          </cell>
          <cell r="CL31">
            <v>145.18100000000007</v>
          </cell>
          <cell r="CM31">
            <v>0.10745162008956957</v>
          </cell>
          <cell r="CN31">
            <v>267.88099999999986</v>
          </cell>
          <cell r="CO31">
            <v>0.16590664596454083</v>
          </cell>
          <cell r="CP31">
            <v>296.09799999999996</v>
          </cell>
          <cell r="CQ31">
            <v>0.17417324502064679</v>
          </cell>
          <cell r="CR31">
            <v>192.21599999999998</v>
          </cell>
          <cell r="CS31">
            <v>0.13320332883584296</v>
          </cell>
          <cell r="CT31">
            <v>159.01399999999978</v>
          </cell>
          <cell r="CU31">
            <v>0.11720127362245335</v>
          </cell>
          <cell r="CV31">
            <v>185.04900000000015</v>
          </cell>
          <cell r="CW31">
            <v>0.12405982524934459</v>
          </cell>
          <cell r="CX31">
            <v>217.6730000000002</v>
          </cell>
          <cell r="CY31">
            <v>0.1375902475161786</v>
          </cell>
          <cell r="CZ31">
            <v>253.94399999999993</v>
          </cell>
          <cell r="DA31">
            <v>0.13217039375685066</v>
          </cell>
          <cell r="DB31">
            <v>217.42700000000013</v>
          </cell>
          <cell r="DC31">
            <v>0.11739694082341519</v>
          </cell>
          <cell r="DD31">
            <v>368.96299999999997</v>
          </cell>
          <cell r="DE31">
            <v>0.16168929229081047</v>
          </cell>
          <cell r="DF31">
            <v>288.8720000000003</v>
          </cell>
          <cell r="DG31">
            <v>0.13709887927769571</v>
          </cell>
          <cell r="DH31">
            <v>387.13300000000027</v>
          </cell>
          <cell r="DI31">
            <v>0.15973152867083018</v>
          </cell>
          <cell r="DJ31">
            <v>250.24899999999997</v>
          </cell>
          <cell r="DK31">
            <v>0.10541567007564683</v>
          </cell>
          <cell r="DL31">
            <v>411.63000000000022</v>
          </cell>
          <cell r="DM31">
            <v>0.14881246115919936</v>
          </cell>
          <cell r="DN31">
            <v>229.24900000000002</v>
          </cell>
          <cell r="DO31">
            <v>0.10165026657538427</v>
          </cell>
          <cell r="DP31">
            <v>122.55199999999965</v>
          </cell>
          <cell r="DQ31">
            <v>5.510607577849818E-2</v>
          </cell>
          <cell r="DR31">
            <v>19.398999999999518</v>
          </cell>
          <cell r="DS31">
            <v>8.4059831152357295E-3</v>
          </cell>
          <cell r="DT31">
            <v>270.80000000000024</v>
          </cell>
          <cell r="DU31">
            <v>0.10811242414564046</v>
          </cell>
          <cell r="DV31">
            <v>113.80000000000013</v>
          </cell>
          <cell r="DW31">
            <v>5.9487715629900746E-2</v>
          </cell>
          <cell r="DX31">
            <v>205.40000000000012</v>
          </cell>
          <cell r="DY31">
            <v>9.4358691657478913E-2</v>
          </cell>
          <cell r="DZ31">
            <v>179.4</v>
          </cell>
          <cell r="EA31">
            <v>8.220684598817761E-2</v>
          </cell>
          <cell r="EB31">
            <v>322.89999999999975</v>
          </cell>
          <cell r="EC31">
            <v>0.12910319459437838</v>
          </cell>
          <cell r="ED31">
            <v>173.3599999999999</v>
          </cell>
          <cell r="EE31">
            <v>8.4169231814959708E-2</v>
          </cell>
          <cell r="EF31">
            <v>229.12600000000012</v>
          </cell>
          <cell r="EG31">
            <v>0.10599705962085952</v>
          </cell>
          <cell r="EH31">
            <v>193.68400000000057</v>
          </cell>
          <cell r="EI31">
            <v>8.5222582637973651E-2</v>
          </cell>
          <cell r="EJ31">
            <v>330.99999999999977</v>
          </cell>
          <cell r="EK31">
            <v>0.12553570751317927</v>
          </cell>
          <cell r="EL31">
            <v>187.99999999999997</v>
          </cell>
          <cell r="EM31">
            <v>8.5505071178423611E-2</v>
          </cell>
          <cell r="EN31">
            <v>150</v>
          </cell>
          <cell r="EO31">
            <v>6.7084078711985684E-2</v>
          </cell>
          <cell r="EP31">
            <v>234.0000000000004</v>
          </cell>
          <cell r="EQ31">
            <v>9.635180762579279E-2</v>
          </cell>
          <cell r="ES31" t="str">
            <v>Pretax Income</v>
          </cell>
          <cell r="ET31">
            <v>782.82999999999947</v>
          </cell>
          <cell r="EU31">
            <v>8.1945462297372498E-2</v>
          </cell>
          <cell r="EV31">
            <v>769.39999999999793</v>
          </cell>
          <cell r="EW31">
            <v>8.7661930750036809E-2</v>
          </cell>
          <cell r="EX31">
            <v>919.0700000000013</v>
          </cell>
          <cell r="EY31">
            <v>0.10217485800555205</v>
          </cell>
          <cell r="EZ31">
            <v>903</v>
          </cell>
          <cell r="FA31">
            <v>9.5052631578947375E-2</v>
          </cell>
          <cell r="FB31">
            <v>1020</v>
          </cell>
          <cell r="FC31">
            <v>9.8455598455598453E-2</v>
          </cell>
          <cell r="FE31" t="str">
            <v>Pretax Income</v>
          </cell>
          <cell r="FF31">
            <v>526.55099999999948</v>
          </cell>
          <cell r="FG31">
            <v>5.8835866624802037E-2</v>
          </cell>
          <cell r="FH31">
            <v>881.06000000000097</v>
          </cell>
          <cell r="FI31">
            <v>9.8775092882623816E-2</v>
          </cell>
          <cell r="FJ31">
            <v>941.81000000000176</v>
          </cell>
          <cell r="FK31">
            <v>0.10160080520318344</v>
          </cell>
          <cell r="FL31">
            <v>1073</v>
          </cell>
          <cell r="FM31">
            <v>0.10075117370892019</v>
          </cell>
        </row>
        <row r="32">
          <cell r="Y32" t="str">
            <v xml:space="preserve"> </v>
          </cell>
          <cell r="AG32" t="str">
            <v xml:space="preserve"> </v>
          </cell>
          <cell r="AO32" t="str">
            <v xml:space="preserve"> </v>
          </cell>
          <cell r="AW32" t="str">
            <v xml:space="preserve"> </v>
          </cell>
          <cell r="BE32" t="str">
            <v xml:space="preserve"> </v>
          </cell>
          <cell r="BM32" t="str">
            <v xml:space="preserve"> </v>
          </cell>
          <cell r="BU32" t="str">
            <v xml:space="preserve"> </v>
          </cell>
          <cell r="CG32" t="str">
            <v xml:space="preserve"> </v>
          </cell>
          <cell r="CI32" t="str">
            <v xml:space="preserve"> </v>
          </cell>
          <cell r="CW32" t="str">
            <v xml:space="preserve"> </v>
          </cell>
          <cell r="CY32" t="str">
            <v xml:space="preserve"> </v>
          </cell>
          <cell r="DI32" t="str">
            <v xml:space="preserve"> </v>
          </cell>
          <cell r="DQ32" t="str">
            <v xml:space="preserve"> </v>
          </cell>
        </row>
        <row r="33">
          <cell r="A33" t="str">
            <v>Income Tax</v>
          </cell>
          <cell r="D33">
            <v>24.1</v>
          </cell>
          <cell r="F33">
            <v>10.1</v>
          </cell>
          <cell r="H33">
            <v>16</v>
          </cell>
          <cell r="J33">
            <v>7.56</v>
          </cell>
          <cell r="L33">
            <v>14.9</v>
          </cell>
          <cell r="N33">
            <v>1.6</v>
          </cell>
          <cell r="P33">
            <v>8.6999999999999993</v>
          </cell>
          <cell r="R33">
            <v>12.6</v>
          </cell>
          <cell r="T33">
            <v>18.2</v>
          </cell>
          <cell r="V33">
            <v>12.8</v>
          </cell>
          <cell r="X33">
            <v>17.399999999999999</v>
          </cell>
          <cell r="Z33">
            <v>16.100000000000001</v>
          </cell>
          <cell r="AB33">
            <v>38</v>
          </cell>
          <cell r="AD33">
            <v>15.3</v>
          </cell>
          <cell r="AF33">
            <v>31</v>
          </cell>
          <cell r="AH33">
            <v>19.3</v>
          </cell>
          <cell r="AJ33">
            <v>49</v>
          </cell>
          <cell r="AL33">
            <v>23.8</v>
          </cell>
          <cell r="AN33">
            <v>40.799999999999997</v>
          </cell>
          <cell r="AP33">
            <v>36.799999999999997</v>
          </cell>
          <cell r="AR33">
            <v>63.7</v>
          </cell>
          <cell r="AT33">
            <v>37.1</v>
          </cell>
          <cell r="AV33">
            <v>45.2</v>
          </cell>
          <cell r="AX33">
            <v>28.7</v>
          </cell>
          <cell r="AZ33">
            <v>71.7</v>
          </cell>
          <cell r="BB33">
            <v>38.4</v>
          </cell>
          <cell r="BD33">
            <v>51.7</v>
          </cell>
          <cell r="BF33">
            <v>30.8</v>
          </cell>
          <cell r="BH33">
            <v>77.599999999999994</v>
          </cell>
          <cell r="BJ33">
            <v>48.1</v>
          </cell>
          <cell r="BL33">
            <v>56.6</v>
          </cell>
          <cell r="BN33">
            <v>47.2</v>
          </cell>
          <cell r="BP33">
            <v>78.7</v>
          </cell>
          <cell r="BR33">
            <v>31.2</v>
          </cell>
          <cell r="BT33">
            <v>39.5</v>
          </cell>
          <cell r="BV33">
            <v>42.4</v>
          </cell>
          <cell r="BX33">
            <v>67.7</v>
          </cell>
          <cell r="BZ33">
            <v>77.5</v>
          </cell>
          <cell r="CB33">
            <v>54.3</v>
          </cell>
          <cell r="CD33">
            <v>44</v>
          </cell>
          <cell r="CF33">
            <v>61</v>
          </cell>
          <cell r="CH33">
            <v>76.400000000000006</v>
          </cell>
          <cell r="CJ33">
            <v>67.2</v>
          </cell>
          <cell r="CL33">
            <v>54</v>
          </cell>
          <cell r="CN33">
            <v>103.1</v>
          </cell>
          <cell r="CP33">
            <v>114</v>
          </cell>
          <cell r="CR33">
            <v>74</v>
          </cell>
          <cell r="CT33">
            <v>61.2</v>
          </cell>
          <cell r="CV33">
            <v>71.3</v>
          </cell>
          <cell r="CX33">
            <v>83.8</v>
          </cell>
          <cell r="CZ33">
            <v>97.5</v>
          </cell>
          <cell r="DB33">
            <v>83.7</v>
          </cell>
          <cell r="DD33">
            <v>142.9</v>
          </cell>
          <cell r="DF33">
            <v>112</v>
          </cell>
          <cell r="DH33">
            <v>150</v>
          </cell>
          <cell r="DJ33">
            <v>94.5</v>
          </cell>
          <cell r="DL33">
            <v>158.5</v>
          </cell>
          <cell r="DN33">
            <v>88.2</v>
          </cell>
          <cell r="DP33">
            <v>49.5</v>
          </cell>
          <cell r="DR33">
            <v>7.6</v>
          </cell>
          <cell r="DT33">
            <v>107</v>
          </cell>
          <cell r="DV33">
            <v>44.9</v>
          </cell>
          <cell r="DX33">
            <v>81.2</v>
          </cell>
          <cell r="DZ33">
            <v>70.86</v>
          </cell>
          <cell r="EB33">
            <v>122.7</v>
          </cell>
          <cell r="ED33">
            <v>65.900000000000006</v>
          </cell>
          <cell r="EF33">
            <v>83.8</v>
          </cell>
          <cell r="EH33">
            <v>67.7</v>
          </cell>
          <cell r="EJ33">
            <v>120.8</v>
          </cell>
          <cell r="EL33">
            <v>68.599999999999994</v>
          </cell>
          <cell r="EN33">
            <v>57</v>
          </cell>
          <cell r="EP33">
            <v>73.599999999999994</v>
          </cell>
          <cell r="ES33" t="str">
            <v>Income Tax</v>
          </cell>
          <cell r="ET33">
            <v>303.8</v>
          </cell>
          <cell r="EU33">
            <v>3.1801325250618635E-2</v>
          </cell>
          <cell r="EV33">
            <v>303.96000000000004</v>
          </cell>
          <cell r="EW33">
            <v>3.4631817612140972E-2</v>
          </cell>
          <cell r="EX33">
            <v>340.1</v>
          </cell>
          <cell r="EY33">
            <v>3.7809600147636423E-2</v>
          </cell>
          <cell r="EZ33">
            <v>320</v>
          </cell>
          <cell r="FA33">
            <v>3.3684210526315789E-2</v>
          </cell>
          <cell r="FB33">
            <v>362</v>
          </cell>
          <cell r="FC33">
            <v>3.4942084942084943E-2</v>
          </cell>
          <cell r="FE33" t="str">
            <v>Income Tax</v>
          </cell>
          <cell r="FF33">
            <v>209</v>
          </cell>
          <cell r="FH33">
            <v>340.65999999999997</v>
          </cell>
          <cell r="FJ33">
            <v>340.9</v>
          </cell>
          <cell r="FL33">
            <v>410</v>
          </cell>
        </row>
        <row r="34">
          <cell r="A34" t="str">
            <v>Effective Tax Rate</v>
          </cell>
          <cell r="D34">
            <v>0.51015008149700447</v>
          </cell>
          <cell r="F34">
            <v>0.54632985341050522</v>
          </cell>
          <cell r="H34">
            <v>0.62463400351356702</v>
          </cell>
          <cell r="J34">
            <v>0.40484095533897435</v>
          </cell>
          <cell r="L34">
            <v>0.49932975871313717</v>
          </cell>
          <cell r="N34">
            <v>0.23567535719546251</v>
          </cell>
          <cell r="P34">
            <v>0.67155538402161252</v>
          </cell>
          <cell r="R34">
            <v>0.5229300684789373</v>
          </cell>
          <cell r="T34">
            <v>0.42050784408862962</v>
          </cell>
          <cell r="V34">
            <v>0.40832602280883629</v>
          </cell>
          <cell r="X34">
            <v>0.38667525945020959</v>
          </cell>
          <cell r="Y34" t="str">
            <v xml:space="preserve"> </v>
          </cell>
          <cell r="Z34">
            <v>0.34573839843666088</v>
          </cell>
          <cell r="AB34">
            <v>0.40005895605668201</v>
          </cell>
          <cell r="AD34">
            <v>0.38178415470991867</v>
          </cell>
          <cell r="AF34">
            <v>0.38833492007816789</v>
          </cell>
          <cell r="AG34" t="str">
            <v xml:space="preserve"> </v>
          </cell>
          <cell r="AH34">
            <v>0.34613867068402743</v>
          </cell>
          <cell r="AJ34">
            <v>0.52987866859874111</v>
          </cell>
          <cell r="AL34">
            <v>0.78532303834224382</v>
          </cell>
          <cell r="AN34">
            <v>0.39266637794138809</v>
          </cell>
          <cell r="AO34" t="str">
            <v xml:space="preserve"> </v>
          </cell>
          <cell r="AP34">
            <v>0.35377131760589087</v>
          </cell>
          <cell r="AR34">
            <v>0.38995543366472418</v>
          </cell>
          <cell r="AT34">
            <v>0.38978367531335001</v>
          </cell>
          <cell r="AV34">
            <v>0.39009907826147006</v>
          </cell>
          <cell r="AW34" t="str">
            <v xml:space="preserve"> </v>
          </cell>
          <cell r="AX34">
            <v>0.3285895835957095</v>
          </cell>
          <cell r="AZ34">
            <v>0.38520014827788124</v>
          </cell>
          <cell r="BB34">
            <v>0.38424976234552488</v>
          </cell>
          <cell r="BD34">
            <v>0.38519710617879993</v>
          </cell>
          <cell r="BE34" t="str">
            <v xml:space="preserve"> </v>
          </cell>
          <cell r="BF34">
            <v>0.3033616011188916</v>
          </cell>
          <cell r="BH34">
            <v>0.38762594096696673</v>
          </cell>
          <cell r="BJ34">
            <v>0.38745015908816333</v>
          </cell>
          <cell r="BL34">
            <v>0.38748279946053643</v>
          </cell>
          <cell r="BM34" t="str">
            <v xml:space="preserve"> </v>
          </cell>
          <cell r="BN34">
            <v>0.38031698453753654</v>
          </cell>
          <cell r="BP34">
            <v>0.40819502074688774</v>
          </cell>
          <cell r="BR34">
            <v>0.37367507036349473</v>
          </cell>
          <cell r="BT34">
            <v>0.38448435294690225</v>
          </cell>
          <cell r="BU34" t="str">
            <v xml:space="preserve"> </v>
          </cell>
          <cell r="BV34">
            <v>0.38005091248072881</v>
          </cell>
          <cell r="BX34">
            <v>0.38978161865885175</v>
          </cell>
          <cell r="BZ34">
            <v>0.38971357309518057</v>
          </cell>
          <cell r="CB34">
            <v>0.38997694611423545</v>
          </cell>
          <cell r="CD34">
            <v>0.38825013897590238</v>
          </cell>
          <cell r="CF34">
            <v>0.39015279918643514</v>
          </cell>
          <cell r="CG34" t="str">
            <v xml:space="preserve"> </v>
          </cell>
          <cell r="CH34">
            <v>0.38951173378606418</v>
          </cell>
          <cell r="CI34" t="str">
            <v xml:space="preserve"> </v>
          </cell>
          <cell r="CJ34">
            <v>0.37211568810946438</v>
          </cell>
          <cell r="CL34">
            <v>0.37194949752378048</v>
          </cell>
          <cell r="CN34">
            <v>0.38487238736603213</v>
          </cell>
          <cell r="CP34">
            <v>0.38500766638072537</v>
          </cell>
          <cell r="CR34">
            <v>0.38498356016148505</v>
          </cell>
          <cell r="CT34">
            <v>0.38487177229677944</v>
          </cell>
          <cell r="CV34">
            <v>0.38530335208512306</v>
          </cell>
          <cell r="CW34" t="str">
            <v xml:space="preserve"> </v>
          </cell>
          <cell r="CX34">
            <v>0.38498114143692569</v>
          </cell>
          <cell r="CY34" t="str">
            <v xml:space="preserve"> </v>
          </cell>
          <cell r="CZ34">
            <v>0.38394291654853047</v>
          </cell>
          <cell r="DB34">
            <v>0.38495679009506617</v>
          </cell>
          <cell r="DD34">
            <v>0.38730170775931466</v>
          </cell>
          <cell r="DF34">
            <v>0.38771497410617811</v>
          </cell>
          <cell r="DH34">
            <v>0.38746373985167859</v>
          </cell>
          <cell r="DI34" t="str">
            <v xml:space="preserve"> </v>
          </cell>
          <cell r="DJ34">
            <v>0.37762388660893753</v>
          </cell>
          <cell r="DL34">
            <v>0.38505453927070404</v>
          </cell>
          <cell r="DN34">
            <v>0.38473450265868114</v>
          </cell>
          <cell r="DP34">
            <v>0.40391017690449882</v>
          </cell>
          <cell r="DQ34" t="str">
            <v xml:space="preserve"> </v>
          </cell>
          <cell r="DR34">
            <v>0.39177277179237013</v>
          </cell>
          <cell r="DT34">
            <v>0.39512555391432758</v>
          </cell>
          <cell r="DV34">
            <v>0.39455184534270604</v>
          </cell>
          <cell r="DX34">
            <v>0.395326192794547</v>
          </cell>
          <cell r="DZ34">
            <v>0.39500000000000002</v>
          </cell>
          <cell r="EB34">
            <v>0.37999380613192968</v>
          </cell>
          <cell r="ED34">
            <v>0.3801338255652979</v>
          </cell>
          <cell r="EF34">
            <v>0.36573762907745061</v>
          </cell>
          <cell r="EH34">
            <v>0.34953842341132879</v>
          </cell>
          <cell r="EJ34">
            <v>0.36495468277945642</v>
          </cell>
          <cell r="EL34">
            <v>0.3648936170212766</v>
          </cell>
          <cell r="EN34">
            <v>0.38</v>
          </cell>
          <cell r="EP34">
            <v>0.31452991452991397</v>
          </cell>
          <cell r="ES34" t="str">
            <v>Effective Tax Rate</v>
          </cell>
          <cell r="ET34">
            <v>0.38807914872960952</v>
          </cell>
          <cell r="EV34">
            <v>0.39506108656095767</v>
          </cell>
          <cell r="EX34">
            <v>0.37004798328745314</v>
          </cell>
          <cell r="EZ34">
            <v>0.35437430786267998</v>
          </cell>
          <cell r="FB34">
            <v>0.35490196078431374</v>
          </cell>
          <cell r="FE34" t="str">
            <v>Effective Tax Rate</v>
          </cell>
          <cell r="FF34">
            <v>0.39692261528323031</v>
          </cell>
          <cell r="FH34">
            <v>0.38664790139150523</v>
          </cell>
          <cell r="FJ34">
            <v>0.36196260392223412</v>
          </cell>
          <cell r="FL34">
            <v>0.38210624417520972</v>
          </cell>
        </row>
        <row r="35">
          <cell r="A35" t="str">
            <v>Net Income</v>
          </cell>
          <cell r="C35">
            <v>13.64</v>
          </cell>
          <cell r="D35">
            <v>24.151000000000021</v>
          </cell>
          <cell r="E35">
            <v>7.3696705603769272E-2</v>
          </cell>
          <cell r="F35">
            <v>9.8429999999999804</v>
          </cell>
          <cell r="G35">
            <v>4.1373135834019796E-2</v>
          </cell>
          <cell r="H35">
            <v>11.490999999999969</v>
          </cell>
          <cell r="I35">
            <v>4.4425972820938978E-2</v>
          </cell>
          <cell r="J35">
            <v>13.725999999999983</v>
          </cell>
          <cell r="K35">
            <v>5.6035696935305364E-2</v>
          </cell>
          <cell r="L35">
            <v>14.939999999999975</v>
          </cell>
          <cell r="M35">
            <v>5.8084155933020402E-2</v>
          </cell>
          <cell r="N35">
            <v>5.1890000000000214</v>
          </cell>
          <cell r="O35">
            <v>2.834543299301345E-2</v>
          </cell>
          <cell r="P35">
            <v>4.2550000000000132</v>
          </cell>
          <cell r="Q35">
            <v>2.1337090934619808E-2</v>
          </cell>
          <cell r="R35">
            <v>11.49500000000001</v>
          </cell>
          <cell r="S35">
            <v>4.8366805097974905E-2</v>
          </cell>
          <cell r="T35">
            <v>25.081000000000049</v>
          </cell>
          <cell r="U35">
            <v>8.8679338679338846E-2</v>
          </cell>
          <cell r="V35">
            <v>18.54750000000001</v>
          </cell>
          <cell r="W35">
            <v>7.9124859219821889E-2</v>
          </cell>
          <cell r="X35">
            <v>27.599000000000046</v>
          </cell>
          <cell r="Y35">
            <v>8.3182885405395757E-2</v>
          </cell>
          <cell r="Z35">
            <v>30.467000000000041</v>
          </cell>
          <cell r="AA35">
            <v>8.5963709415744841E-2</v>
          </cell>
          <cell r="AB35">
            <v>56.986000000000004</v>
          </cell>
          <cell r="AC35">
            <v>0.111587159232875</v>
          </cell>
          <cell r="AD35">
            <v>24.775000000000023</v>
          </cell>
          <cell r="AE35">
            <v>7.6933109339726122E-2</v>
          </cell>
          <cell r="AF35">
            <v>48.828000000000031</v>
          </cell>
          <cell r="AG35">
            <v>0.10508260825587583</v>
          </cell>
          <cell r="AH35">
            <v>36.457999999999998</v>
          </cell>
          <cell r="AI35">
            <v>8.8186134714975772E-2</v>
          </cell>
          <cell r="AJ35">
            <v>43.474000000000032</v>
          </cell>
          <cell r="AK35">
            <v>7.6234331928146118E-2</v>
          </cell>
          <cell r="AL35">
            <v>6.5059999999999469</v>
          </cell>
          <cell r="AM35">
            <v>1.5660730705719675E-2</v>
          </cell>
          <cell r="AN35">
            <v>63.105000000000175</v>
          </cell>
          <cell r="AO35">
            <v>0.10920295084180007</v>
          </cell>
          <cell r="AP35">
            <v>67.222000000000051</v>
          </cell>
          <cell r="AQ35">
            <v>0.11037696503574591</v>
          </cell>
          <cell r="AR35">
            <v>99.651999999999944</v>
          </cell>
          <cell r="AS35">
            <v>0.11954314203215657</v>
          </cell>
          <cell r="AT35">
            <v>58.081000000000081</v>
          </cell>
          <cell r="AU35">
            <v>8.9516790274155975E-2</v>
          </cell>
          <cell r="AV35">
            <v>70.667999999999978</v>
          </cell>
          <cell r="AW35">
            <v>8.8091866448601841E-2</v>
          </cell>
          <cell r="AX35">
            <v>58.64299999999983</v>
          </cell>
          <cell r="AY35">
            <v>8.1565635140416509E-2</v>
          </cell>
          <cell r="AZ35">
            <v>114.43700000000005</v>
          </cell>
          <cell r="BA35">
            <v>0.12082106421189222</v>
          </cell>
          <cell r="BB35">
            <v>61.534999999999918</v>
          </cell>
          <cell r="BC35">
            <v>8.2773194586618179E-2</v>
          </cell>
          <cell r="BD35">
            <v>82.517000000000039</v>
          </cell>
          <cell r="BE35">
            <v>9.5173231497810359E-2</v>
          </cell>
          <cell r="BF35">
            <v>70.729000000000184</v>
          </cell>
          <cell r="BG35">
            <v>8.3444822761304285E-2</v>
          </cell>
          <cell r="BH35">
            <v>122.59300000000007</v>
          </cell>
          <cell r="BI35">
            <v>0.11146216525345913</v>
          </cell>
          <cell r="BJ35">
            <v>76.044999999999902</v>
          </cell>
          <cell r="BK35">
            <v>8.6825318351888767E-2</v>
          </cell>
          <cell r="BL35">
            <v>89.470999999999975</v>
          </cell>
          <cell r="BM35">
            <v>9.2047975111213501E-2</v>
          </cell>
          <cell r="BN35">
            <v>76.906999999999883</v>
          </cell>
          <cell r="BO35">
            <v>7.8214830175362127E-2</v>
          </cell>
          <cell r="BP35">
            <v>114.10000000000012</v>
          </cell>
          <cell r="BQ35">
            <v>0.10298967936902809</v>
          </cell>
          <cell r="BR35">
            <v>52.295000000000016</v>
          </cell>
          <cell r="BS35">
            <v>6.4899123716010046E-2</v>
          </cell>
          <cell r="BT35">
            <v>63.234999999999999</v>
          </cell>
          <cell r="BU35">
            <v>7.2530094225464387E-2</v>
          </cell>
          <cell r="BV35">
            <v>69.16399999999993</v>
          </cell>
          <cell r="BW35">
            <v>6.8877744095538873E-2</v>
          </cell>
          <cell r="BX35">
            <v>105.98700000000004</v>
          </cell>
          <cell r="BY35">
            <v>9.0559701970769582E-2</v>
          </cell>
          <cell r="BZ35">
            <v>121.36400000000003</v>
          </cell>
          <cell r="CA35">
            <v>9.6817863806900384E-2</v>
          </cell>
          <cell r="CB35">
            <v>84.938999999999922</v>
          </cell>
          <cell r="CC35">
            <v>8.0606711674350295E-2</v>
          </cell>
          <cell r="CD35">
            <v>69.328999999999894</v>
          </cell>
          <cell r="CE35">
            <v>7.1032792562401664E-2</v>
          </cell>
          <cell r="CF35">
            <v>95.349000000000132</v>
          </cell>
          <cell r="CG35">
            <v>8.4777500073353204E-2</v>
          </cell>
          <cell r="CH35">
            <v>119.74300000000005</v>
          </cell>
          <cell r="CI35">
            <v>9.9130662264649255E-2</v>
          </cell>
          <cell r="CJ35">
            <v>113.38899999999983</v>
          </cell>
          <cell r="CK35">
            <v>8.030177700851808E-2</v>
          </cell>
          <cell r="CL35">
            <v>91.181000000000068</v>
          </cell>
          <cell r="CM35">
            <v>6.7485043989138016E-2</v>
          </cell>
          <cell r="CN35">
            <v>164.78099999999986</v>
          </cell>
          <cell r="CO35">
            <v>0.10205375905227691</v>
          </cell>
          <cell r="CP35">
            <v>182.09799999999996</v>
          </cell>
          <cell r="CQ35">
            <v>0.10711521040928927</v>
          </cell>
          <cell r="CR35">
            <v>118.21599999999998</v>
          </cell>
          <cell r="CS35">
            <v>8.1922237075259141E-2</v>
          </cell>
          <cell r="CT35">
            <v>97.81399999999978</v>
          </cell>
          <cell r="CU35">
            <v>7.2093811727939938E-2</v>
          </cell>
          <cell r="CV35">
            <v>113.74900000000015</v>
          </cell>
          <cell r="CW35">
            <v>7.6259158721677531E-2</v>
          </cell>
          <cell r="CX35">
            <v>133.87300000000022</v>
          </cell>
          <cell r="CY35">
            <v>8.4620596976811055E-2</v>
          </cell>
          <cell r="CZ35">
            <v>156.44399999999993</v>
          </cell>
          <cell r="DA35">
            <v>8.1424507296477738E-2</v>
          </cell>
          <cell r="DB35">
            <v>133.72700000000015</v>
          </cell>
          <cell r="DC35">
            <v>7.2204191317052857E-2</v>
          </cell>
          <cell r="DD35">
            <v>226.06299999999996</v>
          </cell>
          <cell r="DE35">
            <v>9.906675326018459E-2</v>
          </cell>
          <cell r="DF35">
            <v>176.8720000000003</v>
          </cell>
          <cell r="DG35">
            <v>8.3943590848557875E-2</v>
          </cell>
          <cell r="DH35">
            <v>237.13300000000027</v>
          </cell>
          <cell r="DI35">
            <v>9.7841353199804693E-2</v>
          </cell>
          <cell r="DJ35">
            <v>155.74899999999997</v>
          </cell>
          <cell r="DK35">
            <v>6.5608195032195601E-2</v>
          </cell>
          <cell r="DL35">
            <v>253.13000000000022</v>
          </cell>
          <cell r="DM35">
            <v>9.1511547489804307E-2</v>
          </cell>
          <cell r="DN35">
            <v>141.04900000000004</v>
          </cell>
          <cell r="DO35">
            <v>6.2541901819381449E-2</v>
          </cell>
          <cell r="DP35">
            <v>73.051999999999651</v>
          </cell>
          <cell r="DQ35">
            <v>3.2848170962292263E-2</v>
          </cell>
          <cell r="DR35">
            <v>11.798999999999518</v>
          </cell>
          <cell r="DS35">
            <v>5.112747810539965E-3</v>
          </cell>
          <cell r="DT35">
            <v>163.80000000000024</v>
          </cell>
          <cell r="DU35">
            <v>6.5394442670073549E-2</v>
          </cell>
          <cell r="DV35">
            <v>68.900000000000119</v>
          </cell>
          <cell r="DW35">
            <v>3.6016727652901266E-2</v>
          </cell>
          <cell r="DX35">
            <v>124.20000000000012</v>
          </cell>
          <cell r="DY35">
            <v>5.705622932745319E-2</v>
          </cell>
          <cell r="DZ35">
            <v>108.54</v>
          </cell>
          <cell r="EA35">
            <v>4.9736516519268657E-2</v>
          </cell>
          <cell r="EB35">
            <v>200.19999999999976</v>
          </cell>
          <cell r="EC35">
            <v>8.0044780296669379E-2</v>
          </cell>
          <cell r="ED35">
            <v>107.45999999999989</v>
          </cell>
          <cell r="EE35">
            <v>5.2173659730246694E-2</v>
          </cell>
          <cell r="EF35">
            <v>145.32600000000014</v>
          </cell>
          <cell r="EG35">
            <v>6.7229946345945188E-2</v>
          </cell>
          <cell r="EH35">
            <v>125.98400000000056</v>
          </cell>
          <cell r="EI35">
            <v>5.5434015463654659E-2</v>
          </cell>
          <cell r="EJ35">
            <v>210.19999999999976</v>
          </cell>
          <cell r="EK35">
            <v>7.9720863200212308E-2</v>
          </cell>
          <cell r="EL35">
            <v>119.39999999999998</v>
          </cell>
          <cell r="EM35">
            <v>5.4304816482466906E-2</v>
          </cell>
          <cell r="EN35">
            <v>93</v>
          </cell>
          <cell r="EO35">
            <v>4.1592128801431129E-2</v>
          </cell>
          <cell r="EP35">
            <v>160.4000000000004</v>
          </cell>
          <cell r="EQ35">
            <v>6.6046281808449472E-2</v>
          </cell>
          <cell r="ES35" t="str">
            <v>Net Income</v>
          </cell>
          <cell r="ET35">
            <v>479.0299999999994</v>
          </cell>
          <cell r="EU35">
            <v>5.0144137046753863E-2</v>
          </cell>
          <cell r="EV35">
            <v>465.43999999999789</v>
          </cell>
          <cell r="EW35">
            <v>5.3030113137895844E-2</v>
          </cell>
          <cell r="EX35">
            <v>578.97000000000128</v>
          </cell>
          <cell r="EY35">
            <v>6.4365257857915636E-2</v>
          </cell>
          <cell r="EZ35">
            <v>583</v>
          </cell>
          <cell r="FA35">
            <v>6.1368421052631579E-2</v>
          </cell>
          <cell r="FB35">
            <v>658</v>
          </cell>
          <cell r="FC35">
            <v>6.3513513513513517E-2</v>
          </cell>
          <cell r="FE35" t="str">
            <v>Net Income</v>
          </cell>
          <cell r="FF35">
            <v>317.55099999999953</v>
          </cell>
          <cell r="FG35">
            <v>3.5482580571630291E-2</v>
          </cell>
          <cell r="FH35">
            <v>540.400000000001</v>
          </cell>
          <cell r="FI35">
            <v>6.0583910509806313E-2</v>
          </cell>
          <cell r="FJ35">
            <v>600.91000000000179</v>
          </cell>
          <cell r="FK35">
            <v>6.4825113191243497E-2</v>
          </cell>
          <cell r="FL35">
            <v>663</v>
          </cell>
          <cell r="FM35">
            <v>6.2253521126760566E-2</v>
          </cell>
        </row>
        <row r="36">
          <cell r="A36" t="str">
            <v xml:space="preserve">  % Change</v>
          </cell>
          <cell r="D36" t="str">
            <v xml:space="preserve"> </v>
          </cell>
          <cell r="E36" t="str">
            <v xml:space="preserve"> </v>
          </cell>
          <cell r="F36" t="str">
            <v xml:space="preserve"> </v>
          </cell>
          <cell r="G36" t="str">
            <v xml:space="preserve"> </v>
          </cell>
          <cell r="H36" t="str">
            <v xml:space="preserve"> </v>
          </cell>
          <cell r="I36" t="str">
            <v xml:space="preserve"> </v>
          </cell>
          <cell r="J36">
            <v>6.3049853372421213E-3</v>
          </cell>
          <cell r="K36" t="str">
            <v xml:space="preserve"> </v>
          </cell>
          <cell r="L36">
            <v>-0.38139207486232618</v>
          </cell>
          <cell r="M36" t="str">
            <v xml:space="preserve"> </v>
          </cell>
          <cell r="N36">
            <v>-0.47282332622167711</v>
          </cell>
          <cell r="O36" t="str">
            <v xml:space="preserve"> </v>
          </cell>
          <cell r="P36">
            <v>-0.62971020798885879</v>
          </cell>
          <cell r="Q36" t="str">
            <v xml:space="preserve"> </v>
          </cell>
          <cell r="R36">
            <v>-0.16253824857933674</v>
          </cell>
          <cell r="S36" t="str">
            <v xml:space="preserve"> </v>
          </cell>
          <cell r="T36">
            <v>0.67878179384204085</v>
          </cell>
          <cell r="U36" t="str">
            <v xml:space="preserve"> </v>
          </cell>
          <cell r="V36">
            <v>2.5743881287338475</v>
          </cell>
          <cell r="W36" t="str">
            <v xml:space="preserve"> </v>
          </cell>
          <cell r="X36">
            <v>5.4862514688601554</v>
          </cell>
          <cell r="Y36" t="str">
            <v xml:space="preserve"> </v>
          </cell>
          <cell r="Z36">
            <v>1.6504567203131808</v>
          </cell>
          <cell r="AB36">
            <v>1.2720784657708979</v>
          </cell>
          <cell r="AC36" t="str">
            <v xml:space="preserve"> </v>
          </cell>
          <cell r="AD36">
            <v>0.33575953632565092</v>
          </cell>
          <cell r="AE36" t="str">
            <v xml:space="preserve"> </v>
          </cell>
          <cell r="AF36">
            <v>0.76919453603391252</v>
          </cell>
          <cell r="AG36" t="str">
            <v xml:space="preserve"> </v>
          </cell>
          <cell r="AH36">
            <v>0.19663898644434785</v>
          </cell>
          <cell r="AJ36">
            <v>-0.23711086933632775</v>
          </cell>
          <cell r="AK36" t="str">
            <v xml:space="preserve"> </v>
          </cell>
          <cell r="AL36">
            <v>-0.73739656912210128</v>
          </cell>
          <cell r="AM36" t="str">
            <v xml:space="preserve"> </v>
          </cell>
          <cell r="AN36">
            <v>0.29239370852789648</v>
          </cell>
          <cell r="AO36" t="str">
            <v xml:space="preserve"> </v>
          </cell>
          <cell r="AP36">
            <v>0.84382028635690531</v>
          </cell>
          <cell r="AR36">
            <v>1.2922206376224841</v>
          </cell>
          <cell r="AT36">
            <v>7.9272978788811184</v>
          </cell>
          <cell r="AU36" t="str">
            <v xml:space="preserve"> </v>
          </cell>
          <cell r="AV36">
            <v>0.11984787259329344</v>
          </cell>
          <cell r="AW36" t="str">
            <v xml:space="preserve"> </v>
          </cell>
          <cell r="AX36">
            <v>-0.12762190949391883</v>
          </cell>
          <cell r="AZ36">
            <v>0.14836631477541964</v>
          </cell>
          <cell r="BB36">
            <v>5.9468673060034005E-2</v>
          </cell>
          <cell r="BC36" t="str">
            <v xml:space="preserve"> </v>
          </cell>
          <cell r="BD36">
            <v>0.16767136469123312</v>
          </cell>
          <cell r="BE36" t="str">
            <v xml:space="preserve"> </v>
          </cell>
          <cell r="BF36">
            <v>0.20609450403288343</v>
          </cell>
          <cell r="BH36">
            <v>7.1270655469821961E-2</v>
          </cell>
          <cell r="BJ36">
            <v>0.23580076379296333</v>
          </cell>
          <cell r="BK36" t="str">
            <v xml:space="preserve"> </v>
          </cell>
          <cell r="BL36">
            <v>8.4273543633432313E-2</v>
          </cell>
          <cell r="BM36" t="str">
            <v xml:space="preserve"> </v>
          </cell>
          <cell r="BN36">
            <v>8.734748123117364E-2</v>
          </cell>
          <cell r="BP36">
            <v>-6.9278017505077352E-2</v>
          </cell>
          <cell r="BR36">
            <v>-0.31231507659938085</v>
          </cell>
          <cell r="BS36" t="str">
            <v xml:space="preserve"> </v>
          </cell>
          <cell r="BT36">
            <v>-0.29323467939332276</v>
          </cell>
          <cell r="BU36" t="str">
            <v xml:space="preserve"> </v>
          </cell>
          <cell r="BV36">
            <v>-0.10068004212880445</v>
          </cell>
          <cell r="BX36">
            <v>-7.1104294478528271E-2</v>
          </cell>
          <cell r="BZ36">
            <v>6.3663453111305016E-2</v>
          </cell>
          <cell r="CB36">
            <v>0.62422793766134221</v>
          </cell>
          <cell r="CC36" t="str">
            <v xml:space="preserve"> </v>
          </cell>
          <cell r="CD36">
            <v>0.32572903719284585</v>
          </cell>
          <cell r="CE36" t="str">
            <v xml:space="preserve"> </v>
          </cell>
          <cell r="CF36">
            <v>0.50785166442634821</v>
          </cell>
          <cell r="CG36" t="str">
            <v xml:space="preserve"> </v>
          </cell>
          <cell r="CH36">
            <v>0.8936190400885593</v>
          </cell>
          <cell r="CI36" t="str">
            <v xml:space="preserve"> </v>
          </cell>
          <cell r="CJ36">
            <v>0.63942224278526316</v>
          </cell>
          <cell r="CL36">
            <v>0.31833034526632575</v>
          </cell>
          <cell r="CN36">
            <v>0.55472841008802787</v>
          </cell>
          <cell r="CP36">
            <v>0.50042846313569023</v>
          </cell>
          <cell r="CR36">
            <v>0.39177527402018031</v>
          </cell>
          <cell r="CS36" t="str">
            <v xml:space="preserve"> </v>
          </cell>
          <cell r="CT36">
            <v>0.41086702534292896</v>
          </cell>
          <cell r="CU36" t="str">
            <v xml:space="preserve"> </v>
          </cell>
          <cell r="CV36">
            <v>0.19297528028610667</v>
          </cell>
          <cell r="CW36" t="str">
            <v xml:space="preserve"> </v>
          </cell>
          <cell r="CX36">
            <v>0.11800272249734989</v>
          </cell>
          <cell r="CY36" t="str">
            <v xml:space="preserve"> </v>
          </cell>
          <cell r="CZ36">
            <v>0.3797105539338046</v>
          </cell>
          <cell r="DB36">
            <v>0.46661036838815151</v>
          </cell>
          <cell r="DD36">
            <v>0.24143593010357067</v>
          </cell>
          <cell r="DF36">
            <v>0.80824830801317504</v>
          </cell>
          <cell r="DG36" t="str">
            <v xml:space="preserve"> </v>
          </cell>
          <cell r="DH36">
            <v>0.77132804971876245</v>
          </cell>
          <cell r="DI36" t="str">
            <v xml:space="preserve"> </v>
          </cell>
          <cell r="DJ36">
            <v>0.16467878588467388</v>
          </cell>
          <cell r="DL36">
            <v>0.11973211007551111</v>
          </cell>
          <cell r="DN36">
            <v>-0.20253629743543466</v>
          </cell>
          <cell r="DO36" t="str">
            <v xml:space="preserve"> </v>
          </cell>
          <cell r="DP36">
            <v>-0.69193659254511364</v>
          </cell>
          <cell r="DQ36" t="str">
            <v xml:space="preserve"> </v>
          </cell>
          <cell r="DR36">
            <v>-0.92424349434025566</v>
          </cell>
          <cell r="DT36">
            <v>-0.35290167107810178</v>
          </cell>
          <cell r="DV36">
            <v>-0.51151727413877368</v>
          </cell>
          <cell r="DW36" t="str">
            <v xml:space="preserve"> </v>
          </cell>
          <cell r="DX36">
            <v>0.70015879099820277</v>
          </cell>
          <cell r="DZ36" t="str">
            <v>NM</v>
          </cell>
          <cell r="EA36" t="str">
            <v xml:space="preserve"> </v>
          </cell>
          <cell r="EB36">
            <v>0.22222222222221899</v>
          </cell>
          <cell r="ED36">
            <v>0.55965166908562702</v>
          </cell>
          <cell r="EF36">
            <v>0.17009661835748791</v>
          </cell>
          <cell r="EH36">
            <v>0.16071494379952603</v>
          </cell>
          <cell r="EI36" t="str">
            <v xml:space="preserve"> </v>
          </cell>
          <cell r="EJ36">
            <v>4.9950049950050007E-2</v>
          </cell>
          <cell r="EL36">
            <v>0.11111111111111205</v>
          </cell>
          <cell r="EM36" t="str">
            <v xml:space="preserve"> </v>
          </cell>
          <cell r="EN36">
            <v>-0.36005945254118388</v>
          </cell>
          <cell r="EP36">
            <v>0.27317754635509023</v>
          </cell>
          <cell r="EQ36" t="str">
            <v xml:space="preserve"> </v>
          </cell>
          <cell r="ES36" t="str">
            <v xml:space="preserve">  % Change</v>
          </cell>
          <cell r="ET36">
            <v>-0.39806513306451219</v>
          </cell>
          <cell r="EV36">
            <v>-2.8369830699541798E-2</v>
          </cell>
          <cell r="EX36">
            <v>0.2439197318666293</v>
          </cell>
          <cell r="EZ36">
            <v>6.9606369932788681E-3</v>
          </cell>
          <cell r="FB36">
            <v>0.12864493996569459</v>
          </cell>
          <cell r="FE36" t="str">
            <v xml:space="preserve">  % Change</v>
          </cell>
          <cell r="FF36">
            <v>-0.59653571959479712</v>
          </cell>
          <cell r="FH36">
            <v>0.70177388828881604</v>
          </cell>
          <cell r="FJ36">
            <v>0.1119726128793499</v>
          </cell>
          <cell r="FL36">
            <v>0.10332662129103865</v>
          </cell>
        </row>
        <row r="37">
          <cell r="Y37" t="str">
            <v xml:space="preserve"> </v>
          </cell>
          <cell r="AG37" t="str">
            <v xml:space="preserve"> </v>
          </cell>
          <cell r="AO37" t="str">
            <v xml:space="preserve"> </v>
          </cell>
          <cell r="AW37" t="str">
            <v xml:space="preserve"> </v>
          </cell>
          <cell r="BE37" t="str">
            <v xml:space="preserve"> </v>
          </cell>
          <cell r="BM37" t="str">
            <v xml:space="preserve"> </v>
          </cell>
          <cell r="BU37" t="str">
            <v xml:space="preserve"> </v>
          </cell>
          <cell r="CG37" t="str">
            <v xml:space="preserve"> </v>
          </cell>
          <cell r="CI37" t="str">
            <v xml:space="preserve"> </v>
          </cell>
          <cell r="CW37" t="str">
            <v xml:space="preserve"> </v>
          </cell>
          <cell r="CY37" t="str">
            <v xml:space="preserve"> </v>
          </cell>
          <cell r="DI37" t="str">
            <v xml:space="preserve"> </v>
          </cell>
          <cell r="DQ37" t="str">
            <v xml:space="preserve"> </v>
          </cell>
        </row>
        <row r="38">
          <cell r="A38" t="str">
            <v>Net EPS</v>
          </cell>
          <cell r="D38">
            <v>7.9414820855474369E-2</v>
          </cell>
          <cell r="F38">
            <v>3.2272131147540919E-2</v>
          </cell>
          <cell r="G38" t="str">
            <v xml:space="preserve"> </v>
          </cell>
          <cell r="H38">
            <v>3.7584713609126727E-2</v>
          </cell>
          <cell r="I38" t="str">
            <v xml:space="preserve"> </v>
          </cell>
          <cell r="J38">
            <v>4.4939626496241329E-2</v>
          </cell>
          <cell r="K38" t="str">
            <v xml:space="preserve"> </v>
          </cell>
          <cell r="L38">
            <v>4.8587261941929361E-2</v>
          </cell>
          <cell r="M38" t="str">
            <v xml:space="preserve"> </v>
          </cell>
          <cell r="N38">
            <v>1.6914180661312263E-2</v>
          </cell>
          <cell r="O38" t="str">
            <v xml:space="preserve"> </v>
          </cell>
          <cell r="P38">
            <v>1.3876930703402254E-2</v>
          </cell>
          <cell r="R38">
            <v>3.7360244409776422E-2</v>
          </cell>
          <cell r="T38">
            <v>8.1429703124594327E-2</v>
          </cell>
          <cell r="U38" t="str">
            <v xml:space="preserve"> </v>
          </cell>
          <cell r="V38">
            <v>6.1673693871036425E-2</v>
          </cell>
          <cell r="W38" t="str">
            <v xml:space="preserve"> </v>
          </cell>
          <cell r="X38">
            <v>9.2858392549526422E-2</v>
          </cell>
          <cell r="Z38">
            <v>0.10207384079335312</v>
          </cell>
          <cell r="AB38">
            <v>0.19001413785744772</v>
          </cell>
          <cell r="AC38" t="str">
            <v xml:space="preserve"> </v>
          </cell>
          <cell r="AD38">
            <v>8.242068983871835E-2</v>
          </cell>
          <cell r="AE38" t="str">
            <v xml:space="preserve"> </v>
          </cell>
          <cell r="AF38">
            <v>0.16241351782863236</v>
          </cell>
          <cell r="AH38">
            <v>0.12104249667994688</v>
          </cell>
          <cell r="AJ38">
            <v>0.14406431430768019</v>
          </cell>
          <cell r="AK38" t="str">
            <v xml:space="preserve"> </v>
          </cell>
          <cell r="AL38">
            <v>2.14742150986241E-2</v>
          </cell>
          <cell r="AM38" t="str">
            <v xml:space="preserve"> </v>
          </cell>
          <cell r="AN38">
            <v>0.20856468628539759</v>
          </cell>
          <cell r="AP38">
            <v>0.22156229400131858</v>
          </cell>
          <cell r="AR38">
            <v>0.32769914763758795</v>
          </cell>
          <cell r="AT38">
            <v>0.1913731976698213</v>
          </cell>
          <cell r="AU38" t="str">
            <v xml:space="preserve"> </v>
          </cell>
          <cell r="AV38">
            <v>0.23207881773399008</v>
          </cell>
          <cell r="AX38">
            <v>0.19228221808357104</v>
          </cell>
          <cell r="AZ38">
            <v>0.37541498812445073</v>
          </cell>
          <cell r="BB38">
            <v>0.20092667572227133</v>
          </cell>
          <cell r="BC38" t="str">
            <v xml:space="preserve"> </v>
          </cell>
          <cell r="BD38">
            <v>0.26953655795965309</v>
          </cell>
          <cell r="BF38">
            <v>0.23024662421709241</v>
          </cell>
          <cell r="BH38">
            <v>0.39876979325240408</v>
          </cell>
          <cell r="BJ38">
            <v>0.24654714044870932</v>
          </cell>
          <cell r="BK38" t="str">
            <v xml:space="preserve"> </v>
          </cell>
          <cell r="BL38">
            <v>0.28976021452444484</v>
          </cell>
          <cell r="BN38">
            <v>0.24939359742651793</v>
          </cell>
          <cell r="BP38">
            <v>0.37169029500677619</v>
          </cell>
          <cell r="BR38">
            <v>0.1728211873256752</v>
          </cell>
          <cell r="BS38" t="str">
            <v xml:space="preserve"> </v>
          </cell>
          <cell r="BT38">
            <v>0.21036540739065057</v>
          </cell>
          <cell r="BV38">
            <v>0.23278763563908533</v>
          </cell>
          <cell r="BX38">
            <v>0.35699320956050784</v>
          </cell>
          <cell r="BZ38">
            <v>0.40878715205734162</v>
          </cell>
          <cell r="CB38">
            <v>0.28942400741457536</v>
          </cell>
          <cell r="CC38" t="str">
            <v xml:space="preserve"> </v>
          </cell>
          <cell r="CD38">
            <v>0.23623396802464219</v>
          </cell>
          <cell r="CE38" t="str">
            <v xml:space="preserve"> </v>
          </cell>
          <cell r="CF38">
            <v>0.32439577039274969</v>
          </cell>
          <cell r="CH38">
            <v>0.40738888435263076</v>
          </cell>
          <cell r="CJ38">
            <v>0.39364324983890592</v>
          </cell>
          <cell r="CL38">
            <v>0.31752484953180082</v>
          </cell>
          <cell r="CN38">
            <v>0.56489112250774709</v>
          </cell>
          <cell r="CP38">
            <v>0.62425609521981174</v>
          </cell>
          <cell r="CR38">
            <v>0.40211165081567951</v>
          </cell>
          <cell r="CS38" t="str">
            <v xml:space="preserve"> </v>
          </cell>
          <cell r="CT38">
            <v>0.33271426044600383</v>
          </cell>
          <cell r="CU38" t="str">
            <v xml:space="preserve"> </v>
          </cell>
          <cell r="CV38">
            <v>0.3875604770017041</v>
          </cell>
          <cell r="CX38">
            <v>0.45612606473594625</v>
          </cell>
          <cell r="CZ38">
            <v>0.52948224161155577</v>
          </cell>
          <cell r="DB38">
            <v>0.45259691470423041</v>
          </cell>
          <cell r="DD38">
            <v>0.76277803271608258</v>
          </cell>
          <cell r="DF38">
            <v>0.59548450956494903</v>
          </cell>
          <cell r="DG38" t="str">
            <v xml:space="preserve"> </v>
          </cell>
          <cell r="DH38">
            <v>0.79743953619757424</v>
          </cell>
          <cell r="DJ38">
            <v>0.5239628328825372</v>
          </cell>
          <cell r="DL38">
            <v>0.85087430334729508</v>
          </cell>
          <cell r="DN38">
            <v>0.47535900728293595</v>
          </cell>
          <cell r="DO38" t="str">
            <v xml:space="preserve"> </v>
          </cell>
          <cell r="DP38">
            <v>0.24916690826611065</v>
          </cell>
          <cell r="DR38">
            <v>4.0328534514579378E-2</v>
          </cell>
          <cell r="DT38">
            <v>0.56095890410958982</v>
          </cell>
          <cell r="DV38">
            <v>0.23948557525199904</v>
          </cell>
          <cell r="DW38" t="str">
            <v xml:space="preserve"> </v>
          </cell>
          <cell r="DX38">
            <v>0.44</v>
          </cell>
          <cell r="DZ38">
            <v>0.37785900783289822</v>
          </cell>
          <cell r="EA38" t="str">
            <v xml:space="preserve"> </v>
          </cell>
          <cell r="EB38">
            <v>0.70122591943957879</v>
          </cell>
          <cell r="ED38">
            <v>0.38214793741109493</v>
          </cell>
          <cell r="EF38">
            <v>0.52483206933911208</v>
          </cell>
          <cell r="EH38">
            <v>0.45996349032493822</v>
          </cell>
          <cell r="EI38" t="str">
            <v xml:space="preserve"> </v>
          </cell>
          <cell r="EJ38">
            <v>0.7677136596055506</v>
          </cell>
          <cell r="EL38">
            <v>0.43704245973645672</v>
          </cell>
          <cell r="EM38" t="str">
            <v xml:space="preserve"> </v>
          </cell>
          <cell r="EN38">
            <v>0.34191176470588236</v>
          </cell>
          <cell r="EP38">
            <v>0.59850746268656863</v>
          </cell>
          <cell r="EQ38" t="str">
            <v xml:space="preserve"> </v>
          </cell>
          <cell r="ES38" t="str">
            <v>Net EPS</v>
          </cell>
          <cell r="ET38">
            <v>1.615728753410921</v>
          </cell>
          <cell r="EV38">
            <v>1.618303487194487</v>
          </cell>
          <cell r="EX38">
            <v>2.0723758389261793</v>
          </cell>
          <cell r="EZ38">
            <v>2.1453541858325669</v>
          </cell>
          <cell r="FB38">
            <v>2.446096654275093</v>
          </cell>
          <cell r="FE38" t="str">
            <v>Net EPS</v>
          </cell>
          <cell r="FF38">
            <v>1.089939922142279</v>
          </cell>
          <cell r="FH38">
            <v>1.9012328646835719</v>
          </cell>
          <cell r="FJ38">
            <v>2.1895062852978753</v>
          </cell>
          <cell r="FL38">
            <v>2.4555555555555557</v>
          </cell>
        </row>
        <row r="39">
          <cell r="A39" t="str">
            <v>Ave Shares O/S (000)</v>
          </cell>
          <cell r="D39">
            <v>304.11200000000002</v>
          </cell>
          <cell r="F39">
            <v>305</v>
          </cell>
          <cell r="H39">
            <v>305.73599999999999</v>
          </cell>
          <cell r="J39">
            <v>305.43200000000002</v>
          </cell>
          <cell r="L39">
            <v>307.488</v>
          </cell>
          <cell r="N39">
            <v>306.78399999999999</v>
          </cell>
          <cell r="P39">
            <v>306.62400000000002</v>
          </cell>
          <cell r="R39">
            <v>307.68</v>
          </cell>
          <cell r="T39">
            <v>308.00799999999998</v>
          </cell>
          <cell r="V39">
            <v>300.73599999999999</v>
          </cell>
          <cell r="X39">
            <v>297.21600000000001</v>
          </cell>
          <cell r="Z39">
            <v>298.48</v>
          </cell>
          <cell r="AB39">
            <v>299.904</v>
          </cell>
          <cell r="AD39">
            <v>300.59199999999998</v>
          </cell>
          <cell r="AF39">
            <v>300.64</v>
          </cell>
          <cell r="AH39">
            <v>301.2</v>
          </cell>
          <cell r="AJ39">
            <v>301.76799999999997</v>
          </cell>
          <cell r="AL39">
            <v>302.96800000000002</v>
          </cell>
          <cell r="AN39">
            <v>302.56799999999998</v>
          </cell>
          <cell r="AP39">
            <v>303.39999999999998</v>
          </cell>
          <cell r="AR39">
            <v>304.096</v>
          </cell>
          <cell r="AT39">
            <v>303.49599999999998</v>
          </cell>
          <cell r="AV39">
            <v>304.5</v>
          </cell>
          <cell r="AX39">
            <v>304.98399999999998</v>
          </cell>
          <cell r="AZ39">
            <v>304.82799999999997</v>
          </cell>
          <cell r="BB39">
            <v>306.25599999999997</v>
          </cell>
          <cell r="BD39">
            <v>306.14400000000001</v>
          </cell>
          <cell r="BF39">
            <v>307.18799999999999</v>
          </cell>
          <cell r="BH39">
            <v>307.428</v>
          </cell>
          <cell r="BJ39">
            <v>308.44</v>
          </cell>
          <cell r="BL39">
            <v>308.77600000000001</v>
          </cell>
          <cell r="BN39">
            <v>308.37599999999998</v>
          </cell>
          <cell r="BP39">
            <v>306.976</v>
          </cell>
          <cell r="BR39">
            <v>302.596</v>
          </cell>
          <cell r="BT39">
            <v>300.596</v>
          </cell>
          <cell r="BV39">
            <v>297.11200000000002</v>
          </cell>
          <cell r="BX39">
            <v>296.88799999999998</v>
          </cell>
          <cell r="BZ39">
            <v>296.88799999999998</v>
          </cell>
          <cell r="CB39">
            <v>293.476</v>
          </cell>
          <cell r="CD39">
            <v>293.476</v>
          </cell>
          <cell r="CF39">
            <v>293.928</v>
          </cell>
          <cell r="CH39">
            <v>293.928</v>
          </cell>
          <cell r="CJ39">
            <v>291.75599999999997</v>
          </cell>
          <cell r="CL39">
            <v>291.75599999999997</v>
          </cell>
          <cell r="CN39">
            <v>291.70400000000001</v>
          </cell>
          <cell r="CP39">
            <v>291.70400000000001</v>
          </cell>
          <cell r="CR39">
            <v>293.988</v>
          </cell>
          <cell r="CT39">
            <v>293.988</v>
          </cell>
          <cell r="CV39">
            <v>293.5</v>
          </cell>
          <cell r="CX39">
            <v>293.5</v>
          </cell>
          <cell r="CZ39">
            <v>295.46600000000001</v>
          </cell>
          <cell r="DB39">
            <v>295.46600000000001</v>
          </cell>
          <cell r="DD39">
            <v>296.36799999999999</v>
          </cell>
          <cell r="DF39">
            <v>297.02199999999999</v>
          </cell>
          <cell r="DH39">
            <v>297.36799999999999</v>
          </cell>
          <cell r="DJ39">
            <v>297.25200000000001</v>
          </cell>
          <cell r="DL39">
            <v>297.49400000000003</v>
          </cell>
          <cell r="DN39">
            <v>296.721</v>
          </cell>
          <cell r="DP39">
            <v>293.185</v>
          </cell>
          <cell r="DR39">
            <v>292.572</v>
          </cell>
          <cell r="DT39">
            <v>292</v>
          </cell>
          <cell r="DV39">
            <v>287.7</v>
          </cell>
          <cell r="DX39">
            <v>286.10000000000002</v>
          </cell>
          <cell r="DZ39">
            <v>287.25</v>
          </cell>
          <cell r="EB39">
            <v>285.5</v>
          </cell>
          <cell r="ED39">
            <v>281.2</v>
          </cell>
          <cell r="EF39">
            <v>276.89999999999998</v>
          </cell>
          <cell r="EH39">
            <v>273.89999999999998</v>
          </cell>
          <cell r="EJ39">
            <v>273.8</v>
          </cell>
          <cell r="EL39">
            <v>273.2</v>
          </cell>
          <cell r="EN39">
            <v>272</v>
          </cell>
          <cell r="EP39">
            <v>268</v>
          </cell>
          <cell r="ES39" t="str">
            <v>Ave Shares O/S (000)</v>
          </cell>
          <cell r="ET39">
            <v>294.99300000000005</v>
          </cell>
          <cell r="EV39">
            <v>288.26250000000005</v>
          </cell>
          <cell r="EX39">
            <v>279.375</v>
          </cell>
          <cell r="EZ39">
            <v>271.75</v>
          </cell>
          <cell r="FB39">
            <v>269</v>
          </cell>
          <cell r="FE39" t="str">
            <v>Ave Shares O/S</v>
          </cell>
          <cell r="FF39">
            <v>291.36425000000003</v>
          </cell>
          <cell r="FH39">
            <v>285.01249999999999</v>
          </cell>
          <cell r="FJ39">
            <v>274.45</v>
          </cell>
          <cell r="FL39">
            <v>270</v>
          </cell>
        </row>
      </sheetData>
      <sheetData sheetId="1" refreshError="1"/>
      <sheetData sheetId="2" refreshError="1">
        <row r="17">
          <cell r="BH17">
            <v>1620.6469999999999</v>
          </cell>
        </row>
        <row r="20">
          <cell r="BH20">
            <v>667.54700000000003</v>
          </cell>
          <cell r="BI20">
            <v>746.05700000000002</v>
          </cell>
          <cell r="BJ20">
            <v>631.59199999999998</v>
          </cell>
          <cell r="BK20">
            <v>778.73099999999999</v>
          </cell>
          <cell r="BL20">
            <v>703.68200000000002</v>
          </cell>
          <cell r="BM20">
            <v>805.04</v>
          </cell>
          <cell r="BN20">
            <v>776.952</v>
          </cell>
          <cell r="BO20">
            <v>930.59199999999998</v>
          </cell>
        </row>
        <row r="22">
          <cell r="BH22">
            <v>2187.4630000000002</v>
          </cell>
          <cell r="BI22">
            <v>2266.29</v>
          </cell>
          <cell r="BJ22">
            <v>2183.44</v>
          </cell>
          <cell r="BK22">
            <v>2374.9209999999998</v>
          </cell>
          <cell r="BL22">
            <v>2373.8150000000001</v>
          </cell>
          <cell r="BM22">
            <v>2546.855</v>
          </cell>
          <cell r="BN22">
            <v>2527.7550000000001</v>
          </cell>
          <cell r="BO22">
            <v>2963.3330000000001</v>
          </cell>
        </row>
        <row r="27">
          <cell r="BH27">
            <v>1646.0260000000001</v>
          </cell>
          <cell r="BI27">
            <v>1711.953</v>
          </cell>
          <cell r="BJ27">
            <v>1717.9449999999999</v>
          </cell>
          <cell r="BK27">
            <v>1728.6489999999999</v>
          </cell>
          <cell r="BL27">
            <v>1740.9490000000001</v>
          </cell>
          <cell r="BM27">
            <v>1837.7249999999999</v>
          </cell>
          <cell r="BN27">
            <v>1861.251</v>
          </cell>
          <cell r="BO27">
            <v>1918.347</v>
          </cell>
        </row>
        <row r="31">
          <cell r="BH31">
            <v>1168.0829999999999</v>
          </cell>
          <cell r="BI31">
            <v>1231.3389999999999</v>
          </cell>
          <cell r="BJ31">
            <v>1234.7650000000001</v>
          </cell>
          <cell r="BK31">
            <v>1234.796</v>
          </cell>
          <cell r="BL31">
            <v>1208.444</v>
          </cell>
          <cell r="BM31">
            <v>1300.4679999999998</v>
          </cell>
          <cell r="BN31">
            <v>1294.8980000000001</v>
          </cell>
          <cell r="BO31">
            <v>1012.831</v>
          </cell>
        </row>
        <row r="60">
          <cell r="BH60">
            <v>7.8214830175362224E-2</v>
          </cell>
          <cell r="BI60">
            <v>0.102989679369028</v>
          </cell>
          <cell r="BJ60">
            <v>6.4899123716010032E-2</v>
          </cell>
          <cell r="BK60">
            <v>7.2530094225464387E-2</v>
          </cell>
          <cell r="BL60">
            <v>6.8877744095538943E-2</v>
          </cell>
          <cell r="BM60">
            <v>9.6820025336409446E-2</v>
          </cell>
          <cell r="BN60">
            <v>7.10346961525221E-2</v>
          </cell>
          <cell r="BO60">
            <v>9.9132899645179282E-2</v>
          </cell>
        </row>
        <row r="61">
          <cell r="BH61">
            <v>9.8475828321291994E-2</v>
          </cell>
          <cell r="BI61">
            <v>0.13679115640977763</v>
          </cell>
          <cell r="BJ61">
            <v>6.4966061925533447E-2</v>
          </cell>
          <cell r="BK61">
            <v>7.3069401631971898E-2</v>
          </cell>
          <cell r="BL61">
            <v>7.9784366265888571E-2</v>
          </cell>
          <cell r="BM61">
            <v>0.13192065217391305</v>
          </cell>
          <cell r="BN61">
            <v>7.6619951788588117E-2</v>
          </cell>
          <cell r="BO61">
            <v>0.1153957670985078</v>
          </cell>
        </row>
        <row r="62">
          <cell r="BH62">
            <v>0.20661976054841941</v>
          </cell>
          <cell r="BI62">
            <v>0.2871569012976799</v>
          </cell>
          <cell r="BJ62">
            <v>0.12973646157104665</v>
          </cell>
          <cell r="BK62">
            <v>0.15312222475804887</v>
          </cell>
          <cell r="BL62">
            <v>0.16336465430066652</v>
          </cell>
          <cell r="BM62">
            <v>0.2735279087286227</v>
          </cell>
          <cell r="BN62">
            <v>0.15496441100180042</v>
          </cell>
          <cell r="BO62">
            <v>0.26267316991847534</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ld BKS"/>
      <sheetName val="MODEL"/>
      <sheetName val="SCF &amp; BS"/>
      <sheetName val="Report Stats"/>
      <sheetName val="Report Income Statement"/>
      <sheetName val="DCF + ROCE"/>
      <sheetName val="Report CFBS"/>
      <sheetName val="SEARS"/>
      <sheetName val="ImportantDisclosures"/>
      <sheetName val="IndexInformation"/>
      <sheetName val="Income"/>
      <sheetName val="oldmodelstuff"/>
      <sheetName val="AITDATA"/>
      <sheetName val="NKEBALST"/>
      <sheetName val="NKEQTRIN"/>
      <sheetName val="table for quarterly"/>
      <sheetName val="Pension_Old"/>
      <sheetName val="SQLSheet"/>
      <sheetName val="Qtr Income"/>
      <sheetName val=" Qtr Margin"/>
      <sheetName val="Qtr Sa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enarios"/>
      <sheetName val="__FDSCACHE__"/>
      <sheetName val="FinancialStatements"/>
      <sheetName val="ScenariosInterim"/>
      <sheetName val="Summary"/>
      <sheetName val="Interim"/>
      <sheetName val="POL Summary"/>
      <sheetName val="POL"/>
      <sheetName val="Quarterly"/>
      <sheetName val="Inputs"/>
      <sheetName val="DCF"/>
      <sheetName val="Scenarios A"/>
      <sheetName val="Scenarios B"/>
      <sheetName val="mwareDates"/>
      <sheetName val="Dates"/>
      <sheetName val="mwareSetting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2">
          <cell r="B2" t="str">
            <v>2003-Q1</v>
          </cell>
          <cell r="C2">
            <v>37622</v>
          </cell>
          <cell r="D2">
            <v>37711</v>
          </cell>
          <cell r="E2" t="str">
            <v>A</v>
          </cell>
        </row>
        <row r="3">
          <cell r="B3" t="str">
            <v>2003-Q2</v>
          </cell>
          <cell r="C3">
            <v>37712</v>
          </cell>
          <cell r="D3">
            <v>37802</v>
          </cell>
          <cell r="E3" t="str">
            <v>A</v>
          </cell>
        </row>
        <row r="4">
          <cell r="B4" t="str">
            <v>2003-Q3</v>
          </cell>
          <cell r="C4">
            <v>37803</v>
          </cell>
          <cell r="D4">
            <v>37894</v>
          </cell>
          <cell r="E4" t="str">
            <v>A</v>
          </cell>
        </row>
        <row r="5">
          <cell r="B5" t="str">
            <v>2003-Q4</v>
          </cell>
          <cell r="C5">
            <v>37895</v>
          </cell>
          <cell r="D5">
            <v>37986</v>
          </cell>
          <cell r="E5" t="str">
            <v>A</v>
          </cell>
        </row>
        <row r="6">
          <cell r="B6" t="str">
            <v>2003-H1</v>
          </cell>
          <cell r="C6">
            <v>37712</v>
          </cell>
          <cell r="D6">
            <v>37802</v>
          </cell>
          <cell r="E6" t="str">
            <v>A</v>
          </cell>
        </row>
        <row r="7">
          <cell r="B7" t="str">
            <v>2003-H2</v>
          </cell>
          <cell r="C7">
            <v>37895</v>
          </cell>
          <cell r="D7">
            <v>37986</v>
          </cell>
          <cell r="E7" t="str">
            <v>A</v>
          </cell>
        </row>
        <row r="9">
          <cell r="B9" t="str">
            <v>2004-Q1</v>
          </cell>
          <cell r="C9">
            <v>37987</v>
          </cell>
          <cell r="D9">
            <v>38077</v>
          </cell>
          <cell r="E9" t="str">
            <v>A</v>
          </cell>
        </row>
        <row r="10">
          <cell r="B10" t="str">
            <v>2004-Q2</v>
          </cell>
          <cell r="C10">
            <v>38078</v>
          </cell>
          <cell r="D10">
            <v>38168</v>
          </cell>
          <cell r="E10" t="str">
            <v>A</v>
          </cell>
        </row>
        <row r="11">
          <cell r="B11" t="str">
            <v>2004-Q3</v>
          </cell>
          <cell r="C11">
            <v>38169</v>
          </cell>
          <cell r="D11">
            <v>38260</v>
          </cell>
          <cell r="E11" t="str">
            <v>A</v>
          </cell>
        </row>
        <row r="12">
          <cell r="B12" t="str">
            <v>2004-Q4</v>
          </cell>
          <cell r="C12">
            <v>38261</v>
          </cell>
          <cell r="D12">
            <v>38352</v>
          </cell>
          <cell r="E12" t="str">
            <v>A</v>
          </cell>
        </row>
        <row r="13">
          <cell r="B13" t="str">
            <v>2004-H1</v>
          </cell>
          <cell r="C13">
            <v>38078</v>
          </cell>
          <cell r="D13">
            <v>38168</v>
          </cell>
          <cell r="E13" t="str">
            <v>A</v>
          </cell>
        </row>
        <row r="14">
          <cell r="B14" t="str">
            <v>2004-H2</v>
          </cell>
          <cell r="C14">
            <v>38261</v>
          </cell>
          <cell r="D14">
            <v>38352</v>
          </cell>
          <cell r="E14" t="str">
            <v>A</v>
          </cell>
        </row>
        <row r="16">
          <cell r="B16" t="str">
            <v>2005-Q1</v>
          </cell>
          <cell r="C16">
            <v>38353</v>
          </cell>
          <cell r="D16">
            <v>38442</v>
          </cell>
          <cell r="E16" t="str">
            <v>A</v>
          </cell>
        </row>
        <row r="17">
          <cell r="B17" t="str">
            <v>2005-Q2</v>
          </cell>
          <cell r="C17">
            <v>38443</v>
          </cell>
          <cell r="D17">
            <v>38533</v>
          </cell>
          <cell r="E17" t="str">
            <v>A</v>
          </cell>
        </row>
        <row r="18">
          <cell r="B18" t="str">
            <v>2005-Q3</v>
          </cell>
          <cell r="C18">
            <v>38534</v>
          </cell>
          <cell r="D18">
            <v>38625</v>
          </cell>
          <cell r="E18" t="str">
            <v>A</v>
          </cell>
        </row>
        <row r="19">
          <cell r="B19" t="str">
            <v>2005-Q4</v>
          </cell>
          <cell r="C19">
            <v>38626</v>
          </cell>
          <cell r="D19">
            <v>38717</v>
          </cell>
          <cell r="E19" t="str">
            <v>A</v>
          </cell>
        </row>
        <row r="20">
          <cell r="B20" t="str">
            <v>2005-H1</v>
          </cell>
          <cell r="C20">
            <v>38443</v>
          </cell>
          <cell r="D20">
            <v>38533</v>
          </cell>
          <cell r="E20" t="str">
            <v>A</v>
          </cell>
        </row>
        <row r="21">
          <cell r="B21" t="str">
            <v>2005-H2</v>
          </cell>
          <cell r="C21">
            <v>38626</v>
          </cell>
          <cell r="D21">
            <v>38717</v>
          </cell>
          <cell r="E21" t="str">
            <v>A</v>
          </cell>
        </row>
        <row r="23">
          <cell r="B23" t="str">
            <v>2006-Q1</v>
          </cell>
          <cell r="C23">
            <v>38718</v>
          </cell>
          <cell r="D23">
            <v>38807</v>
          </cell>
          <cell r="E23" t="str">
            <v>A</v>
          </cell>
        </row>
        <row r="24">
          <cell r="B24" t="str">
            <v>2006-Q2</v>
          </cell>
          <cell r="C24">
            <v>38808</v>
          </cell>
          <cell r="D24">
            <v>38898</v>
          </cell>
          <cell r="E24" t="str">
            <v>A</v>
          </cell>
        </row>
        <row r="25">
          <cell r="B25" t="str">
            <v>2006-Q3</v>
          </cell>
          <cell r="C25">
            <v>38899</v>
          </cell>
          <cell r="D25">
            <v>38990</v>
          </cell>
          <cell r="E25" t="str">
            <v>A</v>
          </cell>
        </row>
        <row r="26">
          <cell r="B26" t="str">
            <v>2006-Q4</v>
          </cell>
          <cell r="C26">
            <v>38991</v>
          </cell>
          <cell r="D26">
            <v>39082</v>
          </cell>
          <cell r="E26" t="str">
            <v>A</v>
          </cell>
        </row>
        <row r="27">
          <cell r="B27" t="str">
            <v>2006-H1</v>
          </cell>
          <cell r="C27">
            <v>38808</v>
          </cell>
          <cell r="D27">
            <v>38898</v>
          </cell>
          <cell r="E27" t="str">
            <v>A</v>
          </cell>
        </row>
        <row r="28">
          <cell r="B28" t="str">
            <v>2006-H2</v>
          </cell>
          <cell r="C28">
            <v>38991</v>
          </cell>
          <cell r="D28">
            <v>39082</v>
          </cell>
          <cell r="E28" t="str">
            <v>A</v>
          </cell>
        </row>
        <row r="30">
          <cell r="B30" t="str">
            <v>2007-Q1</v>
          </cell>
          <cell r="C30">
            <v>39083</v>
          </cell>
          <cell r="D30">
            <v>39172</v>
          </cell>
          <cell r="E30" t="str">
            <v>A</v>
          </cell>
        </row>
        <row r="31">
          <cell r="B31" t="str">
            <v>2007-Q2</v>
          </cell>
          <cell r="C31">
            <v>39173</v>
          </cell>
          <cell r="D31">
            <v>39263</v>
          </cell>
          <cell r="E31" t="str">
            <v>A</v>
          </cell>
        </row>
        <row r="32">
          <cell r="B32" t="str">
            <v>2007-Q3</v>
          </cell>
          <cell r="C32">
            <v>39264</v>
          </cell>
          <cell r="D32">
            <v>39355</v>
          </cell>
          <cell r="E32" t="str">
            <v>A</v>
          </cell>
        </row>
        <row r="33">
          <cell r="B33" t="str">
            <v>2007-Q4</v>
          </cell>
          <cell r="C33">
            <v>39356</v>
          </cell>
          <cell r="D33">
            <v>39447</v>
          </cell>
          <cell r="E33" t="str">
            <v>A</v>
          </cell>
        </row>
        <row r="34">
          <cell r="B34" t="str">
            <v>2007-H1</v>
          </cell>
          <cell r="C34">
            <v>39173</v>
          </cell>
          <cell r="D34">
            <v>39263</v>
          </cell>
          <cell r="E34" t="str">
            <v>A</v>
          </cell>
        </row>
        <row r="35">
          <cell r="B35" t="str">
            <v>2007-H2</v>
          </cell>
          <cell r="C35">
            <v>39356</v>
          </cell>
          <cell r="D35">
            <v>39447</v>
          </cell>
          <cell r="E35" t="str">
            <v>A</v>
          </cell>
        </row>
        <row r="37">
          <cell r="B37" t="str">
            <v>2008-Q1</v>
          </cell>
          <cell r="C37">
            <v>39448</v>
          </cell>
          <cell r="D37">
            <v>39538</v>
          </cell>
          <cell r="E37" t="str">
            <v>A</v>
          </cell>
        </row>
        <row r="38">
          <cell r="B38" t="str">
            <v>2008-Q2</v>
          </cell>
          <cell r="C38">
            <v>39539</v>
          </cell>
          <cell r="D38">
            <v>39629</v>
          </cell>
          <cell r="E38" t="str">
            <v>A</v>
          </cell>
        </row>
        <row r="39">
          <cell r="B39" t="str">
            <v>2008-Q3</v>
          </cell>
          <cell r="C39">
            <v>39630</v>
          </cell>
          <cell r="D39">
            <v>39721</v>
          </cell>
          <cell r="E39" t="str">
            <v>A</v>
          </cell>
        </row>
        <row r="40">
          <cell r="B40" t="str">
            <v>2008-Q4</v>
          </cell>
          <cell r="C40">
            <v>39722</v>
          </cell>
          <cell r="D40">
            <v>39813</v>
          </cell>
          <cell r="E40" t="str">
            <v>A</v>
          </cell>
        </row>
        <row r="41">
          <cell r="B41" t="str">
            <v>2008-H1</v>
          </cell>
          <cell r="C41">
            <v>39539</v>
          </cell>
          <cell r="D41">
            <v>39629</v>
          </cell>
          <cell r="E41" t="str">
            <v>A</v>
          </cell>
        </row>
        <row r="42">
          <cell r="B42" t="str">
            <v>2008-H2</v>
          </cell>
          <cell r="C42">
            <v>39722</v>
          </cell>
          <cell r="D42">
            <v>39813</v>
          </cell>
          <cell r="E42" t="str">
            <v>A</v>
          </cell>
        </row>
        <row r="44">
          <cell r="B44" t="str">
            <v>2009-Q1</v>
          </cell>
          <cell r="C44">
            <v>39814</v>
          </cell>
          <cell r="D44">
            <v>39903</v>
          </cell>
          <cell r="E44" t="str">
            <v>A</v>
          </cell>
        </row>
        <row r="45">
          <cell r="B45" t="str">
            <v>2009-Q2</v>
          </cell>
          <cell r="C45">
            <v>39904</v>
          </cell>
          <cell r="D45">
            <v>39994</v>
          </cell>
          <cell r="E45" t="str">
            <v>A</v>
          </cell>
        </row>
        <row r="46">
          <cell r="B46" t="str">
            <v>2009-Q3</v>
          </cell>
          <cell r="C46">
            <v>39995</v>
          </cell>
          <cell r="D46">
            <v>40086</v>
          </cell>
          <cell r="E46" t="str">
            <v>A</v>
          </cell>
        </row>
        <row r="47">
          <cell r="B47" t="str">
            <v>2009-Q4</v>
          </cell>
          <cell r="C47">
            <v>40087</v>
          </cell>
          <cell r="D47">
            <v>40178</v>
          </cell>
          <cell r="E47" t="str">
            <v>A</v>
          </cell>
        </row>
        <row r="48">
          <cell r="B48" t="str">
            <v>2009-H1</v>
          </cell>
          <cell r="C48">
            <v>39904</v>
          </cell>
          <cell r="D48">
            <v>39994</v>
          </cell>
          <cell r="E48" t="str">
            <v>A</v>
          </cell>
        </row>
        <row r="49">
          <cell r="B49" t="str">
            <v>2009-H2</v>
          </cell>
          <cell r="C49">
            <v>40087</v>
          </cell>
          <cell r="D49">
            <v>40178</v>
          </cell>
          <cell r="E49" t="str">
            <v>A</v>
          </cell>
        </row>
        <row r="51">
          <cell r="B51" t="str">
            <v>2010-Q1</v>
          </cell>
          <cell r="C51">
            <v>40179</v>
          </cell>
          <cell r="D51">
            <v>40268</v>
          </cell>
          <cell r="E51" t="str">
            <v>A</v>
          </cell>
        </row>
        <row r="52">
          <cell r="B52" t="str">
            <v>2010-Q2</v>
          </cell>
          <cell r="C52">
            <v>40269</v>
          </cell>
          <cell r="D52">
            <v>40359</v>
          </cell>
          <cell r="E52" t="str">
            <v>A</v>
          </cell>
        </row>
        <row r="53">
          <cell r="B53" t="str">
            <v>2010-Q3</v>
          </cell>
          <cell r="C53">
            <v>40360</v>
          </cell>
          <cell r="D53">
            <v>40451</v>
          </cell>
          <cell r="E53" t="str">
            <v>A</v>
          </cell>
        </row>
        <row r="54">
          <cell r="B54" t="str">
            <v>2010-Q4</v>
          </cell>
          <cell r="C54">
            <v>40452</v>
          </cell>
          <cell r="D54">
            <v>40543</v>
          </cell>
          <cell r="E54" t="str">
            <v>A</v>
          </cell>
        </row>
        <row r="55">
          <cell r="B55" t="str">
            <v>2010-H1</v>
          </cell>
          <cell r="C55">
            <v>40269</v>
          </cell>
          <cell r="D55">
            <v>40359</v>
          </cell>
          <cell r="E55" t="str">
            <v>E</v>
          </cell>
        </row>
        <row r="56">
          <cell r="B56" t="str">
            <v>2010-H2</v>
          </cell>
          <cell r="C56">
            <v>40452</v>
          </cell>
          <cell r="D56">
            <v>40543</v>
          </cell>
          <cell r="E56" t="str">
            <v>E</v>
          </cell>
        </row>
        <row r="58">
          <cell r="B58" t="str">
            <v>2011-Q1</v>
          </cell>
          <cell r="C58">
            <v>40544</v>
          </cell>
          <cell r="D58">
            <v>40633</v>
          </cell>
          <cell r="E58" t="str">
            <v>E</v>
          </cell>
        </row>
        <row r="59">
          <cell r="B59" t="str">
            <v>2011-Q2</v>
          </cell>
          <cell r="C59">
            <v>40634</v>
          </cell>
          <cell r="D59">
            <v>40724</v>
          </cell>
          <cell r="E59" t="str">
            <v>E</v>
          </cell>
        </row>
        <row r="60">
          <cell r="B60" t="str">
            <v>2011-Q3</v>
          </cell>
          <cell r="C60">
            <v>40725</v>
          </cell>
          <cell r="D60">
            <v>40816</v>
          </cell>
          <cell r="E60" t="str">
            <v>E</v>
          </cell>
        </row>
        <row r="61">
          <cell r="B61" t="str">
            <v>2011-Q4</v>
          </cell>
          <cell r="C61">
            <v>40817</v>
          </cell>
          <cell r="D61">
            <v>40908</v>
          </cell>
          <cell r="E61" t="str">
            <v>E</v>
          </cell>
        </row>
        <row r="62">
          <cell r="B62" t="str">
            <v>2011-H1</v>
          </cell>
          <cell r="C62">
            <v>40634</v>
          </cell>
          <cell r="D62">
            <v>40724</v>
          </cell>
          <cell r="E62" t="str">
            <v>E</v>
          </cell>
        </row>
        <row r="63">
          <cell r="B63" t="str">
            <v>2011-H2</v>
          </cell>
          <cell r="C63">
            <v>40817</v>
          </cell>
          <cell r="D63">
            <v>40908</v>
          </cell>
          <cell r="E63" t="str">
            <v>E</v>
          </cell>
        </row>
        <row r="65">
          <cell r="B65" t="str">
            <v>2012-Q1</v>
          </cell>
          <cell r="C65">
            <v>40909</v>
          </cell>
          <cell r="D65">
            <v>40999</v>
          </cell>
          <cell r="E65" t="str">
            <v>E</v>
          </cell>
        </row>
        <row r="66">
          <cell r="B66" t="str">
            <v>2012-Q2</v>
          </cell>
          <cell r="C66">
            <v>41000</v>
          </cell>
          <cell r="D66">
            <v>41090</v>
          </cell>
          <cell r="E66" t="str">
            <v>E</v>
          </cell>
        </row>
        <row r="67">
          <cell r="B67" t="str">
            <v>2012-Q3</v>
          </cell>
          <cell r="C67">
            <v>41091</v>
          </cell>
          <cell r="D67">
            <v>41182</v>
          </cell>
          <cell r="E67" t="str">
            <v>E</v>
          </cell>
        </row>
        <row r="68">
          <cell r="B68" t="str">
            <v>2012-Q4</v>
          </cell>
          <cell r="C68">
            <v>41183</v>
          </cell>
          <cell r="D68">
            <v>41274</v>
          </cell>
          <cell r="E68" t="str">
            <v>E</v>
          </cell>
        </row>
        <row r="69">
          <cell r="B69" t="str">
            <v>2012-H1</v>
          </cell>
          <cell r="C69">
            <v>41000</v>
          </cell>
          <cell r="D69">
            <v>41090</v>
          </cell>
          <cell r="E69" t="str">
            <v>E</v>
          </cell>
        </row>
        <row r="70">
          <cell r="B70" t="str">
            <v>2012-H2</v>
          </cell>
          <cell r="C70">
            <v>41183</v>
          </cell>
          <cell r="D70">
            <v>41274</v>
          </cell>
          <cell r="E70" t="str">
            <v>E</v>
          </cell>
        </row>
        <row r="72">
          <cell r="B72" t="str">
            <v>2013-Q1</v>
          </cell>
          <cell r="C72">
            <v>41275</v>
          </cell>
          <cell r="D72">
            <v>41364</v>
          </cell>
          <cell r="E72" t="str">
            <v>E</v>
          </cell>
        </row>
        <row r="73">
          <cell r="B73" t="str">
            <v>2013-Q2</v>
          </cell>
          <cell r="C73">
            <v>41365</v>
          </cell>
          <cell r="D73">
            <v>41455</v>
          </cell>
          <cell r="E73" t="str">
            <v>E</v>
          </cell>
        </row>
        <row r="74">
          <cell r="B74" t="str">
            <v>2013-Q3</v>
          </cell>
          <cell r="C74">
            <v>41456</v>
          </cell>
          <cell r="D74">
            <v>41547</v>
          </cell>
          <cell r="E74" t="str">
            <v>E</v>
          </cell>
        </row>
        <row r="75">
          <cell r="B75" t="str">
            <v>2013-Q4</v>
          </cell>
          <cell r="C75">
            <v>41548</v>
          </cell>
          <cell r="D75">
            <v>41639</v>
          </cell>
          <cell r="E75" t="str">
            <v>E</v>
          </cell>
        </row>
        <row r="76">
          <cell r="B76" t="str">
            <v>2013-H1</v>
          </cell>
          <cell r="C76">
            <v>41365</v>
          </cell>
          <cell r="D76">
            <v>41455</v>
          </cell>
          <cell r="E76" t="str">
            <v>E</v>
          </cell>
        </row>
        <row r="77">
          <cell r="B77" t="str">
            <v>2013-H2</v>
          </cell>
          <cell r="C77">
            <v>41548</v>
          </cell>
          <cell r="D77">
            <v>41639</v>
          </cell>
          <cell r="E77" t="str">
            <v>E</v>
          </cell>
        </row>
        <row r="79">
          <cell r="B79" t="str">
            <v>2014-Q1</v>
          </cell>
          <cell r="C79">
            <v>41640</v>
          </cell>
          <cell r="D79">
            <v>41729</v>
          </cell>
          <cell r="E79" t="str">
            <v>E</v>
          </cell>
        </row>
        <row r="80">
          <cell r="B80" t="str">
            <v>2014-Q2</v>
          </cell>
          <cell r="C80">
            <v>41730</v>
          </cell>
          <cell r="D80">
            <v>41820</v>
          </cell>
          <cell r="E80" t="str">
            <v>E</v>
          </cell>
        </row>
        <row r="81">
          <cell r="B81" t="str">
            <v>2014-Q3</v>
          </cell>
          <cell r="C81">
            <v>41821</v>
          </cell>
          <cell r="D81">
            <v>41912</v>
          </cell>
          <cell r="E81" t="str">
            <v>E</v>
          </cell>
        </row>
        <row r="82">
          <cell r="B82" t="str">
            <v>2014-Q4</v>
          </cell>
          <cell r="C82">
            <v>41913</v>
          </cell>
          <cell r="D82">
            <v>42004</v>
          </cell>
          <cell r="E82" t="str">
            <v>E</v>
          </cell>
        </row>
        <row r="83">
          <cell r="B83" t="str">
            <v>2014-H1</v>
          </cell>
          <cell r="C83">
            <v>41730</v>
          </cell>
          <cell r="D83">
            <v>41820</v>
          </cell>
          <cell r="E83" t="str">
            <v>E</v>
          </cell>
        </row>
        <row r="84">
          <cell r="B84" t="str">
            <v>2014-H2</v>
          </cell>
          <cell r="C84">
            <v>41913</v>
          </cell>
          <cell r="D84">
            <v>42004</v>
          </cell>
          <cell r="E84" t="str">
            <v>E</v>
          </cell>
        </row>
        <row r="86">
          <cell r="B86" t="str">
            <v>2015-Q1</v>
          </cell>
          <cell r="C86">
            <v>42005</v>
          </cell>
          <cell r="D86">
            <v>42094</v>
          </cell>
          <cell r="E86" t="str">
            <v>E</v>
          </cell>
        </row>
        <row r="87">
          <cell r="B87" t="str">
            <v>2015-Q2</v>
          </cell>
          <cell r="C87">
            <v>42095</v>
          </cell>
          <cell r="D87">
            <v>42185</v>
          </cell>
          <cell r="E87" t="str">
            <v>E</v>
          </cell>
        </row>
        <row r="88">
          <cell r="B88" t="str">
            <v>2015-Q3</v>
          </cell>
          <cell r="C88">
            <v>42186</v>
          </cell>
          <cell r="D88">
            <v>42277</v>
          </cell>
          <cell r="E88" t="str">
            <v>E</v>
          </cell>
        </row>
        <row r="89">
          <cell r="B89" t="str">
            <v>2015-Q4</v>
          </cell>
          <cell r="C89">
            <v>42278</v>
          </cell>
          <cell r="D89">
            <v>42369</v>
          </cell>
          <cell r="E89" t="str">
            <v>E</v>
          </cell>
        </row>
        <row r="90">
          <cell r="B90" t="str">
            <v>2015-H1</v>
          </cell>
          <cell r="C90">
            <v>42095</v>
          </cell>
          <cell r="D90">
            <v>42185</v>
          </cell>
          <cell r="E90" t="str">
            <v>E</v>
          </cell>
        </row>
        <row r="91">
          <cell r="B91" t="str">
            <v>2015-H2</v>
          </cell>
          <cell r="C91">
            <v>42278</v>
          </cell>
          <cell r="D91">
            <v>42369</v>
          </cell>
          <cell r="E91" t="str">
            <v>E</v>
          </cell>
        </row>
        <row r="93">
          <cell r="B93" t="str">
            <v>2016-Q1</v>
          </cell>
          <cell r="C93">
            <v>42370</v>
          </cell>
          <cell r="D93">
            <v>42460</v>
          </cell>
          <cell r="E93" t="str">
            <v>E</v>
          </cell>
        </row>
        <row r="94">
          <cell r="B94" t="str">
            <v>2016-Q2</v>
          </cell>
          <cell r="C94">
            <v>42461</v>
          </cell>
          <cell r="D94">
            <v>42551</v>
          </cell>
          <cell r="E94" t="str">
            <v>E</v>
          </cell>
        </row>
        <row r="95">
          <cell r="B95" t="str">
            <v>2016-Q3</v>
          </cell>
          <cell r="C95">
            <v>42552</v>
          </cell>
          <cell r="D95">
            <v>42643</v>
          </cell>
          <cell r="E95" t="str">
            <v>E</v>
          </cell>
        </row>
        <row r="96">
          <cell r="B96" t="str">
            <v>2016-Q4</v>
          </cell>
          <cell r="C96">
            <v>42644</v>
          </cell>
          <cell r="D96">
            <v>42735</v>
          </cell>
          <cell r="E96" t="str">
            <v>E</v>
          </cell>
        </row>
        <row r="97">
          <cell r="B97" t="str">
            <v>2016-H1</v>
          </cell>
          <cell r="C97">
            <v>42461</v>
          </cell>
          <cell r="D97">
            <v>42551</v>
          </cell>
          <cell r="E97" t="str">
            <v>E</v>
          </cell>
        </row>
        <row r="98">
          <cell r="B98" t="str">
            <v>2016-H2</v>
          </cell>
          <cell r="C98">
            <v>42644</v>
          </cell>
          <cell r="D98">
            <v>42735</v>
          </cell>
          <cell r="E98" t="str">
            <v>E</v>
          </cell>
        </row>
        <row r="100">
          <cell r="B100" t="str">
            <v>2017-Q1</v>
          </cell>
          <cell r="C100">
            <v>42736</v>
          </cell>
          <cell r="D100">
            <v>42825</v>
          </cell>
          <cell r="E100" t="str">
            <v>E</v>
          </cell>
        </row>
        <row r="101">
          <cell r="B101" t="str">
            <v>2017-Q2</v>
          </cell>
          <cell r="C101">
            <v>42826</v>
          </cell>
          <cell r="D101">
            <v>42916</v>
          </cell>
          <cell r="E101" t="str">
            <v>E</v>
          </cell>
        </row>
        <row r="102">
          <cell r="B102" t="str">
            <v>2017-Q3</v>
          </cell>
          <cell r="C102">
            <v>42917</v>
          </cell>
          <cell r="D102">
            <v>43008</v>
          </cell>
          <cell r="E102" t="str">
            <v>E</v>
          </cell>
        </row>
        <row r="103">
          <cell r="B103" t="str">
            <v>2017-Q4</v>
          </cell>
          <cell r="C103">
            <v>43009</v>
          </cell>
          <cell r="D103">
            <v>43100</v>
          </cell>
          <cell r="E103" t="str">
            <v>E</v>
          </cell>
        </row>
        <row r="104">
          <cell r="B104" t="str">
            <v>2017-H1</v>
          </cell>
          <cell r="C104">
            <v>42826</v>
          </cell>
          <cell r="D104">
            <v>42916</v>
          </cell>
          <cell r="E104" t="str">
            <v>E</v>
          </cell>
        </row>
        <row r="105">
          <cell r="B105" t="str">
            <v>2017-H2</v>
          </cell>
          <cell r="C105">
            <v>43009</v>
          </cell>
          <cell r="D105">
            <v>43100</v>
          </cell>
          <cell r="E105" t="str">
            <v>E</v>
          </cell>
        </row>
        <row r="107">
          <cell r="B107" t="str">
            <v>2018-Q1</v>
          </cell>
          <cell r="C107">
            <v>43101</v>
          </cell>
          <cell r="D107">
            <v>43190</v>
          </cell>
          <cell r="E107" t="str">
            <v>E</v>
          </cell>
        </row>
        <row r="108">
          <cell r="B108" t="str">
            <v>2018-Q2</v>
          </cell>
          <cell r="C108">
            <v>43191</v>
          </cell>
          <cell r="D108">
            <v>43281</v>
          </cell>
          <cell r="E108" t="str">
            <v>E</v>
          </cell>
        </row>
        <row r="109">
          <cell r="B109" t="str">
            <v>2018-Q3</v>
          </cell>
          <cell r="C109">
            <v>43282</v>
          </cell>
          <cell r="D109">
            <v>43373</v>
          </cell>
          <cell r="E109" t="str">
            <v>E</v>
          </cell>
        </row>
        <row r="110">
          <cell r="B110" t="str">
            <v>2018-Q4</v>
          </cell>
          <cell r="C110">
            <v>43374</v>
          </cell>
          <cell r="D110">
            <v>43465</v>
          </cell>
          <cell r="E110" t="str">
            <v>E</v>
          </cell>
        </row>
        <row r="111">
          <cell r="B111" t="str">
            <v>2018-H1</v>
          </cell>
          <cell r="C111">
            <v>43191</v>
          </cell>
          <cell r="D111">
            <v>43281</v>
          </cell>
          <cell r="E111" t="str">
            <v>E</v>
          </cell>
        </row>
        <row r="112">
          <cell r="B112" t="str">
            <v>2018-H2</v>
          </cell>
          <cell r="C112">
            <v>43374</v>
          </cell>
          <cell r="D112">
            <v>43465</v>
          </cell>
          <cell r="E112" t="str">
            <v>E</v>
          </cell>
        </row>
        <row r="114">
          <cell r="B114" t="str">
            <v>2019-Q1</v>
          </cell>
          <cell r="C114">
            <v>43466</v>
          </cell>
          <cell r="D114">
            <v>43555</v>
          </cell>
          <cell r="E114" t="str">
            <v>E</v>
          </cell>
        </row>
        <row r="115">
          <cell r="B115" t="str">
            <v>2019-Q2</v>
          </cell>
          <cell r="C115">
            <v>43556</v>
          </cell>
          <cell r="D115">
            <v>43646</v>
          </cell>
          <cell r="E115" t="str">
            <v>E</v>
          </cell>
        </row>
        <row r="116">
          <cell r="B116" t="str">
            <v>2019-Q3</v>
          </cell>
          <cell r="C116">
            <v>43647</v>
          </cell>
          <cell r="D116">
            <v>43738</v>
          </cell>
          <cell r="E116" t="str">
            <v>E</v>
          </cell>
        </row>
        <row r="117">
          <cell r="B117" t="str">
            <v>2019-Q4</v>
          </cell>
          <cell r="C117">
            <v>43739</v>
          </cell>
          <cell r="D117">
            <v>43830</v>
          </cell>
          <cell r="E117" t="str">
            <v>E</v>
          </cell>
        </row>
        <row r="118">
          <cell r="B118" t="str">
            <v>2019-H1</v>
          </cell>
          <cell r="C118">
            <v>43556</v>
          </cell>
          <cell r="D118">
            <v>43646</v>
          </cell>
          <cell r="E118" t="str">
            <v>E</v>
          </cell>
        </row>
        <row r="119">
          <cell r="B119" t="str">
            <v>2019-H2</v>
          </cell>
          <cell r="C119">
            <v>43739</v>
          </cell>
          <cell r="D119">
            <v>43830</v>
          </cell>
          <cell r="E119" t="str">
            <v>E</v>
          </cell>
        </row>
        <row r="121">
          <cell r="B121" t="str">
            <v>2020-Q1</v>
          </cell>
          <cell r="C121">
            <v>43831</v>
          </cell>
          <cell r="D121">
            <v>43921</v>
          </cell>
          <cell r="E121" t="str">
            <v>E</v>
          </cell>
        </row>
        <row r="122">
          <cell r="B122" t="str">
            <v>2020-Q2</v>
          </cell>
          <cell r="C122">
            <v>43922</v>
          </cell>
          <cell r="D122">
            <v>44012</v>
          </cell>
          <cell r="E122" t="str">
            <v>E</v>
          </cell>
        </row>
        <row r="123">
          <cell r="B123" t="str">
            <v>2020-Q3</v>
          </cell>
          <cell r="C123">
            <v>44013</v>
          </cell>
          <cell r="D123">
            <v>44104</v>
          </cell>
          <cell r="E123" t="str">
            <v>E</v>
          </cell>
        </row>
        <row r="124">
          <cell r="B124" t="str">
            <v>2020-Q4</v>
          </cell>
          <cell r="C124">
            <v>44105</v>
          </cell>
          <cell r="D124">
            <v>44196</v>
          </cell>
          <cell r="E124" t="str">
            <v>E</v>
          </cell>
        </row>
        <row r="125">
          <cell r="B125" t="str">
            <v>2020-H1</v>
          </cell>
          <cell r="C125">
            <v>43922</v>
          </cell>
          <cell r="D125">
            <v>44012</v>
          </cell>
          <cell r="E125" t="str">
            <v>E</v>
          </cell>
        </row>
        <row r="126">
          <cell r="B126" t="str">
            <v>2020-H2</v>
          </cell>
          <cell r="C126">
            <v>44105</v>
          </cell>
          <cell r="D126">
            <v>44196</v>
          </cell>
          <cell r="E126" t="str">
            <v>E</v>
          </cell>
        </row>
        <row r="128">
          <cell r="B128" t="str">
            <v>2021-Q1</v>
          </cell>
          <cell r="C128">
            <v>44197</v>
          </cell>
          <cell r="D128">
            <v>44286</v>
          </cell>
          <cell r="E128" t="str">
            <v>E</v>
          </cell>
        </row>
        <row r="129">
          <cell r="B129" t="str">
            <v>2021-Q2</v>
          </cell>
          <cell r="C129">
            <v>44287</v>
          </cell>
          <cell r="D129">
            <v>44377</v>
          </cell>
          <cell r="E129" t="str">
            <v>E</v>
          </cell>
        </row>
        <row r="130">
          <cell r="B130" t="str">
            <v>2021-Q3</v>
          </cell>
          <cell r="C130">
            <v>44378</v>
          </cell>
          <cell r="D130">
            <v>44469</v>
          </cell>
          <cell r="E130" t="str">
            <v>E</v>
          </cell>
        </row>
        <row r="131">
          <cell r="B131" t="str">
            <v>2021-Q4</v>
          </cell>
          <cell r="C131">
            <v>44470</v>
          </cell>
          <cell r="D131">
            <v>44561</v>
          </cell>
          <cell r="E131" t="str">
            <v>E</v>
          </cell>
        </row>
        <row r="132">
          <cell r="B132" t="str">
            <v>2021-H1</v>
          </cell>
          <cell r="C132">
            <v>44287</v>
          </cell>
          <cell r="D132">
            <v>44377</v>
          </cell>
          <cell r="E132" t="str">
            <v>E</v>
          </cell>
        </row>
        <row r="133">
          <cell r="B133" t="str">
            <v>2021-H2</v>
          </cell>
          <cell r="C133">
            <v>44470</v>
          </cell>
          <cell r="D133">
            <v>44561</v>
          </cell>
          <cell r="E133" t="str">
            <v>E</v>
          </cell>
        </row>
        <row r="135">
          <cell r="B135" t="str">
            <v>2022-Q1</v>
          </cell>
          <cell r="C135">
            <v>44562</v>
          </cell>
          <cell r="D135">
            <v>44651</v>
          </cell>
          <cell r="E135" t="str">
            <v>E</v>
          </cell>
        </row>
        <row r="136">
          <cell r="B136" t="str">
            <v>2022-Q2</v>
          </cell>
          <cell r="C136">
            <v>44652</v>
          </cell>
          <cell r="D136">
            <v>44742</v>
          </cell>
          <cell r="E136" t="str">
            <v>E</v>
          </cell>
        </row>
        <row r="137">
          <cell r="B137" t="str">
            <v>2022-Q3</v>
          </cell>
          <cell r="C137">
            <v>44743</v>
          </cell>
          <cell r="D137">
            <v>44834</v>
          </cell>
          <cell r="E137" t="str">
            <v>E</v>
          </cell>
        </row>
        <row r="138">
          <cell r="B138" t="str">
            <v>2022-Q4</v>
          </cell>
          <cell r="C138">
            <v>44835</v>
          </cell>
          <cell r="D138">
            <v>44926</v>
          </cell>
          <cell r="E138" t="str">
            <v>E</v>
          </cell>
        </row>
        <row r="139">
          <cell r="B139" t="str">
            <v>2022-H1</v>
          </cell>
          <cell r="C139">
            <v>44652</v>
          </cell>
          <cell r="D139">
            <v>44742</v>
          </cell>
          <cell r="E139" t="str">
            <v>E</v>
          </cell>
        </row>
        <row r="140">
          <cell r="B140" t="str">
            <v>2022-H2</v>
          </cell>
          <cell r="C140">
            <v>44835</v>
          </cell>
          <cell r="D140">
            <v>44926</v>
          </cell>
          <cell r="E140" t="str">
            <v>E</v>
          </cell>
        </row>
      </sheetData>
      <sheetData sheetId="15"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TCASH"/>
      <sheetName val="FinSum"/>
      <sheetName val="MATQTRS"/>
      <sheetName val="SALESCAT"/>
      <sheetName val="MATBAL"/>
      <sheetName val="RELPE"/>
      <sheetName val="MATINC"/>
      <sheetName val="UNIV-EBS DATA"/>
      <sheetName val="Ratios"/>
      <sheetName val="Macro1"/>
      <sheetName val="Macro2"/>
      <sheetName val="__FDSCACHE__"/>
      <sheetName val="ImportantDisclosures"/>
      <sheetName val="Financials"/>
      <sheetName val="MW-Cache"/>
      <sheetName val="Drivers"/>
      <sheetName val="Options"/>
      <sheetName val="Guidance"/>
      <sheetName val="M&amp;A"/>
      <sheetName val="A vs E"/>
      <sheetName val="Dashboard"/>
      <sheetName val="Report"/>
      <sheetName val="Graphs"/>
      <sheetName val="RNOA"/>
      <sheetName val="DCF"/>
      <sheetName val="Cost Model"/>
      <sheetName val="MWA RR"/>
      <sheetName val="Facility List"/>
      <sheetName val="IndexInformation"/>
      <sheetName val="ModPubIndexInternal"/>
      <sheetName val="UNIV_EBS DATA"/>
      <sheetName val="NKEANNL"/>
      <sheetName val="NKEBALST"/>
      <sheetName val="NKEQTRIN"/>
      <sheetName val="Multiples"/>
      <sheetName val="Comps"/>
      <sheetName val="FMV"/>
      <sheetName val="Analysis"/>
      <sheetName val="MACRS"/>
      <sheetName val="RI Valuation"/>
      <sheetName val="Valuation Summary"/>
      <sheetName val="P&amp;L"/>
      <sheetName val="US Grocery Brand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A1" t="str">
            <v>PrintQtrs</v>
          </cell>
        </row>
        <row r="2">
          <cell r="A2" t="b">
            <v>0</v>
          </cell>
        </row>
        <row r="3">
          <cell r="A3" t="b">
            <v>0</v>
          </cell>
        </row>
        <row r="4">
          <cell r="A4" t="b">
            <v>0</v>
          </cell>
        </row>
        <row r="5">
          <cell r="A5" t="b">
            <v>0</v>
          </cell>
        </row>
        <row r="6">
          <cell r="A6" t="b">
            <v>0</v>
          </cell>
        </row>
        <row r="7">
          <cell r="A7" t="b">
            <v>0</v>
          </cell>
        </row>
        <row r="8">
          <cell r="A8" t="b">
            <v>0</v>
          </cell>
        </row>
        <row r="9">
          <cell r="A9" t="b">
            <v>0</v>
          </cell>
        </row>
        <row r="10">
          <cell r="A10" t="b">
            <v>0</v>
          </cell>
        </row>
        <row r="11">
          <cell r="A11" t="b">
            <v>0</v>
          </cell>
        </row>
        <row r="12">
          <cell r="A12" t="b">
            <v>0</v>
          </cell>
        </row>
        <row r="13">
          <cell r="A13" t="b">
            <v>0</v>
          </cell>
        </row>
        <row r="14">
          <cell r="A14" t="b">
            <v>0</v>
          </cell>
        </row>
        <row r="15">
          <cell r="A15" t="b">
            <v>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__FDSCACHE__"/>
      <sheetName val="Switches(2)"/>
      <sheetName val="SumVal"/>
      <sheetName val="Goodwill"/>
      <sheetName val="Debtrealloc"/>
      <sheetName val="Matrix"/>
      <sheetName val="Valmatrix"/>
      <sheetName val="40"/>
      <sheetName val="Borg"/>
      <sheetName val="Schw"/>
      <sheetName val="Elec"/>
      <sheetName val="Cable"/>
      <sheetName val="Corp"/>
      <sheetName val="Target"/>
      <sheetName val="10-Year DCF"/>
      <sheetName val="Combined"/>
      <sheetName val="Switches"/>
      <sheetName val="BearSens"/>
      <sheetName val="BearSens (38)"/>
      <sheetName val="Sources &amp; Uses"/>
      <sheetName val="Combined  PF BS"/>
      <sheetName val="Amort"/>
      <sheetName val="CorpExpense"/>
      <sheetName val="LBO Summary"/>
      <sheetName val="LBO Financials"/>
      <sheetName val="LBO PF BS"/>
      <sheetName val="5-Year DCF"/>
      <sheetName val="PrintManager"/>
      <sheetName val="monci"/>
      <sheetName val="Scen 1"/>
      <sheetName val="PrintManagerCode"/>
      <sheetName val="Acquiror"/>
      <sheetName val="Val-Matrix"/>
      <sheetName val="RSU Dilution"/>
      <sheetName val="Option Rollover"/>
      <sheetName val="AdditionalPrintCode"/>
      <sheetName val="MainPrintCode"/>
      <sheetName val="IRR Analysis"/>
      <sheetName val="ROIC Analysis"/>
      <sheetName val="Balance 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53">
          <cell r="D53">
            <v>5</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sheetName val="Annual (Dollar)"/>
      <sheetName val="variables"/>
      <sheetName val="P&amp;L"/>
      <sheetName val="MultipleSecurities"/>
      <sheetName val="Income Statement"/>
      <sheetName val="Ratios, Margins &amp; Multiples"/>
      <sheetName val="BS"/>
    </sheetNames>
    <sheetDataSet>
      <sheetData sheetId="0" refreshError="1">
        <row r="126">
          <cell r="A126" t="str">
            <v xml:space="preserve">          Year-to-year Change</v>
          </cell>
          <cell r="H126">
            <v>0.24991384829505892</v>
          </cell>
          <cell r="I126">
            <v>0.24277162542455155</v>
          </cell>
          <cell r="J126">
            <v>0.17128054704826257</v>
          </cell>
          <cell r="K126">
            <v>0.19787431328757976</v>
          </cell>
          <cell r="L126">
            <v>0.21342032121539933</v>
          </cell>
          <cell r="M126">
            <v>0.11308623127770367</v>
          </cell>
          <cell r="N126">
            <v>0.13621623127582838</v>
          </cell>
          <cell r="O126">
            <v>4.1600157294749307E-2</v>
          </cell>
          <cell r="P126">
            <v>5.288018960603047E-4</v>
          </cell>
          <cell r="Q126">
            <v>6.9827552999787601E-2</v>
          </cell>
          <cell r="R126">
            <v>9.6949821744704012E-2</v>
          </cell>
          <cell r="S126">
            <v>0.10393005126212396</v>
          </cell>
          <cell r="T126">
            <v>0.15875404562703643</v>
          </cell>
          <cell r="U126">
            <v>0.13728488337353251</v>
          </cell>
          <cell r="V126">
            <v>0.12411421944485412</v>
          </cell>
          <cell r="W126">
            <v>0.11267059373022015</v>
          </cell>
          <cell r="X126">
            <v>0.1137873612171183</v>
          </cell>
          <cell r="Y126">
            <v>0.15637754933385595</v>
          </cell>
          <cell r="Z126">
            <v>0.19174131173031506</v>
          </cell>
          <cell r="AA126">
            <v>0.14448148244938852</v>
          </cell>
          <cell r="AB126">
            <v>0.22155491346758738</v>
          </cell>
          <cell r="AC126">
            <v>0.27646766241175347</v>
          </cell>
          <cell r="AD126">
            <v>0.26552277762156762</v>
          </cell>
          <cell r="AE126">
            <v>0.20143064551248724</v>
          </cell>
          <cell r="AF126">
            <v>0.24058301745134503</v>
          </cell>
          <cell r="AG126">
            <v>0.1486487231280289</v>
          </cell>
          <cell r="AH126">
            <v>0.12922511757116739</v>
          </cell>
          <cell r="AI126">
            <v>0.13405047685948768</v>
          </cell>
          <cell r="AJ126">
            <v>0.11037697235981536</v>
          </cell>
          <cell r="AK126">
            <v>0.12996483375385304</v>
          </cell>
          <cell r="AL126">
            <v>0.13211388898160825</v>
          </cell>
          <cell r="AM126">
            <v>0.10896118500135699</v>
          </cell>
          <cell r="AN126">
            <v>0.10970486293456561</v>
          </cell>
          <cell r="AO126">
            <v>0.13264776462977013</v>
          </cell>
          <cell r="AP126">
            <v>0.1206549049913983</v>
          </cell>
          <cell r="AQ126">
            <v>0.18374266591974497</v>
          </cell>
          <cell r="AR126">
            <v>0.21393055701248298</v>
          </cell>
          <cell r="AS126">
            <v>0.19803673681862133</v>
          </cell>
          <cell r="AT126">
            <v>0.21580191812119787</v>
          </cell>
          <cell r="AU126">
            <v>0.20324910247702466</v>
          </cell>
          <cell r="AV126">
            <v>0.18208921506788633</v>
          </cell>
          <cell r="AW126">
            <v>0.13183014043338614</v>
          </cell>
          <cell r="AX126">
            <v>0.16128580568546536</v>
          </cell>
          <cell r="AY126">
            <v>0.17105448728203054</v>
          </cell>
          <cell r="AZ126">
            <v>0.1613089449314169</v>
          </cell>
          <cell r="BE126">
            <v>0.13998980255872473</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MS US SALES"/>
      <sheetName val="Fax Sheet"/>
      <sheetName val="Combined Analysis GBP"/>
      <sheetName val="GE Upload"/>
      <sheetName val="Transposed P&amp;L"/>
      <sheetName val="Combined Analysis USD"/>
      <sheetName val="Balance Sh.US"/>
      <sheetName val="Cash FlUS."/>
      <sheetName val="newprods"/>
      <sheetName val="Successor data (2)"/>
      <sheetName val="Zeneca"/>
      <sheetName val="Astra"/>
      <sheetName val="Astra1"/>
      <sheetName val="IMS"/>
      <sheetName val="newprodsUSD"/>
      <sheetName val="Zantac Decline"/>
      <sheetName val="Successor data"/>
      <sheetName val="Successors"/>
      <sheetName val="Rx Flovent"/>
      <sheetName val="Cash Flovent"/>
      <sheetName val="Cost Flovent"/>
      <sheetName val="Statins"/>
      <sheetName val="Rx Zocor"/>
      <sheetName val="Cash Zocor"/>
      <sheetName val="Cost Zocor"/>
      <sheetName val="Rx Cozaar"/>
      <sheetName val="Cash Cozaar"/>
      <sheetName val="Cost Cozaar"/>
      <sheetName val="ACE Rx"/>
      <sheetName val="AT2 Rx"/>
      <sheetName val="Divisional Page"/>
      <sheetName val="Co Rx"/>
      <sheetName val="Rx Norvasc"/>
      <sheetName val="Cash Norvasc"/>
      <sheetName val="Cost Norvasc"/>
      <sheetName val="GE3"/>
      <sheetName val="GE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1">
          <cell r="B1" t="str">
            <v>Beclovent</v>
          </cell>
        </row>
        <row r="96">
          <cell r="B96" t="str">
            <v>Flovent/Beclovent</v>
          </cell>
          <cell r="C96" t="str">
            <v>Zocor/Mevacor</v>
          </cell>
          <cell r="D96" t="str">
            <v>Cozaar/Vasotec</v>
          </cell>
          <cell r="E96" t="str">
            <v>Cozaar/Prinivil</v>
          </cell>
          <cell r="F96" t="str">
            <v>Norvasc/Procardia XL</v>
          </cell>
        </row>
        <row r="97">
          <cell r="A97" t="str">
            <v>1Q93</v>
          </cell>
          <cell r="C97">
            <v>0.70465740551786427</v>
          </cell>
          <cell r="F97">
            <v>0.57248509091020006</v>
          </cell>
        </row>
        <row r="98">
          <cell r="A98" t="str">
            <v>2Q93</v>
          </cell>
          <cell r="C98">
            <v>0.73130591273173984</v>
          </cell>
          <cell r="F98">
            <v>0.65628144919332343</v>
          </cell>
        </row>
        <row r="99">
          <cell r="A99" t="str">
            <v>3Q93</v>
          </cell>
          <cell r="C99">
            <v>0.77651879775031585</v>
          </cell>
          <cell r="F99">
            <v>0.76103293516397963</v>
          </cell>
        </row>
        <row r="100">
          <cell r="A100" t="str">
            <v>4Q93</v>
          </cell>
          <cell r="C100">
            <v>0.73183545868914346</v>
          </cell>
          <cell r="F100">
            <v>0.71702127721856146</v>
          </cell>
        </row>
        <row r="101">
          <cell r="A101" t="str">
            <v>1Q94</v>
          </cell>
          <cell r="C101">
            <v>0.80095035972183293</v>
          </cell>
          <cell r="F101">
            <v>0.78056517706263262</v>
          </cell>
        </row>
        <row r="102">
          <cell r="A102" t="str">
            <v>2Q94</v>
          </cell>
          <cell r="C102">
            <v>0.80243155414418066</v>
          </cell>
          <cell r="F102">
            <v>0.78344575185702303</v>
          </cell>
        </row>
        <row r="103">
          <cell r="A103" t="str">
            <v>3Q94</v>
          </cell>
          <cell r="C103">
            <v>0.78524154861025997</v>
          </cell>
          <cell r="F103">
            <v>0.79626462928181707</v>
          </cell>
        </row>
        <row r="104">
          <cell r="A104" t="str">
            <v>4Q94</v>
          </cell>
          <cell r="C104">
            <v>0.79744172835537763</v>
          </cell>
          <cell r="F104">
            <v>0.80411005816761216</v>
          </cell>
        </row>
        <row r="105">
          <cell r="A105" t="str">
            <v>1Q95</v>
          </cell>
          <cell r="C105">
            <v>0.83187501474382353</v>
          </cell>
          <cell r="F105">
            <v>0.82011667170432512</v>
          </cell>
        </row>
        <row r="106">
          <cell r="A106" t="str">
            <v>2Q95</v>
          </cell>
          <cell r="C106">
            <v>0.83203267200582454</v>
          </cell>
          <cell r="D106">
            <v>0.49607203609558931</v>
          </cell>
          <cell r="E106">
            <v>0.60971244481565445</v>
          </cell>
          <cell r="F106">
            <v>0.93536169714109019</v>
          </cell>
        </row>
        <row r="107">
          <cell r="A107" t="str">
            <v>3Q95</v>
          </cell>
          <cell r="C107">
            <v>0.7632706197687561</v>
          </cell>
          <cell r="D107">
            <v>0.51679784675442164</v>
          </cell>
          <cell r="E107">
            <v>0.63207890787767518</v>
          </cell>
          <cell r="F107">
            <v>0.71533711133689581</v>
          </cell>
        </row>
        <row r="108">
          <cell r="A108" t="str">
            <v>4Q95</v>
          </cell>
          <cell r="C108">
            <v>0.82080306018106752</v>
          </cell>
          <cell r="D108">
            <v>0.65114947302193193</v>
          </cell>
          <cell r="E108">
            <v>0.81955565533609609</v>
          </cell>
          <cell r="F108">
            <v>0.79417805205256031</v>
          </cell>
        </row>
        <row r="109">
          <cell r="A109" t="str">
            <v>1Q96</v>
          </cell>
          <cell r="C109">
            <v>0.82952911445289101</v>
          </cell>
          <cell r="D109">
            <v>0.77583527768094485</v>
          </cell>
          <cell r="E109">
            <v>0.96628540384510253</v>
          </cell>
          <cell r="F109">
            <v>0.8109586066592962</v>
          </cell>
        </row>
        <row r="110">
          <cell r="A110" t="str">
            <v>2Q96</v>
          </cell>
          <cell r="C110">
            <v>0.8326980526511597</v>
          </cell>
          <cell r="D110">
            <v>0.82528492704258516</v>
          </cell>
          <cell r="E110">
            <v>1.0784441258606776</v>
          </cell>
          <cell r="F110">
            <v>0.82116332177259199</v>
          </cell>
        </row>
        <row r="111">
          <cell r="A111" t="str">
            <v>3Q96</v>
          </cell>
          <cell r="C111">
            <v>0.82806367273430315</v>
          </cell>
          <cell r="D111">
            <v>0.83491761635638773</v>
          </cell>
          <cell r="E111">
            <v>1.1064605396200309</v>
          </cell>
          <cell r="F111">
            <v>0.80723602587339205</v>
          </cell>
        </row>
        <row r="112">
          <cell r="A112" t="str">
            <v>4Q96</v>
          </cell>
          <cell r="B112">
            <v>2.3452160493827159</v>
          </cell>
          <cell r="C112">
            <v>0.81723804765241859</v>
          </cell>
          <cell r="D112">
            <v>0.85131233958866559</v>
          </cell>
          <cell r="E112">
            <v>1.1151541204350404</v>
          </cell>
          <cell r="F112">
            <v>0.79171479109606668</v>
          </cell>
        </row>
        <row r="113">
          <cell r="A113" t="str">
            <v>1Q97</v>
          </cell>
          <cell r="B113">
            <v>1.2078166266842394</v>
          </cell>
          <cell r="C113">
            <v>0.82541923516629156</v>
          </cell>
          <cell r="D113">
            <v>0.90836525391974909</v>
          </cell>
          <cell r="E113">
            <v>1.1765590079040611</v>
          </cell>
          <cell r="F113">
            <v>0.79622112071725826</v>
          </cell>
        </row>
        <row r="114">
          <cell r="A114" t="str">
            <v>2Q97</v>
          </cell>
          <cell r="B114">
            <v>1.861480189604549</v>
          </cell>
          <cell r="C114">
            <v>0.82064376989372667</v>
          </cell>
          <cell r="D114">
            <v>0.88418776469929283</v>
          </cell>
          <cell r="E114">
            <v>1.1594506473162571</v>
          </cell>
          <cell r="F114">
            <v>0.81473735885661724</v>
          </cell>
        </row>
        <row r="115">
          <cell r="A115" t="str">
            <v>3Q97</v>
          </cell>
          <cell r="B115">
            <v>1.6074266696371524</v>
          </cell>
          <cell r="C115">
            <v>0.81508089459480726</v>
          </cell>
          <cell r="D115">
            <v>0.89283388969594768</v>
          </cell>
          <cell r="E115">
            <v>1.1636711601142078</v>
          </cell>
          <cell r="F115">
            <v>0.78384661239745113</v>
          </cell>
        </row>
        <row r="116">
          <cell r="A116" t="str">
            <v>4Q97</v>
          </cell>
          <cell r="B116">
            <v>1.5591849565508555</v>
          </cell>
          <cell r="C116">
            <v>0.84012562259346746</v>
          </cell>
          <cell r="D116">
            <v>0.906222630995558</v>
          </cell>
          <cell r="E116">
            <v>1.2046150481870759</v>
          </cell>
          <cell r="F116">
            <v>0.79217811323194309</v>
          </cell>
        </row>
        <row r="117">
          <cell r="A117" t="str">
            <v>1Q98</v>
          </cell>
          <cell r="B117">
            <v>1.3243881582218433</v>
          </cell>
          <cell r="C117">
            <v>0.83661954612235623</v>
          </cell>
          <cell r="D117">
            <v>0.95705920112703236</v>
          </cell>
          <cell r="E117">
            <v>1.2735858169493786</v>
          </cell>
          <cell r="F117">
            <v>0.77818310571455973</v>
          </cell>
        </row>
        <row r="118">
          <cell r="A118" t="str">
            <v>2Q98</v>
          </cell>
          <cell r="B118">
            <v>1.371806592039801</v>
          </cell>
          <cell r="C118">
            <v>0.8691608919732724</v>
          </cell>
          <cell r="D118">
            <v>0.96219708566935214</v>
          </cell>
          <cell r="E118">
            <v>1.2960893854748603</v>
          </cell>
          <cell r="F118">
            <v>0.75058642689234467</v>
          </cell>
        </row>
        <row r="119">
          <cell r="A119" t="str">
            <v>3Q98</v>
          </cell>
          <cell r="B119">
            <v>1.4335085012336293</v>
          </cell>
          <cell r="C119">
            <v>0.86862180120192989</v>
          </cell>
          <cell r="D119">
            <v>0.95131771334025017</v>
          </cell>
          <cell r="E119">
            <v>1.3074388890872013</v>
          </cell>
          <cell r="F119">
            <v>0.78639478866422352</v>
          </cell>
        </row>
        <row r="120">
          <cell r="A120" t="str">
            <v>4Q98</v>
          </cell>
          <cell r="B120">
            <v>1.2819583371225303</v>
          </cell>
          <cell r="C120">
            <v>0.84598054177538395</v>
          </cell>
          <cell r="D120">
            <v>0.95232728745369333</v>
          </cell>
          <cell r="E120">
            <v>1.2731513800704735</v>
          </cell>
          <cell r="F120">
            <v>0.79355669335017176</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Upload"/>
      <sheetName val="GE 2"/>
      <sheetName val="GE3"/>
      <sheetName val="Valuation"/>
      <sheetName val="quartsls"/>
      <sheetName val="salesanalysis"/>
      <sheetName val="quartmarg"/>
      <sheetName val="quartP&amp;L"/>
      <sheetName val="yearlyP&amp;L"/>
      <sheetName val="cashflow"/>
      <sheetName val="B-Sbis"/>
      <sheetName val="Product models"/>
      <sheetName val="newprods"/>
      <sheetName val="Graphs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58">
          <cell r="E58">
            <v>1453</v>
          </cell>
        </row>
      </sheetData>
      <sheetData sheetId="11" refreshError="1"/>
      <sheetData sheetId="12" refreshError="1"/>
      <sheetData sheetId="13"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ingTheStreet"/>
      <sheetName val="inputs"/>
      <sheetName val="Scenario"/>
      <sheetName val="is"/>
      <sheetName val="bs"/>
      <sheetName val="cf"/>
      <sheetName val="workingcap"/>
      <sheetName val="dep"/>
      <sheetName val="amort"/>
      <sheetName val="other"/>
      <sheetName val="equity"/>
      <sheetName val="shares"/>
      <sheetName val="debt_interest"/>
      <sheetName val="ratios"/>
      <sheetName val="B-Sbis"/>
    </sheetNames>
    <sheetDataSet>
      <sheetData sheetId="0" refreshError="1"/>
      <sheetData sheetId="1" refreshError="1">
        <row r="5">
          <cell r="F5" t="str">
            <v>Dollars in Millions, except per share</v>
          </cell>
        </row>
      </sheetData>
      <sheetData sheetId="2" refreshError="1"/>
      <sheetData sheetId="3" refreshError="1">
        <row r="1">
          <cell r="Q1" t="str">
            <v>Street Case</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s"/>
    </sheetNames>
    <sheetDataSet>
      <sheetData sheetId="0" refreshError="1">
        <row r="3">
          <cell r="C3" t="str">
            <v>1998</v>
          </cell>
        </row>
        <row r="13">
          <cell r="C13" t="str">
            <v>SECOND HALF YEAR</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ps"/>
      <sheetName val="Sum of Parts 2006"/>
      <sheetName val="Sum of Parts 2007"/>
      <sheetName val="2000x"/>
      <sheetName val="_EV_EBITDA"/>
      <sheetName val="_EV_Sales"/>
      <sheetName val="__FDSCACHE__"/>
      <sheetName val="Data"/>
      <sheetName val="database"/>
      <sheetName val="tables for quarterly"/>
      <sheetName val="OPEB"/>
      <sheetName val="op margin trends"/>
      <sheetName val="mwareTaxoPres"/>
      <sheetName val="Model_Template"/>
      <sheetName val="New Quarterly"/>
      <sheetName val="Annual"/>
      <sheetName val="Pension"/>
      <sheetName val="mwareValPrintout"/>
      <sheetName val="mwarePreview"/>
      <sheetName val="debt"/>
      <sheetName val="op profit segmented"/>
      <sheetName val="Sales Pie"/>
      <sheetName val="Profit Pie"/>
      <sheetName val="Fluid Sales Pie"/>
      <sheetName val="returns"/>
      <sheetName val="op marg vs asset turn"/>
      <sheetName val="Chart2"/>
      <sheetName val="Sheet3"/>
      <sheetName val="recon_n of 3q op inc"/>
      <sheetName val="MainCode"/>
      <sheetName val="Old Quarterly"/>
      <sheetName val="Exhibits"/>
      <sheetName val="NY UPLOAD"/>
      <sheetName val="mwareDates"/>
      <sheetName val="M&amp;A"/>
      <sheetName val="mwareSettings"/>
      <sheetName val="NY UPLOAD shadow"/>
      <sheetName val="EV-EBITDA"/>
      <sheetName val="EV-Sales"/>
      <sheetName val="OtherDisclosures"/>
      <sheetName val="ImportantDisclosures"/>
      <sheetName val="one_pg_summary"/>
      <sheetName val="Truck production"/>
      <sheetName val="is"/>
      <sheetName val="inpu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4">
          <cell r="B4" t="str">
            <v>Fluid Power</v>
          </cell>
          <cell r="C4" t="str">
            <v>Electrical</v>
          </cell>
          <cell r="D4" t="str">
            <v>Auto</v>
          </cell>
          <cell r="E4" t="str">
            <v>Truck</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DCF_SUMMARY"/>
      <sheetName val="RDCF_FORECAST"/>
      <sheetName val="RDCF_BULL"/>
      <sheetName val="RDCF_BASE"/>
      <sheetName val="RDCF_BEAR"/>
      <sheetName val="Legal"/>
      <sheetName val="Breakdown"/>
    </sheetNames>
    <sheetDataSet>
      <sheetData sheetId="0" refreshError="1"/>
      <sheetData sheetId="1" refreshError="1"/>
      <sheetData sheetId="2" refreshError="1"/>
      <sheetData sheetId="3" refreshError="1"/>
      <sheetData sheetId="4" refreshError="1"/>
      <sheetData sheetId="5" refreshError="1"/>
      <sheetData sheetId="6" refreshError="1">
        <row r="6">
          <cell r="D6">
            <v>45.5</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Page"/>
      <sheetName val="Inc.St."/>
      <sheetName val="Bal.Sheet"/>
      <sheetName val="CashFlow"/>
      <sheetName val="NewDetail"/>
      <sheetName val="MarketDetail"/>
      <sheetName val="Tbl1&amp;3"/>
      <sheetName val="DCF"/>
      <sheetName val="SumofParts"/>
      <sheetName val="EBITDA"/>
      <sheetName val="Comps"/>
      <sheetName val="LgCapInd"/>
      <sheetName val="NetInc."/>
      <sheetName val="ShareRepo"/>
      <sheetName val="Brands"/>
      <sheetName val="Vol&amp;Price"/>
      <sheetName val="Ex-DTI"/>
      <sheetName val="ElectMkt"/>
      <sheetName val="PmMkt"/>
      <sheetName val="CoatMkt"/>
      <sheetName val="SafetyMkt"/>
      <sheetName val="AgMkt"/>
      <sheetName val="ElectSegMix"/>
      <sheetName val="PmSegMix"/>
      <sheetName val="CoatSegMix"/>
      <sheetName val="SafetySegMix"/>
      <sheetName val="AgSegMix"/>
      <sheetName val="bcgData"/>
      <sheetName val="GEO"/>
      <sheetName val="Raws"/>
      <sheetName val="DDdata"/>
      <sheetName val="PortfMgmt"/>
      <sheetName val="Matrix"/>
      <sheetName val="E&amp;CT"/>
      <sheetName val="PM"/>
      <sheetName val="C&amp;CT"/>
      <sheetName val="S&amp;P"/>
      <sheetName val="A&amp;N"/>
      <sheetName val="DTI"/>
      <sheetName val="Timeline"/>
      <sheetName val="bcgChart"/>
      <sheetName val="ECTIPI"/>
      <sheetName val="PMIPI"/>
      <sheetName val="SPIPI"/>
      <sheetName val="CCIPI"/>
      <sheetName val="RawIndex "/>
      <sheetName val="VolPriceIndex"/>
      <sheetName val="QVolumeIndex"/>
      <sheetName val="QPriceIndex"/>
      <sheetName val="VolVsIndexes"/>
      <sheetName val="VolIPI"/>
      <sheetName val="VolIPI2"/>
      <sheetName val="DDVolume"/>
      <sheetName val="SLS"/>
      <sheetName val="BS"/>
      <sheetName val="CFC"/>
      <sheetName val="02EndMrkt"/>
      <sheetName val="03PFEndMrkt"/>
      <sheetName val="00SalesPie"/>
      <sheetName val="MainCode"/>
      <sheetName val="01SalesPie"/>
      <sheetName val="02SalesPie"/>
      <sheetName val="03pSalesPie"/>
      <sheetName val="00ATOIPie"/>
      <sheetName val="01ATOIPie"/>
      <sheetName val="02ATOIPie"/>
      <sheetName val="03pATOIPie"/>
      <sheetName val="00Geo"/>
      <sheetName val="01Geo"/>
      <sheetName val="02Geo"/>
      <sheetName val="03PGeo"/>
      <sheetName val="Flexo"/>
      <sheetName val="Printing"/>
      <sheetName val="NonwovenProds"/>
      <sheetName val="NonwovenIndUses"/>
      <sheetName val="NonwovenComp"/>
      <sheetName val="NonwovenGeo"/>
      <sheetName val="FiberMkt"/>
      <sheetName val="SynVolMktVol"/>
      <sheetName val="SynMktSales"/>
      <sheetName val="DTIcomp"/>
      <sheetName val="DTIprodgrowth"/>
      <sheetName val="TiO2price"/>
      <sheetName val="TiO2supdem"/>
      <sheetName val="TiO2Suppliers"/>
      <sheetName val="TiO2Uses"/>
      <sheetName val="Industry-CropMix"/>
      <sheetName val="DD-CropMix"/>
      <sheetName val="DD-CropProtSls"/>
      <sheetName val="Module1"/>
      <sheetName val="PioGeo2002"/>
      <sheetName val="PioCropMix2001"/>
      <sheetName val="PioCropMix2002"/>
      <sheetName val="Ag_Nut"/>
      <sheetName val="PerfMat"/>
      <sheetName val="E&amp;C"/>
      <sheetName val="Perf. Coat"/>
      <sheetName val="EMMarket"/>
      <sheetName val="ElecGeo"/>
      <sheetName val="ElecMkts"/>
      <sheetName val="EngPolySls"/>
      <sheetName val="EngPolyATOI"/>
      <sheetName val="DTI-Segments"/>
      <sheetName val="DTIGeo"/>
      <sheetName val="SpandexGeo"/>
      <sheetName val="LycraUses"/>
      <sheetName val="SpandexDemand"/>
      <sheetName val="NylonUses"/>
      <sheetName val="NylonGeo"/>
      <sheetName val="CarpetMkt"/>
      <sheetName val="CarpetFibers"/>
      <sheetName val="CptFibCap"/>
      <sheetName val="FloorMkt"/>
      <sheetName val="Saf&amp;P"/>
      <sheetName val="RnDSales"/>
      <sheetName val="RnD01"/>
      <sheetName val="LINK"/>
    </sheetNames>
    <sheetDataSet>
      <sheetData sheetId="0" refreshError="1"/>
      <sheetData sheetId="1" refreshError="1">
        <row r="154">
          <cell r="A154" t="str">
            <v>Table 4</v>
          </cell>
        </row>
        <row r="155">
          <cell r="A155" t="str">
            <v>DuPont</v>
          </cell>
        </row>
        <row r="156">
          <cell r="A156" t="str">
            <v>Annual Income Statement 1995-2005E</v>
          </cell>
        </row>
        <row r="158">
          <cell r="A158" t="str">
            <v>($ Millions, Except Earnings Per Share)</v>
          </cell>
        </row>
        <row r="160">
          <cell r="R160" t="str">
            <v>Growth (a)</v>
          </cell>
        </row>
        <row r="161">
          <cell r="B161" t="str">
            <v>1990</v>
          </cell>
          <cell r="C161" t="str">
            <v>1991</v>
          </cell>
          <cell r="D161" t="str">
            <v>1992</v>
          </cell>
          <cell r="E161" t="str">
            <v>1993</v>
          </cell>
          <cell r="F161" t="str">
            <v>1994</v>
          </cell>
          <cell r="G161" t="str">
            <v>1995</v>
          </cell>
          <cell r="H161" t="str">
            <v>1996</v>
          </cell>
          <cell r="I161" t="str">
            <v>1997</v>
          </cell>
          <cell r="J161" t="str">
            <v>1998</v>
          </cell>
          <cell r="K161" t="str">
            <v>1999R</v>
          </cell>
          <cell r="L161" t="str">
            <v>2000R</v>
          </cell>
          <cell r="M161" t="str">
            <v>2001R</v>
          </cell>
          <cell r="N161" t="str">
            <v>2002E</v>
          </cell>
          <cell r="O161" t="str">
            <v>2003E</v>
          </cell>
          <cell r="P161" t="str">
            <v>2004E</v>
          </cell>
          <cell r="Q161" t="str">
            <v>2005E</v>
          </cell>
          <cell r="R161" t="str">
            <v>95-00</v>
          </cell>
        </row>
        <row r="162">
          <cell r="A162" t="str">
            <v>Net Sales</v>
          </cell>
          <cell r="G162">
            <v>24500</v>
          </cell>
          <cell r="H162">
            <v>23644</v>
          </cell>
          <cell r="I162">
            <v>24089</v>
          </cell>
          <cell r="J162">
            <v>24767</v>
          </cell>
          <cell r="K162">
            <v>26918</v>
          </cell>
          <cell r="L162">
            <v>28268</v>
          </cell>
          <cell r="M162">
            <v>24726</v>
          </cell>
          <cell r="N162">
            <v>25023.145662038907</v>
          </cell>
          <cell r="O162">
            <v>25643.953483423644</v>
          </cell>
          <cell r="P162">
            <v>26803.804708594827</v>
          </cell>
          <cell r="Q162">
            <v>28036.330655440564</v>
          </cell>
          <cell r="R162">
            <v>3.2874547208826765E-2</v>
          </cell>
        </row>
        <row r="163">
          <cell r="A163" t="str">
            <v>Cost of Sales</v>
          </cell>
          <cell r="G163">
            <v>15503</v>
          </cell>
          <cell r="H163">
            <v>15230.014721840977</v>
          </cell>
          <cell r="I163">
            <v>15489.990086734369</v>
          </cell>
          <cell r="J163">
            <v>15828.024202928158</v>
          </cell>
          <cell r="K163">
            <v>16964</v>
          </cell>
          <cell r="L163">
            <v>17424</v>
          </cell>
          <cell r="M163">
            <v>16535</v>
          </cell>
          <cell r="N163">
            <v>16806.49149537224</v>
          </cell>
          <cell r="O163">
            <v>16188.805863876472</v>
          </cell>
          <cell r="P163">
            <v>16569.177596879679</v>
          </cell>
          <cell r="Q163">
            <v>17098.951443675516</v>
          </cell>
        </row>
        <row r="164">
          <cell r="A164" t="str">
            <v>Gross Profit</v>
          </cell>
          <cell r="G164">
            <v>8997</v>
          </cell>
          <cell r="H164">
            <v>8413.9852781590234</v>
          </cell>
          <cell r="I164">
            <v>8599.0099132656305</v>
          </cell>
          <cell r="J164">
            <v>8938.975797071842</v>
          </cell>
          <cell r="K164">
            <v>9954</v>
          </cell>
          <cell r="L164">
            <v>10844</v>
          </cell>
          <cell r="M164">
            <v>8191</v>
          </cell>
          <cell r="N164">
            <v>8216.6541666666672</v>
          </cell>
          <cell r="O164">
            <v>9455.1476195471714</v>
          </cell>
          <cell r="P164">
            <v>10234.627111715148</v>
          </cell>
          <cell r="Q164">
            <v>10937.379211765048</v>
          </cell>
          <cell r="R164">
            <v>4.3091616330363181E-2</v>
          </cell>
        </row>
        <row r="165">
          <cell r="A165" t="str">
            <v>Gross Margin</v>
          </cell>
          <cell r="G165">
            <v>0.36722448979591837</v>
          </cell>
          <cell r="H165">
            <v>0.35586132964638062</v>
          </cell>
          <cell r="I165">
            <v>0.35696832219127528</v>
          </cell>
          <cell r="J165">
            <v>0.36092283268348374</v>
          </cell>
          <cell r="K165">
            <v>0.3697897317779924</v>
          </cell>
          <cell r="L165">
            <v>0.38361398047261924</v>
          </cell>
          <cell r="M165">
            <v>0.33127072716978079</v>
          </cell>
          <cell r="N165">
            <v>0.32836216028313553</v>
          </cell>
          <cell r="O165">
            <v>0.36870865584977047</v>
          </cell>
          <cell r="P165">
            <v>0.38183486348239748</v>
          </cell>
          <cell r="Q165">
            <v>0.39011450343422899</v>
          </cell>
        </row>
        <row r="166">
          <cell r="A166" t="str">
            <v>Selling and Administrative</v>
          </cell>
          <cell r="G166">
            <v>2283</v>
          </cell>
          <cell r="H166">
            <v>2119</v>
          </cell>
          <cell r="I166">
            <v>2061</v>
          </cell>
          <cell r="J166">
            <v>2115</v>
          </cell>
          <cell r="K166">
            <v>2595</v>
          </cell>
          <cell r="L166">
            <v>3041</v>
          </cell>
          <cell r="M166">
            <v>2925</v>
          </cell>
          <cell r="N166">
            <v>2577</v>
          </cell>
          <cell r="O166">
            <v>2769.5469762097537</v>
          </cell>
          <cell r="P166">
            <v>2894.8109085282413</v>
          </cell>
          <cell r="Q166">
            <v>3027.9237107875811</v>
          </cell>
          <cell r="R166">
            <v>6.0844054804974457E-2</v>
          </cell>
        </row>
        <row r="167">
          <cell r="A167" t="str">
            <v>S&amp;A/Sales</v>
          </cell>
          <cell r="G167">
            <v>9.3183673469387759E-2</v>
          </cell>
          <cell r="H167">
            <v>8.9621045508374214E-2</v>
          </cell>
          <cell r="I167">
            <v>8.5557723442235042E-2</v>
          </cell>
          <cell r="J167">
            <v>8.5395889691928781E-2</v>
          </cell>
          <cell r="K167">
            <v>9.6403893305594776E-2</v>
          </cell>
          <cell r="L167">
            <v>0.10757747276071883</v>
          </cell>
          <cell r="M167">
            <v>0.11829652996845426</v>
          </cell>
          <cell r="N167">
            <v>0.10298465408005877</v>
          </cell>
          <cell r="O167">
            <v>0.108</v>
          </cell>
          <cell r="P167">
            <v>0.108</v>
          </cell>
          <cell r="Q167">
            <v>0.108</v>
          </cell>
        </row>
        <row r="168">
          <cell r="A168" t="str">
            <v>Depreciation</v>
          </cell>
          <cell r="G168">
            <v>1643</v>
          </cell>
          <cell r="H168">
            <v>1501</v>
          </cell>
          <cell r="I168">
            <v>1361</v>
          </cell>
          <cell r="J168">
            <v>1452</v>
          </cell>
          <cell r="K168">
            <v>1444</v>
          </cell>
          <cell r="L168">
            <v>1415</v>
          </cell>
          <cell r="M168">
            <v>1320</v>
          </cell>
          <cell r="N168">
            <v>1300</v>
          </cell>
          <cell r="O168">
            <v>1341.4285714285713</v>
          </cell>
          <cell r="P168">
            <v>1384.3571428571427</v>
          </cell>
          <cell r="Q168">
            <v>1432.2821428571426</v>
          </cell>
          <cell r="R168">
            <v>-2.2553016327796827E-2</v>
          </cell>
        </row>
        <row r="169">
          <cell r="A169" t="str">
            <v>Amortization</v>
          </cell>
          <cell r="G169">
            <v>0</v>
          </cell>
          <cell r="H169">
            <v>25</v>
          </cell>
          <cell r="I169">
            <v>20</v>
          </cell>
          <cell r="J169">
            <v>108</v>
          </cell>
          <cell r="K169">
            <v>246</v>
          </cell>
          <cell r="L169">
            <v>445</v>
          </cell>
          <cell r="M169">
            <v>434</v>
          </cell>
          <cell r="N169">
            <v>201</v>
          </cell>
          <cell r="O169">
            <v>201</v>
          </cell>
          <cell r="P169">
            <v>201</v>
          </cell>
          <cell r="Q169">
            <v>201</v>
          </cell>
        </row>
        <row r="170">
          <cell r="A170" t="str">
            <v>D&amp;A/Sales</v>
          </cell>
          <cell r="G170">
            <v>6.7061224489795915E-2</v>
          </cell>
          <cell r="H170">
            <v>6.4540686855016072E-2</v>
          </cell>
          <cell r="I170">
            <v>5.7329071360371957E-2</v>
          </cell>
          <cell r="J170">
            <v>6.298703920539428E-2</v>
          </cell>
          <cell r="K170">
            <v>6.2783267701909506E-2</v>
          </cell>
          <cell r="L170">
            <v>6.579878307626999E-2</v>
          </cell>
          <cell r="M170">
            <v>7.0937474722963675E-2</v>
          </cell>
          <cell r="N170">
            <v>5.9984464794011726E-2</v>
          </cell>
          <cell r="O170">
            <v>6.0147846252552414E-2</v>
          </cell>
          <cell r="P170">
            <v>5.9146720403793526E-2</v>
          </cell>
          <cell r="Q170">
            <v>5.8255916686451178E-2</v>
          </cell>
        </row>
        <row r="171">
          <cell r="A171" t="str">
            <v>Research &amp; Development</v>
          </cell>
          <cell r="G171">
            <v>1031</v>
          </cell>
          <cell r="H171">
            <v>990</v>
          </cell>
          <cell r="I171">
            <v>1072</v>
          </cell>
          <cell r="J171">
            <v>1308</v>
          </cell>
          <cell r="K171">
            <v>1617</v>
          </cell>
          <cell r="L171">
            <v>1776</v>
          </cell>
          <cell r="M171">
            <v>1588</v>
          </cell>
          <cell r="N171">
            <v>1206</v>
          </cell>
          <cell r="O171">
            <v>1282.1976741711824</v>
          </cell>
          <cell r="P171">
            <v>1340.1902354297415</v>
          </cell>
          <cell r="Q171">
            <v>1401.8165327720283</v>
          </cell>
          <cell r="R171">
            <v>0.13363465010200271</v>
          </cell>
        </row>
        <row r="172">
          <cell r="A172" t="str">
            <v>R&amp;D/Sales</v>
          </cell>
          <cell r="G172">
            <v>4.2081632653061224E-2</v>
          </cell>
          <cell r="H172">
            <v>4.1871087802402299E-2</v>
          </cell>
          <cell r="I172">
            <v>4.4501639752584164E-2</v>
          </cell>
          <cell r="J172">
            <v>5.2812209795292123E-2</v>
          </cell>
          <cell r="K172">
            <v>6.0071327736087379E-2</v>
          </cell>
          <cell r="L172">
            <v>6.2827225130890049E-2</v>
          </cell>
          <cell r="M172">
            <v>6.4223893876890717E-2</v>
          </cell>
          <cell r="N172">
            <v>4.8195379441424477E-2</v>
          </cell>
          <cell r="O172">
            <v>0.05</v>
          </cell>
          <cell r="P172">
            <v>0.05</v>
          </cell>
          <cell r="Q172">
            <v>0.05</v>
          </cell>
        </row>
        <row r="173">
          <cell r="A173" t="str">
            <v>R&amp;D/Gross Profit</v>
          </cell>
          <cell r="G173">
            <v>0.11459375347338002</v>
          </cell>
          <cell r="H173">
            <v>0.11766124699193811</v>
          </cell>
          <cell r="I173">
            <v>0.12466551507822236</v>
          </cell>
          <cell r="J173">
            <v>0.1463254884780496</v>
          </cell>
          <cell r="K173">
            <v>0.16244725738396623</v>
          </cell>
          <cell r="L173">
            <v>0.16377720398376983</v>
          </cell>
          <cell r="M173">
            <v>0.19387132218288367</v>
          </cell>
          <cell r="N173">
            <v>0.14677507115883034</v>
          </cell>
          <cell r="O173">
            <v>0.13560842471887177</v>
          </cell>
          <cell r="P173">
            <v>0.13094665988325865</v>
          </cell>
          <cell r="Q173">
            <v>0.12816749841352593</v>
          </cell>
        </row>
        <row r="174">
          <cell r="A174" t="str">
            <v>Operating Expenses</v>
          </cell>
          <cell r="G174">
            <v>4957</v>
          </cell>
          <cell r="H174">
            <v>4635</v>
          </cell>
          <cell r="I174">
            <v>4514</v>
          </cell>
          <cell r="J174">
            <v>4983</v>
          </cell>
          <cell r="K174">
            <v>5902</v>
          </cell>
          <cell r="L174">
            <v>6677</v>
          </cell>
          <cell r="M174">
            <v>6267</v>
          </cell>
          <cell r="N174">
            <v>5284</v>
          </cell>
          <cell r="O174">
            <v>5594.1732218095076</v>
          </cell>
          <cell r="P174">
            <v>5820.3582868151261</v>
          </cell>
          <cell r="Q174">
            <v>6063.0223864167519</v>
          </cell>
          <cell r="R174">
            <v>6.8322984070368964E-2</v>
          </cell>
        </row>
        <row r="175">
          <cell r="A175" t="str">
            <v>Operating Expenses/Sales</v>
          </cell>
          <cell r="G175">
            <v>0.2023265306122449</v>
          </cell>
          <cell r="H175">
            <v>0.1960328201657926</v>
          </cell>
          <cell r="I175">
            <v>0.18738843455519116</v>
          </cell>
          <cell r="J175">
            <v>0.20119513869261518</v>
          </cell>
          <cell r="K175">
            <v>0.21925848874359166</v>
          </cell>
          <cell r="L175">
            <v>0.23620348096787888</v>
          </cell>
          <cell r="M175">
            <v>0.25345789856830864</v>
          </cell>
          <cell r="N175">
            <v>0.21116449831549497</v>
          </cell>
          <cell r="O175">
            <v>0.21814784625255243</v>
          </cell>
          <cell r="P175">
            <v>0.21714672040379354</v>
          </cell>
          <cell r="Q175">
            <v>0.21625591668645119</v>
          </cell>
        </row>
        <row r="176">
          <cell r="A176" t="str">
            <v>Operating Expenses/Gross Profits</v>
          </cell>
          <cell r="G176">
            <v>0.55096143158830724</v>
          </cell>
          <cell r="H176">
            <v>0.55086856546225571</v>
          </cell>
          <cell r="I176">
            <v>0.52494415584244003</v>
          </cell>
          <cell r="J176">
            <v>0.55744641367440451</v>
          </cell>
          <cell r="K176">
            <v>0.59292746634518789</v>
          </cell>
          <cell r="L176">
            <v>0.61573220213943192</v>
          </cell>
          <cell r="M176">
            <v>0.76510804541570021</v>
          </cell>
          <cell r="N176">
            <v>0.64308414262293501</v>
          </cell>
          <cell r="O176">
            <v>0.59165371572246539</v>
          </cell>
          <cell r="P176">
            <v>0.56869275482961235</v>
          </cell>
          <cell r="Q176">
            <v>0.55433959717652648</v>
          </cell>
        </row>
        <row r="177">
          <cell r="A177" t="str">
            <v>Operating Profit</v>
          </cell>
          <cell r="G177">
            <v>4040</v>
          </cell>
          <cell r="H177">
            <v>3778.9852781590234</v>
          </cell>
          <cell r="I177">
            <v>4085.0099132656301</v>
          </cell>
          <cell r="J177">
            <v>3955.975797071842</v>
          </cell>
          <cell r="K177">
            <v>4052</v>
          </cell>
          <cell r="L177">
            <v>4167</v>
          </cell>
          <cell r="M177">
            <v>1924</v>
          </cell>
          <cell r="N177">
            <v>2932.6541666666667</v>
          </cell>
          <cell r="O177">
            <v>3860.9743977376643</v>
          </cell>
          <cell r="P177">
            <v>4414.268824900023</v>
          </cell>
          <cell r="Q177">
            <v>4874.3568253482972</v>
          </cell>
          <cell r="R177">
            <v>9.528729601637087E-3</v>
          </cell>
        </row>
        <row r="178">
          <cell r="A178" t="str">
            <v>Operating Margin</v>
          </cell>
          <cell r="G178">
            <v>0.16489795918367348</v>
          </cell>
          <cell r="H178">
            <v>0.15982850948058802</v>
          </cell>
          <cell r="I178">
            <v>0.16957988763608411</v>
          </cell>
          <cell r="J178">
            <v>0.15972769399086859</v>
          </cell>
          <cell r="K178">
            <v>0.15053124303440077</v>
          </cell>
          <cell r="L178">
            <v>0.14741049950474033</v>
          </cell>
          <cell r="M178">
            <v>7.7812828601472137E-2</v>
          </cell>
          <cell r="N178">
            <v>0.11719766196764055</v>
          </cell>
          <cell r="O178">
            <v>0.15056080959721807</v>
          </cell>
          <cell r="P178">
            <v>0.16468814307860394</v>
          </cell>
          <cell r="Q178">
            <v>0.17385858674777788</v>
          </cell>
        </row>
        <row r="179">
          <cell r="A179" t="str">
            <v>Interest Expense</v>
          </cell>
          <cell r="G179">
            <v>449</v>
          </cell>
          <cell r="H179">
            <v>408.98527815902349</v>
          </cell>
          <cell r="I179">
            <v>389.0099132656299</v>
          </cell>
          <cell r="J179">
            <v>519.97579707184207</v>
          </cell>
          <cell r="K179">
            <v>535</v>
          </cell>
          <cell r="L179">
            <v>810</v>
          </cell>
          <cell r="M179">
            <v>590</v>
          </cell>
          <cell r="N179">
            <v>355.91666666666669</v>
          </cell>
          <cell r="O179">
            <v>306.8</v>
          </cell>
          <cell r="P179">
            <v>299.61359256077299</v>
          </cell>
          <cell r="Q179">
            <v>264.53389289860252</v>
          </cell>
          <cell r="R179">
            <v>0.12254666731106978</v>
          </cell>
        </row>
        <row r="180">
          <cell r="A180" t="str">
            <v>Other Income</v>
          </cell>
          <cell r="G180">
            <v>797</v>
          </cell>
          <cell r="H180">
            <v>1101</v>
          </cell>
          <cell r="I180">
            <v>1005</v>
          </cell>
          <cell r="J180">
            <v>981</v>
          </cell>
          <cell r="K180">
            <v>744</v>
          </cell>
          <cell r="L180">
            <v>959</v>
          </cell>
          <cell r="M180">
            <v>592</v>
          </cell>
          <cell r="N180">
            <v>414</v>
          </cell>
          <cell r="O180">
            <v>424</v>
          </cell>
          <cell r="P180">
            <v>434</v>
          </cell>
          <cell r="Q180">
            <v>444</v>
          </cell>
          <cell r="R180">
            <v>-7.8203375414331866E-3</v>
          </cell>
        </row>
        <row r="181">
          <cell r="A181" t="str">
            <v>Pretax Income</v>
          </cell>
          <cell r="G181">
            <v>4388</v>
          </cell>
          <cell r="H181">
            <v>4471</v>
          </cell>
          <cell r="I181">
            <v>4701</v>
          </cell>
          <cell r="J181">
            <v>4417</v>
          </cell>
          <cell r="K181">
            <v>4261</v>
          </cell>
          <cell r="L181">
            <v>4316</v>
          </cell>
          <cell r="M181">
            <v>1926</v>
          </cell>
          <cell r="N181">
            <v>2990.7375000000002</v>
          </cell>
          <cell r="O181">
            <v>3978.1743977376641</v>
          </cell>
          <cell r="P181">
            <v>4548.6552323392498</v>
          </cell>
          <cell r="Q181">
            <v>5053.8229324496942</v>
          </cell>
          <cell r="R181">
            <v>-8.2333944848244078E-3</v>
          </cell>
        </row>
        <row r="182">
          <cell r="A182" t="str">
            <v>Income Taxes</v>
          </cell>
          <cell r="G182">
            <v>1432</v>
          </cell>
          <cell r="H182">
            <v>1440</v>
          </cell>
          <cell r="I182">
            <v>1550</v>
          </cell>
          <cell r="J182">
            <v>1480</v>
          </cell>
          <cell r="K182">
            <v>1357</v>
          </cell>
          <cell r="L182">
            <v>1377</v>
          </cell>
          <cell r="M182">
            <v>626</v>
          </cell>
          <cell r="N182">
            <v>948.73749999999995</v>
          </cell>
          <cell r="O182">
            <v>1432.142783185559</v>
          </cell>
          <cell r="P182">
            <v>1637.5158836421299</v>
          </cell>
          <cell r="Q182">
            <v>1819.3762556818899</v>
          </cell>
          <cell r="R182">
            <v>-1.1932162780230127E-2</v>
          </cell>
        </row>
        <row r="183">
          <cell r="A183" t="str">
            <v>Tax Rate</v>
          </cell>
          <cell r="G183">
            <v>0.32634457611668188</v>
          </cell>
          <cell r="H183">
            <v>0.32207559830015658</v>
          </cell>
          <cell r="I183">
            <v>0.32971708147202722</v>
          </cell>
          <cell r="J183">
            <v>0.33506905139234777</v>
          </cell>
          <cell r="K183">
            <v>0.31846984275991552</v>
          </cell>
          <cell r="L183">
            <v>0.31904541241890638</v>
          </cell>
          <cell r="M183">
            <v>0.32502596053997923</v>
          </cell>
          <cell r="N183">
            <v>0.31722526634316783</v>
          </cell>
          <cell r="O183">
            <v>0.36</v>
          </cell>
          <cell r="P183">
            <v>0.36</v>
          </cell>
          <cell r="Q183">
            <v>0.36</v>
          </cell>
        </row>
        <row r="184">
          <cell r="A184" t="str">
            <v>Minority Interest</v>
          </cell>
          <cell r="G184">
            <v>29</v>
          </cell>
          <cell r="H184">
            <v>40</v>
          </cell>
          <cell r="I184">
            <v>43</v>
          </cell>
          <cell r="J184">
            <v>24</v>
          </cell>
          <cell r="K184">
            <v>61</v>
          </cell>
          <cell r="L184">
            <v>61</v>
          </cell>
          <cell r="M184">
            <v>49</v>
          </cell>
          <cell r="N184">
            <v>94</v>
          </cell>
          <cell r="O184">
            <v>94</v>
          </cell>
          <cell r="P184">
            <v>97.76</v>
          </cell>
          <cell r="Q184">
            <v>101.67040000000001</v>
          </cell>
          <cell r="R184">
            <v>0.13398169188212772</v>
          </cell>
        </row>
        <row r="185">
          <cell r="A185" t="str">
            <v>Income Before Gains/(Charges)</v>
          </cell>
          <cell r="G185">
            <v>2927</v>
          </cell>
          <cell r="H185">
            <v>2991</v>
          </cell>
          <cell r="I185">
            <v>3108</v>
          </cell>
          <cell r="J185">
            <v>2913</v>
          </cell>
          <cell r="K185">
            <v>2843</v>
          </cell>
          <cell r="L185">
            <v>2878</v>
          </cell>
          <cell r="M185">
            <v>1251</v>
          </cell>
          <cell r="N185">
            <v>1948</v>
          </cell>
          <cell r="O185">
            <v>2452.0316145521051</v>
          </cell>
          <cell r="P185">
            <v>2813.3793486971194</v>
          </cell>
          <cell r="Q185">
            <v>3132.7762767678046</v>
          </cell>
          <cell r="R185">
            <v>-8.5759234974565057E-3</v>
          </cell>
        </row>
        <row r="186">
          <cell r="A186" t="str">
            <v>Nonrecurring Items &amp; Disco Ops.</v>
          </cell>
          <cell r="G186">
            <v>366</v>
          </cell>
          <cell r="H186">
            <v>645</v>
          </cell>
          <cell r="I186">
            <v>-703</v>
          </cell>
          <cell r="J186">
            <v>1567</v>
          </cell>
          <cell r="K186">
            <v>4847</v>
          </cell>
          <cell r="L186">
            <v>-564</v>
          </cell>
          <cell r="M186">
            <v>3088</v>
          </cell>
          <cell r="N186">
            <v>-241</v>
          </cell>
        </row>
        <row r="187">
          <cell r="A187" t="str">
            <v>Net Income</v>
          </cell>
          <cell r="G187">
            <v>3293</v>
          </cell>
          <cell r="H187">
            <v>3636</v>
          </cell>
          <cell r="I187">
            <v>2405</v>
          </cell>
          <cell r="J187">
            <v>4480</v>
          </cell>
          <cell r="K187">
            <v>7690</v>
          </cell>
          <cell r="L187">
            <v>2314</v>
          </cell>
          <cell r="M187">
            <v>4339</v>
          </cell>
          <cell r="N187">
            <v>1707</v>
          </cell>
          <cell r="O187">
            <v>2452.0316145521051</v>
          </cell>
          <cell r="P187">
            <v>2813.3793486971194</v>
          </cell>
          <cell r="Q187">
            <v>3132.7762767678046</v>
          </cell>
          <cell r="R187">
            <v>3.2077336386199695E-2</v>
          </cell>
        </row>
        <row r="189">
          <cell r="A189" t="str">
            <v>Diluted EPS Before Nonrecurring</v>
          </cell>
          <cell r="G189">
            <v>2.4742180896027048</v>
          </cell>
          <cell r="H189">
            <v>2.624092199317428</v>
          </cell>
          <cell r="I189">
            <v>2.7030706856898017</v>
          </cell>
          <cell r="J189">
            <v>2.5433339667250618</v>
          </cell>
          <cell r="K189">
            <v>2.5793231582945628</v>
          </cell>
          <cell r="L189">
            <v>2.7282336435323908</v>
          </cell>
          <cell r="M189">
            <v>1.191539089165504</v>
          </cell>
          <cell r="N189">
            <v>1.9455470853635271</v>
          </cell>
          <cell r="O189">
            <v>2.4489440251083532</v>
          </cell>
          <cell r="P189">
            <v>2.8098367514782439</v>
          </cell>
          <cell r="Q189">
            <v>3.1288314960788526</v>
          </cell>
          <cell r="R189">
            <v>1.0804039039615576E-2</v>
          </cell>
        </row>
        <row r="190">
          <cell r="A190" t="str">
            <v>Nonrecurring Items</v>
          </cell>
          <cell r="G190">
            <v>0.30938292476754015</v>
          </cell>
          <cell r="H190">
            <v>0.56587745521890376</v>
          </cell>
          <cell r="I190">
            <v>-0.61140884557269326</v>
          </cell>
          <cell r="J190">
            <v>1.3681442931198666</v>
          </cell>
          <cell r="K190">
            <v>4.4145090918936845</v>
          </cell>
          <cell r="L190">
            <v>-0.53661006773880071</v>
          </cell>
          <cell r="M190">
            <v>2.965909438323802</v>
          </cell>
          <cell r="N190">
            <v>-0.24069653366150412</v>
          </cell>
        </row>
        <row r="191">
          <cell r="A191" t="str">
            <v>Reported Earnings Per Share</v>
          </cell>
          <cell r="G191">
            <v>2.783601014370245</v>
          </cell>
          <cell r="H191">
            <v>3.1899696545363319</v>
          </cell>
          <cell r="I191">
            <v>2.0916618401171085</v>
          </cell>
          <cell r="J191">
            <v>3.9114782598449285</v>
          </cell>
          <cell r="K191">
            <v>6.9938322501882473</v>
          </cell>
          <cell r="L191">
            <v>2.19162357579359</v>
          </cell>
          <cell r="M191">
            <v>4.157448527489306</v>
          </cell>
          <cell r="N191">
            <v>1.7048505517020229</v>
          </cell>
          <cell r="O191">
            <v>2.4489440251083532</v>
          </cell>
          <cell r="P191">
            <v>2.8098367514782439</v>
          </cell>
          <cell r="Q191">
            <v>3.1288314960788526</v>
          </cell>
          <cell r="R191">
            <v>5.2337754639020018E-2</v>
          </cell>
        </row>
        <row r="192">
          <cell r="A192" t="str">
            <v>Change Before Gains/(Charges)</v>
          </cell>
          <cell r="H192">
            <v>6.0574332693036359E-2</v>
          </cell>
          <cell r="I192">
            <v>3.0097450993878061E-2</v>
          </cell>
          <cell r="J192">
            <v>-5.9094540076363722E-2</v>
          </cell>
          <cell r="K192">
            <v>1.4150399452197204E-2</v>
          </cell>
          <cell r="L192">
            <v>5.7732387955717446E-2</v>
          </cell>
          <cell r="M192">
            <v>-0.56325621451440133</v>
          </cell>
          <cell r="N192">
            <v>0.63280172933822376</v>
          </cell>
          <cell r="O192">
            <v>0.25874312862017734</v>
          </cell>
          <cell r="P192">
            <v>0.14736667015242344</v>
          </cell>
          <cell r="Q192">
            <v>0.11352785688805112</v>
          </cell>
        </row>
        <row r="194">
          <cell r="A194" t="str">
            <v>Shares Outstanding Diluted (Million)</v>
          </cell>
          <cell r="G194">
            <v>1183</v>
          </cell>
          <cell r="H194">
            <v>1139.8227549999999</v>
          </cell>
          <cell r="I194">
            <v>1149.8034500000001</v>
          </cell>
          <cell r="J194">
            <v>1145.3470279999999</v>
          </cell>
          <cell r="K194">
            <v>1097.970329</v>
          </cell>
          <cell r="L194">
            <v>1051.042524</v>
          </cell>
          <cell r="M194">
            <v>1041.1646290000001</v>
          </cell>
          <cell r="N194">
            <v>1001.2607839999999</v>
          </cell>
          <cell r="O194">
            <v>1001.2607839999999</v>
          </cell>
          <cell r="P194">
            <v>1001.2607839999999</v>
          </cell>
          <cell r="Q194">
            <v>1001.2607839999999</v>
          </cell>
          <cell r="R194">
            <v>-2.0010419030689008E-2</v>
          </cell>
        </row>
        <row r="195">
          <cell r="A195" t="str">
            <v>Change</v>
          </cell>
          <cell r="G195">
            <v>1183</v>
          </cell>
          <cell r="H195">
            <v>-43.177245000000084</v>
          </cell>
          <cell r="I195">
            <v>9.9806950000001962</v>
          </cell>
          <cell r="J195">
            <v>-4.4564220000002024</v>
          </cell>
          <cell r="K195">
            <v>-47.376698999999917</v>
          </cell>
          <cell r="L195">
            <v>-46.927805000000035</v>
          </cell>
          <cell r="M195">
            <v>-9.8778949999998531</v>
          </cell>
          <cell r="N195">
            <v>-39.90384500000016</v>
          </cell>
          <cell r="O195">
            <v>0</v>
          </cell>
          <cell r="P195">
            <v>0</v>
          </cell>
          <cell r="Q195">
            <v>0</v>
          </cell>
        </row>
        <row r="197">
          <cell r="A197" t="str">
            <v>EBITDA:</v>
          </cell>
          <cell r="G197">
            <v>5683</v>
          </cell>
          <cell r="H197">
            <v>5329.9852781590234</v>
          </cell>
          <cell r="I197">
            <v>5466.0099132656305</v>
          </cell>
          <cell r="J197">
            <v>5515.975797071842</v>
          </cell>
          <cell r="K197">
            <v>5742</v>
          </cell>
          <cell r="L197">
            <v>6027</v>
          </cell>
          <cell r="M197">
            <v>3678</v>
          </cell>
          <cell r="N197">
            <v>4417.6541666666672</v>
          </cell>
          <cell r="O197">
            <v>5403.4029691662354</v>
          </cell>
          <cell r="P197">
            <v>5999.6259677571652</v>
          </cell>
          <cell r="Q197">
            <v>6507.6389682054396</v>
          </cell>
          <cell r="R197">
            <v>1.5151568548074756E-2</v>
          </cell>
        </row>
        <row r="198">
          <cell r="A198" t="str">
            <v>EBITDA Margin</v>
          </cell>
          <cell r="G198">
            <v>0.23195918367346938</v>
          </cell>
          <cell r="H198">
            <v>0.22542654703768497</v>
          </cell>
          <cell r="I198">
            <v>0.22690895899645608</v>
          </cell>
          <cell r="J198">
            <v>0.22271473319626284</v>
          </cell>
          <cell r="K198">
            <v>0.21331451073631028</v>
          </cell>
          <cell r="L198">
            <v>0.21320928258101032</v>
          </cell>
          <cell r="M198">
            <v>0.14875030332443581</v>
          </cell>
          <cell r="N198">
            <v>0.17654271874252891</v>
          </cell>
          <cell r="O198">
            <v>0.21070865584977047</v>
          </cell>
          <cell r="P198">
            <v>0.22383486348239745</v>
          </cell>
          <cell r="Q198">
            <v>0.23211450343422904</v>
          </cell>
        </row>
        <row r="199">
          <cell r="A199" t="str">
            <v>EBITDA Per Share</v>
          </cell>
          <cell r="G199">
            <v>4.8038884192730347</v>
          </cell>
          <cell r="H199">
            <v>4.6761527217966652</v>
          </cell>
          <cell r="I199">
            <v>4.7538645959582313</v>
          </cell>
          <cell r="J199">
            <v>4.8159864759101136</v>
          </cell>
          <cell r="K199">
            <v>5.2296495163304177</v>
          </cell>
          <cell r="L199">
            <v>5.7343065217406943</v>
          </cell>
          <cell r="M199">
            <v>3.5325825499206425</v>
          </cell>
          <cell r="N199">
            <v>4.4120914723318148</v>
          </cell>
          <cell r="O199">
            <v>5.3965990234630379</v>
          </cell>
          <cell r="P199">
            <v>5.9920712601854635</v>
          </cell>
          <cell r="Q199">
            <v>6.4994445724795709</v>
          </cell>
          <cell r="R199">
            <v>3.5879960625686325E-2</v>
          </cell>
        </row>
        <row r="200">
          <cell r="A200" t="str">
            <v>EBITDA Per Share Growth</v>
          </cell>
          <cell r="H200">
            <v>-2.6590063366979555E-2</v>
          </cell>
          <cell r="I200">
            <v>1.6618763069762954E-2</v>
          </cell>
          <cell r="J200">
            <v>1.3067658680202765E-2</v>
          </cell>
          <cell r="K200">
            <v>8.5893729662546603E-2</v>
          </cell>
          <cell r="L200">
            <v>9.649920206591367E-2</v>
          </cell>
          <cell r="M200">
            <v>-0.38395644939323914</v>
          </cell>
          <cell r="N200">
            <v>0.24897052226873795</v>
          </cell>
          <cell r="O200">
            <v>0.22313851770867865</v>
          </cell>
          <cell r="P200">
            <v>0.11034213105948099</v>
          </cell>
          <cell r="Q200">
            <v>8.4674111882708791E-2</v>
          </cell>
        </row>
        <row r="202">
          <cell r="A202" t="str">
            <v>EBITA:</v>
          </cell>
          <cell r="G202">
            <v>4040</v>
          </cell>
          <cell r="H202">
            <v>3803.9852781590234</v>
          </cell>
          <cell r="I202">
            <v>4105.0099132656305</v>
          </cell>
          <cell r="J202">
            <v>4063.975797071842</v>
          </cell>
          <cell r="K202">
            <v>4298</v>
          </cell>
          <cell r="L202">
            <v>4612</v>
          </cell>
          <cell r="M202">
            <v>2358</v>
          </cell>
          <cell r="N202">
            <v>3133.6541666666667</v>
          </cell>
          <cell r="O202">
            <v>4061.9743977376643</v>
          </cell>
          <cell r="P202">
            <v>4615.268824900023</v>
          </cell>
          <cell r="Q202">
            <v>5075.3568253482972</v>
          </cell>
          <cell r="R202">
            <v>2.9522827447027389E-2</v>
          </cell>
        </row>
        <row r="203">
          <cell r="A203" t="str">
            <v>EBITA Margin</v>
          </cell>
          <cell r="G203">
            <v>0.16489795918367348</v>
          </cell>
          <cell r="H203">
            <v>0.1608858601826689</v>
          </cell>
          <cell r="I203">
            <v>0.17041014210908009</v>
          </cell>
          <cell r="J203">
            <v>0.16408833516662663</v>
          </cell>
          <cell r="K203">
            <v>0.15967010922059588</v>
          </cell>
          <cell r="L203">
            <v>0.16315268147728881</v>
          </cell>
          <cell r="M203">
            <v>9.5365202620723122E-2</v>
          </cell>
          <cell r="N203">
            <v>0.12523022520787797</v>
          </cell>
          <cell r="O203">
            <v>0.15839891459650873</v>
          </cell>
          <cell r="P203">
            <v>0.17218707847920206</v>
          </cell>
          <cell r="Q203">
            <v>0.18102785588182538</v>
          </cell>
        </row>
        <row r="204">
          <cell r="A204" t="str">
            <v>EBITA Per Share</v>
          </cell>
          <cell r="G204">
            <v>3.4150464919695689</v>
          </cell>
          <cell r="H204">
            <v>3.3373480758058949</v>
          </cell>
          <cell r="I204">
            <v>3.5701840286403996</v>
          </cell>
          <cell r="J204">
            <v>3.5482484327639452</v>
          </cell>
          <cell r="K204">
            <v>3.9144955801442243</v>
          </cell>
          <cell r="L204">
            <v>4.3880241709421073</v>
          </cell>
          <cell r="M204">
            <v>2.2647715205853385</v>
          </cell>
          <cell r="N204">
            <v>3.1297082805418923</v>
          </cell>
          <cell r="O204">
            <v>4.0568595740963973</v>
          </cell>
          <cell r="P204">
            <v>4.6094572948939376</v>
          </cell>
          <cell r="Q204">
            <v>5.0689659541767265</v>
          </cell>
          <cell r="R204">
            <v>5.0544666432805307E-2</v>
          </cell>
        </row>
        <row r="205">
          <cell r="A205" t="str">
            <v>EBITA Per Share Growth</v>
          </cell>
          <cell r="H205">
            <v>-2.2751788693471831E-2</v>
          </cell>
          <cell r="I205">
            <v>6.9766757181382699E-2</v>
          </cell>
          <cell r="J205">
            <v>-6.1441078948549777E-3</v>
          </cell>
          <cell r="K205">
            <v>0.10321913877236244</v>
          </cell>
          <cell r="L205">
            <v>0.12096797176111163</v>
          </cell>
          <cell r="M205">
            <v>-0.48387441993076064</v>
          </cell>
          <cell r="N205">
            <v>0.3819090588586207</v>
          </cell>
          <cell r="O205">
            <v>0.29624208087342052</v>
          </cell>
          <cell r="P205">
            <v>0.13621317442830705</v>
          </cell>
          <cell r="Q205">
            <v>9.9688234402736109E-2</v>
          </cell>
        </row>
        <row r="207">
          <cell r="Q207" t="str">
            <v>Pace of innovation needs</v>
          </cell>
        </row>
        <row r="208">
          <cell r="L208" t="str">
            <v>Much lower interest</v>
          </cell>
          <cell r="Q208" t="str">
            <v>to accelerate</v>
          </cell>
        </row>
        <row r="209">
          <cell r="L209" t="str">
            <v>from debt reduction</v>
          </cell>
        </row>
        <row r="212">
          <cell r="A212" t="str">
            <v>Amortization Per Share</v>
          </cell>
          <cell r="G212">
            <v>0</v>
          </cell>
          <cell r="H212">
            <v>2.1933234698407123E-2</v>
          </cell>
          <cell r="I212">
            <v>1.739427725669113E-2</v>
          </cell>
          <cell r="J212">
            <v>9.4294565192690236E-2</v>
          </cell>
          <cell r="K212">
            <v>0.22404977029210776</v>
          </cell>
          <cell r="L212">
            <v>0.42338914919107501</v>
          </cell>
          <cell r="M212">
            <v>0.41684089903903176</v>
          </cell>
          <cell r="N212">
            <v>0.2007469015185159</v>
          </cell>
          <cell r="O212">
            <v>0.2007469015185159</v>
          </cell>
          <cell r="P212">
            <v>0.2007469015185159</v>
          </cell>
          <cell r="Q212">
            <v>0.2007469015185159</v>
          </cell>
        </row>
        <row r="213">
          <cell r="A213" t="str">
            <v>Cash Earnings per Share</v>
          </cell>
          <cell r="G213">
            <v>2.4742180896027048</v>
          </cell>
          <cell r="H213">
            <v>2.6460254340158351</v>
          </cell>
          <cell r="I213">
            <v>2.720464962946493</v>
          </cell>
          <cell r="J213">
            <v>2.6376285319177519</v>
          </cell>
          <cell r="K213">
            <v>2.8033729285866706</v>
          </cell>
          <cell r="L213">
            <v>3.1516227927234657</v>
          </cell>
          <cell r="M213">
            <v>1.6083799882045358</v>
          </cell>
          <cell r="N213">
            <v>2.1462939868820428</v>
          </cell>
          <cell r="O213">
            <v>2.6496909266268691</v>
          </cell>
          <cell r="P213">
            <v>3.0105836529967598</v>
          </cell>
          <cell r="Q213">
            <v>3.3295783975973685</v>
          </cell>
          <cell r="R213">
            <v>3.9394352813113986E-2</v>
          </cell>
        </row>
        <row r="214">
          <cell r="A214" t="str">
            <v>Cash Earnings per Share Growth</v>
          </cell>
          <cell r="H214">
            <v>6.9439046272884664E-2</v>
          </cell>
          <cell r="I214">
            <v>2.8132582541990914E-2</v>
          </cell>
          <cell r="J214">
            <v>-3.0449365147868779E-2</v>
          </cell>
          <cell r="K214">
            <v>6.2838415138165793E-2</v>
          </cell>
          <cell r="L214">
            <v>0.1242253075163875</v>
          </cell>
          <cell r="M214">
            <v>-0.4896660882393673</v>
          </cell>
          <cell r="N214">
            <v>0.33444459805670079</v>
          </cell>
          <cell r="O214">
            <v>0.23454239858171499</v>
          </cell>
          <cell r="P214">
            <v>0.13620181989652558</v>
          </cell>
          <cell r="Q214">
            <v>0.10595777476007973</v>
          </cell>
        </row>
        <row r="217">
          <cell r="A217" t="str">
            <v>(a) Growth is computed using least squares, not compound annual, method.</v>
          </cell>
        </row>
        <row r="218">
          <cell r="A218" t="str">
            <v>E = Banc of America Securities Research Estimates</v>
          </cell>
        </row>
        <row r="228">
          <cell r="A228" t="str">
            <v>Tax workout</v>
          </cell>
        </row>
        <row r="229">
          <cell r="A229" t="str">
            <v>One time items Pre-Tax</v>
          </cell>
          <cell r="K229">
            <v>-2571</v>
          </cell>
          <cell r="L229">
            <v>-869</v>
          </cell>
          <cell r="M229">
            <v>4929</v>
          </cell>
        </row>
        <row r="230">
          <cell r="A230" t="str">
            <v>Reported Inc. from Ops b4 taxes and M.int</v>
          </cell>
          <cell r="K230">
            <v>1690</v>
          </cell>
          <cell r="L230">
            <v>3447</v>
          </cell>
          <cell r="M230">
            <v>6844</v>
          </cell>
        </row>
        <row r="231">
          <cell r="A231" t="str">
            <v>Underlying Income from Ops b4 taxes and M. int</v>
          </cell>
          <cell r="K231">
            <v>4261</v>
          </cell>
          <cell r="L231">
            <v>4316</v>
          </cell>
          <cell r="M231">
            <v>1915</v>
          </cell>
          <cell r="N231">
            <v>3190.625</v>
          </cell>
          <cell r="O231">
            <v>3978.1743977376641</v>
          </cell>
          <cell r="P231">
            <v>4548.6552323392498</v>
          </cell>
          <cell r="Q231">
            <v>5053.8229324496942</v>
          </cell>
        </row>
        <row r="233">
          <cell r="A233" t="str">
            <v>One Time Items after tax</v>
          </cell>
          <cell r="K233">
            <v>-2624</v>
          </cell>
          <cell r="L233">
            <v>-564</v>
          </cell>
          <cell r="M233">
            <v>3088</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gData"/>
      <sheetName val="Three-Year"/>
      <sheetName val="TECH"/>
      <sheetName val="Sheet1"/>
      <sheetName val="Sheet2"/>
      <sheetName val="Sheet3"/>
      <sheetName val="#REF"/>
    </sheetNames>
    <sheetDataSet>
      <sheetData sheetId="0"/>
      <sheetData sheetId="1" refreshError="1">
        <row r="1">
          <cell r="A1" t="str">
            <v>Table 17</v>
          </cell>
        </row>
        <row r="2">
          <cell r="A2" t="str">
            <v>Minnesota Mining &amp; Manufacturing</v>
          </cell>
        </row>
        <row r="3">
          <cell r="A3" t="str">
            <v>Three Year Cycles</v>
          </cell>
        </row>
        <row r="6">
          <cell r="B6" t="str">
            <v>Historical</v>
          </cell>
          <cell r="D6" t="str">
            <v>98E-00E</v>
          </cell>
        </row>
        <row r="7">
          <cell r="B7" t="str">
            <v>91-94</v>
          </cell>
          <cell r="C7" t="str">
            <v>94-97</v>
          </cell>
          <cell r="D7" t="str">
            <v>MS Est.</v>
          </cell>
          <cell r="E7" t="str">
            <v>3M Goal</v>
          </cell>
        </row>
        <row r="8">
          <cell r="A8" t="str">
            <v>Sales</v>
          </cell>
          <cell r="B8">
            <v>5.7185500859792793E-2</v>
          </cell>
          <cell r="C8">
            <v>7.4491101082870825E-2</v>
          </cell>
          <cell r="D8">
            <v>5.1406060572025902E-2</v>
          </cell>
          <cell r="E8">
            <v>0.1</v>
          </cell>
        </row>
        <row r="9">
          <cell r="A9" t="str">
            <v>Operating Income</v>
          </cell>
          <cell r="B9">
            <v>7.5721801360379093E-2</v>
          </cell>
          <cell r="C9">
            <v>8.474034150734755E-2</v>
          </cell>
          <cell r="D9">
            <v>8.8034517252629563E-2</v>
          </cell>
          <cell r="E9">
            <v>0.13</v>
          </cell>
        </row>
        <row r="10">
          <cell r="A10" t="str">
            <v>Operating Margin Gain (bp)</v>
          </cell>
          <cell r="B10">
            <v>87.62308774761695</v>
          </cell>
          <cell r="C10">
            <v>49.822483552225407</v>
          </cell>
          <cell r="D10">
            <v>118.14807401169386</v>
          </cell>
          <cell r="E10">
            <v>92.1487603305779</v>
          </cell>
        </row>
        <row r="11">
          <cell r="A11" t="str">
            <v>EPS</v>
          </cell>
          <cell r="B11">
            <v>8.387303978533267E-2</v>
          </cell>
          <cell r="C11">
            <v>0.10796957278483754</v>
          </cell>
          <cell r="D11">
            <v>8.1078196998589869E-2</v>
          </cell>
          <cell r="E11">
            <v>0.14000000000000001</v>
          </cell>
        </row>
        <row r="12">
          <cell r="A12" t="str">
            <v>Economic Profit</v>
          </cell>
          <cell r="B12">
            <v>0.25209525140702405</v>
          </cell>
          <cell r="C12">
            <v>0.1075216099916998</v>
          </cell>
          <cell r="D12">
            <v>7.4999552083613308E-2</v>
          </cell>
          <cell r="E12">
            <v>0.16</v>
          </cell>
        </row>
        <row r="14">
          <cell r="A14" t="str">
            <v>E = Morgan Stanley Dean Witter Research Estimates  A = Actual</v>
          </cell>
        </row>
      </sheetData>
      <sheetData sheetId="2"/>
      <sheetData sheetId="3"/>
      <sheetData sheetId="4"/>
      <sheetData sheetId="5"/>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Model"/>
    </sheetNames>
    <sheetDataSet>
      <sheetData sheetId="0" refreshError="1">
        <row r="10">
          <cell r="E10" t="str">
            <v>Target</v>
          </cell>
        </row>
      </sheetData>
      <sheetData sheetId="1"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T Screen"/>
      <sheetName val="Exclusion List"/>
      <sheetName val="MVT Demo"/>
      <sheetName val="OIT Screening"/>
      <sheetName val="Inputs"/>
    </sheetNames>
    <sheetDataSet>
      <sheetData sheetId="0" refreshError="1"/>
      <sheetData sheetId="1" refreshError="1">
        <row r="1">
          <cell r="A1" t="str">
            <v>ticker</v>
          </cell>
        </row>
        <row r="2">
          <cell r="A2" t="str">
            <v>ABP.L</v>
          </cell>
        </row>
        <row r="3">
          <cell r="A3" t="str">
            <v>AGG.L</v>
          </cell>
        </row>
        <row r="4">
          <cell r="A4" t="str">
            <v>AHLN.AS</v>
          </cell>
        </row>
        <row r="5">
          <cell r="A5" t="str">
            <v>AHo.N</v>
          </cell>
        </row>
        <row r="6">
          <cell r="A6" t="str">
            <v>AIRF.PA</v>
          </cell>
        </row>
        <row r="7">
          <cell r="A7" t="str">
            <v>AKH.N</v>
          </cell>
        </row>
        <row r="8">
          <cell r="A8" t="str">
            <v>AIB.N</v>
          </cell>
        </row>
        <row r="9">
          <cell r="A9" t="str">
            <v>ALBK.I</v>
          </cell>
        </row>
        <row r="10">
          <cell r="A10" t="str">
            <v>ALO.N</v>
          </cell>
        </row>
        <row r="11">
          <cell r="A11" t="str">
            <v>AHC.N</v>
          </cell>
        </row>
        <row r="12">
          <cell r="A12" t="str">
            <v>AMGN.O</v>
          </cell>
        </row>
        <row r="13">
          <cell r="A13" t="str">
            <v>AAL.L</v>
          </cell>
        </row>
        <row r="14">
          <cell r="A14" t="str">
            <v>ANGL.I</v>
          </cell>
        </row>
        <row r="15">
          <cell r="A15" t="str">
            <v>A3TV.MC</v>
          </cell>
        </row>
        <row r="16">
          <cell r="A16" t="str">
            <v>5201.T</v>
          </cell>
        </row>
        <row r="17">
          <cell r="A17" t="str">
            <v>ASGLY.PK</v>
          </cell>
        </row>
        <row r="18">
          <cell r="A18" t="str">
            <v>020560.KQ</v>
          </cell>
        </row>
        <row r="19">
          <cell r="A19" t="str">
            <v>ASSAb.ST</v>
          </cell>
        </row>
        <row r="20">
          <cell r="A20" t="str">
            <v>AZN.L</v>
          </cell>
        </row>
        <row r="21">
          <cell r="A21" t="str">
            <v>AZN.N</v>
          </cell>
        </row>
        <row r="22">
          <cell r="A22" t="str">
            <v>AZN.ST</v>
          </cell>
        </row>
        <row r="23">
          <cell r="A23" t="str">
            <v>ATML.O</v>
          </cell>
        </row>
        <row r="24">
          <cell r="A24" t="str">
            <v>AMS.S</v>
          </cell>
        </row>
        <row r="25">
          <cell r="A25" t="str">
            <v>AWG.L</v>
          </cell>
        </row>
        <row r="26">
          <cell r="A26" t="str">
            <v>BBY.L</v>
          </cell>
        </row>
        <row r="27">
          <cell r="A27" t="str">
            <v>BRL.N</v>
          </cell>
        </row>
        <row r="28">
          <cell r="A28" t="str">
            <v>BCOM.BR</v>
          </cell>
        </row>
        <row r="29">
          <cell r="A29" t="str">
            <v>BKG_u.L</v>
          </cell>
        </row>
        <row r="30">
          <cell r="A30" t="str">
            <v>BEZQ.TA</v>
          </cell>
        </row>
        <row r="31">
          <cell r="A31" t="str">
            <v>1114.HK</v>
          </cell>
        </row>
        <row r="32">
          <cell r="A32" t="str">
            <v>CBA.N</v>
          </cell>
        </row>
        <row r="33">
          <cell r="A33" t="str">
            <v>BAB.N</v>
          </cell>
        </row>
        <row r="34">
          <cell r="A34" t="str">
            <v>BAY.L</v>
          </cell>
        </row>
        <row r="35">
          <cell r="A35" t="str">
            <v>BGY.L</v>
          </cell>
        </row>
        <row r="36">
          <cell r="A36" t="str">
            <v>BGY.N</v>
          </cell>
        </row>
        <row r="37">
          <cell r="A37" t="str">
            <v>BSY.L</v>
          </cell>
        </row>
        <row r="38">
          <cell r="A38" t="str">
            <v>BSY.N</v>
          </cell>
        </row>
        <row r="39">
          <cell r="A39" t="str">
            <v>BLGSY.OTC</v>
          </cell>
        </row>
        <row r="40">
          <cell r="A40" t="str">
            <v>BULG.MI</v>
          </cell>
        </row>
        <row r="41">
          <cell r="A41" t="str">
            <v>BNI.N</v>
          </cell>
        </row>
        <row r="42">
          <cell r="A42" t="str">
            <v>CW.L</v>
          </cell>
        </row>
        <row r="43">
          <cell r="A43" t="str">
            <v>CWP.N</v>
          </cell>
        </row>
        <row r="44">
          <cell r="A44" t="str">
            <v>CECO.O</v>
          </cell>
        </row>
        <row r="45">
          <cell r="A45" t="str">
            <v>CASP.PA</v>
          </cell>
        </row>
        <row r="46">
          <cell r="A46" t="str">
            <v>CASP_p.PA</v>
          </cell>
        </row>
        <row r="47">
          <cell r="A47" t="str">
            <v>6952.T</v>
          </cell>
        </row>
        <row r="48">
          <cell r="A48" t="str">
            <v>CSIOY.PK</v>
          </cell>
        </row>
        <row r="49">
          <cell r="A49" t="str">
            <v>0293.HK</v>
          </cell>
        </row>
        <row r="50">
          <cell r="A50" t="str">
            <v>CE.N</v>
          </cell>
        </row>
        <row r="51">
          <cell r="A51" t="str">
            <v>CZ.N</v>
          </cell>
        </row>
        <row r="52">
          <cell r="A52" t="str">
            <v>CNA.L</v>
          </cell>
        </row>
        <row r="53">
          <cell r="A53" t="str">
            <v>CVX.N</v>
          </cell>
        </row>
        <row r="54">
          <cell r="A54" t="str">
            <v>2002.TW</v>
          </cell>
        </row>
        <row r="55">
          <cell r="A55" t="str">
            <v>2002q.L</v>
          </cell>
        </row>
        <row r="56">
          <cell r="A56" t="str">
            <v>2891.TW</v>
          </cell>
        </row>
        <row r="57">
          <cell r="A57" t="str">
            <v>1110.HK</v>
          </cell>
        </row>
        <row r="58">
          <cell r="A58" t="str">
            <v>CBKG.DE</v>
          </cell>
        </row>
        <row r="59">
          <cell r="A59" t="str">
            <v>CRZBY.OTC</v>
          </cell>
        </row>
        <row r="60">
          <cell r="A60" t="str">
            <v>CAL.N</v>
          </cell>
        </row>
        <row r="61">
          <cell r="A61" t="str">
            <v>CHRN.S</v>
          </cell>
        </row>
        <row r="62">
          <cell r="A62" t="str">
            <v>CRBK.BO</v>
          </cell>
        </row>
        <row r="63">
          <cell r="A63" t="str">
            <v>COSr.AT</v>
          </cell>
        </row>
        <row r="64">
          <cell r="A64" t="str">
            <v>CSGKY.OTC</v>
          </cell>
        </row>
        <row r="65">
          <cell r="A65" t="str">
            <v>CSGN.VX</v>
          </cell>
        </row>
        <row r="66">
          <cell r="A66" t="str">
            <v>8601.T</v>
          </cell>
        </row>
        <row r="67">
          <cell r="A67" t="str">
            <v>DSECY.PK</v>
          </cell>
        </row>
        <row r="68">
          <cell r="A68" t="str">
            <v>DES.N</v>
          </cell>
        </row>
        <row r="69">
          <cell r="A69" t="str">
            <v>DESCB.MX</v>
          </cell>
        </row>
        <row r="70">
          <cell r="A70" t="str">
            <v>DT.N</v>
          </cell>
        </row>
        <row r="71">
          <cell r="A71" t="str">
            <v>DTEGn.DE</v>
          </cell>
        </row>
        <row r="72">
          <cell r="A72" t="str">
            <v>DEO.N</v>
          </cell>
        </row>
        <row r="73">
          <cell r="A73" t="str">
            <v>DGE.L</v>
          </cell>
        </row>
        <row r="74">
          <cell r="A74" t="str">
            <v>2884.TW</v>
          </cell>
        </row>
        <row r="75">
          <cell r="A75" t="str">
            <v>ELN.N</v>
          </cell>
        </row>
        <row r="76">
          <cell r="A76" t="str">
            <v>AKD_pb.SN</v>
          </cell>
        </row>
        <row r="77">
          <cell r="A77" t="str">
            <v>AKOa.N</v>
          </cell>
        </row>
        <row r="78">
          <cell r="A78" t="str">
            <v>AKOb.N</v>
          </cell>
        </row>
        <row r="79">
          <cell r="A79" t="str">
            <v>AND_pa.SN</v>
          </cell>
        </row>
        <row r="80">
          <cell r="A80" t="str">
            <v>END.SN</v>
          </cell>
        </row>
        <row r="81">
          <cell r="A81" t="str">
            <v>EOC.N</v>
          </cell>
        </row>
        <row r="82">
          <cell r="A82" t="str">
            <v>ENE.SN</v>
          </cell>
        </row>
        <row r="83">
          <cell r="A83" t="str">
            <v>ENI.N</v>
          </cell>
        </row>
        <row r="84">
          <cell r="A84" t="str">
            <v>2618.TW</v>
          </cell>
        </row>
        <row r="85">
          <cell r="A85" t="str">
            <v>XJT.N</v>
          </cell>
        </row>
        <row r="86">
          <cell r="A86" t="str">
            <v>XOM.N</v>
          </cell>
        </row>
        <row r="87">
          <cell r="A87" t="str">
            <v>FAMVY.OTC</v>
          </cell>
        </row>
        <row r="88">
          <cell r="A88" t="str">
            <v>FOR.AS</v>
          </cell>
        </row>
        <row r="89">
          <cell r="A89" t="str">
            <v>FOR.BR</v>
          </cell>
        </row>
        <row r="90">
          <cell r="A90" t="str">
            <v>FRNT.O</v>
          </cell>
        </row>
        <row r="91">
          <cell r="A91" t="str">
            <v>2817.TW</v>
          </cell>
        </row>
        <row r="92">
          <cell r="A92" t="str">
            <v>2881.TW</v>
          </cell>
        </row>
        <row r="93">
          <cell r="A93" t="str">
            <v>2881q.L</v>
          </cell>
        </row>
        <row r="94">
          <cell r="A94" t="str">
            <v>GAZPq.L</v>
          </cell>
        </row>
        <row r="95">
          <cell r="A95" t="str">
            <v>RADGYP.OTC</v>
          </cell>
        </row>
        <row r="96">
          <cell r="A96" t="str">
            <v>GFCP.PA</v>
          </cell>
        </row>
        <row r="97">
          <cell r="A97" t="str">
            <v>GD.N</v>
          </cell>
        </row>
        <row r="98">
          <cell r="A98" t="str">
            <v>GASI.MI</v>
          </cell>
        </row>
        <row r="99">
          <cell r="A99" t="str">
            <v>GNW.N</v>
          </cell>
        </row>
        <row r="100">
          <cell r="A100" t="str">
            <v>TL5.MC</v>
          </cell>
        </row>
        <row r="101">
          <cell r="A101" t="str">
            <v>GRAS.BO</v>
          </cell>
        </row>
        <row r="102">
          <cell r="A102" t="str">
            <v>GFS.L</v>
          </cell>
        </row>
        <row r="103">
          <cell r="A103" t="str">
            <v>ASR.N</v>
          </cell>
        </row>
        <row r="104">
          <cell r="A104" t="str">
            <v>ASUR.MX</v>
          </cell>
        </row>
        <row r="105">
          <cell r="A105" t="str">
            <v>GCARSOA1.MX</v>
          </cell>
        </row>
        <row r="106">
          <cell r="A106" t="str">
            <v>GPOOY.O</v>
          </cell>
        </row>
        <row r="107">
          <cell r="A107" t="str">
            <v>PRS.MC</v>
          </cell>
        </row>
        <row r="108">
          <cell r="A108" t="str">
            <v>HAN.N</v>
          </cell>
        </row>
        <row r="109">
          <cell r="A109" t="str">
            <v>HNS.L</v>
          </cell>
        </row>
        <row r="110">
          <cell r="A110" t="str">
            <v>HAS.L</v>
          </cell>
        </row>
        <row r="111">
          <cell r="A111" t="str">
            <v>HRMS.PA</v>
          </cell>
        </row>
        <row r="112">
          <cell r="A112" t="str">
            <v>HLT.N</v>
          </cell>
        </row>
        <row r="113">
          <cell r="A113" t="str">
            <v>HOLMb.ST</v>
          </cell>
        </row>
        <row r="114">
          <cell r="A114" t="str">
            <v>011170.KS</v>
          </cell>
        </row>
        <row r="115">
          <cell r="A115" t="str">
            <v>HMT.N</v>
          </cell>
        </row>
        <row r="116">
          <cell r="A116" t="str">
            <v>HVMG.DE</v>
          </cell>
        </row>
        <row r="117">
          <cell r="A117" t="str">
            <v>HVMGY.OTC</v>
          </cell>
        </row>
        <row r="118">
          <cell r="A118" t="str">
            <v>012330.KS</v>
          </cell>
        </row>
        <row r="119">
          <cell r="A119" t="str">
            <v>IBE.MC</v>
          </cell>
        </row>
        <row r="120">
          <cell r="A120" t="str">
            <v>IBLA.MC</v>
          </cell>
        </row>
        <row r="121">
          <cell r="A121" t="str">
            <v>ITX.MC</v>
          </cell>
        </row>
        <row r="122">
          <cell r="A122" t="str">
            <v>ING.AS</v>
          </cell>
        </row>
        <row r="123">
          <cell r="A123" t="str">
            <v>ING.N</v>
          </cell>
        </row>
        <row r="124">
          <cell r="A124" t="str">
            <v>IPR.L</v>
          </cell>
        </row>
        <row r="125">
          <cell r="A125" t="str">
            <v>IPR.N</v>
          </cell>
        </row>
        <row r="126">
          <cell r="A126" t="str">
            <v>ITRK.L</v>
          </cell>
        </row>
        <row r="127">
          <cell r="A127" t="str">
            <v>JCDX.PA</v>
          </cell>
        </row>
        <row r="128">
          <cell r="A128" t="str">
            <v>KEL.L</v>
          </cell>
        </row>
        <row r="129">
          <cell r="A129" t="str">
            <v>KPN.AS</v>
          </cell>
        </row>
        <row r="130">
          <cell r="A130" t="str">
            <v>KPN.N</v>
          </cell>
        </row>
        <row r="131">
          <cell r="A131" t="str">
            <v>LQI.N</v>
          </cell>
        </row>
        <row r="132">
          <cell r="A132" t="str">
            <v>LH.N</v>
          </cell>
        </row>
        <row r="133">
          <cell r="A133" t="str">
            <v>0992.HK</v>
          </cell>
        </row>
        <row r="134">
          <cell r="A134" t="str">
            <v>LGHLY.O</v>
          </cell>
        </row>
        <row r="135">
          <cell r="A135" t="str">
            <v>LING.DE</v>
          </cell>
        </row>
        <row r="136">
          <cell r="A136" t="str">
            <v>LAD.N</v>
          </cell>
        </row>
        <row r="137">
          <cell r="A137" t="str">
            <v>LOG.L</v>
          </cell>
        </row>
        <row r="138">
          <cell r="A138" t="str">
            <v>LMI.L</v>
          </cell>
        </row>
        <row r="139">
          <cell r="A139" t="str">
            <v>LKOH.RTS</v>
          </cell>
        </row>
        <row r="140">
          <cell r="A140" t="str">
            <v>LUKOY.OTC</v>
          </cell>
        </row>
        <row r="141">
          <cell r="A141" t="str">
            <v>LUN.CO</v>
          </cell>
        </row>
        <row r="142">
          <cell r="A142" t="str">
            <v>LYO.N</v>
          </cell>
        </row>
        <row r="143">
          <cell r="A143" t="str">
            <v>MANG.DE</v>
          </cell>
        </row>
        <row r="144">
          <cell r="A144" t="str">
            <v>MANG_p.DE</v>
          </cell>
        </row>
        <row r="145">
          <cell r="A145" t="str">
            <v>MOLB.BU</v>
          </cell>
        </row>
        <row r="146">
          <cell r="A146" t="str">
            <v>MOLBq.L</v>
          </cell>
        </row>
        <row r="147">
          <cell r="A147" t="str">
            <v>MRLAV.HE</v>
          </cell>
        </row>
        <row r="148">
          <cell r="A148" t="str">
            <v>MRLBV.HE</v>
          </cell>
        </row>
        <row r="149">
          <cell r="A149" t="str">
            <v>NGT.L</v>
          </cell>
        </row>
        <row r="150">
          <cell r="A150" t="str">
            <v>NGT.N</v>
          </cell>
        </row>
        <row r="151">
          <cell r="A151" t="str">
            <v>NXT.L</v>
          </cell>
        </row>
        <row r="152">
          <cell r="A152" t="str">
            <v>NHH.MC</v>
          </cell>
        </row>
        <row r="153">
          <cell r="A153" t="str">
            <v>8603.T</v>
          </cell>
        </row>
        <row r="154">
          <cell r="A154" t="str">
            <v>NIKOY.PK</v>
          </cell>
        </row>
        <row r="155">
          <cell r="A155" t="str">
            <v>NSG.OL</v>
          </cell>
        </row>
        <row r="156">
          <cell r="A156" t="str">
            <v>NSG.OTC</v>
          </cell>
        </row>
        <row r="157">
          <cell r="A157" t="str">
            <v>NSGB.OL</v>
          </cell>
        </row>
        <row r="158">
          <cell r="A158" t="str">
            <v>NOC.N</v>
          </cell>
        </row>
        <row r="159">
          <cell r="A159" t="str">
            <v>NVDA.O</v>
          </cell>
        </row>
        <row r="160">
          <cell r="A160" t="str">
            <v>OMVKY.OTC</v>
          </cell>
        </row>
        <row r="161">
          <cell r="A161" t="str">
            <v>OMVV.VI</v>
          </cell>
        </row>
        <row r="162">
          <cell r="A162" t="str">
            <v>ORBC.BO</v>
          </cell>
        </row>
        <row r="163">
          <cell r="A163" t="str">
            <v>0008.HK</v>
          </cell>
        </row>
        <row r="164">
          <cell r="A164" t="str">
            <v>PCW.N</v>
          </cell>
        </row>
        <row r="165">
          <cell r="A165" t="str">
            <v>PNN.L</v>
          </cell>
        </row>
        <row r="166">
          <cell r="A166" t="str">
            <v>PDRDY.OTC</v>
          </cell>
        </row>
        <row r="167">
          <cell r="A167" t="str">
            <v>PERP.PA</v>
          </cell>
        </row>
        <row r="168">
          <cell r="A168" t="str">
            <v>PER.BA</v>
          </cell>
        </row>
        <row r="169">
          <cell r="A169" t="str">
            <v>PZE.N</v>
          </cell>
        </row>
        <row r="170">
          <cell r="A170" t="str">
            <v>PNCL.O</v>
          </cell>
        </row>
        <row r="171">
          <cell r="A171" t="str">
            <v>PT.N</v>
          </cell>
        </row>
        <row r="172">
          <cell r="A172" t="str">
            <v>PTCO.IN</v>
          </cell>
        </row>
        <row r="173">
          <cell r="A173" t="str">
            <v>PPS.N</v>
          </cell>
        </row>
        <row r="174">
          <cell r="A174" t="str">
            <v>DPBGn.DE</v>
          </cell>
        </row>
        <row r="175">
          <cell r="A175" t="str">
            <v>PCO.N</v>
          </cell>
        </row>
        <row r="176">
          <cell r="A176" t="str">
            <v>PFG.N</v>
          </cell>
        </row>
        <row r="177">
          <cell r="A177" t="str">
            <v>PSMG_p.DE</v>
          </cell>
        </row>
        <row r="178">
          <cell r="A178" t="str">
            <v>PEUGY.OTC</v>
          </cell>
        </row>
        <row r="179">
          <cell r="A179" t="str">
            <v>PEUP.PA</v>
          </cell>
        </row>
        <row r="180">
          <cell r="A180" t="str">
            <v>PUBP.PA</v>
          </cell>
        </row>
        <row r="181">
          <cell r="A181" t="str">
            <v>PUMG.DE</v>
          </cell>
        </row>
        <row r="182">
          <cell r="A182" t="str">
            <v>PUMG.OTC</v>
          </cell>
        </row>
        <row r="183">
          <cell r="A183" t="str">
            <v>RANB.BO</v>
          </cell>
        </row>
        <row r="184">
          <cell r="A184" t="str">
            <v>RANBq.L</v>
          </cell>
        </row>
        <row r="185">
          <cell r="A185" t="str">
            <v>RTN.N</v>
          </cell>
        </row>
        <row r="186">
          <cell r="A186" t="str">
            <v>RTNa.N</v>
          </cell>
        </row>
        <row r="187">
          <cell r="A187" t="str">
            <v>RCOP.PA</v>
          </cell>
        </row>
        <row r="188">
          <cell r="A188" t="str">
            <v>RENA.PA</v>
          </cell>
        </row>
        <row r="189">
          <cell r="A189" t="str">
            <v>RSA.L</v>
          </cell>
        </row>
        <row r="190">
          <cell r="A190" t="str">
            <v>SBS.N</v>
          </cell>
        </row>
        <row r="191">
          <cell r="A191" t="str">
            <v>SBSP3.SA</v>
          </cell>
        </row>
        <row r="192">
          <cell r="A192" t="str">
            <v>005930.KS</v>
          </cell>
        </row>
        <row r="193">
          <cell r="A193" t="str">
            <v>0593q.L</v>
          </cell>
        </row>
        <row r="194">
          <cell r="A194" t="str">
            <v>SANM.O</v>
          </cell>
        </row>
        <row r="195">
          <cell r="A195" t="str">
            <v>SASY.PA</v>
          </cell>
        </row>
        <row r="196">
          <cell r="A196" t="str">
            <v>SNY.N</v>
          </cell>
        </row>
        <row r="197">
          <cell r="A197" t="str">
            <v>SAPJ.J</v>
          </cell>
        </row>
        <row r="198">
          <cell r="A198" t="str">
            <v>SPP.N</v>
          </cell>
        </row>
        <row r="199">
          <cell r="A199" t="str">
            <v>SAS.ST</v>
          </cell>
        </row>
        <row r="200">
          <cell r="A200" t="str">
            <v>SCAb.ST</v>
          </cell>
        </row>
        <row r="201">
          <cell r="A201" t="str">
            <v>SVCBY.OTC</v>
          </cell>
        </row>
        <row r="202">
          <cell r="A202" t="str">
            <v>SCHG.DE</v>
          </cell>
        </row>
        <row r="203">
          <cell r="A203" t="str">
            <v>SCO.N</v>
          </cell>
        </row>
        <row r="204">
          <cell r="A204" t="str">
            <v>SCOR.PA</v>
          </cell>
        </row>
        <row r="205">
          <cell r="A205" t="str">
            <v>SPI.N</v>
          </cell>
        </row>
        <row r="206">
          <cell r="A206" t="str">
            <v>SPW.L</v>
          </cell>
        </row>
        <row r="207">
          <cell r="A207" t="str">
            <v>SVT.L</v>
          </cell>
        </row>
        <row r="208">
          <cell r="A208" t="str">
            <v>8184.T</v>
          </cell>
        </row>
        <row r="209">
          <cell r="A209" t="str">
            <v>SHI.L</v>
          </cell>
        </row>
        <row r="210">
          <cell r="A210" t="str">
            <v>2890.TW</v>
          </cell>
        </row>
        <row r="211">
          <cell r="A211" t="str">
            <v>SKFa.ST</v>
          </cell>
        </row>
        <row r="212">
          <cell r="A212" t="str">
            <v>SKFb.ST</v>
          </cell>
        </row>
        <row r="213">
          <cell r="A213" t="str">
            <v>SKFR.O</v>
          </cell>
        </row>
        <row r="214">
          <cell r="A214" t="str">
            <v>SCGLY.OTC</v>
          </cell>
        </row>
        <row r="215">
          <cell r="A215" t="str">
            <v>SOGN.PA</v>
          </cell>
        </row>
        <row r="216">
          <cell r="A216" t="str">
            <v>6758.T</v>
          </cell>
        </row>
        <row r="217">
          <cell r="A217" t="str">
            <v>SNE.N</v>
          </cell>
        </row>
        <row r="218">
          <cell r="A218" t="str">
            <v>SGC.L</v>
          </cell>
        </row>
        <row r="219">
          <cell r="A219" t="str">
            <v>SEO.N</v>
          </cell>
        </row>
        <row r="220">
          <cell r="A220" t="str">
            <v>STERV.HE</v>
          </cell>
        </row>
        <row r="221">
          <cell r="A221" t="str">
            <v>LYOE.PA</v>
          </cell>
        </row>
        <row r="222">
          <cell r="A222" t="str">
            <v>5713.T</v>
          </cell>
        </row>
        <row r="223">
          <cell r="A223" t="str">
            <v>SLF.TO</v>
          </cell>
        </row>
        <row r="224">
          <cell r="A224" t="str">
            <v>SHO.N</v>
          </cell>
        </row>
        <row r="225">
          <cell r="A225" t="str">
            <v>SNGS.RTS</v>
          </cell>
        </row>
        <row r="226">
          <cell r="A226" t="str">
            <v>SNGSyq.L</v>
          </cell>
        </row>
        <row r="227">
          <cell r="A227" t="str">
            <v>SCM.N</v>
          </cell>
        </row>
        <row r="228">
          <cell r="A228" t="str">
            <v>SCMN.VX</v>
          </cell>
        </row>
        <row r="229">
          <cell r="A229" t="str">
            <v>2887.TW</v>
          </cell>
        </row>
        <row r="230">
          <cell r="A230" t="str">
            <v>1310.TW</v>
          </cell>
        </row>
        <row r="231">
          <cell r="A231" t="str">
            <v>TELA.VI</v>
          </cell>
        </row>
        <row r="232">
          <cell r="A232" t="str">
            <v>TKA.US</v>
          </cell>
        </row>
        <row r="233">
          <cell r="A233" t="str">
            <v>TMB.N</v>
          </cell>
        </row>
        <row r="234">
          <cell r="A234" t="str">
            <v>TMCP4.SA</v>
          </cell>
        </row>
        <row r="235">
          <cell r="A235" t="str">
            <v>TLSN.ST</v>
          </cell>
        </row>
        <row r="236">
          <cell r="A236" t="str">
            <v>TKGJ.J</v>
          </cell>
        </row>
        <row r="237">
          <cell r="A237" t="str">
            <v>THAI.BK</v>
          </cell>
        </row>
        <row r="238">
          <cell r="A238" t="str">
            <v>UU.L</v>
          </cell>
        </row>
        <row r="239">
          <cell r="A239" t="str">
            <v>UU.N</v>
          </cell>
        </row>
        <row r="240">
          <cell r="A240" t="str">
            <v>UNM.N</v>
          </cell>
        </row>
        <row r="241">
          <cell r="A241" t="str">
            <v>UPM.N</v>
          </cell>
        </row>
        <row r="242">
          <cell r="A242" t="str">
            <v>UPM1V.HE</v>
          </cell>
        </row>
        <row r="243">
          <cell r="A243" t="str">
            <v>VLO.N</v>
          </cell>
        </row>
        <row r="244">
          <cell r="A244" t="str">
            <v>VDOR.AS</v>
          </cell>
        </row>
        <row r="245">
          <cell r="A245" t="str">
            <v>2388.TW</v>
          </cell>
        </row>
        <row r="246">
          <cell r="A246" t="str">
            <v>VIA.N</v>
          </cell>
        </row>
        <row r="247">
          <cell r="A247" t="str">
            <v>6792.T</v>
          </cell>
        </row>
        <row r="248">
          <cell r="A248" t="str">
            <v>VJAPY.PK</v>
          </cell>
        </row>
        <row r="249">
          <cell r="A249" t="str">
            <v>VMOB.L</v>
          </cell>
        </row>
        <row r="250">
          <cell r="A250" t="str">
            <v>VLKAY.OTC</v>
          </cell>
        </row>
        <row r="251">
          <cell r="A251" t="str">
            <v>VOWG.DE</v>
          </cell>
        </row>
        <row r="252">
          <cell r="A252" t="str">
            <v>VOWG_p.F</v>
          </cell>
        </row>
        <row r="253">
          <cell r="A253" t="str">
            <v>WLTHYP.O</v>
          </cell>
        </row>
        <row r="254">
          <cell r="A254" t="str">
            <v>WOW.AX</v>
          </cell>
        </row>
        <row r="255">
          <cell r="A255" t="str">
            <v>XTA.L</v>
          </cell>
        </row>
      </sheetData>
      <sheetData sheetId="2" refreshError="1"/>
      <sheetData sheetId="3" refreshError="1"/>
      <sheetData sheetId="4"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9 Actuals"/>
      <sheetName val="1998 Actuals"/>
      <sheetName val="1997"/>
      <sheetName val="1999 BP"/>
      <sheetName val="1999 GLActuals"/>
      <sheetName val="1998 BP"/>
      <sheetName val="final report"/>
      <sheetName val="final report (Per Day)"/>
      <sheetName val="final report YTD"/>
      <sheetName val="domair haddow"/>
      <sheetName val="variables"/>
      <sheetName val="YTD variance"/>
      <sheetName val="tracking"/>
      <sheetName val="Exclusion List"/>
      <sheetName val="Model"/>
      <sheetName val="Bal Sheet &amp; Cash Flow"/>
      <sheetName val="BALANCE SHEET"/>
      <sheetName val="GVAT RI Valuation"/>
      <sheetName val="Macro2"/>
      <sheetName val="UTX"/>
      <sheetName val="P&amp;L"/>
      <sheetName val="Inputs"/>
      <sheetName val="IndexInformation"/>
      <sheetName val="Front Page"/>
      <sheetName val="RI Valuation"/>
      <sheetName val="Cash Flow-Industrial"/>
      <sheetName val="Geo"/>
      <sheetName val="DCF"/>
      <sheetName val="Annual-consolidated"/>
      <sheetName val="Qtrly Inc St"/>
      <sheetName val="Bal Sheet - Cons."/>
      <sheetName val="Bal Sheet-Industrial"/>
      <sheetName val="Cash Flow - C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3">
          <cell r="C3" t="str">
            <v>September  Year to Date 1999</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The Missing IF"/>
      <sheetName val="Round Function"/>
      <sheetName val="Nesting Functions"/>
      <sheetName val="Offset"/>
      <sheetName val="Match"/>
      <sheetName val="Index"/>
      <sheetName val="Footnote"/>
      <sheetName val="String Functions"/>
      <sheetName val="Text Format Horrors"/>
      <sheetName val="Date Functions"/>
      <sheetName val="Indirect"/>
      <sheetName val="Penn"/>
      <sheetName val="Ryobi"/>
      <sheetName val="Diawa"/>
      <sheetName val="Transpose"/>
      <sheetName val="vari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A1">
            <v>36592</v>
          </cell>
        </row>
      </sheetData>
      <sheetData sheetId="1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H FLOW-BASE BIZ"/>
    </sheetNames>
    <sheetDataSet>
      <sheetData sheetId="0" refreshError="1">
        <row r="177">
          <cell r="H177">
            <v>0</v>
          </cell>
        </row>
      </sheetData>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ing Capital KPI"/>
      <sheetName val="DSO.KPI W_fcst"/>
      <sheetName val="Collections_Receivables"/>
      <sheetName val="Summary"/>
      <sheetName val="Ar Sales Analysis"/>
      <sheetName val="Current Mo. Forecast vs. Actual"/>
      <sheetName val="Prior fcst vs new fcst"/>
      <sheetName val="Full Year Fcst"/>
      <sheetName val="Aging Analysis"/>
      <sheetName val="Next Mo Fcst"/>
      <sheetName val="Qtrly Fcst_Bdgt"/>
      <sheetName val="DSO"/>
      <sheetName val="Bridge Dec Actual vs. Fcst"/>
      <sheetName val="Bridge Actual 2002 vs Actu 2001"/>
      <sheetName val="December 2002 Review"/>
      <sheetName val="Bridge YTD Actual vs. Budget"/>
      <sheetName val="Rating Agcy Bridge Act vs. Bdg"/>
      <sheetName val="Bridge Q4 Actual vs. Fcst"/>
      <sheetName val="P&amp;L Retrieve"/>
      <sheetName val="Dates"/>
      <sheetName val="Budget Data"/>
      <sheetName val="Module1"/>
      <sheetName val="Collections_Receivables 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row r="3">
          <cell r="B3" t="e">
            <v>#REF!</v>
          </cell>
        </row>
      </sheetData>
      <sheetData sheetId="20"/>
      <sheetData sheetId="21" refreshError="1"/>
      <sheetData sheetId="22"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__FDSCACHE__"/>
      <sheetName val="Valuation"/>
      <sheetName val="Yrly P&amp;L"/>
      <sheetName val=" Qrtly P&amp;L"/>
      <sheetName val="Yrly Sales"/>
      <sheetName val="Qrtly Sales"/>
      <sheetName val="DivP&amp;L"/>
      <sheetName val="GroupP&amp;L"/>
      <sheetName val="BalanceSheet"/>
      <sheetName val="CashFlowSt"/>
      <sheetName val="Pipeline"/>
      <sheetName val="Fx Impact"/>
      <sheetName val="Guidance"/>
      <sheetName val="ProdConcentration"/>
      <sheetName val="RI Model"/>
      <sheetName val="At a Glance"/>
      <sheetName val="Zelnorm"/>
      <sheetName val="Gleevec"/>
      <sheetName val="Elidel"/>
      <sheetName val="DCF"/>
      <sheetName val="Charts"/>
      <sheetName val="GE Upload"/>
      <sheetName val="Novartisfeed"/>
      <sheetName val="Disclaimer"/>
      <sheetName val="GE 2"/>
      <sheetName val="DivisionsOLD"/>
      <sheetName val="horiz sales"/>
      <sheetName val="GE3"/>
      <sheetName val="MODE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2"/>
  <sheetViews>
    <sheetView showGridLines="0" tabSelected="1" workbookViewId="0">
      <selection activeCell="Z1" sqref="Z1"/>
    </sheetView>
  </sheetViews>
  <sheetFormatPr defaultRowHeight="12.75"/>
  <cols>
    <col min="1" max="1" width="25.7109375" style="540" customWidth="1"/>
    <col min="2" max="5" width="9.140625" style="540"/>
    <col min="6" max="6" width="18.7109375" style="540" customWidth="1"/>
    <col min="7" max="256" width="9.140625" style="540"/>
    <col min="257" max="257" width="100.7109375" style="540" customWidth="1"/>
    <col min="258" max="512" width="9.140625" style="540"/>
    <col min="513" max="513" width="100.7109375" style="540" customWidth="1"/>
    <col min="514" max="768" width="9.140625" style="540"/>
    <col min="769" max="769" width="100.7109375" style="540" customWidth="1"/>
    <col min="770" max="1024" width="9.140625" style="540"/>
    <col min="1025" max="1025" width="100.7109375" style="540" customWidth="1"/>
    <col min="1026" max="1280" width="9.140625" style="540"/>
    <col min="1281" max="1281" width="100.7109375" style="540" customWidth="1"/>
    <col min="1282" max="1536" width="9.140625" style="540"/>
    <col min="1537" max="1537" width="100.7109375" style="540" customWidth="1"/>
    <col min="1538" max="1792" width="9.140625" style="540"/>
    <col min="1793" max="1793" width="100.7109375" style="540" customWidth="1"/>
    <col min="1794" max="2048" width="9.140625" style="540"/>
    <col min="2049" max="2049" width="100.7109375" style="540" customWidth="1"/>
    <col min="2050" max="2304" width="9.140625" style="540"/>
    <col min="2305" max="2305" width="100.7109375" style="540" customWidth="1"/>
    <col min="2306" max="2560" width="9.140625" style="540"/>
    <col min="2561" max="2561" width="100.7109375" style="540" customWidth="1"/>
    <col min="2562" max="2816" width="9.140625" style="540"/>
    <col min="2817" max="2817" width="100.7109375" style="540" customWidth="1"/>
    <col min="2818" max="3072" width="9.140625" style="540"/>
    <col min="3073" max="3073" width="100.7109375" style="540" customWidth="1"/>
    <col min="3074" max="3328" width="9.140625" style="540"/>
    <col min="3329" max="3329" width="100.7109375" style="540" customWidth="1"/>
    <col min="3330" max="3584" width="9.140625" style="540"/>
    <col min="3585" max="3585" width="100.7109375" style="540" customWidth="1"/>
    <col min="3586" max="3840" width="9.140625" style="540"/>
    <col min="3841" max="3841" width="100.7109375" style="540" customWidth="1"/>
    <col min="3842" max="4096" width="9.140625" style="540"/>
    <col min="4097" max="4097" width="100.7109375" style="540" customWidth="1"/>
    <col min="4098" max="4352" width="9.140625" style="540"/>
    <col min="4353" max="4353" width="100.7109375" style="540" customWidth="1"/>
    <col min="4354" max="4608" width="9.140625" style="540"/>
    <col min="4609" max="4609" width="100.7109375" style="540" customWidth="1"/>
    <col min="4610" max="4864" width="9.140625" style="540"/>
    <col min="4865" max="4865" width="100.7109375" style="540" customWidth="1"/>
    <col min="4866" max="5120" width="9.140625" style="540"/>
    <col min="5121" max="5121" width="100.7109375" style="540" customWidth="1"/>
    <col min="5122" max="5376" width="9.140625" style="540"/>
    <col min="5377" max="5377" width="100.7109375" style="540" customWidth="1"/>
    <col min="5378" max="5632" width="9.140625" style="540"/>
    <col min="5633" max="5633" width="100.7109375" style="540" customWidth="1"/>
    <col min="5634" max="5888" width="9.140625" style="540"/>
    <col min="5889" max="5889" width="100.7109375" style="540" customWidth="1"/>
    <col min="5890" max="6144" width="9.140625" style="540"/>
    <col min="6145" max="6145" width="100.7109375" style="540" customWidth="1"/>
    <col min="6146" max="6400" width="9.140625" style="540"/>
    <col min="6401" max="6401" width="100.7109375" style="540" customWidth="1"/>
    <col min="6402" max="6656" width="9.140625" style="540"/>
    <col min="6657" max="6657" width="100.7109375" style="540" customWidth="1"/>
    <col min="6658" max="6912" width="9.140625" style="540"/>
    <col min="6913" max="6913" width="100.7109375" style="540" customWidth="1"/>
    <col min="6914" max="7168" width="9.140625" style="540"/>
    <col min="7169" max="7169" width="100.7109375" style="540" customWidth="1"/>
    <col min="7170" max="7424" width="9.140625" style="540"/>
    <col min="7425" max="7425" width="100.7109375" style="540" customWidth="1"/>
    <col min="7426" max="7680" width="9.140625" style="540"/>
    <col min="7681" max="7681" width="100.7109375" style="540" customWidth="1"/>
    <col min="7682" max="7936" width="9.140625" style="540"/>
    <col min="7937" max="7937" width="100.7109375" style="540" customWidth="1"/>
    <col min="7938" max="8192" width="9.140625" style="540"/>
    <col min="8193" max="8193" width="100.7109375" style="540" customWidth="1"/>
    <col min="8194" max="8448" width="9.140625" style="540"/>
    <col min="8449" max="8449" width="100.7109375" style="540" customWidth="1"/>
    <col min="8450" max="8704" width="9.140625" style="540"/>
    <col min="8705" max="8705" width="100.7109375" style="540" customWidth="1"/>
    <col min="8706" max="8960" width="9.140625" style="540"/>
    <col min="8961" max="8961" width="100.7109375" style="540" customWidth="1"/>
    <col min="8962" max="9216" width="9.140625" style="540"/>
    <col min="9217" max="9217" width="100.7109375" style="540" customWidth="1"/>
    <col min="9218" max="9472" width="9.140625" style="540"/>
    <col min="9473" max="9473" width="100.7109375" style="540" customWidth="1"/>
    <col min="9474" max="9728" width="9.140625" style="540"/>
    <col min="9729" max="9729" width="100.7109375" style="540" customWidth="1"/>
    <col min="9730" max="9984" width="9.140625" style="540"/>
    <col min="9985" max="9985" width="100.7109375" style="540" customWidth="1"/>
    <col min="9986" max="10240" width="9.140625" style="540"/>
    <col min="10241" max="10241" width="100.7109375" style="540" customWidth="1"/>
    <col min="10242" max="10496" width="9.140625" style="540"/>
    <col min="10497" max="10497" width="100.7109375" style="540" customWidth="1"/>
    <col min="10498" max="10752" width="9.140625" style="540"/>
    <col min="10753" max="10753" width="100.7109375" style="540" customWidth="1"/>
    <col min="10754" max="11008" width="9.140625" style="540"/>
    <col min="11009" max="11009" width="100.7109375" style="540" customWidth="1"/>
    <col min="11010" max="11264" width="9.140625" style="540"/>
    <col min="11265" max="11265" width="100.7109375" style="540" customWidth="1"/>
    <col min="11266" max="11520" width="9.140625" style="540"/>
    <col min="11521" max="11521" width="100.7109375" style="540" customWidth="1"/>
    <col min="11522" max="11776" width="9.140625" style="540"/>
    <col min="11777" max="11777" width="100.7109375" style="540" customWidth="1"/>
    <col min="11778" max="12032" width="9.140625" style="540"/>
    <col min="12033" max="12033" width="100.7109375" style="540" customWidth="1"/>
    <col min="12034" max="12288" width="9.140625" style="540"/>
    <col min="12289" max="12289" width="100.7109375" style="540" customWidth="1"/>
    <col min="12290" max="12544" width="9.140625" style="540"/>
    <col min="12545" max="12545" width="100.7109375" style="540" customWidth="1"/>
    <col min="12546" max="12800" width="9.140625" style="540"/>
    <col min="12801" max="12801" width="100.7109375" style="540" customWidth="1"/>
    <col min="12802" max="13056" width="9.140625" style="540"/>
    <col min="13057" max="13057" width="100.7109375" style="540" customWidth="1"/>
    <col min="13058" max="13312" width="9.140625" style="540"/>
    <col min="13313" max="13313" width="100.7109375" style="540" customWidth="1"/>
    <col min="13314" max="13568" width="9.140625" style="540"/>
    <col min="13569" max="13569" width="100.7109375" style="540" customWidth="1"/>
    <col min="13570" max="13824" width="9.140625" style="540"/>
    <col min="13825" max="13825" width="100.7109375" style="540" customWidth="1"/>
    <col min="13826" max="14080" width="9.140625" style="540"/>
    <col min="14081" max="14081" width="100.7109375" style="540" customWidth="1"/>
    <col min="14082" max="14336" width="9.140625" style="540"/>
    <col min="14337" max="14337" width="100.7109375" style="540" customWidth="1"/>
    <col min="14338" max="14592" width="9.140625" style="540"/>
    <col min="14593" max="14593" width="100.7109375" style="540" customWidth="1"/>
    <col min="14594" max="14848" width="9.140625" style="540"/>
    <col min="14849" max="14849" width="100.7109375" style="540" customWidth="1"/>
    <col min="14850" max="15104" width="9.140625" style="540"/>
    <col min="15105" max="15105" width="100.7109375" style="540" customWidth="1"/>
    <col min="15106" max="15360" width="9.140625" style="540"/>
    <col min="15361" max="15361" width="100.7109375" style="540" customWidth="1"/>
    <col min="15362" max="15616" width="9.140625" style="540"/>
    <col min="15617" max="15617" width="100.7109375" style="540" customWidth="1"/>
    <col min="15618" max="15872" width="9.140625" style="540"/>
    <col min="15873" max="15873" width="100.7109375" style="540" customWidth="1"/>
    <col min="15874" max="16128" width="9.140625" style="540"/>
    <col min="16129" max="16129" width="100.7109375" style="540" customWidth="1"/>
    <col min="16130" max="16384" width="9.140625" style="540"/>
  </cols>
  <sheetData>
    <row r="1" spans="1:8" ht="30" customHeight="1">
      <c r="A1" s="538"/>
      <c r="B1" s="539"/>
      <c r="C1" s="539"/>
      <c r="D1" s="539"/>
      <c r="E1" s="539"/>
      <c r="F1" s="539"/>
      <c r="G1" s="539"/>
      <c r="H1" s="539"/>
    </row>
    <row r="2" spans="1:8" ht="14.25">
      <c r="A2" s="541" t="s">
        <v>706</v>
      </c>
      <c r="B2" s="539"/>
      <c r="C2" s="539"/>
      <c r="D2" s="539"/>
      <c r="E2" s="539"/>
      <c r="F2" s="539"/>
      <c r="G2" s="539"/>
      <c r="H2" s="539"/>
    </row>
    <row r="3" spans="1:8" ht="14.25">
      <c r="A3" s="541" t="s">
        <v>707</v>
      </c>
      <c r="B3" s="539"/>
      <c r="C3" s="539"/>
      <c r="D3" s="539"/>
      <c r="E3" s="539"/>
      <c r="F3" s="539"/>
      <c r="G3" s="539"/>
      <c r="H3" s="539"/>
    </row>
    <row r="4" spans="1:8" ht="14.25">
      <c r="A4" s="541" t="s">
        <v>340</v>
      </c>
      <c r="B4" s="539"/>
      <c r="C4" s="539"/>
      <c r="D4" s="539"/>
      <c r="E4" s="539"/>
      <c r="F4" s="539"/>
      <c r="G4" s="539"/>
      <c r="H4" s="539"/>
    </row>
    <row r="5" spans="1:8" ht="14.25">
      <c r="A5" s="541" t="s">
        <v>708</v>
      </c>
      <c r="B5" s="539"/>
      <c r="C5" s="539"/>
      <c r="D5" s="539"/>
      <c r="E5" s="539"/>
      <c r="F5" s="539"/>
      <c r="G5" s="539"/>
      <c r="H5" s="539"/>
    </row>
    <row r="6" spans="1:8" ht="14.25">
      <c r="A6" s="541"/>
      <c r="B6" s="539"/>
      <c r="C6" s="539"/>
      <c r="D6" s="539"/>
      <c r="E6" s="539"/>
      <c r="F6" s="539"/>
      <c r="G6" s="539"/>
      <c r="H6" s="539"/>
    </row>
    <row r="7" spans="1:8">
      <c r="A7" s="538" t="s">
        <v>709</v>
      </c>
      <c r="B7" s="539"/>
      <c r="C7" s="539"/>
      <c r="D7" s="539"/>
      <c r="E7" s="539"/>
      <c r="F7" s="539"/>
      <c r="G7" s="539"/>
      <c r="H7" s="539"/>
    </row>
    <row r="8" spans="1:8">
      <c r="A8" s="538" t="s">
        <v>710</v>
      </c>
      <c r="B8" s="539"/>
      <c r="C8" s="539"/>
      <c r="D8" s="539"/>
      <c r="E8" s="539"/>
      <c r="F8" s="539"/>
      <c r="G8" s="539"/>
      <c r="H8" s="539"/>
    </row>
    <row r="9" spans="1:8">
      <c r="A9" s="538"/>
      <c r="B9" s="539"/>
      <c r="C9" s="539"/>
      <c r="D9" s="539"/>
      <c r="E9" s="539"/>
      <c r="F9" s="539"/>
      <c r="G9" s="539"/>
      <c r="H9" s="539"/>
    </row>
    <row r="10" spans="1:8">
      <c r="A10" s="542" t="s">
        <v>711</v>
      </c>
      <c r="B10" s="539"/>
      <c r="C10" s="539"/>
      <c r="D10" s="539"/>
      <c r="E10" s="539"/>
      <c r="F10" s="539"/>
      <c r="G10" s="539"/>
      <c r="H10" s="539"/>
    </row>
    <row r="11" spans="1:8">
      <c r="A11" s="542" t="s">
        <v>712</v>
      </c>
      <c r="B11" s="539"/>
      <c r="C11" s="539"/>
      <c r="D11" s="539"/>
      <c r="E11" s="539"/>
      <c r="F11" s="539"/>
      <c r="G11" s="539"/>
      <c r="H11" s="539"/>
    </row>
    <row r="12" spans="1:8">
      <c r="A12" s="542" t="s">
        <v>713</v>
      </c>
      <c r="B12" s="539"/>
      <c r="C12" s="539"/>
      <c r="D12" s="539"/>
      <c r="E12" s="539"/>
      <c r="F12" s="539"/>
      <c r="G12" s="539"/>
      <c r="H12" s="539"/>
    </row>
    <row r="13" spans="1:8">
      <c r="A13" s="542" t="s">
        <v>714</v>
      </c>
      <c r="B13" s="539"/>
      <c r="C13" s="539"/>
      <c r="D13" s="539"/>
      <c r="E13" s="539"/>
      <c r="F13" s="539"/>
      <c r="G13" s="539"/>
      <c r="H13" s="539"/>
    </row>
    <row r="14" spans="1:8">
      <c r="A14" s="542" t="s">
        <v>715</v>
      </c>
      <c r="B14" s="539"/>
      <c r="C14" s="539"/>
      <c r="D14" s="539"/>
      <c r="E14" s="539"/>
      <c r="F14" s="539"/>
      <c r="G14" s="539"/>
      <c r="H14" s="539"/>
    </row>
    <row r="15" spans="1:8">
      <c r="A15" s="542" t="s">
        <v>716</v>
      </c>
      <c r="B15" s="539"/>
      <c r="C15" s="539"/>
      <c r="D15" s="539"/>
      <c r="E15" s="539"/>
      <c r="F15" s="539"/>
      <c r="G15" s="539"/>
      <c r="H15" s="539"/>
    </row>
    <row r="16" spans="1:8">
      <c r="A16" s="542"/>
      <c r="B16" s="539"/>
      <c r="C16" s="539"/>
      <c r="D16" s="539"/>
      <c r="E16" s="539"/>
      <c r="F16" s="539"/>
      <c r="G16" s="539"/>
      <c r="H16" s="539"/>
    </row>
    <row r="17" spans="1:8">
      <c r="A17" s="542" t="s">
        <v>703</v>
      </c>
      <c r="B17" s="539"/>
      <c r="C17" s="539"/>
      <c r="D17" s="539"/>
      <c r="E17" s="539"/>
      <c r="F17" s="539"/>
      <c r="G17" s="539"/>
      <c r="H17" s="539"/>
    </row>
    <row r="18" spans="1:8">
      <c r="A18" s="542"/>
      <c r="B18" s="539"/>
      <c r="C18" s="539"/>
      <c r="D18" s="539"/>
      <c r="E18" s="539"/>
      <c r="F18" s="539"/>
      <c r="G18" s="539"/>
      <c r="H18" s="539"/>
    </row>
    <row r="19" spans="1:8">
      <c r="A19" s="542" t="s">
        <v>704</v>
      </c>
      <c r="B19" s="539"/>
      <c r="C19" s="539"/>
      <c r="D19" s="539"/>
      <c r="E19" s="539"/>
      <c r="F19" s="539"/>
      <c r="G19" s="539"/>
      <c r="H19" s="539"/>
    </row>
    <row r="20" spans="1:8">
      <c r="A20" s="538"/>
      <c r="B20" s="539"/>
      <c r="C20" s="539"/>
      <c r="D20" s="539"/>
      <c r="E20" s="539"/>
      <c r="F20" s="539"/>
      <c r="G20" s="539"/>
      <c r="H20" s="539"/>
    </row>
    <row r="21" spans="1:8">
      <c r="A21" s="543" t="s">
        <v>705</v>
      </c>
      <c r="B21" s="539"/>
      <c r="C21" s="539"/>
      <c r="D21" s="539"/>
      <c r="E21" s="539"/>
      <c r="F21" s="539"/>
      <c r="G21" s="539"/>
      <c r="H21" s="539"/>
    </row>
    <row r="22" spans="1:8">
      <c r="A22" s="544"/>
      <c r="B22" s="544"/>
      <c r="C22" s="544"/>
      <c r="D22" s="544"/>
      <c r="E22" s="544"/>
      <c r="F22" s="544"/>
      <c r="G22" s="544"/>
      <c r="H22" s="544"/>
    </row>
    <row r="23" spans="1:8">
      <c r="A23" s="545" t="s">
        <v>989</v>
      </c>
      <c r="B23" s="544"/>
      <c r="C23" s="544"/>
      <c r="D23" s="544"/>
      <c r="E23" s="544"/>
      <c r="F23" s="544"/>
      <c r="G23" s="544"/>
      <c r="H23" s="544"/>
    </row>
    <row r="24" spans="1:8">
      <c r="A24" s="545" t="s">
        <v>990</v>
      </c>
      <c r="B24" s="544"/>
      <c r="C24" s="544"/>
      <c r="D24" s="544"/>
      <c r="E24" s="544"/>
      <c r="F24" s="544"/>
      <c r="G24" s="544"/>
      <c r="H24" s="544"/>
    </row>
    <row r="25" spans="1:8">
      <c r="A25" s="545" t="s">
        <v>991</v>
      </c>
      <c r="B25" s="544"/>
      <c r="C25" s="544"/>
      <c r="D25" s="544"/>
      <c r="E25" s="544"/>
      <c r="F25" s="544"/>
      <c r="G25" s="544"/>
      <c r="H25" s="544"/>
    </row>
    <row r="26" spans="1:8">
      <c r="A26" s="545" t="s">
        <v>992</v>
      </c>
      <c r="B26" s="544"/>
      <c r="C26" s="544"/>
      <c r="D26" s="544"/>
      <c r="E26" s="544"/>
      <c r="F26" s="544"/>
      <c r="G26" s="544"/>
      <c r="H26" s="544"/>
    </row>
    <row r="27" spans="1:8">
      <c r="A27" s="544"/>
      <c r="B27" s="544"/>
      <c r="C27" s="544"/>
      <c r="D27" s="544"/>
      <c r="E27" s="544"/>
      <c r="F27" s="544"/>
      <c r="G27" s="544"/>
      <c r="H27" s="544"/>
    </row>
    <row r="28" spans="1:8">
      <c r="A28" s="544"/>
      <c r="B28" s="544"/>
      <c r="C28" s="544"/>
      <c r="D28" s="544"/>
      <c r="E28" s="544"/>
      <c r="F28" s="544"/>
      <c r="G28" s="544"/>
      <c r="H28" s="544"/>
    </row>
    <row r="29" spans="1:8">
      <c r="A29" s="545" t="s">
        <v>984</v>
      </c>
      <c r="B29" s="544"/>
      <c r="C29" s="544"/>
      <c r="D29" s="544"/>
      <c r="E29" s="544"/>
      <c r="F29" s="544"/>
      <c r="G29" s="544"/>
      <c r="H29" s="544"/>
    </row>
    <row r="30" spans="1:8">
      <c r="A30" s="545" t="s">
        <v>985</v>
      </c>
      <c r="B30" s="544"/>
      <c r="C30" s="544"/>
      <c r="D30" s="544"/>
      <c r="E30" s="544"/>
      <c r="F30" s="544"/>
      <c r="G30" s="544"/>
      <c r="H30" s="544"/>
    </row>
    <row r="31" spans="1:8">
      <c r="A31" s="545" t="s">
        <v>986</v>
      </c>
      <c r="B31" s="544"/>
      <c r="C31" s="544"/>
      <c r="D31" s="544"/>
      <c r="E31" s="544"/>
      <c r="F31" s="544"/>
      <c r="G31" s="544"/>
      <c r="H31" s="544"/>
    </row>
    <row r="32" spans="1:8">
      <c r="A32" s="545" t="s">
        <v>987</v>
      </c>
      <c r="B32" s="544"/>
      <c r="C32" s="544"/>
      <c r="D32" s="544"/>
      <c r="E32" s="544"/>
      <c r="F32" s="544"/>
      <c r="G32" s="544"/>
      <c r="H32" s="544"/>
    </row>
    <row r="33" spans="1:8">
      <c r="A33" s="545" t="s">
        <v>988</v>
      </c>
      <c r="B33" s="544"/>
      <c r="C33" s="544"/>
      <c r="D33" s="544"/>
      <c r="E33" s="544"/>
      <c r="F33" s="544"/>
      <c r="G33" s="544"/>
      <c r="H33" s="544"/>
    </row>
    <row r="34" spans="1:8">
      <c r="A34" s="544"/>
      <c r="B34" s="544"/>
      <c r="C34" s="544"/>
      <c r="D34" s="544"/>
      <c r="E34" s="544"/>
      <c r="F34" s="544"/>
      <c r="G34" s="544"/>
      <c r="H34" s="544"/>
    </row>
    <row r="35" spans="1:8">
      <c r="A35" s="545" t="s">
        <v>980</v>
      </c>
      <c r="B35" s="544"/>
      <c r="C35" s="544"/>
      <c r="D35" s="544"/>
      <c r="E35" s="544"/>
      <c r="F35" s="544"/>
      <c r="G35" s="544"/>
      <c r="H35" s="544"/>
    </row>
    <row r="36" spans="1:8">
      <c r="A36" s="545" t="s">
        <v>981</v>
      </c>
      <c r="B36" s="544"/>
      <c r="C36" s="544"/>
      <c r="D36" s="544"/>
      <c r="E36" s="544"/>
      <c r="F36" s="544"/>
      <c r="G36" s="544"/>
      <c r="H36" s="544"/>
    </row>
    <row r="37" spans="1:8">
      <c r="A37" s="545" t="s">
        <v>982</v>
      </c>
      <c r="B37" s="544"/>
      <c r="C37" s="544"/>
      <c r="D37" s="544"/>
      <c r="E37" s="544"/>
      <c r="F37" s="544"/>
      <c r="G37" s="544"/>
      <c r="H37" s="544"/>
    </row>
    <row r="38" spans="1:8">
      <c r="A38" s="545" t="s">
        <v>983</v>
      </c>
      <c r="B38" s="544"/>
      <c r="C38" s="544"/>
      <c r="D38" s="544"/>
      <c r="E38" s="544"/>
      <c r="F38" s="544"/>
      <c r="G38" s="544"/>
      <c r="H38" s="544"/>
    </row>
    <row r="39" spans="1:8">
      <c r="A39" s="544"/>
      <c r="B39" s="544"/>
      <c r="C39" s="544"/>
      <c r="D39" s="544"/>
      <c r="E39" s="544"/>
      <c r="F39" s="544"/>
      <c r="G39" s="544"/>
      <c r="H39" s="544"/>
    </row>
    <row r="40" spans="1:8">
      <c r="A40" s="545" t="s">
        <v>974</v>
      </c>
      <c r="B40" s="544"/>
      <c r="C40" s="544"/>
      <c r="D40" s="544"/>
      <c r="E40" s="544"/>
      <c r="F40" s="544"/>
      <c r="G40" s="544"/>
      <c r="H40" s="544"/>
    </row>
    <row r="41" spans="1:8">
      <c r="A41" s="545" t="s">
        <v>975</v>
      </c>
      <c r="B41" s="544"/>
      <c r="C41" s="544"/>
      <c r="D41" s="544"/>
      <c r="E41" s="544"/>
      <c r="F41" s="544"/>
      <c r="G41" s="544"/>
      <c r="H41" s="544"/>
    </row>
    <row r="42" spans="1:8">
      <c r="A42" s="545" t="s">
        <v>976</v>
      </c>
      <c r="B42" s="544"/>
      <c r="C42" s="544"/>
      <c r="D42" s="544"/>
      <c r="E42" s="544"/>
      <c r="F42" s="544"/>
      <c r="G42" s="544"/>
      <c r="H42" s="544"/>
    </row>
    <row r="43" spans="1:8">
      <c r="A43" s="545" t="s">
        <v>977</v>
      </c>
      <c r="B43" s="544"/>
      <c r="C43" s="544"/>
      <c r="D43" s="544"/>
      <c r="E43" s="544"/>
      <c r="F43" s="544"/>
      <c r="G43" s="544"/>
      <c r="H43" s="544"/>
    </row>
    <row r="44" spans="1:8">
      <c r="A44" s="545" t="s">
        <v>978</v>
      </c>
      <c r="B44" s="544"/>
      <c r="C44" s="544"/>
      <c r="D44" s="544"/>
      <c r="E44" s="544"/>
      <c r="F44" s="544"/>
      <c r="G44" s="544"/>
      <c r="H44" s="544"/>
    </row>
    <row r="45" spans="1:8">
      <c r="A45" s="545" t="s">
        <v>979</v>
      </c>
      <c r="B45" s="544"/>
      <c r="C45" s="544"/>
      <c r="D45" s="544"/>
      <c r="E45" s="544"/>
      <c r="F45" s="544"/>
      <c r="G45" s="544"/>
      <c r="H45" s="544"/>
    </row>
    <row r="46" spans="1:8">
      <c r="A46" s="544"/>
      <c r="B46" s="544"/>
      <c r="C46" s="544"/>
      <c r="D46" s="544"/>
      <c r="E46" s="544"/>
      <c r="F46" s="544"/>
      <c r="G46" s="544"/>
      <c r="H46" s="544"/>
    </row>
    <row r="47" spans="1:8" ht="15.75">
      <c r="A47" s="546" t="s">
        <v>717</v>
      </c>
      <c r="B47" s="544"/>
      <c r="C47" s="544"/>
      <c r="D47" s="544"/>
      <c r="E47" s="544"/>
      <c r="F47" s="544"/>
      <c r="G47" s="544"/>
      <c r="H47" s="544"/>
    </row>
    <row r="48" spans="1:8">
      <c r="A48" s="544"/>
      <c r="B48" s="544"/>
      <c r="C48" s="544"/>
      <c r="D48" s="544"/>
      <c r="E48" s="544"/>
      <c r="F48" s="544"/>
      <c r="G48" s="544"/>
      <c r="H48" s="544"/>
    </row>
    <row r="49" spans="1:8">
      <c r="A49" s="545" t="s">
        <v>970</v>
      </c>
      <c r="B49" s="544"/>
      <c r="C49" s="544"/>
      <c r="D49" s="544"/>
      <c r="E49" s="544"/>
      <c r="F49" s="544"/>
      <c r="G49" s="544"/>
      <c r="H49" s="544"/>
    </row>
    <row r="50" spans="1:8">
      <c r="A50" s="545" t="s">
        <v>971</v>
      </c>
      <c r="B50" s="544"/>
      <c r="C50" s="544"/>
      <c r="D50" s="544"/>
      <c r="E50" s="544"/>
      <c r="F50" s="544"/>
      <c r="G50" s="544"/>
      <c r="H50" s="544"/>
    </row>
    <row r="51" spans="1:8">
      <c r="A51" s="545" t="s">
        <v>972</v>
      </c>
      <c r="B51" s="544"/>
      <c r="C51" s="544"/>
      <c r="D51" s="544"/>
      <c r="E51" s="544"/>
      <c r="F51" s="544"/>
      <c r="G51" s="544"/>
      <c r="H51" s="544"/>
    </row>
    <row r="52" spans="1:8">
      <c r="A52" s="545" t="s">
        <v>973</v>
      </c>
      <c r="B52" s="544"/>
      <c r="C52" s="544"/>
      <c r="D52" s="544"/>
      <c r="E52" s="544"/>
      <c r="F52" s="544"/>
      <c r="G52" s="544"/>
      <c r="H52" s="544"/>
    </row>
    <row r="53" spans="1:8">
      <c r="A53" s="544"/>
      <c r="B53" s="544"/>
      <c r="C53" s="544"/>
      <c r="D53" s="544"/>
      <c r="E53" s="544"/>
      <c r="F53" s="544"/>
      <c r="G53" s="544"/>
      <c r="H53" s="544"/>
    </row>
    <row r="54" spans="1:8">
      <c r="A54" s="545" t="s">
        <v>718</v>
      </c>
      <c r="B54" s="544"/>
      <c r="C54" s="544"/>
      <c r="D54" s="544"/>
      <c r="E54" s="544"/>
      <c r="F54" s="544"/>
      <c r="G54" s="544"/>
      <c r="H54" s="544"/>
    </row>
    <row r="55" spans="1:8">
      <c r="A55" s="544"/>
      <c r="B55" s="544"/>
      <c r="C55" s="544"/>
      <c r="D55" s="544"/>
      <c r="E55" s="544"/>
      <c r="F55" s="544"/>
      <c r="G55" s="544"/>
      <c r="H55" s="544"/>
    </row>
    <row r="56" spans="1:8" ht="15.75">
      <c r="A56" s="546" t="s">
        <v>719</v>
      </c>
      <c r="B56" s="544"/>
      <c r="C56" s="544"/>
      <c r="D56" s="544"/>
      <c r="E56" s="544"/>
      <c r="F56" s="544"/>
      <c r="G56" s="544"/>
      <c r="H56" s="544"/>
    </row>
    <row r="57" spans="1:8">
      <c r="A57" s="544"/>
      <c r="B57" s="544"/>
      <c r="C57" s="544"/>
      <c r="D57" s="544"/>
      <c r="E57" s="544"/>
      <c r="F57" s="544"/>
      <c r="G57" s="544"/>
      <c r="H57" s="544"/>
    </row>
    <row r="58" spans="1:8">
      <c r="A58" s="545" t="s">
        <v>968</v>
      </c>
      <c r="B58" s="544"/>
      <c r="C58" s="544"/>
      <c r="D58" s="544"/>
      <c r="E58" s="544"/>
      <c r="F58" s="544"/>
      <c r="G58" s="544"/>
      <c r="H58" s="544"/>
    </row>
    <row r="59" spans="1:8">
      <c r="A59" s="545" t="s">
        <v>969</v>
      </c>
      <c r="B59" s="544"/>
      <c r="C59" s="544"/>
      <c r="D59" s="544"/>
      <c r="E59" s="544"/>
      <c r="F59" s="544"/>
      <c r="G59" s="544"/>
      <c r="H59" s="544"/>
    </row>
    <row r="60" spans="1:8">
      <c r="A60" s="544"/>
      <c r="B60" s="544"/>
      <c r="C60" s="544"/>
      <c r="D60" s="544"/>
      <c r="E60" s="544"/>
      <c r="F60" s="544"/>
      <c r="G60" s="544"/>
      <c r="H60" s="544"/>
    </row>
    <row r="61" spans="1:8" ht="15.75">
      <c r="A61" s="546" t="s">
        <v>720</v>
      </c>
      <c r="B61" s="544"/>
      <c r="C61" s="544"/>
      <c r="D61" s="544"/>
      <c r="E61" s="544"/>
      <c r="F61" s="544"/>
      <c r="G61" s="544"/>
      <c r="H61" s="544"/>
    </row>
    <row r="62" spans="1:8">
      <c r="A62" s="544"/>
      <c r="B62" s="544"/>
      <c r="C62" s="544"/>
      <c r="D62" s="544"/>
      <c r="E62" s="544"/>
      <c r="F62" s="544"/>
      <c r="G62" s="544"/>
      <c r="H62" s="544"/>
    </row>
    <row r="63" spans="1:8">
      <c r="A63" s="545" t="s">
        <v>965</v>
      </c>
      <c r="B63" s="544"/>
      <c r="C63" s="544"/>
      <c r="D63" s="544"/>
      <c r="E63" s="544"/>
      <c r="F63" s="544"/>
      <c r="G63" s="544"/>
      <c r="H63" s="544"/>
    </row>
    <row r="64" spans="1:8">
      <c r="A64" s="545" t="s">
        <v>966</v>
      </c>
      <c r="B64" s="544"/>
      <c r="C64" s="544"/>
      <c r="D64" s="544"/>
      <c r="E64" s="544"/>
      <c r="F64" s="544"/>
      <c r="G64" s="544"/>
      <c r="H64" s="544"/>
    </row>
    <row r="65" spans="1:8">
      <c r="A65" s="545" t="s">
        <v>967</v>
      </c>
      <c r="B65" s="544"/>
      <c r="C65" s="544"/>
      <c r="D65" s="544"/>
      <c r="E65" s="544"/>
      <c r="F65" s="544"/>
      <c r="G65" s="544"/>
      <c r="H65" s="544"/>
    </row>
    <row r="66" spans="1:8">
      <c r="A66" s="544"/>
      <c r="B66" s="544"/>
      <c r="C66" s="544"/>
      <c r="D66" s="544"/>
      <c r="E66" s="544"/>
      <c r="F66" s="544"/>
      <c r="G66" s="544"/>
      <c r="H66" s="544"/>
    </row>
    <row r="67" spans="1:8">
      <c r="A67" s="545" t="s">
        <v>721</v>
      </c>
      <c r="B67" s="544"/>
      <c r="C67" s="544"/>
      <c r="D67" s="544"/>
      <c r="E67" s="544"/>
      <c r="F67" s="544"/>
      <c r="G67" s="544"/>
      <c r="H67" s="544"/>
    </row>
    <row r="68" spans="1:8">
      <c r="A68" s="544"/>
      <c r="B68" s="544"/>
      <c r="C68" s="544"/>
      <c r="D68" s="544"/>
      <c r="E68" s="544"/>
      <c r="F68" s="544"/>
      <c r="G68" s="544"/>
      <c r="H68" s="544"/>
    </row>
    <row r="69" spans="1:8">
      <c r="A69" s="545" t="s">
        <v>960</v>
      </c>
      <c r="B69" s="544"/>
      <c r="C69" s="544"/>
      <c r="D69" s="544"/>
      <c r="E69" s="544"/>
      <c r="F69" s="544"/>
      <c r="G69" s="544"/>
      <c r="H69" s="544"/>
    </row>
    <row r="70" spans="1:8">
      <c r="A70" s="545" t="s">
        <v>961</v>
      </c>
      <c r="B70" s="544"/>
      <c r="C70" s="544"/>
      <c r="D70" s="544"/>
      <c r="E70" s="544"/>
      <c r="F70" s="544"/>
      <c r="G70" s="544"/>
      <c r="H70" s="544"/>
    </row>
    <row r="71" spans="1:8">
      <c r="A71" s="545" t="s">
        <v>962</v>
      </c>
      <c r="B71" s="544"/>
      <c r="C71" s="544"/>
      <c r="D71" s="544"/>
      <c r="E71" s="544"/>
      <c r="F71" s="544"/>
      <c r="G71" s="544"/>
      <c r="H71" s="544"/>
    </row>
    <row r="72" spans="1:8">
      <c r="A72" s="545" t="s">
        <v>963</v>
      </c>
      <c r="B72" s="544"/>
      <c r="C72" s="544"/>
      <c r="D72" s="544"/>
      <c r="E72" s="544"/>
      <c r="F72" s="544"/>
      <c r="G72" s="544"/>
      <c r="H72" s="544"/>
    </row>
    <row r="73" spans="1:8">
      <c r="A73" s="545" t="s">
        <v>964</v>
      </c>
      <c r="B73" s="544"/>
      <c r="C73" s="544"/>
      <c r="D73" s="544"/>
      <c r="E73" s="544"/>
      <c r="F73" s="544"/>
      <c r="G73" s="544"/>
      <c r="H73" s="544"/>
    </row>
    <row r="74" spans="1:8">
      <c r="A74" s="545" t="s">
        <v>847</v>
      </c>
      <c r="B74" s="544"/>
      <c r="C74" s="544"/>
      <c r="D74" s="544"/>
      <c r="E74" s="544"/>
      <c r="F74" s="544"/>
      <c r="G74" s="544"/>
      <c r="H74" s="544"/>
    </row>
    <row r="75" spans="1:8">
      <c r="A75" s="544"/>
      <c r="B75" s="544"/>
      <c r="C75" s="544"/>
      <c r="D75" s="544"/>
      <c r="E75" s="544"/>
      <c r="F75" s="544"/>
      <c r="G75" s="544"/>
      <c r="H75" s="544"/>
    </row>
    <row r="76" spans="1:8">
      <c r="A76" s="545" t="s">
        <v>953</v>
      </c>
      <c r="B76" s="544"/>
      <c r="C76" s="544"/>
      <c r="D76" s="544"/>
      <c r="E76" s="544"/>
      <c r="F76" s="544"/>
      <c r="G76" s="544"/>
      <c r="H76" s="544"/>
    </row>
    <row r="77" spans="1:8">
      <c r="A77" s="545" t="s">
        <v>954</v>
      </c>
      <c r="B77" s="544"/>
      <c r="C77" s="544"/>
      <c r="D77" s="544"/>
      <c r="E77" s="544"/>
      <c r="F77" s="544"/>
      <c r="G77" s="544"/>
      <c r="H77" s="544"/>
    </row>
    <row r="78" spans="1:8">
      <c r="A78" s="545" t="s">
        <v>955</v>
      </c>
      <c r="B78" s="544"/>
      <c r="C78" s="544"/>
      <c r="D78" s="544"/>
      <c r="E78" s="544"/>
      <c r="F78" s="544"/>
      <c r="G78" s="544"/>
      <c r="H78" s="544"/>
    </row>
    <row r="79" spans="1:8">
      <c r="A79" s="545" t="s">
        <v>956</v>
      </c>
      <c r="B79" s="544"/>
      <c r="C79" s="544"/>
      <c r="D79" s="544"/>
      <c r="E79" s="544"/>
      <c r="F79" s="544"/>
      <c r="G79" s="544"/>
      <c r="H79" s="544"/>
    </row>
    <row r="80" spans="1:8">
      <c r="A80" s="545" t="s">
        <v>957</v>
      </c>
      <c r="B80" s="544"/>
      <c r="C80" s="544"/>
      <c r="D80" s="544"/>
      <c r="E80" s="544"/>
      <c r="F80" s="544"/>
      <c r="G80" s="544"/>
      <c r="H80" s="544"/>
    </row>
    <row r="81" spans="1:8">
      <c r="A81" s="545" t="s">
        <v>958</v>
      </c>
      <c r="B81" s="544"/>
      <c r="C81" s="544"/>
      <c r="D81" s="544"/>
      <c r="E81" s="544"/>
      <c r="F81" s="544"/>
      <c r="G81" s="544"/>
      <c r="H81" s="544"/>
    </row>
    <row r="82" spans="1:8">
      <c r="A82" s="545" t="s">
        <v>959</v>
      </c>
      <c r="B82" s="544"/>
      <c r="C82" s="544"/>
      <c r="D82" s="544"/>
      <c r="E82" s="544"/>
      <c r="F82" s="544"/>
      <c r="G82" s="544"/>
      <c r="H82" s="544"/>
    </row>
    <row r="83" spans="1:8">
      <c r="A83" s="544"/>
      <c r="B83" s="544"/>
      <c r="C83" s="544"/>
      <c r="D83" s="544"/>
      <c r="E83" s="544"/>
      <c r="F83" s="544"/>
      <c r="G83" s="544"/>
      <c r="H83" s="544"/>
    </row>
    <row r="84" spans="1:8">
      <c r="A84" s="545" t="s">
        <v>951</v>
      </c>
      <c r="B84" s="544"/>
      <c r="C84" s="544"/>
      <c r="D84" s="544"/>
      <c r="E84" s="544"/>
      <c r="F84" s="544"/>
      <c r="G84" s="544"/>
      <c r="H84" s="544"/>
    </row>
    <row r="85" spans="1:8">
      <c r="A85" s="545" t="s">
        <v>952</v>
      </c>
      <c r="B85" s="544"/>
      <c r="C85" s="544"/>
      <c r="D85" s="544"/>
      <c r="E85" s="544"/>
      <c r="F85" s="544"/>
      <c r="G85" s="544"/>
      <c r="H85" s="544"/>
    </row>
    <row r="86" spans="1:8">
      <c r="A86" s="544"/>
      <c r="B86" s="544"/>
      <c r="C86" s="544"/>
      <c r="D86" s="544"/>
      <c r="E86" s="544"/>
      <c r="F86" s="544"/>
      <c r="G86" s="544"/>
      <c r="H86" s="544"/>
    </row>
    <row r="87" spans="1:8" ht="15.75">
      <c r="A87" s="546" t="s">
        <v>722</v>
      </c>
      <c r="B87" s="544"/>
      <c r="C87" s="544"/>
      <c r="D87" s="544"/>
      <c r="E87" s="544"/>
      <c r="F87" s="544"/>
      <c r="G87" s="544"/>
      <c r="H87" s="544"/>
    </row>
    <row r="88" spans="1:8">
      <c r="A88" s="544"/>
      <c r="B88" s="544"/>
      <c r="C88" s="544"/>
      <c r="D88" s="544"/>
      <c r="E88" s="544"/>
      <c r="F88" s="544"/>
      <c r="G88" s="544"/>
      <c r="H88" s="544"/>
    </row>
    <row r="89" spans="1:8">
      <c r="A89" s="545" t="s">
        <v>942</v>
      </c>
      <c r="B89" s="544"/>
      <c r="C89" s="544"/>
      <c r="D89" s="544"/>
      <c r="E89" s="544"/>
      <c r="F89" s="544"/>
      <c r="G89" s="544"/>
      <c r="H89" s="544"/>
    </row>
    <row r="90" spans="1:8">
      <c r="A90" s="545" t="s">
        <v>943</v>
      </c>
      <c r="B90" s="544"/>
      <c r="C90" s="544"/>
      <c r="D90" s="544"/>
      <c r="E90" s="544"/>
      <c r="F90" s="544"/>
      <c r="G90" s="544"/>
      <c r="H90" s="544"/>
    </row>
    <row r="91" spans="1:8">
      <c r="A91" s="545" t="s">
        <v>944</v>
      </c>
      <c r="B91" s="544"/>
      <c r="C91" s="544"/>
      <c r="D91" s="544"/>
      <c r="E91" s="544"/>
      <c r="F91" s="544"/>
      <c r="G91" s="544"/>
      <c r="H91" s="544"/>
    </row>
    <row r="92" spans="1:8">
      <c r="A92" s="545" t="s">
        <v>945</v>
      </c>
      <c r="B92" s="544"/>
      <c r="C92" s="544"/>
      <c r="D92" s="544"/>
      <c r="E92" s="544"/>
      <c r="F92" s="544"/>
      <c r="G92" s="544"/>
      <c r="H92" s="544"/>
    </row>
    <row r="93" spans="1:8">
      <c r="A93" s="545" t="s">
        <v>946</v>
      </c>
      <c r="B93" s="544"/>
      <c r="C93" s="544"/>
      <c r="D93" s="544"/>
      <c r="E93" s="544"/>
      <c r="F93" s="544"/>
      <c r="G93" s="544"/>
      <c r="H93" s="544"/>
    </row>
    <row r="94" spans="1:8">
      <c r="A94" s="545" t="s">
        <v>947</v>
      </c>
      <c r="B94" s="544"/>
      <c r="C94" s="544"/>
      <c r="D94" s="544"/>
      <c r="E94" s="544"/>
      <c r="F94" s="544"/>
      <c r="G94" s="544"/>
      <c r="H94" s="544"/>
    </row>
    <row r="95" spans="1:8">
      <c r="A95" s="545" t="s">
        <v>948</v>
      </c>
      <c r="B95" s="544"/>
      <c r="C95" s="544"/>
      <c r="D95" s="544"/>
      <c r="E95" s="544"/>
      <c r="F95" s="544"/>
      <c r="G95" s="544"/>
      <c r="H95" s="544"/>
    </row>
    <row r="96" spans="1:8">
      <c r="A96" s="545" t="s">
        <v>949</v>
      </c>
      <c r="B96" s="544"/>
      <c r="C96" s="544"/>
      <c r="D96" s="544"/>
      <c r="E96" s="544"/>
      <c r="F96" s="544"/>
      <c r="G96" s="544"/>
      <c r="H96" s="544"/>
    </row>
    <row r="97" spans="1:8">
      <c r="A97" s="545" t="s">
        <v>950</v>
      </c>
      <c r="B97" s="544"/>
      <c r="C97" s="544"/>
      <c r="D97" s="544"/>
      <c r="E97" s="544"/>
      <c r="F97" s="544"/>
      <c r="G97" s="544"/>
      <c r="H97" s="544"/>
    </row>
    <row r="98" spans="1:8">
      <c r="A98" s="544"/>
      <c r="B98" s="544"/>
      <c r="C98" s="544"/>
      <c r="D98" s="544"/>
      <c r="E98" s="544"/>
      <c r="F98" s="544"/>
      <c r="G98" s="544"/>
      <c r="H98" s="544"/>
    </row>
    <row r="99" spans="1:8" ht="15.75">
      <c r="A99" s="565" t="s">
        <v>723</v>
      </c>
      <c r="B99" s="565"/>
      <c r="C99" s="565"/>
      <c r="D99" s="565"/>
      <c r="E99" s="565"/>
      <c r="F99" s="565"/>
      <c r="G99" s="565"/>
      <c r="H99" s="565"/>
    </row>
    <row r="100" spans="1:8">
      <c r="A100" s="561" t="s">
        <v>724</v>
      </c>
      <c r="B100" s="561"/>
      <c r="C100" s="561"/>
      <c r="D100" s="561"/>
      <c r="E100" s="561"/>
      <c r="F100" s="561"/>
      <c r="G100" s="561"/>
      <c r="H100" s="561"/>
    </row>
    <row r="101" spans="1:8">
      <c r="A101" s="566"/>
      <c r="B101" s="566"/>
      <c r="C101" s="566"/>
      <c r="D101" s="566"/>
      <c r="E101" s="566"/>
      <c r="F101" s="566"/>
      <c r="G101" s="566"/>
      <c r="H101" s="566"/>
    </row>
    <row r="102" spans="1:8">
      <c r="A102" s="561" t="s">
        <v>940</v>
      </c>
      <c r="B102" s="561"/>
      <c r="C102" s="561"/>
      <c r="D102" s="561"/>
      <c r="E102" s="561"/>
      <c r="F102" s="561"/>
      <c r="G102" s="561"/>
      <c r="H102" s="561"/>
    </row>
    <row r="103" spans="1:8">
      <c r="A103" s="545" t="s">
        <v>941</v>
      </c>
      <c r="B103" s="545"/>
      <c r="C103" s="545"/>
      <c r="D103" s="545"/>
      <c r="E103" s="545"/>
      <c r="F103" s="545"/>
      <c r="G103" s="545"/>
      <c r="H103" s="545"/>
    </row>
    <row r="104" spans="1:8">
      <c r="A104" s="566"/>
      <c r="B104" s="566"/>
      <c r="C104" s="566"/>
      <c r="D104" s="566"/>
      <c r="E104" s="566"/>
      <c r="F104" s="566"/>
      <c r="G104" s="566"/>
      <c r="H104" s="566"/>
    </row>
    <row r="105" spans="1:8">
      <c r="A105" s="561" t="s">
        <v>933</v>
      </c>
      <c r="B105" s="561"/>
      <c r="C105" s="561"/>
      <c r="D105" s="561"/>
      <c r="E105" s="561"/>
      <c r="F105" s="561"/>
      <c r="G105" s="561"/>
      <c r="H105" s="561"/>
    </row>
    <row r="106" spans="1:8">
      <c r="A106" s="545" t="s">
        <v>934</v>
      </c>
      <c r="B106" s="545"/>
      <c r="C106" s="545"/>
      <c r="D106" s="545"/>
      <c r="E106" s="545"/>
      <c r="F106" s="545"/>
      <c r="G106" s="545"/>
      <c r="H106" s="545"/>
    </row>
    <row r="107" spans="1:8">
      <c r="A107" s="545" t="s">
        <v>935</v>
      </c>
      <c r="B107" s="545"/>
      <c r="C107" s="545"/>
      <c r="D107" s="545"/>
      <c r="E107" s="545"/>
      <c r="F107" s="545"/>
      <c r="G107" s="545"/>
      <c r="H107" s="545"/>
    </row>
    <row r="108" spans="1:8">
      <c r="A108" s="545" t="s">
        <v>936</v>
      </c>
      <c r="B108" s="545"/>
      <c r="C108" s="545"/>
      <c r="D108" s="545"/>
      <c r="E108" s="545"/>
      <c r="F108" s="545"/>
      <c r="G108" s="545"/>
      <c r="H108" s="545"/>
    </row>
    <row r="109" spans="1:8">
      <c r="A109" s="545" t="s">
        <v>937</v>
      </c>
      <c r="B109" s="545"/>
      <c r="C109" s="545"/>
      <c r="D109" s="545"/>
      <c r="E109" s="545"/>
      <c r="F109" s="545"/>
      <c r="G109" s="545"/>
      <c r="H109" s="545"/>
    </row>
    <row r="110" spans="1:8">
      <c r="A110" s="545" t="s">
        <v>938</v>
      </c>
      <c r="B110" s="545"/>
      <c r="C110" s="545"/>
      <c r="D110" s="545"/>
      <c r="E110" s="545"/>
      <c r="F110" s="545"/>
      <c r="G110" s="545"/>
      <c r="H110" s="545"/>
    </row>
    <row r="111" spans="1:8">
      <c r="A111" s="545" t="s">
        <v>939</v>
      </c>
      <c r="B111" s="545"/>
      <c r="C111" s="545"/>
      <c r="D111" s="545"/>
      <c r="E111" s="545"/>
      <c r="F111" s="545"/>
      <c r="G111" s="545"/>
      <c r="H111" s="545"/>
    </row>
    <row r="112" spans="1:8">
      <c r="A112" s="567"/>
      <c r="B112" s="567"/>
      <c r="C112" s="567"/>
      <c r="D112" s="567"/>
      <c r="E112" s="567"/>
      <c r="F112" s="567"/>
      <c r="G112" s="567"/>
      <c r="H112" s="567"/>
    </row>
    <row r="113" spans="1:8">
      <c r="A113" s="547"/>
      <c r="B113" s="562" t="s">
        <v>725</v>
      </c>
      <c r="C113" s="563"/>
      <c r="D113" s="562" t="s">
        <v>726</v>
      </c>
      <c r="E113" s="564"/>
      <c r="F113" s="563"/>
      <c r="G113" s="562" t="s">
        <v>727</v>
      </c>
      <c r="H113" s="563"/>
    </row>
    <row r="114" spans="1:8">
      <c r="A114" s="547" t="s">
        <v>728</v>
      </c>
      <c r="B114" s="547" t="s">
        <v>121</v>
      </c>
      <c r="C114" s="547" t="s">
        <v>729</v>
      </c>
      <c r="D114" s="547" t="s">
        <v>121</v>
      </c>
      <c r="E114" s="547" t="s">
        <v>730</v>
      </c>
      <c r="F114" s="547" t="s">
        <v>731</v>
      </c>
      <c r="G114" s="547" t="s">
        <v>121</v>
      </c>
      <c r="H114" s="547" t="s">
        <v>732</v>
      </c>
    </row>
    <row r="115" spans="1:8">
      <c r="A115" s="547" t="s">
        <v>733</v>
      </c>
      <c r="B115" s="547">
        <v>1189</v>
      </c>
      <c r="C115" s="548">
        <v>0.38</v>
      </c>
      <c r="D115" s="547">
        <v>315</v>
      </c>
      <c r="E115" s="548">
        <v>0.41</v>
      </c>
      <c r="F115" s="548">
        <v>0.26</v>
      </c>
      <c r="G115" s="547">
        <v>555</v>
      </c>
      <c r="H115" s="548">
        <v>0.39</v>
      </c>
    </row>
    <row r="116" spans="1:8">
      <c r="A116" s="547" t="s">
        <v>734</v>
      </c>
      <c r="B116" s="547">
        <v>1355</v>
      </c>
      <c r="C116" s="548">
        <v>0.43</v>
      </c>
      <c r="D116" s="547">
        <v>364</v>
      </c>
      <c r="E116" s="548">
        <v>0.47</v>
      </c>
      <c r="F116" s="548">
        <v>0.27</v>
      </c>
      <c r="G116" s="547">
        <v>644</v>
      </c>
      <c r="H116" s="548">
        <v>0.45</v>
      </c>
    </row>
    <row r="117" spans="1:8">
      <c r="A117" s="547" t="s">
        <v>735</v>
      </c>
      <c r="B117" s="547">
        <v>53</v>
      </c>
      <c r="C117" s="548">
        <v>0.02</v>
      </c>
      <c r="D117" s="547">
        <v>4</v>
      </c>
      <c r="E117" s="548">
        <v>0.01</v>
      </c>
      <c r="F117" s="548">
        <v>0.08</v>
      </c>
      <c r="G117" s="547">
        <v>7</v>
      </c>
      <c r="H117" s="548">
        <v>0</v>
      </c>
    </row>
    <row r="118" spans="1:8">
      <c r="A118" s="547" t="s">
        <v>736</v>
      </c>
      <c r="B118" s="547">
        <v>545</v>
      </c>
      <c r="C118" s="548">
        <v>0.17</v>
      </c>
      <c r="D118" s="547">
        <v>84</v>
      </c>
      <c r="E118" s="548">
        <v>0.11</v>
      </c>
      <c r="F118" s="548">
        <v>0.15</v>
      </c>
      <c r="G118" s="547">
        <v>214</v>
      </c>
      <c r="H118" s="548">
        <v>0.15</v>
      </c>
    </row>
    <row r="119" spans="1:8">
      <c r="A119" s="547" t="s">
        <v>380</v>
      </c>
      <c r="B119" s="549">
        <v>3142</v>
      </c>
      <c r="C119" s="547"/>
      <c r="D119" s="547">
        <v>767</v>
      </c>
      <c r="E119" s="547"/>
      <c r="F119" s="547"/>
      <c r="G119" s="547">
        <v>1420</v>
      </c>
      <c r="H119" s="547"/>
    </row>
    <row r="120" spans="1:8">
      <c r="A120" s="560"/>
      <c r="B120" s="560"/>
      <c r="C120" s="560"/>
      <c r="D120" s="560"/>
      <c r="E120" s="560"/>
      <c r="F120" s="560"/>
      <c r="G120" s="560"/>
      <c r="H120" s="560"/>
    </row>
    <row r="121" spans="1:8">
      <c r="A121" s="561" t="s">
        <v>929</v>
      </c>
      <c r="B121" s="561"/>
      <c r="C121" s="561"/>
      <c r="D121" s="561"/>
      <c r="E121" s="561"/>
      <c r="F121" s="561"/>
      <c r="G121" s="561"/>
      <c r="H121" s="561"/>
    </row>
    <row r="122" spans="1:8">
      <c r="A122" s="545" t="s">
        <v>930</v>
      </c>
      <c r="B122" s="545"/>
      <c r="C122" s="545"/>
      <c r="D122" s="545"/>
      <c r="E122" s="545"/>
      <c r="F122" s="545"/>
      <c r="G122" s="545"/>
      <c r="H122" s="545"/>
    </row>
    <row r="123" spans="1:8">
      <c r="A123" s="545" t="s">
        <v>931</v>
      </c>
      <c r="B123" s="545"/>
      <c r="C123" s="545"/>
      <c r="D123" s="545"/>
      <c r="E123" s="545"/>
      <c r="F123" s="545"/>
      <c r="G123" s="545"/>
      <c r="H123" s="545"/>
    </row>
    <row r="124" spans="1:8">
      <c r="A124" s="545" t="s">
        <v>932</v>
      </c>
      <c r="B124" s="545"/>
      <c r="C124" s="545"/>
      <c r="D124" s="545"/>
      <c r="E124" s="545"/>
      <c r="F124" s="545"/>
      <c r="G124" s="545"/>
      <c r="H124" s="545"/>
    </row>
    <row r="125" spans="1:8">
      <c r="A125" s="544"/>
      <c r="B125" s="544"/>
      <c r="C125" s="544"/>
      <c r="D125" s="544"/>
      <c r="E125" s="544"/>
      <c r="F125" s="544"/>
      <c r="G125" s="544"/>
      <c r="H125" s="544"/>
    </row>
    <row r="126" spans="1:8" ht="15.75">
      <c r="A126" s="546" t="s">
        <v>737</v>
      </c>
      <c r="B126" s="544"/>
      <c r="C126" s="544"/>
      <c r="D126" s="544"/>
      <c r="E126" s="544"/>
      <c r="F126" s="544"/>
      <c r="G126" s="544"/>
      <c r="H126" s="544"/>
    </row>
    <row r="127" spans="1:8">
      <c r="A127" s="544"/>
      <c r="B127" s="544"/>
      <c r="C127" s="544"/>
      <c r="D127" s="544"/>
      <c r="E127" s="544"/>
      <c r="F127" s="544"/>
      <c r="G127" s="544"/>
      <c r="H127" s="544"/>
    </row>
    <row r="128" spans="1:8">
      <c r="A128" s="545" t="s">
        <v>927</v>
      </c>
      <c r="B128" s="544"/>
      <c r="C128" s="544"/>
      <c r="D128" s="544"/>
      <c r="E128" s="544"/>
      <c r="F128" s="544"/>
      <c r="G128" s="544"/>
      <c r="H128" s="544"/>
    </row>
    <row r="129" spans="1:8">
      <c r="A129" s="545" t="s">
        <v>928</v>
      </c>
      <c r="B129" s="544"/>
      <c r="C129" s="544"/>
      <c r="D129" s="544"/>
      <c r="E129" s="544"/>
      <c r="F129" s="544"/>
      <c r="G129" s="544"/>
      <c r="H129" s="544"/>
    </row>
    <row r="130" spans="1:8">
      <c r="A130" s="544"/>
      <c r="B130" s="544"/>
      <c r="C130" s="544"/>
      <c r="D130" s="544"/>
      <c r="E130" s="544"/>
      <c r="F130" s="544"/>
      <c r="G130" s="544"/>
      <c r="H130" s="544"/>
    </row>
    <row r="131" spans="1:8">
      <c r="A131" s="545" t="s">
        <v>924</v>
      </c>
      <c r="B131" s="544"/>
      <c r="C131" s="544"/>
      <c r="D131" s="544"/>
      <c r="E131" s="544"/>
      <c r="F131" s="544"/>
      <c r="G131" s="544"/>
      <c r="H131" s="544"/>
    </row>
    <row r="132" spans="1:8">
      <c r="A132" s="545" t="s">
        <v>925</v>
      </c>
      <c r="B132" s="544"/>
      <c r="C132" s="544"/>
      <c r="D132" s="544"/>
      <c r="E132" s="544"/>
      <c r="F132" s="544"/>
      <c r="G132" s="544"/>
      <c r="H132" s="544"/>
    </row>
    <row r="133" spans="1:8">
      <c r="A133" s="545" t="s">
        <v>926</v>
      </c>
      <c r="B133" s="544"/>
      <c r="C133" s="544"/>
      <c r="D133" s="544"/>
      <c r="E133" s="544"/>
      <c r="F133" s="544"/>
      <c r="G133" s="544"/>
      <c r="H133" s="544"/>
    </row>
    <row r="134" spans="1:8">
      <c r="A134" s="544"/>
      <c r="B134" s="544"/>
      <c r="C134" s="544"/>
      <c r="D134" s="544"/>
      <c r="E134" s="544"/>
      <c r="F134" s="544"/>
      <c r="G134" s="544"/>
      <c r="H134" s="544"/>
    </row>
    <row r="135" spans="1:8">
      <c r="A135" s="545" t="s">
        <v>921</v>
      </c>
      <c r="B135" s="544"/>
      <c r="C135" s="544"/>
      <c r="D135" s="544"/>
      <c r="E135" s="544"/>
      <c r="F135" s="544"/>
      <c r="G135" s="544"/>
      <c r="H135" s="544"/>
    </row>
    <row r="136" spans="1:8">
      <c r="A136" s="545" t="s">
        <v>922</v>
      </c>
      <c r="B136" s="544"/>
      <c r="C136" s="544"/>
      <c r="D136" s="544"/>
      <c r="E136" s="544"/>
      <c r="F136" s="544"/>
      <c r="G136" s="544"/>
      <c r="H136" s="544"/>
    </row>
    <row r="137" spans="1:8">
      <c r="A137" s="545" t="s">
        <v>923</v>
      </c>
      <c r="B137" s="544"/>
      <c r="C137" s="544"/>
      <c r="D137" s="544"/>
      <c r="E137" s="544"/>
      <c r="F137" s="544"/>
      <c r="G137" s="544"/>
      <c r="H137" s="544"/>
    </row>
    <row r="138" spans="1:8">
      <c r="A138" s="544"/>
      <c r="B138" s="544"/>
      <c r="C138" s="544"/>
      <c r="D138" s="544"/>
      <c r="E138" s="544"/>
      <c r="F138" s="544"/>
      <c r="G138" s="544"/>
      <c r="H138" s="544"/>
    </row>
    <row r="139" spans="1:8">
      <c r="A139" s="545" t="s">
        <v>918</v>
      </c>
      <c r="B139" s="544"/>
      <c r="C139" s="544"/>
      <c r="D139" s="544"/>
      <c r="E139" s="544"/>
      <c r="F139" s="544"/>
      <c r="G139" s="544"/>
      <c r="H139" s="544"/>
    </row>
    <row r="140" spans="1:8">
      <c r="A140" s="545" t="s">
        <v>919</v>
      </c>
      <c r="B140" s="544"/>
      <c r="C140" s="544"/>
      <c r="D140" s="544"/>
      <c r="E140" s="544"/>
      <c r="F140" s="544"/>
      <c r="G140" s="544"/>
      <c r="H140" s="544"/>
    </row>
    <row r="141" spans="1:8">
      <c r="A141" s="545" t="s">
        <v>920</v>
      </c>
      <c r="B141" s="544"/>
      <c r="C141" s="544"/>
      <c r="D141" s="544"/>
      <c r="E141" s="544"/>
      <c r="F141" s="544"/>
      <c r="G141" s="544"/>
      <c r="H141" s="544"/>
    </row>
    <row r="142" spans="1:8">
      <c r="A142" s="544"/>
      <c r="B142" s="544"/>
      <c r="C142" s="544"/>
      <c r="D142" s="544"/>
      <c r="E142" s="544"/>
      <c r="F142" s="544"/>
      <c r="G142" s="544"/>
      <c r="H142" s="544"/>
    </row>
    <row r="143" spans="1:8">
      <c r="A143" s="545" t="s">
        <v>916</v>
      </c>
      <c r="B143" s="544"/>
      <c r="C143" s="544"/>
      <c r="D143" s="544"/>
      <c r="E143" s="544"/>
      <c r="F143" s="544"/>
      <c r="G143" s="544"/>
      <c r="H143" s="544"/>
    </row>
    <row r="144" spans="1:8">
      <c r="A144" s="545" t="s">
        <v>917</v>
      </c>
      <c r="B144" s="544"/>
      <c r="C144" s="544"/>
      <c r="D144" s="544"/>
      <c r="E144" s="544"/>
      <c r="F144" s="544"/>
      <c r="G144" s="544"/>
      <c r="H144" s="544"/>
    </row>
    <row r="145" spans="1:8">
      <c r="A145" s="544"/>
      <c r="B145" s="544"/>
      <c r="C145" s="544"/>
      <c r="D145" s="544"/>
      <c r="E145" s="544"/>
      <c r="F145" s="544"/>
      <c r="G145" s="544"/>
      <c r="H145" s="544"/>
    </row>
    <row r="146" spans="1:8" ht="15.75">
      <c r="A146" s="546" t="s">
        <v>738</v>
      </c>
      <c r="B146" s="544"/>
      <c r="C146" s="544"/>
      <c r="D146" s="544"/>
      <c r="E146" s="544"/>
      <c r="F146" s="544"/>
      <c r="G146" s="544"/>
      <c r="H146" s="544"/>
    </row>
    <row r="147" spans="1:8">
      <c r="A147" s="544"/>
      <c r="B147" s="544"/>
      <c r="C147" s="544"/>
      <c r="D147" s="544"/>
      <c r="E147" s="544"/>
      <c r="F147" s="544"/>
      <c r="G147" s="544"/>
      <c r="H147" s="544"/>
    </row>
    <row r="148" spans="1:8">
      <c r="A148" s="545" t="s">
        <v>914</v>
      </c>
      <c r="B148" s="544"/>
      <c r="C148" s="544"/>
      <c r="D148" s="544"/>
      <c r="E148" s="544"/>
      <c r="F148" s="544"/>
      <c r="G148" s="544"/>
      <c r="H148" s="544"/>
    </row>
    <row r="149" spans="1:8">
      <c r="A149" s="545" t="s">
        <v>915</v>
      </c>
      <c r="B149" s="544"/>
      <c r="C149" s="544"/>
      <c r="D149" s="544"/>
      <c r="E149" s="544"/>
      <c r="F149" s="544"/>
      <c r="G149" s="544"/>
      <c r="H149" s="544"/>
    </row>
    <row r="150" spans="1:8">
      <c r="A150" s="544"/>
      <c r="B150" s="544"/>
      <c r="C150" s="544"/>
      <c r="D150" s="544"/>
      <c r="E150" s="544"/>
      <c r="F150" s="544"/>
      <c r="G150" s="544"/>
      <c r="H150" s="544"/>
    </row>
    <row r="151" spans="1:8">
      <c r="A151" s="545" t="s">
        <v>912</v>
      </c>
      <c r="B151" s="544"/>
      <c r="C151" s="544"/>
      <c r="D151" s="544"/>
      <c r="E151" s="544"/>
      <c r="F151" s="544"/>
      <c r="G151" s="544"/>
      <c r="H151" s="544"/>
    </row>
    <row r="152" spans="1:8">
      <c r="A152" s="545" t="s">
        <v>913</v>
      </c>
      <c r="B152" s="544"/>
      <c r="C152" s="544"/>
      <c r="D152" s="544"/>
      <c r="E152" s="544"/>
      <c r="F152" s="544"/>
      <c r="G152" s="544"/>
      <c r="H152" s="544"/>
    </row>
    <row r="153" spans="1:8">
      <c r="A153" s="544"/>
      <c r="B153" s="544"/>
      <c r="C153" s="544"/>
      <c r="D153" s="544"/>
      <c r="E153" s="544"/>
      <c r="F153" s="544"/>
      <c r="G153" s="544"/>
      <c r="H153" s="544"/>
    </row>
    <row r="154" spans="1:8">
      <c r="A154" s="545" t="s">
        <v>910</v>
      </c>
      <c r="B154" s="544"/>
      <c r="C154" s="544"/>
      <c r="D154" s="544"/>
      <c r="E154" s="544"/>
      <c r="F154" s="544"/>
      <c r="G154" s="544"/>
      <c r="H154" s="544"/>
    </row>
    <row r="155" spans="1:8">
      <c r="A155" s="545" t="s">
        <v>911</v>
      </c>
      <c r="B155" s="544"/>
      <c r="C155" s="544"/>
      <c r="D155" s="544"/>
      <c r="E155" s="544"/>
      <c r="F155" s="544"/>
      <c r="G155" s="544"/>
      <c r="H155" s="544"/>
    </row>
    <row r="156" spans="1:8">
      <c r="A156" s="544"/>
      <c r="B156" s="544"/>
      <c r="C156" s="544"/>
      <c r="D156" s="544"/>
      <c r="E156" s="544"/>
      <c r="F156" s="544"/>
      <c r="G156" s="544"/>
      <c r="H156" s="544"/>
    </row>
    <row r="157" spans="1:8">
      <c r="A157" s="545" t="s">
        <v>907</v>
      </c>
      <c r="B157" s="544"/>
      <c r="C157" s="544"/>
      <c r="D157" s="544"/>
      <c r="E157" s="544"/>
      <c r="F157" s="544"/>
      <c r="G157" s="544"/>
      <c r="H157" s="544"/>
    </row>
    <row r="158" spans="1:8">
      <c r="A158" s="545" t="s">
        <v>908</v>
      </c>
      <c r="B158" s="544"/>
      <c r="C158" s="544"/>
      <c r="D158" s="544"/>
      <c r="E158" s="544"/>
      <c r="F158" s="544"/>
      <c r="G158" s="544"/>
      <c r="H158" s="544"/>
    </row>
    <row r="159" spans="1:8">
      <c r="A159" s="545" t="s">
        <v>909</v>
      </c>
      <c r="B159" s="544"/>
      <c r="C159" s="544"/>
      <c r="D159" s="544"/>
      <c r="E159" s="544"/>
      <c r="F159" s="544"/>
      <c r="G159" s="544"/>
      <c r="H159" s="544"/>
    </row>
    <row r="160" spans="1:8">
      <c r="A160" s="544"/>
      <c r="B160" s="544"/>
      <c r="C160" s="544"/>
      <c r="D160" s="544"/>
      <c r="E160" s="544"/>
      <c r="F160" s="544"/>
      <c r="G160" s="544"/>
      <c r="H160" s="544"/>
    </row>
    <row r="161" spans="1:8">
      <c r="A161" s="544"/>
      <c r="B161" s="544"/>
      <c r="C161" s="544"/>
      <c r="D161" s="544"/>
      <c r="E161" s="544"/>
      <c r="F161" s="544"/>
      <c r="G161" s="544"/>
      <c r="H161" s="544"/>
    </row>
    <row r="162" spans="1:8">
      <c r="A162" s="545" t="s">
        <v>739</v>
      </c>
      <c r="B162" s="544"/>
      <c r="C162" s="544"/>
      <c r="D162" s="544"/>
      <c r="E162" s="544"/>
      <c r="F162" s="544"/>
      <c r="G162" s="544"/>
      <c r="H162" s="544"/>
    </row>
    <row r="163" spans="1:8">
      <c r="A163" s="544"/>
      <c r="B163" s="544"/>
      <c r="C163" s="544"/>
      <c r="D163" s="544"/>
      <c r="E163" s="544"/>
      <c r="F163" s="544"/>
      <c r="G163" s="544"/>
      <c r="H163" s="544"/>
    </row>
    <row r="164" spans="1:8" ht="15.75">
      <c r="A164" s="546" t="s">
        <v>740</v>
      </c>
      <c r="B164" s="544"/>
      <c r="C164" s="544"/>
      <c r="D164" s="544"/>
      <c r="E164" s="544"/>
      <c r="F164" s="544"/>
      <c r="G164" s="544"/>
      <c r="H164" s="544"/>
    </row>
    <row r="165" spans="1:8">
      <c r="A165" s="544"/>
      <c r="B165" s="544"/>
      <c r="C165" s="544"/>
      <c r="D165" s="544"/>
      <c r="E165" s="544"/>
      <c r="F165" s="544"/>
      <c r="G165" s="544"/>
      <c r="H165" s="544"/>
    </row>
    <row r="166" spans="1:8">
      <c r="A166" s="544"/>
      <c r="B166" s="544"/>
      <c r="C166" s="544"/>
      <c r="D166" s="544"/>
      <c r="E166" s="544"/>
      <c r="F166" s="544"/>
      <c r="G166" s="544"/>
      <c r="H166" s="544"/>
    </row>
    <row r="167" spans="1:8">
      <c r="A167" s="544"/>
      <c r="B167" s="544"/>
      <c r="C167" s="544"/>
      <c r="D167" s="544"/>
      <c r="E167" s="544"/>
      <c r="F167" s="544"/>
      <c r="G167" s="544"/>
      <c r="H167" s="544"/>
    </row>
    <row r="168" spans="1:8">
      <c r="A168" s="544"/>
      <c r="B168" s="544"/>
      <c r="C168" s="544"/>
      <c r="D168" s="544"/>
      <c r="E168" s="544"/>
      <c r="F168" s="544"/>
      <c r="G168" s="544"/>
      <c r="H168" s="544"/>
    </row>
    <row r="169" spans="1:8">
      <c r="A169" s="544"/>
      <c r="B169" s="544"/>
      <c r="C169" s="544"/>
      <c r="D169" s="544"/>
      <c r="E169" s="544"/>
      <c r="F169" s="544"/>
      <c r="G169" s="544"/>
      <c r="H169" s="544"/>
    </row>
    <row r="170" spans="1:8">
      <c r="A170" s="544"/>
      <c r="B170" s="544"/>
      <c r="C170" s="544"/>
      <c r="D170" s="544"/>
      <c r="E170" s="544"/>
      <c r="F170" s="544"/>
      <c r="G170" s="544"/>
      <c r="H170" s="544"/>
    </row>
    <row r="171" spans="1:8">
      <c r="A171" s="544"/>
      <c r="B171" s="544"/>
      <c r="C171" s="544"/>
      <c r="D171" s="544"/>
      <c r="E171" s="544"/>
      <c r="F171" s="544"/>
      <c r="G171" s="544"/>
      <c r="H171" s="544"/>
    </row>
    <row r="172" spans="1:8">
      <c r="A172" s="544"/>
      <c r="B172" s="544"/>
      <c r="C172" s="544"/>
      <c r="D172" s="544"/>
      <c r="E172" s="544"/>
      <c r="F172" s="544"/>
      <c r="G172" s="544"/>
      <c r="H172" s="544"/>
    </row>
    <row r="173" spans="1:8">
      <c r="A173" s="544"/>
      <c r="B173" s="544"/>
      <c r="C173" s="544"/>
      <c r="D173" s="544"/>
      <c r="E173" s="544"/>
      <c r="F173" s="544"/>
      <c r="G173" s="544"/>
      <c r="H173" s="544"/>
    </row>
    <row r="174" spans="1:8">
      <c r="A174" s="544"/>
      <c r="B174" s="544"/>
      <c r="C174" s="544"/>
      <c r="D174" s="544"/>
      <c r="E174" s="544"/>
      <c r="F174" s="544"/>
      <c r="G174" s="544"/>
      <c r="H174" s="544"/>
    </row>
    <row r="175" spans="1:8">
      <c r="A175" s="544"/>
      <c r="B175" s="544"/>
      <c r="C175" s="544"/>
      <c r="D175" s="544"/>
      <c r="E175" s="544"/>
      <c r="F175" s="544"/>
      <c r="G175" s="544"/>
      <c r="H175" s="544"/>
    </row>
    <row r="176" spans="1:8">
      <c r="A176" s="544"/>
      <c r="B176" s="544"/>
      <c r="C176" s="544"/>
      <c r="D176" s="544"/>
      <c r="E176" s="544"/>
      <c r="F176" s="544"/>
      <c r="G176" s="544"/>
      <c r="H176" s="544"/>
    </row>
    <row r="177" spans="1:8">
      <c r="A177" s="544"/>
      <c r="B177" s="544"/>
      <c r="C177" s="544"/>
      <c r="D177" s="544"/>
      <c r="E177" s="544"/>
      <c r="F177" s="544"/>
      <c r="G177" s="544"/>
      <c r="H177" s="544"/>
    </row>
    <row r="178" spans="1:8">
      <c r="A178" s="544"/>
      <c r="B178" s="544"/>
      <c r="C178" s="544"/>
      <c r="D178" s="544"/>
      <c r="E178" s="544"/>
      <c r="F178" s="544"/>
      <c r="G178" s="544"/>
      <c r="H178" s="544"/>
    </row>
    <row r="179" spans="1:8">
      <c r="A179" s="544"/>
      <c r="B179" s="544"/>
      <c r="C179" s="544"/>
      <c r="D179" s="544"/>
      <c r="E179" s="544"/>
      <c r="F179" s="544"/>
      <c r="G179" s="544"/>
      <c r="H179" s="544"/>
    </row>
    <row r="180" spans="1:8">
      <c r="A180" s="544"/>
      <c r="B180" s="544"/>
      <c r="C180" s="544"/>
      <c r="D180" s="544"/>
      <c r="E180" s="544"/>
      <c r="F180" s="544"/>
      <c r="G180" s="544"/>
      <c r="H180" s="544"/>
    </row>
    <row r="181" spans="1:8">
      <c r="A181" s="544"/>
      <c r="B181" s="544"/>
      <c r="C181" s="544"/>
      <c r="D181" s="544"/>
      <c r="E181" s="544"/>
      <c r="F181" s="544"/>
      <c r="G181" s="544"/>
      <c r="H181" s="544"/>
    </row>
    <row r="182" spans="1:8">
      <c r="A182" s="544"/>
      <c r="B182" s="544"/>
      <c r="C182" s="544"/>
      <c r="D182" s="544"/>
      <c r="E182" s="544"/>
      <c r="F182" s="544"/>
      <c r="G182" s="544"/>
      <c r="H182" s="544"/>
    </row>
    <row r="183" spans="1:8">
      <c r="A183" s="544"/>
      <c r="B183" s="544"/>
      <c r="C183" s="544"/>
      <c r="D183" s="544"/>
      <c r="E183" s="544"/>
      <c r="F183" s="544"/>
      <c r="G183" s="544"/>
      <c r="H183" s="544"/>
    </row>
    <row r="184" spans="1:8">
      <c r="A184" s="544"/>
      <c r="B184" s="544"/>
      <c r="C184" s="544"/>
      <c r="D184" s="544"/>
      <c r="E184" s="544"/>
      <c r="F184" s="544"/>
      <c r="G184" s="544"/>
      <c r="H184" s="544"/>
    </row>
    <row r="185" spans="1:8">
      <c r="A185" s="544"/>
      <c r="B185" s="544"/>
      <c r="C185" s="544"/>
      <c r="D185" s="544"/>
      <c r="E185" s="544"/>
      <c r="F185" s="544"/>
      <c r="G185" s="544"/>
      <c r="H185" s="544"/>
    </row>
    <row r="186" spans="1:8">
      <c r="A186" s="544"/>
      <c r="B186" s="544"/>
      <c r="C186" s="544"/>
      <c r="D186" s="544"/>
      <c r="E186" s="544"/>
      <c r="F186" s="544"/>
      <c r="G186" s="544"/>
      <c r="H186" s="544"/>
    </row>
    <row r="187" spans="1:8">
      <c r="A187" s="544"/>
      <c r="B187" s="544"/>
      <c r="C187" s="544"/>
      <c r="D187" s="544"/>
      <c r="E187" s="544"/>
      <c r="F187" s="544"/>
      <c r="G187" s="544"/>
      <c r="H187" s="544"/>
    </row>
    <row r="188" spans="1:8">
      <c r="A188" s="544"/>
      <c r="B188" s="544"/>
      <c r="C188" s="544"/>
      <c r="D188" s="544"/>
      <c r="E188" s="544"/>
      <c r="F188" s="544"/>
      <c r="G188" s="544"/>
      <c r="H188" s="544"/>
    </row>
    <row r="189" spans="1:8">
      <c r="A189" s="544"/>
      <c r="B189" s="544"/>
      <c r="C189" s="544"/>
      <c r="D189" s="544"/>
      <c r="E189" s="544"/>
      <c r="F189" s="544"/>
      <c r="G189" s="544"/>
      <c r="H189" s="544"/>
    </row>
    <row r="190" spans="1:8">
      <c r="A190" s="544"/>
      <c r="B190" s="544"/>
      <c r="C190" s="544"/>
      <c r="D190" s="544"/>
      <c r="E190" s="544"/>
      <c r="F190" s="544"/>
      <c r="G190" s="544"/>
      <c r="H190" s="544"/>
    </row>
    <row r="191" spans="1:8" ht="15.75">
      <c r="A191" s="546" t="s">
        <v>741</v>
      </c>
      <c r="B191" s="544"/>
      <c r="C191" s="544"/>
      <c r="D191" s="544"/>
      <c r="E191" s="544"/>
      <c r="F191" s="544"/>
      <c r="G191" s="544"/>
      <c r="H191" s="544"/>
    </row>
    <row r="192" spans="1:8">
      <c r="A192" s="544"/>
      <c r="B192" s="544"/>
      <c r="C192" s="544"/>
      <c r="D192" s="544"/>
      <c r="E192" s="544"/>
      <c r="F192" s="544"/>
      <c r="G192" s="544"/>
      <c r="H192" s="544"/>
    </row>
    <row r="193" spans="1:8">
      <c r="A193" s="545" t="s">
        <v>902</v>
      </c>
      <c r="B193" s="544"/>
      <c r="C193" s="544"/>
      <c r="D193" s="544"/>
      <c r="E193" s="544"/>
      <c r="F193" s="544"/>
      <c r="G193" s="544"/>
      <c r="H193" s="544"/>
    </row>
    <row r="194" spans="1:8">
      <c r="A194" s="545" t="s">
        <v>903</v>
      </c>
      <c r="B194" s="544"/>
      <c r="C194" s="544"/>
      <c r="D194" s="544"/>
      <c r="E194" s="544"/>
      <c r="F194" s="544"/>
      <c r="G194" s="544"/>
      <c r="H194" s="544"/>
    </row>
    <row r="195" spans="1:8">
      <c r="A195" s="545" t="s">
        <v>904</v>
      </c>
      <c r="B195" s="544"/>
      <c r="C195" s="544"/>
      <c r="D195" s="544"/>
      <c r="E195" s="544"/>
      <c r="F195" s="544"/>
      <c r="G195" s="544"/>
      <c r="H195" s="544"/>
    </row>
    <row r="196" spans="1:8">
      <c r="A196" s="545" t="s">
        <v>905</v>
      </c>
      <c r="B196" s="544"/>
      <c r="C196" s="544"/>
      <c r="D196" s="544"/>
      <c r="E196" s="544"/>
      <c r="F196" s="544"/>
      <c r="G196" s="544"/>
      <c r="H196" s="544"/>
    </row>
    <row r="197" spans="1:8">
      <c r="A197" s="545" t="s">
        <v>906</v>
      </c>
      <c r="B197" s="544"/>
      <c r="C197" s="544"/>
      <c r="D197" s="544"/>
      <c r="E197" s="544"/>
      <c r="F197" s="544"/>
      <c r="G197" s="544"/>
      <c r="H197" s="544"/>
    </row>
    <row r="198" spans="1:8">
      <c r="A198" s="544"/>
      <c r="B198" s="544"/>
      <c r="C198" s="544"/>
      <c r="D198" s="544"/>
      <c r="E198" s="544"/>
      <c r="F198" s="544"/>
      <c r="G198" s="544"/>
      <c r="H198" s="544"/>
    </row>
    <row r="199" spans="1:8">
      <c r="A199" s="545" t="s">
        <v>899</v>
      </c>
      <c r="B199" s="544"/>
      <c r="C199" s="544"/>
      <c r="D199" s="544"/>
      <c r="E199" s="544"/>
      <c r="F199" s="544"/>
      <c r="G199" s="544"/>
      <c r="H199" s="544"/>
    </row>
    <row r="200" spans="1:8">
      <c r="A200" s="545" t="s">
        <v>900</v>
      </c>
      <c r="B200" s="544"/>
      <c r="C200" s="544"/>
      <c r="D200" s="544"/>
      <c r="E200" s="544"/>
      <c r="F200" s="544"/>
      <c r="G200" s="544"/>
      <c r="H200" s="544"/>
    </row>
    <row r="201" spans="1:8">
      <c r="A201" s="545" t="s">
        <v>901</v>
      </c>
      <c r="B201" s="544"/>
      <c r="C201" s="544"/>
      <c r="D201" s="544"/>
      <c r="E201" s="544"/>
      <c r="F201" s="544"/>
      <c r="G201" s="544"/>
      <c r="H201" s="544"/>
    </row>
    <row r="202" spans="1:8" ht="15.75">
      <c r="A202" s="546" t="s">
        <v>742</v>
      </c>
      <c r="B202" s="544"/>
      <c r="C202" s="544"/>
      <c r="D202" s="544"/>
      <c r="E202" s="544"/>
      <c r="F202" s="544"/>
      <c r="G202" s="544"/>
      <c r="H202" s="544"/>
    </row>
    <row r="203" spans="1:8">
      <c r="A203" s="544"/>
      <c r="B203" s="544"/>
      <c r="C203" s="544"/>
      <c r="D203" s="544"/>
      <c r="E203" s="544"/>
      <c r="F203" s="544"/>
      <c r="G203" s="544"/>
      <c r="H203" s="544"/>
    </row>
    <row r="204" spans="1:8">
      <c r="A204" s="545" t="s">
        <v>897</v>
      </c>
      <c r="B204" s="544"/>
      <c r="C204" s="544"/>
      <c r="D204" s="544"/>
      <c r="E204" s="544"/>
      <c r="F204" s="544"/>
      <c r="G204" s="544"/>
      <c r="H204" s="544"/>
    </row>
    <row r="205" spans="1:8">
      <c r="A205" s="545" t="s">
        <v>898</v>
      </c>
      <c r="B205" s="544"/>
      <c r="C205" s="544"/>
      <c r="D205" s="544"/>
      <c r="E205" s="544"/>
      <c r="F205" s="544"/>
      <c r="G205" s="544"/>
      <c r="H205" s="544"/>
    </row>
    <row r="206" spans="1:8">
      <c r="A206" s="544"/>
      <c r="B206" s="544"/>
      <c r="C206" s="544"/>
      <c r="D206" s="544"/>
      <c r="E206" s="544"/>
      <c r="F206" s="544"/>
      <c r="G206" s="544"/>
      <c r="H206" s="544"/>
    </row>
    <row r="207" spans="1:8">
      <c r="A207" s="545" t="s">
        <v>890</v>
      </c>
      <c r="B207" s="544"/>
      <c r="C207" s="544"/>
      <c r="D207" s="544"/>
      <c r="E207" s="544"/>
      <c r="F207" s="544"/>
      <c r="G207" s="544"/>
      <c r="H207" s="544"/>
    </row>
    <row r="208" spans="1:8">
      <c r="A208" s="545" t="s">
        <v>891</v>
      </c>
      <c r="B208" s="544"/>
      <c r="C208" s="544"/>
      <c r="D208" s="544"/>
      <c r="E208" s="544"/>
      <c r="F208" s="544"/>
      <c r="G208" s="544"/>
      <c r="H208" s="544"/>
    </row>
    <row r="209" spans="1:8">
      <c r="A209" s="545" t="s">
        <v>892</v>
      </c>
      <c r="B209" s="544"/>
      <c r="C209" s="544"/>
      <c r="D209" s="544"/>
      <c r="E209" s="544"/>
      <c r="F209" s="544"/>
      <c r="G209" s="544"/>
      <c r="H209" s="544"/>
    </row>
    <row r="210" spans="1:8">
      <c r="A210" s="545" t="s">
        <v>893</v>
      </c>
      <c r="B210" s="544"/>
      <c r="C210" s="544"/>
      <c r="D210" s="544"/>
      <c r="E210" s="544"/>
      <c r="F210" s="544"/>
      <c r="G210" s="544"/>
      <c r="H210" s="544"/>
    </row>
    <row r="211" spans="1:8">
      <c r="A211" s="545" t="s">
        <v>894</v>
      </c>
      <c r="B211" s="544"/>
      <c r="C211" s="544"/>
      <c r="D211" s="544"/>
      <c r="E211" s="544"/>
      <c r="F211" s="544"/>
      <c r="G211" s="544"/>
      <c r="H211" s="544"/>
    </row>
    <row r="212" spans="1:8">
      <c r="A212" s="545" t="s">
        <v>895</v>
      </c>
      <c r="B212" s="544"/>
      <c r="C212" s="544"/>
      <c r="D212" s="544"/>
      <c r="E212" s="544"/>
      <c r="F212" s="544"/>
      <c r="G212" s="544"/>
      <c r="H212" s="544"/>
    </row>
    <row r="213" spans="1:8">
      <c r="A213" s="545" t="s">
        <v>896</v>
      </c>
      <c r="B213" s="544"/>
      <c r="C213" s="544"/>
      <c r="D213" s="544"/>
      <c r="E213" s="544"/>
      <c r="F213" s="544"/>
      <c r="G213" s="544"/>
      <c r="H213" s="544"/>
    </row>
    <row r="214" spans="1:8">
      <c r="A214" s="544"/>
      <c r="B214" s="544"/>
      <c r="C214" s="544"/>
      <c r="D214" s="544"/>
      <c r="E214" s="544"/>
      <c r="F214" s="544"/>
      <c r="G214" s="544"/>
      <c r="H214" s="544"/>
    </row>
    <row r="215" spans="1:8">
      <c r="A215" s="545" t="s">
        <v>887</v>
      </c>
      <c r="B215" s="544"/>
      <c r="C215" s="544"/>
      <c r="D215" s="544"/>
      <c r="E215" s="544"/>
      <c r="F215" s="544"/>
      <c r="G215" s="544"/>
      <c r="H215" s="544"/>
    </row>
    <row r="216" spans="1:8">
      <c r="A216" s="545" t="s">
        <v>888</v>
      </c>
      <c r="B216" s="544"/>
      <c r="C216" s="544"/>
      <c r="D216" s="544"/>
      <c r="E216" s="544"/>
      <c r="F216" s="544"/>
      <c r="G216" s="544"/>
      <c r="H216" s="544"/>
    </row>
    <row r="217" spans="1:8">
      <c r="A217" s="545" t="s">
        <v>889</v>
      </c>
      <c r="B217" s="544"/>
      <c r="C217" s="544"/>
      <c r="D217" s="544"/>
      <c r="E217" s="544"/>
      <c r="F217" s="544"/>
      <c r="G217" s="544"/>
      <c r="H217" s="544"/>
    </row>
    <row r="218" spans="1:8">
      <c r="A218" s="544"/>
      <c r="B218" s="544"/>
      <c r="C218" s="544"/>
      <c r="D218" s="544"/>
      <c r="E218" s="544"/>
      <c r="F218" s="544"/>
      <c r="G218" s="544"/>
      <c r="H218" s="544"/>
    </row>
    <row r="219" spans="1:8">
      <c r="A219" s="545" t="s">
        <v>882</v>
      </c>
      <c r="B219" s="544"/>
      <c r="C219" s="544"/>
      <c r="D219" s="544"/>
      <c r="E219" s="544"/>
      <c r="F219" s="544"/>
      <c r="G219" s="544"/>
      <c r="H219" s="544"/>
    </row>
    <row r="220" spans="1:8">
      <c r="A220" s="545" t="s">
        <v>883</v>
      </c>
      <c r="B220" s="544"/>
      <c r="C220" s="544"/>
      <c r="D220" s="544"/>
      <c r="E220" s="544"/>
      <c r="F220" s="544"/>
      <c r="G220" s="544"/>
      <c r="H220" s="544"/>
    </row>
    <row r="221" spans="1:8">
      <c r="A221" s="545" t="s">
        <v>884</v>
      </c>
      <c r="B221" s="544"/>
      <c r="C221" s="544"/>
      <c r="D221" s="544"/>
      <c r="E221" s="544"/>
      <c r="F221" s="544"/>
      <c r="G221" s="544"/>
      <c r="H221" s="544"/>
    </row>
    <row r="222" spans="1:8">
      <c r="A222" s="545" t="s">
        <v>885</v>
      </c>
      <c r="B222" s="544"/>
      <c r="C222" s="544"/>
      <c r="D222" s="544"/>
      <c r="E222" s="544"/>
      <c r="F222" s="544"/>
      <c r="G222" s="544"/>
      <c r="H222" s="544"/>
    </row>
    <row r="223" spans="1:8">
      <c r="A223" s="545" t="s">
        <v>886</v>
      </c>
      <c r="B223" s="544"/>
      <c r="C223" s="544"/>
      <c r="D223" s="544"/>
      <c r="E223" s="544"/>
      <c r="F223" s="544"/>
      <c r="G223" s="544"/>
      <c r="H223" s="544"/>
    </row>
    <row r="224" spans="1:8">
      <c r="A224" s="544"/>
      <c r="B224" s="544"/>
      <c r="C224" s="544"/>
      <c r="D224" s="544"/>
      <c r="E224" s="544"/>
      <c r="F224" s="544"/>
      <c r="G224" s="544"/>
      <c r="H224" s="544"/>
    </row>
    <row r="225" spans="1:8">
      <c r="A225" s="545" t="s">
        <v>876</v>
      </c>
      <c r="B225" s="544"/>
      <c r="C225" s="544"/>
      <c r="D225" s="544"/>
      <c r="E225" s="544"/>
      <c r="F225" s="544"/>
      <c r="G225" s="544"/>
      <c r="H225" s="544"/>
    </row>
    <row r="226" spans="1:8">
      <c r="A226" s="545" t="s">
        <v>877</v>
      </c>
      <c r="B226" s="544"/>
      <c r="C226" s="544"/>
      <c r="D226" s="544"/>
      <c r="E226" s="544"/>
      <c r="F226" s="544"/>
      <c r="G226" s="544"/>
      <c r="H226" s="544"/>
    </row>
    <row r="227" spans="1:8">
      <c r="A227" s="545" t="s">
        <v>878</v>
      </c>
      <c r="B227" s="544"/>
      <c r="C227" s="544"/>
      <c r="D227" s="544"/>
      <c r="E227" s="544"/>
      <c r="F227" s="544"/>
      <c r="G227" s="544"/>
      <c r="H227" s="544"/>
    </row>
    <row r="228" spans="1:8">
      <c r="A228" s="545" t="s">
        <v>879</v>
      </c>
      <c r="B228" s="544"/>
      <c r="C228" s="544"/>
      <c r="D228" s="544"/>
      <c r="E228" s="544"/>
      <c r="F228" s="544"/>
      <c r="G228" s="544"/>
      <c r="H228" s="544"/>
    </row>
    <row r="229" spans="1:8">
      <c r="A229" s="545" t="s">
        <v>880</v>
      </c>
      <c r="B229" s="544"/>
      <c r="C229" s="544"/>
      <c r="D229" s="544"/>
      <c r="E229" s="544"/>
      <c r="F229" s="544"/>
      <c r="G229" s="544"/>
      <c r="H229" s="544"/>
    </row>
    <row r="230" spans="1:8">
      <c r="A230" s="545" t="s">
        <v>881</v>
      </c>
      <c r="B230" s="544"/>
      <c r="C230" s="544"/>
      <c r="D230" s="544"/>
      <c r="E230" s="544"/>
      <c r="F230" s="544"/>
      <c r="G230" s="544"/>
      <c r="H230" s="544"/>
    </row>
    <row r="231" spans="1:8">
      <c r="A231" s="544"/>
      <c r="B231" s="544"/>
      <c r="C231" s="544"/>
      <c r="D231" s="544"/>
      <c r="E231" s="544"/>
      <c r="F231" s="544"/>
      <c r="G231" s="544"/>
      <c r="H231" s="544"/>
    </row>
    <row r="232" spans="1:8">
      <c r="A232" s="545" t="s">
        <v>866</v>
      </c>
      <c r="B232" s="544"/>
      <c r="C232" s="544"/>
      <c r="D232" s="544"/>
      <c r="E232" s="544"/>
      <c r="F232" s="544"/>
      <c r="G232" s="544"/>
      <c r="H232" s="544"/>
    </row>
    <row r="233" spans="1:8">
      <c r="A233" s="545" t="s">
        <v>867</v>
      </c>
      <c r="B233" s="544"/>
      <c r="C233" s="544"/>
      <c r="D233" s="544"/>
      <c r="E233" s="544"/>
      <c r="F233" s="544"/>
      <c r="G233" s="544"/>
      <c r="H233" s="544"/>
    </row>
    <row r="234" spans="1:8">
      <c r="A234" s="545" t="s">
        <v>868</v>
      </c>
      <c r="B234" s="544"/>
      <c r="C234" s="544"/>
      <c r="D234" s="544"/>
      <c r="E234" s="544"/>
      <c r="F234" s="544"/>
      <c r="G234" s="544"/>
      <c r="H234" s="544"/>
    </row>
    <row r="235" spans="1:8">
      <c r="A235" s="545" t="s">
        <v>869</v>
      </c>
      <c r="B235" s="544"/>
      <c r="C235" s="544"/>
      <c r="D235" s="544"/>
      <c r="E235" s="544"/>
      <c r="F235" s="544"/>
      <c r="G235" s="544"/>
      <c r="H235" s="544"/>
    </row>
    <row r="236" spans="1:8">
      <c r="A236" s="545" t="s">
        <v>870</v>
      </c>
      <c r="B236" s="544"/>
      <c r="C236" s="544"/>
      <c r="D236" s="544"/>
      <c r="E236" s="544"/>
      <c r="F236" s="544"/>
      <c r="G236" s="544"/>
      <c r="H236" s="544"/>
    </row>
    <row r="237" spans="1:8">
      <c r="A237" s="545" t="s">
        <v>871</v>
      </c>
      <c r="B237" s="544"/>
      <c r="C237" s="544"/>
      <c r="D237" s="544"/>
      <c r="E237" s="544"/>
      <c r="F237" s="544"/>
      <c r="G237" s="544"/>
      <c r="H237" s="544"/>
    </row>
    <row r="238" spans="1:8">
      <c r="A238" s="545" t="s">
        <v>872</v>
      </c>
      <c r="B238" s="544"/>
      <c r="C238" s="544"/>
      <c r="D238" s="544"/>
      <c r="E238" s="544"/>
      <c r="F238" s="544"/>
      <c r="G238" s="544"/>
      <c r="H238" s="544"/>
    </row>
    <row r="239" spans="1:8">
      <c r="A239" s="545" t="s">
        <v>873</v>
      </c>
      <c r="B239" s="544"/>
      <c r="C239" s="544"/>
      <c r="D239" s="544"/>
      <c r="E239" s="544"/>
      <c r="F239" s="544"/>
      <c r="G239" s="544"/>
      <c r="H239" s="544"/>
    </row>
    <row r="240" spans="1:8">
      <c r="A240" s="545" t="s">
        <v>874</v>
      </c>
      <c r="B240" s="544"/>
      <c r="C240" s="544"/>
      <c r="D240" s="544"/>
      <c r="E240" s="544"/>
      <c r="F240" s="544"/>
      <c r="G240" s="544"/>
      <c r="H240" s="544"/>
    </row>
    <row r="241" spans="1:8">
      <c r="A241" s="545" t="s">
        <v>875</v>
      </c>
      <c r="B241" s="544"/>
      <c r="C241" s="544"/>
      <c r="D241" s="544"/>
      <c r="E241" s="544"/>
      <c r="F241" s="544"/>
      <c r="G241" s="544"/>
      <c r="H241" s="544"/>
    </row>
    <row r="242" spans="1:8">
      <c r="A242" s="544"/>
      <c r="B242" s="544"/>
      <c r="C242" s="544"/>
      <c r="D242" s="544"/>
      <c r="E242" s="544"/>
      <c r="F242" s="544"/>
      <c r="G242" s="544"/>
      <c r="H242" s="544"/>
    </row>
    <row r="243" spans="1:8">
      <c r="A243" s="545" t="s">
        <v>864</v>
      </c>
      <c r="B243" s="544"/>
      <c r="C243" s="544"/>
      <c r="D243" s="544"/>
      <c r="E243" s="544"/>
      <c r="F243" s="544"/>
      <c r="G243" s="544"/>
      <c r="H243" s="544"/>
    </row>
    <row r="244" spans="1:8">
      <c r="A244" s="545" t="s">
        <v>865</v>
      </c>
      <c r="B244" s="544"/>
      <c r="C244" s="544"/>
      <c r="D244" s="544"/>
      <c r="E244" s="544"/>
      <c r="F244" s="544"/>
      <c r="G244" s="544"/>
      <c r="H244" s="544"/>
    </row>
    <row r="245" spans="1:8">
      <c r="A245" s="544"/>
      <c r="B245" s="544"/>
      <c r="C245" s="544"/>
      <c r="D245" s="544"/>
      <c r="E245" s="544"/>
      <c r="F245" s="544"/>
      <c r="G245" s="544"/>
      <c r="H245" s="544"/>
    </row>
    <row r="246" spans="1:8">
      <c r="A246" s="545" t="s">
        <v>848</v>
      </c>
      <c r="B246" s="544"/>
      <c r="C246" s="544"/>
      <c r="D246" s="544"/>
      <c r="E246" s="544"/>
      <c r="F246" s="544"/>
      <c r="G246" s="544"/>
      <c r="H246" s="544"/>
    </row>
    <row r="247" spans="1:8">
      <c r="A247" s="545" t="s">
        <v>849</v>
      </c>
      <c r="B247" s="544"/>
      <c r="C247" s="544"/>
      <c r="D247" s="544"/>
      <c r="E247" s="544"/>
      <c r="F247" s="544"/>
      <c r="G247" s="544"/>
      <c r="H247" s="544"/>
    </row>
    <row r="248" spans="1:8">
      <c r="A248" s="545" t="s">
        <v>850</v>
      </c>
      <c r="B248" s="544"/>
      <c r="C248" s="544"/>
      <c r="D248" s="544"/>
      <c r="E248" s="544"/>
      <c r="F248" s="544"/>
      <c r="G248" s="544"/>
      <c r="H248" s="544"/>
    </row>
    <row r="249" spans="1:8">
      <c r="A249" s="545" t="s">
        <v>851</v>
      </c>
      <c r="B249" s="544"/>
      <c r="C249" s="544"/>
      <c r="D249" s="544"/>
      <c r="E249" s="544"/>
      <c r="F249" s="544"/>
      <c r="G249" s="544"/>
      <c r="H249" s="544"/>
    </row>
    <row r="250" spans="1:8">
      <c r="A250" s="545" t="s">
        <v>852</v>
      </c>
      <c r="B250" s="544"/>
      <c r="C250" s="544"/>
      <c r="D250" s="544"/>
      <c r="E250" s="544"/>
      <c r="F250" s="544"/>
      <c r="G250" s="544"/>
      <c r="H250" s="544"/>
    </row>
    <row r="251" spans="1:8">
      <c r="A251" s="545" t="s">
        <v>853</v>
      </c>
      <c r="B251" s="544"/>
      <c r="C251" s="544"/>
      <c r="D251" s="544"/>
      <c r="E251" s="544"/>
      <c r="F251" s="544"/>
      <c r="G251" s="544"/>
      <c r="H251" s="544"/>
    </row>
    <row r="252" spans="1:8">
      <c r="A252" s="545" t="s">
        <v>854</v>
      </c>
      <c r="B252" s="544"/>
      <c r="C252" s="544"/>
      <c r="D252" s="544"/>
      <c r="E252" s="544"/>
      <c r="F252" s="544"/>
      <c r="G252" s="544"/>
      <c r="H252" s="544"/>
    </row>
    <row r="253" spans="1:8">
      <c r="A253" s="545" t="s">
        <v>855</v>
      </c>
      <c r="B253" s="544"/>
      <c r="C253" s="544"/>
      <c r="D253" s="544"/>
      <c r="E253" s="544"/>
      <c r="F253" s="544"/>
      <c r="G253" s="544"/>
      <c r="H253" s="544"/>
    </row>
    <row r="254" spans="1:8">
      <c r="A254" s="545" t="s">
        <v>856</v>
      </c>
      <c r="B254" s="544"/>
      <c r="C254" s="544"/>
      <c r="D254" s="544"/>
      <c r="E254" s="544"/>
      <c r="F254" s="544"/>
      <c r="G254" s="544"/>
      <c r="H254" s="544"/>
    </row>
    <row r="255" spans="1:8">
      <c r="A255" s="545" t="s">
        <v>857</v>
      </c>
      <c r="B255" s="544"/>
      <c r="C255" s="544"/>
      <c r="D255" s="544"/>
      <c r="E255" s="544"/>
      <c r="F255" s="544"/>
      <c r="G255" s="544"/>
      <c r="H255" s="544"/>
    </row>
    <row r="256" spans="1:8">
      <c r="A256" s="545" t="s">
        <v>858</v>
      </c>
      <c r="B256" s="544"/>
      <c r="C256" s="544"/>
      <c r="D256" s="544"/>
      <c r="E256" s="544"/>
      <c r="F256" s="544"/>
      <c r="G256" s="544"/>
      <c r="H256" s="544"/>
    </row>
    <row r="257" spans="1:8">
      <c r="A257" s="545" t="s">
        <v>859</v>
      </c>
      <c r="B257" s="544"/>
      <c r="C257" s="544"/>
      <c r="D257" s="544"/>
      <c r="E257" s="544"/>
      <c r="F257" s="544"/>
      <c r="G257" s="544"/>
      <c r="H257" s="544"/>
    </row>
    <row r="258" spans="1:8">
      <c r="A258" s="545" t="s">
        <v>860</v>
      </c>
      <c r="B258" s="544"/>
      <c r="C258" s="544"/>
      <c r="D258" s="544"/>
      <c r="E258" s="544"/>
      <c r="F258" s="544"/>
      <c r="G258" s="544"/>
      <c r="H258" s="544"/>
    </row>
    <row r="259" spans="1:8">
      <c r="A259" s="545" t="s">
        <v>861</v>
      </c>
      <c r="B259" s="544"/>
      <c r="C259" s="544"/>
      <c r="D259" s="544"/>
      <c r="E259" s="544"/>
      <c r="F259" s="544"/>
      <c r="G259" s="544"/>
      <c r="H259" s="544"/>
    </row>
    <row r="260" spans="1:8">
      <c r="A260" s="545" t="s">
        <v>862</v>
      </c>
      <c r="B260" s="544"/>
      <c r="C260" s="544"/>
      <c r="D260" s="544"/>
      <c r="E260" s="544"/>
      <c r="F260" s="544"/>
      <c r="G260" s="544"/>
      <c r="H260" s="544"/>
    </row>
    <row r="261" spans="1:8">
      <c r="A261" s="545" t="s">
        <v>863</v>
      </c>
      <c r="B261" s="544"/>
      <c r="C261" s="544"/>
      <c r="D261" s="544"/>
      <c r="E261" s="544"/>
      <c r="F261" s="544"/>
      <c r="G261" s="544"/>
      <c r="H261" s="544"/>
    </row>
    <row r="262" spans="1:8">
      <c r="A262" s="544"/>
      <c r="B262" s="544"/>
      <c r="C262" s="544"/>
      <c r="D262" s="544"/>
      <c r="E262" s="544"/>
      <c r="F262" s="544"/>
      <c r="G262" s="544"/>
      <c r="H262" s="544"/>
    </row>
    <row r="263" spans="1:8">
      <c r="A263" s="545" t="s">
        <v>841</v>
      </c>
      <c r="B263" s="544"/>
      <c r="C263" s="544"/>
      <c r="D263" s="544"/>
      <c r="E263" s="544"/>
      <c r="F263" s="544"/>
      <c r="G263" s="544"/>
      <c r="H263" s="544"/>
    </row>
    <row r="264" spans="1:8">
      <c r="A264" s="545" t="s">
        <v>842</v>
      </c>
      <c r="B264" s="544"/>
      <c r="C264" s="544"/>
      <c r="D264" s="544"/>
      <c r="E264" s="544"/>
      <c r="F264" s="544"/>
      <c r="G264" s="544"/>
      <c r="H264" s="544"/>
    </row>
    <row r="265" spans="1:8">
      <c r="A265" s="545" t="s">
        <v>843</v>
      </c>
      <c r="B265" s="544"/>
      <c r="C265" s="544"/>
      <c r="D265" s="544"/>
      <c r="E265" s="544"/>
      <c r="F265" s="544"/>
      <c r="G265" s="544"/>
      <c r="H265" s="544"/>
    </row>
    <row r="266" spans="1:8">
      <c r="A266" s="545" t="s">
        <v>844</v>
      </c>
      <c r="B266" s="544"/>
      <c r="C266" s="544"/>
      <c r="D266" s="544"/>
      <c r="E266" s="544"/>
      <c r="F266" s="544"/>
      <c r="G266" s="544"/>
      <c r="H266" s="544"/>
    </row>
    <row r="267" spans="1:8">
      <c r="A267" s="545" t="s">
        <v>845</v>
      </c>
      <c r="B267" s="544"/>
      <c r="C267" s="544"/>
      <c r="D267" s="544"/>
      <c r="E267" s="544"/>
      <c r="F267" s="544"/>
      <c r="G267" s="544"/>
      <c r="H267" s="544"/>
    </row>
    <row r="268" spans="1:8">
      <c r="A268" s="545" t="s">
        <v>846</v>
      </c>
      <c r="B268" s="544"/>
      <c r="C268" s="544"/>
      <c r="D268" s="544"/>
      <c r="E268" s="544"/>
      <c r="F268" s="544"/>
      <c r="G268" s="544"/>
      <c r="H268" s="544"/>
    </row>
    <row r="269" spans="1:8">
      <c r="A269" s="545" t="s">
        <v>847</v>
      </c>
      <c r="B269" s="544"/>
      <c r="C269" s="544"/>
      <c r="D269" s="544"/>
      <c r="E269" s="544"/>
      <c r="F269" s="544"/>
      <c r="G269" s="544"/>
      <c r="H269" s="544"/>
    </row>
    <row r="270" spans="1:8">
      <c r="A270" s="544"/>
      <c r="B270" s="544"/>
      <c r="C270" s="544"/>
      <c r="D270" s="544"/>
      <c r="E270" s="544"/>
      <c r="F270" s="544"/>
      <c r="G270" s="544"/>
      <c r="H270" s="544"/>
    </row>
    <row r="271" spans="1:8">
      <c r="A271" s="545" t="s">
        <v>832</v>
      </c>
      <c r="B271" s="544"/>
      <c r="C271" s="544"/>
      <c r="D271" s="544"/>
      <c r="E271" s="544"/>
      <c r="F271" s="544"/>
      <c r="G271" s="544"/>
      <c r="H271" s="544"/>
    </row>
    <row r="272" spans="1:8">
      <c r="A272" s="545" t="s">
        <v>833</v>
      </c>
      <c r="B272" s="544"/>
      <c r="C272" s="544"/>
      <c r="D272" s="544"/>
      <c r="E272" s="544"/>
      <c r="F272" s="544"/>
      <c r="G272" s="544"/>
      <c r="H272" s="544"/>
    </row>
    <row r="273" spans="1:8">
      <c r="A273" s="545" t="s">
        <v>834</v>
      </c>
      <c r="B273" s="544"/>
      <c r="C273" s="544"/>
      <c r="D273" s="544"/>
      <c r="E273" s="544"/>
      <c r="F273" s="544"/>
      <c r="G273" s="544"/>
      <c r="H273" s="544"/>
    </row>
    <row r="274" spans="1:8">
      <c r="A274" s="545" t="s">
        <v>835</v>
      </c>
      <c r="B274" s="544"/>
      <c r="C274" s="544"/>
      <c r="D274" s="544"/>
      <c r="E274" s="544"/>
      <c r="F274" s="544"/>
      <c r="G274" s="544"/>
      <c r="H274" s="544"/>
    </row>
    <row r="275" spans="1:8">
      <c r="A275" s="545" t="s">
        <v>836</v>
      </c>
      <c r="B275" s="544"/>
      <c r="C275" s="544"/>
      <c r="D275" s="544"/>
      <c r="E275" s="544"/>
      <c r="F275" s="544"/>
      <c r="G275" s="544"/>
      <c r="H275" s="544"/>
    </row>
    <row r="276" spans="1:8">
      <c r="A276" s="545" t="s">
        <v>837</v>
      </c>
      <c r="B276" s="544"/>
      <c r="C276" s="544"/>
      <c r="D276" s="544"/>
      <c r="E276" s="544"/>
      <c r="F276" s="544"/>
      <c r="G276" s="544"/>
      <c r="H276" s="544"/>
    </row>
    <row r="277" spans="1:8">
      <c r="A277" s="545" t="s">
        <v>838</v>
      </c>
      <c r="B277" s="544"/>
      <c r="C277" s="544"/>
      <c r="D277" s="544"/>
      <c r="E277" s="544"/>
      <c r="F277" s="544"/>
      <c r="G277" s="544"/>
      <c r="H277" s="544"/>
    </row>
    <row r="278" spans="1:8">
      <c r="A278" s="545" t="s">
        <v>839</v>
      </c>
      <c r="B278" s="544"/>
      <c r="C278" s="544"/>
      <c r="D278" s="544"/>
      <c r="E278" s="544"/>
      <c r="F278" s="544"/>
      <c r="G278" s="544"/>
      <c r="H278" s="544"/>
    </row>
    <row r="279" spans="1:8">
      <c r="A279" s="545" t="s">
        <v>840</v>
      </c>
      <c r="B279" s="544"/>
      <c r="C279" s="544"/>
      <c r="D279" s="544"/>
      <c r="E279" s="544"/>
      <c r="F279" s="544"/>
      <c r="G279" s="544"/>
      <c r="H279" s="544"/>
    </row>
    <row r="280" spans="1:8">
      <c r="A280" s="544"/>
      <c r="B280" s="544"/>
      <c r="C280" s="544"/>
      <c r="D280" s="544"/>
      <c r="E280" s="544"/>
      <c r="F280" s="544"/>
      <c r="G280" s="544"/>
      <c r="H280" s="544"/>
    </row>
    <row r="281" spans="1:8">
      <c r="A281" s="545" t="s">
        <v>825</v>
      </c>
      <c r="B281" s="544"/>
      <c r="C281" s="544"/>
      <c r="D281" s="544"/>
      <c r="E281" s="544"/>
      <c r="F281" s="544"/>
      <c r="G281" s="544"/>
      <c r="H281" s="544"/>
    </row>
    <row r="282" spans="1:8">
      <c r="A282" s="545" t="s">
        <v>826</v>
      </c>
      <c r="B282" s="544"/>
      <c r="C282" s="544"/>
      <c r="D282" s="544"/>
      <c r="E282" s="544"/>
      <c r="F282" s="544"/>
      <c r="G282" s="544"/>
      <c r="H282" s="544"/>
    </row>
    <row r="283" spans="1:8">
      <c r="A283" s="545" t="s">
        <v>827</v>
      </c>
      <c r="B283" s="544"/>
      <c r="C283" s="544"/>
      <c r="D283" s="544"/>
      <c r="E283" s="544"/>
      <c r="F283" s="544"/>
      <c r="G283" s="544"/>
      <c r="H283" s="544"/>
    </row>
    <row r="284" spans="1:8">
      <c r="A284" s="545" t="s">
        <v>828</v>
      </c>
      <c r="B284" s="544"/>
      <c r="C284" s="544"/>
      <c r="D284" s="544"/>
      <c r="E284" s="544"/>
      <c r="F284" s="544"/>
      <c r="G284" s="544"/>
      <c r="H284" s="544"/>
    </row>
    <row r="285" spans="1:8">
      <c r="A285" s="545" t="s">
        <v>829</v>
      </c>
      <c r="B285" s="544"/>
      <c r="C285" s="544"/>
      <c r="D285" s="544"/>
      <c r="E285" s="544"/>
      <c r="F285" s="544"/>
      <c r="G285" s="544"/>
      <c r="H285" s="544"/>
    </row>
    <row r="286" spans="1:8">
      <c r="A286" s="545" t="s">
        <v>830</v>
      </c>
      <c r="B286" s="544"/>
      <c r="C286" s="544"/>
      <c r="D286" s="544"/>
      <c r="E286" s="544"/>
      <c r="F286" s="544"/>
      <c r="G286" s="544"/>
      <c r="H286" s="544"/>
    </row>
    <row r="287" spans="1:8">
      <c r="A287" s="545" t="s">
        <v>831</v>
      </c>
      <c r="B287" s="544"/>
      <c r="C287" s="544"/>
      <c r="D287" s="544"/>
      <c r="E287" s="544"/>
      <c r="F287" s="544"/>
      <c r="G287" s="544"/>
      <c r="H287" s="544"/>
    </row>
    <row r="288" spans="1:8">
      <c r="A288" s="544"/>
      <c r="B288" s="544"/>
      <c r="C288" s="544"/>
      <c r="D288" s="544"/>
      <c r="E288" s="544"/>
      <c r="F288" s="544"/>
      <c r="G288" s="544"/>
      <c r="H288" s="544"/>
    </row>
    <row r="289" spans="1:8">
      <c r="A289" s="545" t="s">
        <v>822</v>
      </c>
      <c r="B289" s="544"/>
      <c r="C289" s="544"/>
      <c r="D289" s="544"/>
      <c r="E289" s="544"/>
      <c r="F289" s="544"/>
      <c r="G289" s="544"/>
      <c r="H289" s="544"/>
    </row>
    <row r="290" spans="1:8">
      <c r="A290" s="545" t="s">
        <v>823</v>
      </c>
      <c r="B290" s="544"/>
      <c r="C290" s="544"/>
      <c r="D290" s="544"/>
      <c r="E290" s="544"/>
      <c r="F290" s="544"/>
      <c r="G290" s="544"/>
      <c r="H290" s="544"/>
    </row>
    <row r="291" spans="1:8">
      <c r="A291" s="545" t="s">
        <v>824</v>
      </c>
      <c r="B291" s="544"/>
      <c r="C291" s="544"/>
      <c r="D291" s="544"/>
      <c r="E291" s="544"/>
      <c r="F291" s="544"/>
      <c r="G291" s="544"/>
      <c r="H291" s="544"/>
    </row>
    <row r="292" spans="1:8">
      <c r="A292" s="544"/>
      <c r="B292" s="544"/>
      <c r="C292" s="544"/>
      <c r="D292" s="544"/>
      <c r="E292" s="544"/>
      <c r="F292" s="544"/>
      <c r="G292" s="544"/>
      <c r="H292" s="544"/>
    </row>
    <row r="293" spans="1:8">
      <c r="A293" s="545" t="s">
        <v>820</v>
      </c>
      <c r="B293" s="544"/>
      <c r="C293" s="544"/>
      <c r="D293" s="544"/>
      <c r="E293" s="544"/>
      <c r="F293" s="544"/>
      <c r="G293" s="544"/>
      <c r="H293" s="544"/>
    </row>
    <row r="294" spans="1:8">
      <c r="A294" s="545" t="s">
        <v>821</v>
      </c>
      <c r="B294" s="544"/>
      <c r="C294" s="544"/>
      <c r="D294" s="544"/>
      <c r="E294" s="544"/>
      <c r="F294" s="544"/>
      <c r="G294" s="544"/>
      <c r="H294" s="544"/>
    </row>
    <row r="295" spans="1:8">
      <c r="A295" s="544"/>
      <c r="B295" s="544"/>
      <c r="C295" s="544"/>
      <c r="D295" s="544"/>
      <c r="E295" s="544"/>
      <c r="F295" s="544"/>
      <c r="G295" s="544"/>
      <c r="H295" s="544"/>
    </row>
    <row r="296" spans="1:8">
      <c r="A296" s="545" t="s">
        <v>807</v>
      </c>
      <c r="B296" s="544"/>
      <c r="C296" s="544"/>
      <c r="D296" s="544"/>
      <c r="E296" s="544"/>
      <c r="F296" s="544"/>
      <c r="G296" s="544"/>
      <c r="H296" s="544"/>
    </row>
    <row r="297" spans="1:8">
      <c r="A297" s="545" t="s">
        <v>808</v>
      </c>
      <c r="B297" s="544"/>
      <c r="C297" s="544"/>
      <c r="D297" s="544"/>
      <c r="E297" s="544"/>
      <c r="F297" s="544"/>
      <c r="G297" s="544"/>
      <c r="H297" s="544"/>
    </row>
    <row r="298" spans="1:8">
      <c r="A298" s="545" t="s">
        <v>809</v>
      </c>
      <c r="B298" s="544"/>
      <c r="C298" s="544"/>
      <c r="D298" s="544"/>
      <c r="E298" s="544"/>
      <c r="F298" s="544"/>
      <c r="G298" s="544"/>
      <c r="H298" s="544"/>
    </row>
    <row r="299" spans="1:8">
      <c r="A299" s="545" t="s">
        <v>810</v>
      </c>
      <c r="B299" s="544"/>
      <c r="C299" s="544"/>
      <c r="D299" s="544"/>
      <c r="E299" s="544"/>
      <c r="F299" s="544"/>
      <c r="G299" s="544"/>
      <c r="H299" s="544"/>
    </row>
    <row r="300" spans="1:8">
      <c r="A300" s="545" t="s">
        <v>811</v>
      </c>
      <c r="B300" s="544"/>
      <c r="C300" s="544"/>
      <c r="D300" s="544"/>
      <c r="E300" s="544"/>
      <c r="F300" s="544"/>
      <c r="G300" s="544"/>
      <c r="H300" s="544"/>
    </row>
    <row r="301" spans="1:8">
      <c r="A301" s="545" t="s">
        <v>812</v>
      </c>
      <c r="B301" s="544"/>
      <c r="C301" s="544"/>
      <c r="D301" s="544"/>
      <c r="E301" s="544"/>
      <c r="F301" s="544"/>
      <c r="G301" s="544"/>
      <c r="H301" s="544"/>
    </row>
    <row r="302" spans="1:8">
      <c r="A302" s="545" t="s">
        <v>813</v>
      </c>
      <c r="B302" s="544"/>
      <c r="C302" s="544"/>
      <c r="D302" s="544"/>
      <c r="E302" s="544"/>
      <c r="F302" s="544"/>
      <c r="G302" s="544"/>
      <c r="H302" s="544"/>
    </row>
    <row r="303" spans="1:8">
      <c r="A303" s="545" t="s">
        <v>814</v>
      </c>
      <c r="B303" s="544"/>
      <c r="C303" s="544"/>
      <c r="D303" s="544"/>
      <c r="E303" s="544"/>
      <c r="F303" s="544"/>
      <c r="G303" s="544"/>
      <c r="H303" s="544"/>
    </row>
    <row r="304" spans="1:8">
      <c r="A304" s="545" t="s">
        <v>815</v>
      </c>
      <c r="B304" s="544"/>
      <c r="C304" s="544"/>
      <c r="D304" s="544"/>
      <c r="E304" s="544"/>
      <c r="F304" s="544"/>
      <c r="G304" s="544"/>
      <c r="H304" s="544"/>
    </row>
    <row r="305" spans="1:8">
      <c r="A305" s="545" t="s">
        <v>816</v>
      </c>
      <c r="B305" s="544"/>
      <c r="C305" s="544"/>
      <c r="D305" s="544"/>
      <c r="E305" s="544"/>
      <c r="F305" s="544"/>
      <c r="G305" s="544"/>
      <c r="H305" s="544"/>
    </row>
    <row r="306" spans="1:8">
      <c r="A306" s="545" t="s">
        <v>817</v>
      </c>
      <c r="B306" s="544"/>
      <c r="C306" s="544"/>
      <c r="D306" s="544"/>
      <c r="E306" s="544"/>
      <c r="F306" s="544"/>
      <c r="G306" s="544"/>
      <c r="H306" s="544"/>
    </row>
    <row r="307" spans="1:8">
      <c r="A307" s="545" t="s">
        <v>818</v>
      </c>
      <c r="B307" s="544"/>
      <c r="C307" s="544"/>
      <c r="D307" s="544"/>
      <c r="E307" s="544"/>
      <c r="F307" s="544"/>
      <c r="G307" s="544"/>
      <c r="H307" s="544"/>
    </row>
    <row r="308" spans="1:8">
      <c r="A308" s="545" t="s">
        <v>819</v>
      </c>
      <c r="B308" s="544"/>
      <c r="C308" s="544"/>
      <c r="D308" s="544"/>
      <c r="E308" s="544"/>
      <c r="F308" s="544"/>
      <c r="G308" s="544"/>
      <c r="H308" s="544"/>
    </row>
    <row r="309" spans="1:8">
      <c r="A309" s="544"/>
      <c r="B309" s="544"/>
      <c r="C309" s="544"/>
      <c r="D309" s="544"/>
      <c r="E309" s="544"/>
      <c r="F309" s="544"/>
      <c r="G309" s="544"/>
      <c r="H309" s="544"/>
    </row>
    <row r="310" spans="1:8">
      <c r="A310" s="545" t="s">
        <v>799</v>
      </c>
      <c r="B310" s="544"/>
      <c r="C310" s="544"/>
      <c r="D310" s="544"/>
      <c r="E310" s="544"/>
      <c r="F310" s="544"/>
      <c r="G310" s="544"/>
      <c r="H310" s="544"/>
    </row>
    <row r="311" spans="1:8">
      <c r="A311" s="545" t="s">
        <v>800</v>
      </c>
      <c r="B311" s="544"/>
      <c r="C311" s="544"/>
      <c r="D311" s="544"/>
      <c r="E311" s="544"/>
      <c r="F311" s="544"/>
      <c r="G311" s="544"/>
      <c r="H311" s="544"/>
    </row>
    <row r="312" spans="1:8">
      <c r="A312" s="545" t="s">
        <v>801</v>
      </c>
      <c r="B312" s="544"/>
      <c r="C312" s="544"/>
      <c r="D312" s="544"/>
      <c r="E312" s="544"/>
      <c r="F312" s="544"/>
      <c r="G312" s="544"/>
      <c r="H312" s="544"/>
    </row>
    <row r="313" spans="1:8">
      <c r="A313" s="545" t="s">
        <v>802</v>
      </c>
      <c r="B313" s="544"/>
      <c r="C313" s="544"/>
      <c r="D313" s="544"/>
      <c r="E313" s="544"/>
      <c r="F313" s="544"/>
      <c r="G313" s="544"/>
      <c r="H313" s="544"/>
    </row>
    <row r="314" spans="1:8">
      <c r="A314" s="545" t="s">
        <v>803</v>
      </c>
      <c r="B314" s="544"/>
      <c r="C314" s="544"/>
      <c r="D314" s="544"/>
      <c r="E314" s="544"/>
      <c r="F314" s="544"/>
      <c r="G314" s="544"/>
      <c r="H314" s="544"/>
    </row>
    <row r="315" spans="1:8">
      <c r="A315" s="545" t="s">
        <v>804</v>
      </c>
      <c r="B315" s="544"/>
      <c r="C315" s="544"/>
      <c r="D315" s="544"/>
      <c r="E315" s="544"/>
      <c r="F315" s="544"/>
      <c r="G315" s="544"/>
      <c r="H315" s="544"/>
    </row>
    <row r="316" spans="1:8">
      <c r="A316" s="545" t="s">
        <v>805</v>
      </c>
      <c r="B316" s="544"/>
      <c r="C316" s="544"/>
      <c r="D316" s="544"/>
      <c r="E316" s="544"/>
      <c r="F316" s="544"/>
      <c r="G316" s="544"/>
      <c r="H316" s="544"/>
    </row>
    <row r="317" spans="1:8">
      <c r="A317" s="545" t="s">
        <v>806</v>
      </c>
      <c r="B317" s="544"/>
      <c r="C317" s="544"/>
      <c r="D317" s="544"/>
      <c r="E317" s="544"/>
      <c r="F317" s="544"/>
      <c r="G317" s="544"/>
      <c r="H317" s="544"/>
    </row>
    <row r="318" spans="1:8">
      <c r="A318" s="544"/>
      <c r="B318" s="544"/>
      <c r="C318" s="544"/>
      <c r="D318" s="544"/>
      <c r="E318" s="544"/>
      <c r="F318" s="544"/>
      <c r="G318" s="544"/>
      <c r="H318" s="544"/>
    </row>
    <row r="319" spans="1:8">
      <c r="A319" s="545" t="s">
        <v>764</v>
      </c>
      <c r="B319" s="544"/>
      <c r="C319" s="544"/>
      <c r="D319" s="544"/>
      <c r="E319" s="544"/>
      <c r="F319" s="544"/>
      <c r="G319" s="544"/>
      <c r="H319" s="544"/>
    </row>
    <row r="320" spans="1:8">
      <c r="A320" s="545" t="s">
        <v>765</v>
      </c>
      <c r="B320" s="544"/>
      <c r="C320" s="544"/>
      <c r="D320" s="544"/>
      <c r="E320" s="544"/>
      <c r="F320" s="544"/>
      <c r="G320" s="544"/>
      <c r="H320" s="544"/>
    </row>
    <row r="321" spans="1:8">
      <c r="A321" s="545" t="s">
        <v>766</v>
      </c>
      <c r="B321" s="544"/>
      <c r="C321" s="544"/>
      <c r="D321" s="544"/>
      <c r="E321" s="544"/>
      <c r="F321" s="544"/>
      <c r="G321" s="544"/>
      <c r="H321" s="544"/>
    </row>
    <row r="322" spans="1:8">
      <c r="A322" s="545" t="s">
        <v>767</v>
      </c>
      <c r="B322" s="544"/>
      <c r="C322" s="544"/>
      <c r="D322" s="544"/>
      <c r="E322" s="544"/>
      <c r="F322" s="544"/>
      <c r="G322" s="544"/>
      <c r="H322" s="544"/>
    </row>
    <row r="323" spans="1:8">
      <c r="A323" s="545" t="s">
        <v>768</v>
      </c>
      <c r="B323" s="544"/>
      <c r="C323" s="544"/>
      <c r="D323" s="544"/>
      <c r="E323" s="544"/>
      <c r="F323" s="544"/>
      <c r="G323" s="544"/>
      <c r="H323" s="544"/>
    </row>
    <row r="324" spans="1:8">
      <c r="A324" s="545" t="s">
        <v>769</v>
      </c>
      <c r="B324" s="544"/>
      <c r="C324" s="544"/>
      <c r="D324" s="544"/>
      <c r="E324" s="544"/>
      <c r="F324" s="544"/>
      <c r="G324" s="544"/>
      <c r="H324" s="544"/>
    </row>
    <row r="325" spans="1:8">
      <c r="A325" s="545" t="s">
        <v>770</v>
      </c>
      <c r="B325" s="544"/>
      <c r="C325" s="544"/>
      <c r="D325" s="544"/>
      <c r="E325" s="544"/>
      <c r="F325" s="544"/>
      <c r="G325" s="544"/>
      <c r="H325" s="544"/>
    </row>
    <row r="326" spans="1:8">
      <c r="A326" s="545" t="s">
        <v>771</v>
      </c>
      <c r="B326" s="544"/>
      <c r="C326" s="544"/>
      <c r="D326" s="544"/>
      <c r="E326" s="544"/>
      <c r="F326" s="544"/>
      <c r="G326" s="544"/>
      <c r="H326" s="544"/>
    </row>
    <row r="327" spans="1:8">
      <c r="A327" s="545" t="s">
        <v>772</v>
      </c>
      <c r="B327" s="544"/>
      <c r="C327" s="544"/>
      <c r="D327" s="544"/>
      <c r="E327" s="544"/>
      <c r="F327" s="544"/>
      <c r="G327" s="544"/>
      <c r="H327" s="544"/>
    </row>
    <row r="328" spans="1:8">
      <c r="A328" s="545" t="s">
        <v>773</v>
      </c>
      <c r="B328" s="544"/>
      <c r="C328" s="544"/>
      <c r="D328" s="544"/>
      <c r="E328" s="544"/>
      <c r="F328" s="544"/>
      <c r="G328" s="544"/>
      <c r="H328" s="544"/>
    </row>
    <row r="329" spans="1:8">
      <c r="A329" s="545" t="s">
        <v>774</v>
      </c>
      <c r="B329" s="544"/>
      <c r="C329" s="544"/>
      <c r="D329" s="544"/>
      <c r="E329" s="544"/>
      <c r="F329" s="544"/>
      <c r="G329" s="544"/>
      <c r="H329" s="544"/>
    </row>
    <row r="330" spans="1:8">
      <c r="A330" s="545" t="s">
        <v>775</v>
      </c>
      <c r="B330" s="544"/>
      <c r="C330" s="544"/>
      <c r="D330" s="544"/>
      <c r="E330" s="544"/>
      <c r="F330" s="544"/>
      <c r="G330" s="544"/>
      <c r="H330" s="544"/>
    </row>
    <row r="331" spans="1:8">
      <c r="A331" s="545" t="s">
        <v>776</v>
      </c>
      <c r="B331" s="544"/>
      <c r="C331" s="544"/>
      <c r="D331" s="544"/>
      <c r="E331" s="544"/>
      <c r="F331" s="544"/>
      <c r="G331" s="544"/>
      <c r="H331" s="544"/>
    </row>
    <row r="332" spans="1:8">
      <c r="A332" s="545" t="s">
        <v>777</v>
      </c>
      <c r="B332" s="544"/>
      <c r="C332" s="544"/>
      <c r="D332" s="544"/>
      <c r="E332" s="544"/>
      <c r="F332" s="544"/>
      <c r="G332" s="544"/>
      <c r="H332" s="544"/>
    </row>
    <row r="333" spans="1:8">
      <c r="A333" s="545" t="s">
        <v>778</v>
      </c>
      <c r="B333" s="544"/>
      <c r="C333" s="544"/>
      <c r="D333" s="544"/>
      <c r="E333" s="544"/>
      <c r="F333" s="544"/>
      <c r="G333" s="544"/>
      <c r="H333" s="544"/>
    </row>
    <row r="334" spans="1:8">
      <c r="A334" s="545" t="s">
        <v>779</v>
      </c>
      <c r="B334" s="544"/>
      <c r="C334" s="544"/>
      <c r="D334" s="544"/>
      <c r="E334" s="544"/>
      <c r="F334" s="544"/>
      <c r="G334" s="544"/>
      <c r="H334" s="544"/>
    </row>
    <row r="335" spans="1:8">
      <c r="A335" s="545" t="s">
        <v>780</v>
      </c>
      <c r="B335" s="544"/>
      <c r="C335" s="544"/>
      <c r="D335" s="544"/>
      <c r="E335" s="544"/>
      <c r="F335" s="544"/>
      <c r="G335" s="544"/>
      <c r="H335" s="544"/>
    </row>
    <row r="336" spans="1:8">
      <c r="A336" s="545" t="s">
        <v>781</v>
      </c>
      <c r="B336" s="544"/>
      <c r="C336" s="544"/>
      <c r="D336" s="544"/>
      <c r="E336" s="544"/>
      <c r="F336" s="544"/>
      <c r="G336" s="544"/>
      <c r="H336" s="544"/>
    </row>
    <row r="337" spans="1:8">
      <c r="A337" s="545" t="s">
        <v>782</v>
      </c>
      <c r="B337" s="544"/>
      <c r="C337" s="544"/>
      <c r="D337" s="544"/>
      <c r="E337" s="544"/>
      <c r="F337" s="544"/>
      <c r="G337" s="544"/>
      <c r="H337" s="544"/>
    </row>
    <row r="338" spans="1:8">
      <c r="A338" s="545" t="s">
        <v>783</v>
      </c>
      <c r="B338" s="544"/>
      <c r="C338" s="544"/>
      <c r="D338" s="544"/>
      <c r="E338" s="544"/>
      <c r="F338" s="544"/>
      <c r="G338" s="544"/>
      <c r="H338" s="544"/>
    </row>
    <row r="339" spans="1:8">
      <c r="A339" s="545" t="s">
        <v>784</v>
      </c>
      <c r="B339" s="544"/>
      <c r="C339" s="544"/>
      <c r="D339" s="544"/>
      <c r="E339" s="544"/>
      <c r="F339" s="544"/>
      <c r="G339" s="544"/>
      <c r="H339" s="544"/>
    </row>
    <row r="340" spans="1:8">
      <c r="A340" s="545" t="s">
        <v>785</v>
      </c>
      <c r="B340" s="544"/>
      <c r="C340" s="544"/>
      <c r="D340" s="544"/>
      <c r="E340" s="544"/>
      <c r="F340" s="544"/>
      <c r="G340" s="544"/>
      <c r="H340" s="544"/>
    </row>
    <row r="341" spans="1:8">
      <c r="A341" s="545" t="s">
        <v>786</v>
      </c>
      <c r="B341" s="544"/>
      <c r="C341" s="544"/>
      <c r="D341" s="544"/>
      <c r="E341" s="544"/>
      <c r="F341" s="544"/>
      <c r="G341" s="544"/>
      <c r="H341" s="544"/>
    </row>
    <row r="342" spans="1:8">
      <c r="A342" s="545" t="s">
        <v>787</v>
      </c>
      <c r="B342" s="544"/>
      <c r="C342" s="544"/>
      <c r="D342" s="544"/>
      <c r="E342" s="544"/>
      <c r="F342" s="544"/>
      <c r="G342" s="544"/>
      <c r="H342" s="544"/>
    </row>
    <row r="343" spans="1:8">
      <c r="A343" s="545" t="s">
        <v>788</v>
      </c>
      <c r="B343" s="544"/>
      <c r="C343" s="544"/>
      <c r="D343" s="544"/>
      <c r="E343" s="544"/>
      <c r="F343" s="544"/>
      <c r="G343" s="544"/>
      <c r="H343" s="544"/>
    </row>
    <row r="344" spans="1:8">
      <c r="A344" s="545" t="s">
        <v>789</v>
      </c>
      <c r="B344" s="544"/>
      <c r="C344" s="544"/>
      <c r="D344" s="544"/>
      <c r="E344" s="544"/>
      <c r="F344" s="544"/>
      <c r="G344" s="544"/>
      <c r="H344" s="544"/>
    </row>
    <row r="345" spans="1:8">
      <c r="A345" s="545" t="s">
        <v>790</v>
      </c>
      <c r="B345" s="544"/>
      <c r="C345" s="544"/>
      <c r="D345" s="544"/>
      <c r="E345" s="544"/>
      <c r="F345" s="544"/>
      <c r="G345" s="544"/>
      <c r="H345" s="544"/>
    </row>
    <row r="346" spans="1:8">
      <c r="A346" s="545" t="s">
        <v>791</v>
      </c>
      <c r="B346" s="544"/>
      <c r="C346" s="544"/>
      <c r="D346" s="544"/>
      <c r="E346" s="544"/>
      <c r="F346" s="544"/>
      <c r="G346" s="544"/>
      <c r="H346" s="544"/>
    </row>
    <row r="347" spans="1:8">
      <c r="A347" s="545" t="s">
        <v>792</v>
      </c>
      <c r="B347" s="544"/>
      <c r="C347" s="544"/>
      <c r="D347" s="544"/>
      <c r="E347" s="544"/>
      <c r="F347" s="544"/>
      <c r="G347" s="544"/>
      <c r="H347" s="544"/>
    </row>
    <row r="348" spans="1:8">
      <c r="A348" s="545" t="s">
        <v>793</v>
      </c>
      <c r="B348" s="544"/>
      <c r="C348" s="544"/>
      <c r="D348" s="544"/>
      <c r="E348" s="544"/>
      <c r="F348" s="544"/>
      <c r="G348" s="544"/>
      <c r="H348" s="544"/>
    </row>
    <row r="349" spans="1:8">
      <c r="A349" s="545" t="s">
        <v>794</v>
      </c>
      <c r="B349" s="544"/>
      <c r="C349" s="544"/>
      <c r="D349" s="544"/>
      <c r="E349" s="544"/>
      <c r="F349" s="544"/>
      <c r="G349" s="544"/>
      <c r="H349" s="544"/>
    </row>
    <row r="350" spans="1:8">
      <c r="A350" s="545" t="s">
        <v>795</v>
      </c>
      <c r="B350" s="544"/>
      <c r="C350" s="544"/>
      <c r="D350" s="544"/>
      <c r="E350" s="544"/>
      <c r="F350" s="544"/>
      <c r="G350" s="544"/>
      <c r="H350" s="544"/>
    </row>
    <row r="351" spans="1:8">
      <c r="A351" s="545" t="s">
        <v>796</v>
      </c>
      <c r="B351" s="544"/>
      <c r="C351" s="544"/>
      <c r="D351" s="544"/>
      <c r="E351" s="544"/>
      <c r="F351" s="544"/>
      <c r="G351" s="544"/>
      <c r="H351" s="544"/>
    </row>
    <row r="352" spans="1:8">
      <c r="A352" s="545" t="s">
        <v>797</v>
      </c>
      <c r="B352" s="544"/>
      <c r="C352" s="544"/>
      <c r="D352" s="544"/>
      <c r="E352" s="544"/>
      <c r="F352" s="544"/>
      <c r="G352" s="544"/>
      <c r="H352" s="544"/>
    </row>
    <row r="353" spans="1:8">
      <c r="A353" s="545" t="s">
        <v>798</v>
      </c>
      <c r="B353" s="544"/>
      <c r="C353" s="544"/>
      <c r="D353" s="544"/>
      <c r="E353" s="544"/>
      <c r="F353" s="544"/>
      <c r="G353" s="544"/>
      <c r="H353" s="544"/>
    </row>
    <row r="354" spans="1:8">
      <c r="A354" s="544"/>
      <c r="B354" s="544"/>
      <c r="C354" s="544"/>
      <c r="D354" s="544"/>
      <c r="E354" s="544"/>
      <c r="F354" s="544"/>
      <c r="G354" s="544"/>
      <c r="H354" s="544"/>
    </row>
    <row r="355" spans="1:8">
      <c r="A355" s="545" t="s">
        <v>756</v>
      </c>
      <c r="B355" s="544"/>
      <c r="C355" s="544"/>
      <c r="D355" s="544"/>
      <c r="E355" s="544"/>
      <c r="F355" s="544"/>
      <c r="G355" s="544"/>
      <c r="H355" s="544"/>
    </row>
    <row r="356" spans="1:8">
      <c r="A356" s="545" t="s">
        <v>760</v>
      </c>
      <c r="B356" s="544"/>
      <c r="C356" s="544"/>
      <c r="D356" s="544"/>
      <c r="E356" s="544"/>
      <c r="F356" s="544"/>
      <c r="G356" s="544"/>
      <c r="H356" s="544"/>
    </row>
    <row r="357" spans="1:8">
      <c r="A357" s="545" t="s">
        <v>761</v>
      </c>
      <c r="B357" s="544"/>
      <c r="C357" s="544"/>
      <c r="D357" s="544"/>
      <c r="E357" s="544"/>
      <c r="F357" s="544"/>
      <c r="G357" s="544"/>
      <c r="H357" s="544"/>
    </row>
    <row r="358" spans="1:8">
      <c r="A358" s="545" t="s">
        <v>762</v>
      </c>
      <c r="B358" s="544"/>
      <c r="C358" s="544"/>
      <c r="D358" s="544"/>
      <c r="E358" s="544"/>
      <c r="F358" s="544"/>
      <c r="G358" s="544"/>
      <c r="H358" s="544"/>
    </row>
    <row r="359" spans="1:8">
      <c r="A359" s="545" t="s">
        <v>763</v>
      </c>
      <c r="B359" s="544"/>
      <c r="C359" s="544"/>
      <c r="D359" s="544"/>
      <c r="E359" s="544"/>
      <c r="F359" s="544"/>
      <c r="G359" s="544"/>
      <c r="H359" s="544"/>
    </row>
    <row r="360" spans="1:8">
      <c r="A360" s="544"/>
      <c r="B360" s="544"/>
      <c r="C360" s="544"/>
      <c r="D360" s="544"/>
      <c r="E360" s="544"/>
      <c r="F360" s="544"/>
      <c r="G360" s="544"/>
      <c r="H360" s="544"/>
    </row>
    <row r="361" spans="1:8">
      <c r="A361" s="545" t="s">
        <v>756</v>
      </c>
      <c r="B361" s="544"/>
      <c r="C361" s="544"/>
      <c r="D361" s="544"/>
      <c r="E361" s="544"/>
      <c r="F361" s="544"/>
      <c r="G361" s="544"/>
      <c r="H361" s="544"/>
    </row>
    <row r="362" spans="1:8">
      <c r="A362" s="545" t="s">
        <v>757</v>
      </c>
      <c r="B362" s="544"/>
      <c r="C362" s="544"/>
      <c r="D362" s="544"/>
      <c r="E362" s="544"/>
      <c r="F362" s="544"/>
      <c r="G362" s="544"/>
      <c r="H362" s="544"/>
    </row>
    <row r="363" spans="1:8">
      <c r="A363" s="545" t="s">
        <v>758</v>
      </c>
      <c r="B363" s="544"/>
      <c r="C363" s="544"/>
      <c r="D363" s="544"/>
      <c r="E363" s="544"/>
      <c r="F363" s="544"/>
      <c r="G363" s="544"/>
      <c r="H363" s="544"/>
    </row>
    <row r="364" spans="1:8">
      <c r="A364" s="545" t="s">
        <v>759</v>
      </c>
      <c r="B364" s="544"/>
      <c r="C364" s="544"/>
      <c r="D364" s="544"/>
      <c r="E364" s="544"/>
      <c r="F364" s="544"/>
      <c r="G364" s="544"/>
      <c r="H364" s="544"/>
    </row>
    <row r="365" spans="1:8">
      <c r="A365" s="544"/>
      <c r="B365" s="544"/>
      <c r="C365" s="544"/>
      <c r="D365" s="544"/>
      <c r="E365" s="544"/>
      <c r="F365" s="544"/>
      <c r="G365" s="544"/>
      <c r="H365" s="544"/>
    </row>
    <row r="366" spans="1:8">
      <c r="A366" s="545" t="s">
        <v>750</v>
      </c>
      <c r="B366" s="544"/>
      <c r="C366" s="544"/>
      <c r="D366" s="544"/>
      <c r="E366" s="544"/>
      <c r="F366" s="544"/>
      <c r="G366" s="544"/>
      <c r="H366" s="544"/>
    </row>
    <row r="367" spans="1:8">
      <c r="A367" s="545" t="s">
        <v>751</v>
      </c>
      <c r="B367" s="544"/>
      <c r="C367" s="544"/>
      <c r="D367" s="544"/>
      <c r="E367" s="544"/>
      <c r="F367" s="544"/>
      <c r="G367" s="544"/>
      <c r="H367" s="544"/>
    </row>
    <row r="368" spans="1:8">
      <c r="A368" s="545" t="s">
        <v>752</v>
      </c>
      <c r="B368" s="544"/>
      <c r="C368" s="544"/>
      <c r="D368" s="544"/>
      <c r="E368" s="544"/>
      <c r="F368" s="544"/>
      <c r="G368" s="544"/>
      <c r="H368" s="544"/>
    </row>
    <row r="369" spans="1:8">
      <c r="A369" s="545" t="s">
        <v>753</v>
      </c>
      <c r="B369" s="544"/>
      <c r="C369" s="544"/>
      <c r="D369" s="544"/>
      <c r="E369" s="544"/>
      <c r="F369" s="544"/>
      <c r="G369" s="544"/>
      <c r="H369" s="544"/>
    </row>
    <row r="370" spans="1:8">
      <c r="A370" s="545" t="s">
        <v>754</v>
      </c>
      <c r="B370" s="544"/>
      <c r="C370" s="544"/>
      <c r="D370" s="544"/>
      <c r="E370" s="544"/>
      <c r="F370" s="544"/>
      <c r="G370" s="544"/>
      <c r="H370" s="544"/>
    </row>
    <row r="371" spans="1:8">
      <c r="A371" s="545" t="s">
        <v>755</v>
      </c>
      <c r="B371" s="544"/>
      <c r="C371" s="544"/>
      <c r="D371" s="544"/>
      <c r="E371" s="544"/>
      <c r="F371" s="544"/>
      <c r="G371" s="544"/>
      <c r="H371" s="544"/>
    </row>
    <row r="372" spans="1:8">
      <c r="A372" s="544"/>
      <c r="B372" s="544"/>
      <c r="C372" s="544"/>
      <c r="D372" s="544"/>
      <c r="E372" s="544"/>
      <c r="F372" s="544"/>
      <c r="G372" s="544"/>
      <c r="H372" s="544"/>
    </row>
    <row r="373" spans="1:8">
      <c r="A373" s="545" t="s">
        <v>745</v>
      </c>
      <c r="B373" s="544"/>
      <c r="C373" s="544"/>
      <c r="D373" s="544"/>
      <c r="E373" s="544"/>
      <c r="F373" s="544"/>
      <c r="G373" s="544"/>
      <c r="H373" s="544"/>
    </row>
    <row r="374" spans="1:8">
      <c r="A374" s="545" t="s">
        <v>746</v>
      </c>
      <c r="B374" s="544"/>
      <c r="C374" s="544"/>
      <c r="D374" s="544"/>
      <c r="E374" s="544"/>
      <c r="F374" s="544"/>
      <c r="G374" s="544"/>
      <c r="H374" s="544"/>
    </row>
    <row r="375" spans="1:8">
      <c r="A375" s="545" t="s">
        <v>747</v>
      </c>
      <c r="B375" s="544"/>
      <c r="C375" s="544"/>
      <c r="D375" s="544"/>
      <c r="E375" s="544"/>
      <c r="F375" s="544"/>
      <c r="G375" s="544"/>
      <c r="H375" s="544"/>
    </row>
    <row r="376" spans="1:8">
      <c r="A376" s="545" t="s">
        <v>748</v>
      </c>
      <c r="B376" s="544"/>
      <c r="C376" s="544"/>
      <c r="D376" s="544"/>
      <c r="E376" s="544"/>
      <c r="F376" s="544"/>
      <c r="G376" s="544"/>
      <c r="H376" s="544"/>
    </row>
    <row r="377" spans="1:8">
      <c r="A377" s="545" t="s">
        <v>749</v>
      </c>
      <c r="B377" s="544"/>
      <c r="C377" s="544"/>
      <c r="D377" s="544"/>
      <c r="E377" s="544"/>
      <c r="F377" s="544"/>
      <c r="G377" s="544"/>
      <c r="H377" s="544"/>
    </row>
    <row r="378" spans="1:8">
      <c r="A378" s="544"/>
      <c r="B378" s="544"/>
      <c r="C378" s="544"/>
      <c r="D378" s="544"/>
      <c r="E378" s="544"/>
      <c r="F378" s="544"/>
      <c r="G378" s="544"/>
      <c r="H378" s="544"/>
    </row>
    <row r="379" spans="1:8">
      <c r="A379" s="545" t="s">
        <v>743</v>
      </c>
      <c r="B379" s="544"/>
      <c r="C379" s="544"/>
      <c r="D379" s="544"/>
      <c r="E379" s="544"/>
      <c r="F379" s="544"/>
      <c r="G379" s="544"/>
      <c r="H379" s="544"/>
    </row>
    <row r="380" spans="1:8">
      <c r="A380" s="545" t="s">
        <v>744</v>
      </c>
      <c r="B380" s="544"/>
      <c r="C380" s="544"/>
      <c r="D380" s="544"/>
      <c r="E380" s="544"/>
      <c r="F380" s="544"/>
      <c r="G380" s="544"/>
      <c r="H380" s="544"/>
    </row>
    <row r="382" spans="1:8">
      <c r="A382" s="540" t="s">
        <v>993</v>
      </c>
    </row>
  </sheetData>
  <mergeCells count="12">
    <mergeCell ref="A105:H105"/>
    <mergeCell ref="A112:H112"/>
    <mergeCell ref="A99:H99"/>
    <mergeCell ref="A100:H100"/>
    <mergeCell ref="A101:H101"/>
    <mergeCell ref="A102:H102"/>
    <mergeCell ref="A104:H104"/>
    <mergeCell ref="A120:H120"/>
    <mergeCell ref="A121:H121"/>
    <mergeCell ref="B113:C113"/>
    <mergeCell ref="D113:F113"/>
    <mergeCell ref="G113:H113"/>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B11"/>
  <sheetViews>
    <sheetView showGridLines="0" showRowColHeaders="0" workbookViewId="0">
      <selection activeCell="N1" sqref="N1"/>
    </sheetView>
  </sheetViews>
  <sheetFormatPr defaultRowHeight="12.75"/>
  <cols>
    <col min="1" max="1" width="9.140625" style="3"/>
    <col min="2" max="2" width="88.28515625" style="3" customWidth="1"/>
    <col min="3" max="257" width="9.140625" style="3"/>
    <col min="258" max="258" width="88.28515625" style="3" customWidth="1"/>
    <col min="259" max="513" width="9.140625" style="3"/>
    <col min="514" max="514" width="88.28515625" style="3" customWidth="1"/>
    <col min="515" max="769" width="9.140625" style="3"/>
    <col min="770" max="770" width="88.28515625" style="3" customWidth="1"/>
    <col min="771" max="1025" width="9.140625" style="3"/>
    <col min="1026" max="1026" width="88.28515625" style="3" customWidth="1"/>
    <col min="1027" max="1281" width="9.140625" style="3"/>
    <col min="1282" max="1282" width="88.28515625" style="3" customWidth="1"/>
    <col min="1283" max="1537" width="9.140625" style="3"/>
    <col min="1538" max="1538" width="88.28515625" style="3" customWidth="1"/>
    <col min="1539" max="1793" width="9.140625" style="3"/>
    <col min="1794" max="1794" width="88.28515625" style="3" customWidth="1"/>
    <col min="1795" max="2049" width="9.140625" style="3"/>
    <col min="2050" max="2050" width="88.28515625" style="3" customWidth="1"/>
    <col min="2051" max="2305" width="9.140625" style="3"/>
    <col min="2306" max="2306" width="88.28515625" style="3" customWidth="1"/>
    <col min="2307" max="2561" width="9.140625" style="3"/>
    <col min="2562" max="2562" width="88.28515625" style="3" customWidth="1"/>
    <col min="2563" max="2817" width="9.140625" style="3"/>
    <col min="2818" max="2818" width="88.28515625" style="3" customWidth="1"/>
    <col min="2819" max="3073" width="9.140625" style="3"/>
    <col min="3074" max="3074" width="88.28515625" style="3" customWidth="1"/>
    <col min="3075" max="3329" width="9.140625" style="3"/>
    <col min="3330" max="3330" width="88.28515625" style="3" customWidth="1"/>
    <col min="3331" max="3585" width="9.140625" style="3"/>
    <col min="3586" max="3586" width="88.28515625" style="3" customWidth="1"/>
    <col min="3587" max="3841" width="9.140625" style="3"/>
    <col min="3842" max="3842" width="88.28515625" style="3" customWidth="1"/>
    <col min="3843" max="4097" width="9.140625" style="3"/>
    <col min="4098" max="4098" width="88.28515625" style="3" customWidth="1"/>
    <col min="4099" max="4353" width="9.140625" style="3"/>
    <col min="4354" max="4354" width="88.28515625" style="3" customWidth="1"/>
    <col min="4355" max="4609" width="9.140625" style="3"/>
    <col min="4610" max="4610" width="88.28515625" style="3" customWidth="1"/>
    <col min="4611" max="4865" width="9.140625" style="3"/>
    <col min="4866" max="4866" width="88.28515625" style="3" customWidth="1"/>
    <col min="4867" max="5121" width="9.140625" style="3"/>
    <col min="5122" max="5122" width="88.28515625" style="3" customWidth="1"/>
    <col min="5123" max="5377" width="9.140625" style="3"/>
    <col min="5378" max="5378" width="88.28515625" style="3" customWidth="1"/>
    <col min="5379" max="5633" width="9.140625" style="3"/>
    <col min="5634" max="5634" width="88.28515625" style="3" customWidth="1"/>
    <col min="5635" max="5889" width="9.140625" style="3"/>
    <col min="5890" max="5890" width="88.28515625" style="3" customWidth="1"/>
    <col min="5891" max="6145" width="9.140625" style="3"/>
    <col min="6146" max="6146" width="88.28515625" style="3" customWidth="1"/>
    <col min="6147" max="6401" width="9.140625" style="3"/>
    <col min="6402" max="6402" width="88.28515625" style="3" customWidth="1"/>
    <col min="6403" max="6657" width="9.140625" style="3"/>
    <col min="6658" max="6658" width="88.28515625" style="3" customWidth="1"/>
    <col min="6659" max="6913" width="9.140625" style="3"/>
    <col min="6914" max="6914" width="88.28515625" style="3" customWidth="1"/>
    <col min="6915" max="7169" width="9.140625" style="3"/>
    <col min="7170" max="7170" width="88.28515625" style="3" customWidth="1"/>
    <col min="7171" max="7425" width="9.140625" style="3"/>
    <col min="7426" max="7426" width="88.28515625" style="3" customWidth="1"/>
    <col min="7427" max="7681" width="9.140625" style="3"/>
    <col min="7682" max="7682" width="88.28515625" style="3" customWidth="1"/>
    <col min="7683" max="7937" width="9.140625" style="3"/>
    <col min="7938" max="7938" width="88.28515625" style="3" customWidth="1"/>
    <col min="7939" max="8193" width="9.140625" style="3"/>
    <col min="8194" max="8194" width="88.28515625" style="3" customWidth="1"/>
    <col min="8195" max="8449" width="9.140625" style="3"/>
    <col min="8450" max="8450" width="88.28515625" style="3" customWidth="1"/>
    <col min="8451" max="8705" width="9.140625" style="3"/>
    <col min="8706" max="8706" width="88.28515625" style="3" customWidth="1"/>
    <col min="8707" max="8961" width="9.140625" style="3"/>
    <col min="8962" max="8962" width="88.28515625" style="3" customWidth="1"/>
    <col min="8963" max="9217" width="9.140625" style="3"/>
    <col min="9218" max="9218" width="88.28515625" style="3" customWidth="1"/>
    <col min="9219" max="9473" width="9.140625" style="3"/>
    <col min="9474" max="9474" width="88.28515625" style="3" customWidth="1"/>
    <col min="9475" max="9729" width="9.140625" style="3"/>
    <col min="9730" max="9730" width="88.28515625" style="3" customWidth="1"/>
    <col min="9731" max="9985" width="9.140625" style="3"/>
    <col min="9986" max="9986" width="88.28515625" style="3" customWidth="1"/>
    <col min="9987" max="10241" width="9.140625" style="3"/>
    <col min="10242" max="10242" width="88.28515625" style="3" customWidth="1"/>
    <col min="10243" max="10497" width="9.140625" style="3"/>
    <col min="10498" max="10498" width="88.28515625" style="3" customWidth="1"/>
    <col min="10499" max="10753" width="9.140625" style="3"/>
    <col min="10754" max="10754" width="88.28515625" style="3" customWidth="1"/>
    <col min="10755" max="11009" width="9.140625" style="3"/>
    <col min="11010" max="11010" width="88.28515625" style="3" customWidth="1"/>
    <col min="11011" max="11265" width="9.140625" style="3"/>
    <col min="11266" max="11266" width="88.28515625" style="3" customWidth="1"/>
    <col min="11267" max="11521" width="9.140625" style="3"/>
    <col min="11522" max="11522" width="88.28515625" style="3" customWidth="1"/>
    <col min="11523" max="11777" width="9.140625" style="3"/>
    <col min="11778" max="11778" width="88.28515625" style="3" customWidth="1"/>
    <col min="11779" max="12033" width="9.140625" style="3"/>
    <col min="12034" max="12034" width="88.28515625" style="3" customWidth="1"/>
    <col min="12035" max="12289" width="9.140625" style="3"/>
    <col min="12290" max="12290" width="88.28515625" style="3" customWidth="1"/>
    <col min="12291" max="12545" width="9.140625" style="3"/>
    <col min="12546" max="12546" width="88.28515625" style="3" customWidth="1"/>
    <col min="12547" max="12801" width="9.140625" style="3"/>
    <col min="12802" max="12802" width="88.28515625" style="3" customWidth="1"/>
    <col min="12803" max="13057" width="9.140625" style="3"/>
    <col min="13058" max="13058" width="88.28515625" style="3" customWidth="1"/>
    <col min="13059" max="13313" width="9.140625" style="3"/>
    <col min="13314" max="13314" width="88.28515625" style="3" customWidth="1"/>
    <col min="13315" max="13569" width="9.140625" style="3"/>
    <col min="13570" max="13570" width="88.28515625" style="3" customWidth="1"/>
    <col min="13571" max="13825" width="9.140625" style="3"/>
    <col min="13826" max="13826" width="88.28515625" style="3" customWidth="1"/>
    <col min="13827" max="14081" width="9.140625" style="3"/>
    <col min="14082" max="14082" width="88.28515625" style="3" customWidth="1"/>
    <col min="14083" max="14337" width="9.140625" style="3"/>
    <col min="14338" max="14338" width="88.28515625" style="3" customWidth="1"/>
    <col min="14339" max="14593" width="9.140625" style="3"/>
    <col min="14594" max="14594" width="88.28515625" style="3" customWidth="1"/>
    <col min="14595" max="14849" width="9.140625" style="3"/>
    <col min="14850" max="14850" width="88.28515625" style="3" customWidth="1"/>
    <col min="14851" max="15105" width="9.140625" style="3"/>
    <col min="15106" max="15106" width="88.28515625" style="3" customWidth="1"/>
    <col min="15107" max="15361" width="9.140625" style="3"/>
    <col min="15362" max="15362" width="88.28515625" style="3" customWidth="1"/>
    <col min="15363" max="15617" width="9.140625" style="3"/>
    <col min="15618" max="15618" width="88.28515625" style="3" customWidth="1"/>
    <col min="15619" max="15873" width="9.140625" style="3"/>
    <col min="15874" max="15874" width="88.28515625" style="3" customWidth="1"/>
    <col min="15875" max="16129" width="9.140625" style="3"/>
    <col min="16130" max="16130" width="88.28515625" style="3" customWidth="1"/>
    <col min="16131" max="16384" width="9.140625" style="3"/>
  </cols>
  <sheetData>
    <row r="1" spans="2:2" ht="32.25" customHeight="1"/>
    <row r="2" spans="2:2" ht="72" hidden="1">
      <c r="B2" s="556" t="s">
        <v>1060</v>
      </c>
    </row>
    <row r="3" spans="2:2" ht="72">
      <c r="B3" s="556" t="s">
        <v>1061</v>
      </c>
    </row>
    <row r="4" spans="2:2" ht="18" hidden="1">
      <c r="B4" s="556"/>
    </row>
    <row r="5" spans="2:2" ht="54" hidden="1">
      <c r="B5" s="556" t="s">
        <v>1062</v>
      </c>
    </row>
    <row r="6" spans="2:2" ht="7.5" customHeight="1">
      <c r="B6" s="556"/>
    </row>
    <row r="7" spans="2:2" ht="18">
      <c r="B7" s="557" t="s">
        <v>1063</v>
      </c>
    </row>
    <row r="8" spans="2:2" ht="18">
      <c r="B8" s="557" t="s">
        <v>1065</v>
      </c>
    </row>
    <row r="9" spans="2:2" ht="18">
      <c r="B9" s="557" t="s">
        <v>1066</v>
      </c>
    </row>
    <row r="10" spans="2:2" ht="18">
      <c r="B10" s="558"/>
    </row>
    <row r="11" spans="2:2" ht="54">
      <c r="B11" s="559" t="s">
        <v>1064</v>
      </c>
    </row>
  </sheetData>
  <dataConsolidate/>
  <pageMargins left="0.75" right="0.75" top="1" bottom="1" header="0.5" footer="0.5"/>
  <pageSetup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
  <sheetViews>
    <sheetView workbookViewId="0">
      <selection activeCell="G12" sqref="G12"/>
    </sheetView>
  </sheetViews>
  <sheetFormatPr defaultRowHeight="12.75"/>
  <cols>
    <col min="1" max="16384" width="9.140625" style="4"/>
  </cols>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sheetPr>
  <dimension ref="A1:BY398"/>
  <sheetViews>
    <sheetView zoomScale="85" zoomScaleNormal="85" workbookViewId="0">
      <pane xSplit="5" ySplit="2" topLeftCell="F3" activePane="bottomRight" state="frozen"/>
      <selection activeCell="P106" activeCellId="3" sqref="P97 P99 P101:P102 P106"/>
      <selection pane="topRight" activeCell="P106" activeCellId="3" sqref="P97 P99 P101:P102 P106"/>
      <selection pane="bottomLeft" activeCell="P106" activeCellId="3" sqref="P97 P99 P101:P102 P106"/>
      <selection pane="bottomRight" activeCell="F3" sqref="F3"/>
    </sheetView>
  </sheetViews>
  <sheetFormatPr defaultRowHeight="12.75" outlineLevelRow="1" outlineLevelCol="1"/>
  <cols>
    <col min="1" max="1" width="1.7109375" style="5" customWidth="1"/>
    <col min="2" max="3" width="10.5703125" style="5" customWidth="1"/>
    <col min="4" max="6" width="9.140625" style="5"/>
    <col min="7" max="12" width="10.7109375" style="5" hidden="1" customWidth="1" outlineLevel="1"/>
    <col min="13" max="13" width="10.7109375" style="5" customWidth="1" collapsed="1"/>
    <col min="14" max="21" width="10.7109375" style="5" customWidth="1"/>
    <col min="22" max="22" width="9.140625" style="5"/>
    <col min="23" max="46" width="9.140625" style="5" hidden="1" customWidth="1" outlineLevel="1"/>
    <col min="47" max="47" width="10" style="5" bestFit="1" customWidth="1" collapsed="1"/>
    <col min="48" max="55" width="9.28515625" style="5" bestFit="1" customWidth="1"/>
    <col min="56" max="56" width="9.140625" style="5" customWidth="1"/>
    <col min="57" max="66" width="9.28515625" style="5" bestFit="1" customWidth="1"/>
    <col min="67" max="70" width="9.28515625" style="5" customWidth="1"/>
    <col min="71" max="73" width="9.140625" style="5"/>
    <col min="74" max="74" width="9.85546875" style="5" bestFit="1" customWidth="1"/>
    <col min="75" max="16384" width="9.140625" style="5"/>
  </cols>
  <sheetData>
    <row r="1" spans="1:73">
      <c r="A1" s="5" t="s">
        <v>150</v>
      </c>
      <c r="B1" s="19" t="s">
        <v>253</v>
      </c>
      <c r="C1" s="19"/>
      <c r="D1" s="19"/>
      <c r="E1" s="19"/>
      <c r="F1" s="19"/>
      <c r="G1" s="19"/>
      <c r="H1" s="19"/>
      <c r="I1" s="19"/>
      <c r="J1" s="19"/>
      <c r="K1" s="20"/>
      <c r="L1" s="20"/>
      <c r="M1" s="20"/>
      <c r="N1" s="20"/>
      <c r="O1" s="20"/>
      <c r="P1" s="20"/>
      <c r="Q1" s="20"/>
      <c r="R1" s="20"/>
      <c r="S1" s="20"/>
      <c r="T1" s="20"/>
      <c r="U1" s="20" t="s">
        <v>187</v>
      </c>
      <c r="W1" s="19" t="s">
        <v>254</v>
      </c>
      <c r="X1" s="19"/>
      <c r="Y1" s="19"/>
      <c r="Z1" s="19"/>
      <c r="AA1" s="19"/>
      <c r="AB1" s="19"/>
      <c r="AC1" s="19"/>
      <c r="AD1" s="19"/>
      <c r="AE1" s="20"/>
      <c r="AF1" s="20"/>
      <c r="AG1" s="20"/>
      <c r="AH1" s="20"/>
      <c r="AI1" s="20"/>
      <c r="AJ1" s="20"/>
      <c r="AK1" s="20"/>
      <c r="AL1" s="20"/>
      <c r="AM1" s="20"/>
      <c r="AN1" s="20"/>
      <c r="AO1" s="20"/>
      <c r="AP1" s="20"/>
      <c r="AQ1" s="20"/>
      <c r="AR1" s="20"/>
      <c r="AS1" s="20"/>
      <c r="AT1" s="20"/>
      <c r="AU1" s="19" t="s">
        <v>254</v>
      </c>
      <c r="AV1" s="20"/>
      <c r="AW1" s="20"/>
      <c r="AX1" s="20"/>
      <c r="AY1" s="20"/>
      <c r="AZ1" s="20"/>
      <c r="BA1" s="20"/>
      <c r="BB1" s="20"/>
      <c r="BC1" s="20"/>
      <c r="BD1" s="20"/>
      <c r="BE1" s="20"/>
      <c r="BF1" s="20"/>
      <c r="BG1" s="20"/>
      <c r="BH1" s="20"/>
      <c r="BI1" s="20"/>
      <c r="BJ1" s="20"/>
      <c r="BK1" s="20"/>
      <c r="BL1" s="20"/>
      <c r="BM1" s="20"/>
      <c r="BN1" s="20"/>
      <c r="BO1" s="20"/>
      <c r="BP1" s="20"/>
      <c r="BQ1" s="20"/>
      <c r="BR1" s="20" t="s">
        <v>187</v>
      </c>
    </row>
    <row r="2" spans="1:73">
      <c r="B2" s="21"/>
      <c r="C2" s="21"/>
      <c r="D2" s="21"/>
      <c r="E2" s="21"/>
      <c r="F2" s="21"/>
      <c r="G2" s="9">
        <v>2007</v>
      </c>
      <c r="H2" s="9">
        <f>+G2+1</f>
        <v>2008</v>
      </c>
      <c r="I2" s="9">
        <f>+H2+1</f>
        <v>2009</v>
      </c>
      <c r="J2" s="9">
        <f>+I2+1</f>
        <v>2010</v>
      </c>
      <c r="K2" s="9">
        <v>2011</v>
      </c>
      <c r="L2" s="9">
        <f t="shared" ref="L2:U2" si="0">+K2+1</f>
        <v>2012</v>
      </c>
      <c r="M2" s="9">
        <f t="shared" si="0"/>
        <v>2013</v>
      </c>
      <c r="N2" s="9">
        <f t="shared" si="0"/>
        <v>2014</v>
      </c>
      <c r="O2" s="9">
        <f t="shared" si="0"/>
        <v>2015</v>
      </c>
      <c r="P2" s="9">
        <f t="shared" si="0"/>
        <v>2016</v>
      </c>
      <c r="Q2" s="9">
        <f t="shared" si="0"/>
        <v>2017</v>
      </c>
      <c r="R2" s="10">
        <f t="shared" si="0"/>
        <v>2018</v>
      </c>
      <c r="S2" s="10">
        <f t="shared" si="0"/>
        <v>2019</v>
      </c>
      <c r="T2" s="10">
        <f t="shared" si="0"/>
        <v>2020</v>
      </c>
      <c r="U2" s="10">
        <f t="shared" si="0"/>
        <v>2021</v>
      </c>
      <c r="W2" s="31" t="s">
        <v>183</v>
      </c>
      <c r="X2" s="31" t="s">
        <v>184</v>
      </c>
      <c r="Y2" s="31" t="s">
        <v>185</v>
      </c>
      <c r="Z2" s="31" t="s">
        <v>186</v>
      </c>
      <c r="AA2" s="31" t="s">
        <v>151</v>
      </c>
      <c r="AB2" s="31" t="s">
        <v>152</v>
      </c>
      <c r="AC2" s="31" t="s">
        <v>153</v>
      </c>
      <c r="AD2" s="31" t="s">
        <v>154</v>
      </c>
      <c r="AE2" s="31" t="s">
        <v>111</v>
      </c>
      <c r="AF2" s="31" t="s">
        <v>112</v>
      </c>
      <c r="AG2" s="31" t="s">
        <v>3</v>
      </c>
      <c r="AH2" s="31" t="s">
        <v>155</v>
      </c>
      <c r="AI2" s="31" t="s">
        <v>156</v>
      </c>
      <c r="AJ2" s="31" t="s">
        <v>157</v>
      </c>
      <c r="AK2" s="31" t="s">
        <v>158</v>
      </c>
      <c r="AL2" s="31" t="s">
        <v>159</v>
      </c>
      <c r="AM2" s="31" t="s">
        <v>160</v>
      </c>
      <c r="AN2" s="31" t="s">
        <v>161</v>
      </c>
      <c r="AO2" s="31" t="s">
        <v>162</v>
      </c>
      <c r="AP2" s="31" t="s">
        <v>163</v>
      </c>
      <c r="AQ2" s="31" t="s">
        <v>164</v>
      </c>
      <c r="AR2" s="31" t="s">
        <v>165</v>
      </c>
      <c r="AS2" s="31" t="s">
        <v>166</v>
      </c>
      <c r="AT2" s="31" t="s">
        <v>167</v>
      </c>
      <c r="AU2" s="31" t="s">
        <v>168</v>
      </c>
      <c r="AV2" s="31" t="s">
        <v>169</v>
      </c>
      <c r="AW2" s="31" t="s">
        <v>170</v>
      </c>
      <c r="AX2" s="31" t="s">
        <v>171</v>
      </c>
      <c r="AY2" s="31" t="s">
        <v>172</v>
      </c>
      <c r="AZ2" s="31" t="s">
        <v>173</v>
      </c>
      <c r="BA2" s="31" t="s">
        <v>145</v>
      </c>
      <c r="BB2" s="31" t="s">
        <v>19</v>
      </c>
      <c r="BC2" s="31" t="s">
        <v>20</v>
      </c>
      <c r="BD2" s="31" t="s">
        <v>21</v>
      </c>
      <c r="BE2" s="31" t="s">
        <v>22</v>
      </c>
      <c r="BF2" s="31" t="s">
        <v>23</v>
      </c>
      <c r="BG2" s="31" t="s">
        <v>243</v>
      </c>
      <c r="BH2" s="31" t="s">
        <v>244</v>
      </c>
      <c r="BI2" s="31" t="s">
        <v>245</v>
      </c>
      <c r="BJ2" s="31" t="s">
        <v>246</v>
      </c>
      <c r="BK2" s="31" t="s">
        <v>248</v>
      </c>
      <c r="BL2" s="31" t="s">
        <v>249</v>
      </c>
      <c r="BM2" s="31" t="s">
        <v>250</v>
      </c>
      <c r="BN2" s="31" t="s">
        <v>251</v>
      </c>
      <c r="BO2" s="32" t="s">
        <v>562</v>
      </c>
      <c r="BP2" s="32" t="s">
        <v>563</v>
      </c>
      <c r="BQ2" s="32" t="s">
        <v>564</v>
      </c>
      <c r="BR2" s="32" t="s">
        <v>565</v>
      </c>
    </row>
    <row r="3" spans="1:73">
      <c r="A3" s="5" t="s">
        <v>150</v>
      </c>
      <c r="B3" s="33" t="s">
        <v>174</v>
      </c>
      <c r="C3" s="28"/>
      <c r="D3" s="28"/>
      <c r="E3" s="28"/>
      <c r="F3" s="28"/>
      <c r="G3" s="28"/>
      <c r="H3" s="28"/>
      <c r="I3" s="28"/>
      <c r="J3" s="28"/>
      <c r="K3" s="28"/>
      <c r="L3" s="28"/>
      <c r="M3" s="28"/>
      <c r="N3" s="28"/>
      <c r="O3" s="28"/>
      <c r="P3" s="28"/>
      <c r="Q3" s="28"/>
      <c r="R3" s="28"/>
      <c r="S3" s="28"/>
      <c r="T3" s="28"/>
      <c r="U3" s="28"/>
      <c r="V3" s="28"/>
      <c r="W3" s="33"/>
      <c r="X3" s="33"/>
      <c r="Y3" s="33"/>
      <c r="Z3" s="33"/>
      <c r="AA3" s="33"/>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row>
    <row r="4" spans="1:73" s="34" customFormat="1">
      <c r="B4" s="35" t="s">
        <v>252</v>
      </c>
      <c r="G4" s="348">
        <f t="shared" ref="G4:T4" si="1">+G32</f>
        <v>845.1</v>
      </c>
      <c r="H4" s="348">
        <f t="shared" si="1"/>
        <v>1275.4000000000001</v>
      </c>
      <c r="I4" s="348">
        <f t="shared" si="1"/>
        <v>963.80000000000007</v>
      </c>
      <c r="J4" s="348">
        <f t="shared" si="1"/>
        <v>1036.6000000000001</v>
      </c>
      <c r="K4" s="348">
        <f t="shared" si="1"/>
        <v>1389.1000000000001</v>
      </c>
      <c r="L4" s="348">
        <f t="shared" si="1"/>
        <v>1567.1</v>
      </c>
      <c r="M4" s="348">
        <f t="shared" si="1"/>
        <v>1737.3999999999999</v>
      </c>
      <c r="N4" s="348">
        <f t="shared" si="1"/>
        <v>1502.8000000000002</v>
      </c>
      <c r="O4" s="348">
        <f t="shared" si="1"/>
        <v>1713.4</v>
      </c>
      <c r="P4" s="348">
        <f t="shared" si="1"/>
        <v>2999.2999999999997</v>
      </c>
      <c r="Q4" s="348">
        <f t="shared" si="1"/>
        <v>3500.7999999999997</v>
      </c>
      <c r="R4" s="348">
        <f t="shared" si="1"/>
        <v>3891.6333679772897</v>
      </c>
      <c r="S4" s="348">
        <f t="shared" si="1"/>
        <v>4039.6473068631344</v>
      </c>
      <c r="T4" s="348">
        <f t="shared" si="1"/>
        <v>4237.4068504669003</v>
      </c>
      <c r="U4" s="348">
        <f>+U32</f>
        <v>4392.4933710480682</v>
      </c>
      <c r="V4" s="495"/>
      <c r="W4" s="348">
        <f t="shared" ref="W4:BN4" si="2">+W32</f>
        <v>155.30000000000001</v>
      </c>
      <c r="X4" s="348">
        <f t="shared" si="2"/>
        <v>166.4</v>
      </c>
      <c r="Y4" s="348">
        <f t="shared" si="2"/>
        <v>221.3</v>
      </c>
      <c r="Z4" s="348">
        <f t="shared" si="2"/>
        <v>302.10000000000002</v>
      </c>
      <c r="AA4" s="348">
        <f t="shared" si="2"/>
        <v>288.3</v>
      </c>
      <c r="AB4" s="348">
        <f t="shared" si="2"/>
        <v>312.2</v>
      </c>
      <c r="AC4" s="348">
        <f t="shared" si="2"/>
        <v>362.1</v>
      </c>
      <c r="AD4" s="348">
        <f t="shared" si="2"/>
        <v>312.8</v>
      </c>
      <c r="AE4" s="348">
        <f t="shared" si="2"/>
        <v>267.7</v>
      </c>
      <c r="AF4" s="348">
        <f t="shared" si="2"/>
        <v>242.4</v>
      </c>
      <c r="AG4" s="348">
        <f t="shared" si="2"/>
        <v>228.8</v>
      </c>
      <c r="AH4" s="348">
        <f t="shared" si="2"/>
        <v>224.9</v>
      </c>
      <c r="AI4" s="348">
        <f t="shared" si="2"/>
        <v>230.6</v>
      </c>
      <c r="AJ4" s="348">
        <f t="shared" si="2"/>
        <v>258</v>
      </c>
      <c r="AK4" s="348">
        <f t="shared" si="2"/>
        <v>275.3</v>
      </c>
      <c r="AL4" s="348">
        <f t="shared" si="2"/>
        <v>272.7</v>
      </c>
      <c r="AM4" s="348">
        <f t="shared" si="2"/>
        <v>299.39999999999998</v>
      </c>
      <c r="AN4" s="348">
        <f t="shared" si="2"/>
        <v>380.3</v>
      </c>
      <c r="AO4" s="348">
        <f t="shared" si="2"/>
        <v>386.1</v>
      </c>
      <c r="AP4" s="348">
        <f t="shared" si="2"/>
        <v>323.3</v>
      </c>
      <c r="AQ4" s="348">
        <f t="shared" si="2"/>
        <v>359.7</v>
      </c>
      <c r="AR4" s="348">
        <f t="shared" si="2"/>
        <v>363.2</v>
      </c>
      <c r="AS4" s="348">
        <f t="shared" si="2"/>
        <v>412.40000000000003</v>
      </c>
      <c r="AT4" s="348">
        <f t="shared" si="2"/>
        <v>431.79999999999995</v>
      </c>
      <c r="AU4" s="348">
        <f t="shared" si="2"/>
        <v>441.99999999999994</v>
      </c>
      <c r="AV4" s="348">
        <f t="shared" si="2"/>
        <v>454.09999999999997</v>
      </c>
      <c r="AW4" s="348">
        <f t="shared" si="2"/>
        <v>457.6</v>
      </c>
      <c r="AX4" s="348">
        <f t="shared" si="2"/>
        <v>383.7</v>
      </c>
      <c r="AY4" s="348">
        <f t="shared" si="2"/>
        <v>376.8</v>
      </c>
      <c r="AZ4" s="348">
        <f t="shared" si="2"/>
        <v>389.40000000000003</v>
      </c>
      <c r="BA4" s="348">
        <f t="shared" si="2"/>
        <v>383.99999999999994</v>
      </c>
      <c r="BB4" s="348">
        <f t="shared" si="2"/>
        <v>352.6</v>
      </c>
      <c r="BC4" s="348">
        <f t="shared" si="2"/>
        <v>339.3</v>
      </c>
      <c r="BD4" s="348">
        <f t="shared" si="2"/>
        <v>341.2</v>
      </c>
      <c r="BE4" s="348">
        <f t="shared" si="2"/>
        <v>351.79999999999995</v>
      </c>
      <c r="BF4" s="348">
        <f t="shared" si="2"/>
        <v>681.1</v>
      </c>
      <c r="BG4" s="348">
        <f t="shared" si="2"/>
        <v>704.3</v>
      </c>
      <c r="BH4" s="348">
        <f t="shared" si="2"/>
        <v>733</v>
      </c>
      <c r="BI4" s="348">
        <f t="shared" si="2"/>
        <v>779.4</v>
      </c>
      <c r="BJ4" s="348">
        <f t="shared" si="2"/>
        <v>782.6</v>
      </c>
      <c r="BK4" s="348">
        <f t="shared" si="2"/>
        <v>836.9</v>
      </c>
      <c r="BL4" s="348">
        <f>+BL32</f>
        <v>865.1</v>
      </c>
      <c r="BM4" s="348">
        <f t="shared" si="2"/>
        <v>881.2</v>
      </c>
      <c r="BN4" s="348">
        <f t="shared" si="2"/>
        <v>917.6</v>
      </c>
      <c r="BO4" s="348">
        <f>+BO32</f>
        <v>917.38134316725348</v>
      </c>
      <c r="BP4" s="348">
        <f>+BP32</f>
        <v>968.68036276825796</v>
      </c>
      <c r="BQ4" s="348">
        <f>+BQ32</f>
        <v>988.89210583530371</v>
      </c>
      <c r="BR4" s="348">
        <f>+BR32</f>
        <v>1016.6795562064747</v>
      </c>
    </row>
    <row r="5" spans="1:73" s="36" customFormat="1">
      <c r="B5" s="37" t="s">
        <v>255</v>
      </c>
      <c r="G5" s="349">
        <f>+G104</f>
        <v>0</v>
      </c>
      <c r="H5" s="349">
        <f t="shared" ref="H5:T5" si="3">+H104</f>
        <v>0</v>
      </c>
      <c r="I5" s="349">
        <f t="shared" si="3"/>
        <v>0</v>
      </c>
      <c r="J5" s="349">
        <f t="shared" si="3"/>
        <v>0</v>
      </c>
      <c r="K5" s="349">
        <f t="shared" si="3"/>
        <v>0</v>
      </c>
      <c r="L5" s="349">
        <f t="shared" si="3"/>
        <v>0</v>
      </c>
      <c r="M5" s="349">
        <f t="shared" si="3"/>
        <v>0</v>
      </c>
      <c r="N5" s="349">
        <f t="shared" si="3"/>
        <v>0</v>
      </c>
      <c r="O5" s="349">
        <f t="shared" si="3"/>
        <v>429.6</v>
      </c>
      <c r="P5" s="349">
        <f t="shared" si="3"/>
        <v>1822.0000000000002</v>
      </c>
      <c r="Q5" s="349">
        <f>+Q104</f>
        <v>2086.4</v>
      </c>
      <c r="R5" s="349">
        <f t="shared" si="3"/>
        <v>2374.2507722946057</v>
      </c>
      <c r="S5" s="349">
        <f t="shared" si="3"/>
        <v>2492.9633109093361</v>
      </c>
      <c r="T5" s="349">
        <f t="shared" si="3"/>
        <v>2617.6114764548029</v>
      </c>
      <c r="U5" s="349">
        <f>+U104</f>
        <v>2748.4920502775431</v>
      </c>
      <c r="V5" s="495"/>
      <c r="W5" s="349">
        <f t="shared" ref="W5:BE5" si="4">+W104</f>
        <v>0</v>
      </c>
      <c r="X5" s="349">
        <f t="shared" si="4"/>
        <v>0</v>
      </c>
      <c r="Y5" s="349">
        <f t="shared" si="4"/>
        <v>0</v>
      </c>
      <c r="Z5" s="349">
        <f t="shared" si="4"/>
        <v>0</v>
      </c>
      <c r="AA5" s="349">
        <f t="shared" si="4"/>
        <v>0</v>
      </c>
      <c r="AB5" s="349">
        <f t="shared" si="4"/>
        <v>0</v>
      </c>
      <c r="AC5" s="349">
        <f t="shared" si="4"/>
        <v>0</v>
      </c>
      <c r="AD5" s="349">
        <f t="shared" si="4"/>
        <v>0</v>
      </c>
      <c r="AE5" s="349">
        <f t="shared" si="4"/>
        <v>0</v>
      </c>
      <c r="AF5" s="349">
        <f t="shared" si="4"/>
        <v>0</v>
      </c>
      <c r="AG5" s="349">
        <f t="shared" si="4"/>
        <v>0</v>
      </c>
      <c r="AH5" s="349">
        <f t="shared" si="4"/>
        <v>0</v>
      </c>
      <c r="AI5" s="349">
        <f t="shared" si="4"/>
        <v>0</v>
      </c>
      <c r="AJ5" s="349">
        <f t="shared" si="4"/>
        <v>0</v>
      </c>
      <c r="AK5" s="349">
        <f t="shared" si="4"/>
        <v>0</v>
      </c>
      <c r="AL5" s="349">
        <f t="shared" si="4"/>
        <v>0</v>
      </c>
      <c r="AM5" s="349">
        <f t="shared" si="4"/>
        <v>0</v>
      </c>
      <c r="AN5" s="349">
        <f t="shared" si="4"/>
        <v>0</v>
      </c>
      <c r="AO5" s="349">
        <f t="shared" si="4"/>
        <v>0</v>
      </c>
      <c r="AP5" s="349">
        <f t="shared" si="4"/>
        <v>0</v>
      </c>
      <c r="AQ5" s="349">
        <f t="shared" si="4"/>
        <v>0</v>
      </c>
      <c r="AR5" s="349">
        <f t="shared" si="4"/>
        <v>0</v>
      </c>
      <c r="AS5" s="349">
        <f t="shared" si="4"/>
        <v>0</v>
      </c>
      <c r="AT5" s="349">
        <f t="shared" si="4"/>
        <v>0</v>
      </c>
      <c r="AU5" s="349">
        <f t="shared" si="4"/>
        <v>0</v>
      </c>
      <c r="AV5" s="349">
        <f t="shared" si="4"/>
        <v>0</v>
      </c>
      <c r="AW5" s="349">
        <f t="shared" si="4"/>
        <v>0</v>
      </c>
      <c r="AX5" s="349">
        <f t="shared" si="4"/>
        <v>0</v>
      </c>
      <c r="AY5" s="349">
        <f t="shared" si="4"/>
        <v>0</v>
      </c>
      <c r="AZ5" s="349">
        <f t="shared" si="4"/>
        <v>0</v>
      </c>
      <c r="BA5" s="349">
        <f t="shared" si="4"/>
        <v>0</v>
      </c>
      <c r="BB5" s="349">
        <f t="shared" si="4"/>
        <v>0</v>
      </c>
      <c r="BC5" s="349">
        <f t="shared" si="4"/>
        <v>0</v>
      </c>
      <c r="BD5" s="349">
        <f t="shared" si="4"/>
        <v>0</v>
      </c>
      <c r="BE5" s="349">
        <f t="shared" si="4"/>
        <v>0</v>
      </c>
      <c r="BF5" s="349">
        <f t="shared" ref="BF5:BN5" si="5">+BF104</f>
        <v>429.6</v>
      </c>
      <c r="BG5" s="349">
        <f t="shared" si="5"/>
        <v>460.2</v>
      </c>
      <c r="BH5" s="349">
        <f t="shared" si="5"/>
        <v>450</v>
      </c>
      <c r="BI5" s="349">
        <f t="shared" si="5"/>
        <v>470.1</v>
      </c>
      <c r="BJ5" s="349">
        <f t="shared" si="5"/>
        <v>441.7</v>
      </c>
      <c r="BK5" s="349">
        <f t="shared" si="5"/>
        <v>567.6</v>
      </c>
      <c r="BL5" s="349">
        <f t="shared" si="5"/>
        <v>492</v>
      </c>
      <c r="BM5" s="349">
        <f t="shared" si="5"/>
        <v>489.9</v>
      </c>
      <c r="BN5" s="349">
        <f t="shared" si="5"/>
        <v>536.9</v>
      </c>
      <c r="BO5" s="349">
        <f>+BO104</f>
        <v>579.92713287930655</v>
      </c>
      <c r="BP5" s="349">
        <f>+BP104</f>
        <v>591.83886990564031</v>
      </c>
      <c r="BQ5" s="349">
        <f>+BQ104</f>
        <v>595.73810317818459</v>
      </c>
      <c r="BR5" s="349">
        <f>+BR104</f>
        <v>606.7466663314741</v>
      </c>
      <c r="BS5" s="239"/>
      <c r="BT5" s="34"/>
    </row>
    <row r="6" spans="1:73" s="36" customFormat="1">
      <c r="B6" s="37" t="s">
        <v>256</v>
      </c>
      <c r="G6" s="349">
        <f>+G195</f>
        <v>431.7</v>
      </c>
      <c r="H6" s="349">
        <f t="shared" ref="H6:T6" si="6">+H195</f>
        <v>489.1</v>
      </c>
      <c r="I6" s="349">
        <f t="shared" si="6"/>
        <v>567.70000000000005</v>
      </c>
      <c r="J6" s="349">
        <f t="shared" si="6"/>
        <v>549.30000000000007</v>
      </c>
      <c r="K6" s="349">
        <f t="shared" si="6"/>
        <v>572</v>
      </c>
      <c r="L6" s="349">
        <f t="shared" si="6"/>
        <v>617.6</v>
      </c>
      <c r="M6" s="349">
        <f t="shared" si="6"/>
        <v>777.6</v>
      </c>
      <c r="N6" s="349">
        <f t="shared" si="6"/>
        <v>738.40000000000009</v>
      </c>
      <c r="O6" s="349">
        <f t="shared" si="6"/>
        <v>711.40000000000009</v>
      </c>
      <c r="P6" s="349">
        <f t="shared" si="6"/>
        <v>729.3</v>
      </c>
      <c r="Q6" s="349">
        <f t="shared" si="6"/>
        <v>681.19999999999993</v>
      </c>
      <c r="R6" s="349">
        <f t="shared" si="6"/>
        <v>715.56800000000021</v>
      </c>
      <c r="S6" s="349">
        <f t="shared" si="6"/>
        <v>740.61288000000013</v>
      </c>
      <c r="T6" s="349">
        <f t="shared" si="6"/>
        <v>766.53433080000002</v>
      </c>
      <c r="U6" s="349">
        <f>+U195</f>
        <v>793.36303237799996</v>
      </c>
      <c r="V6" s="495"/>
      <c r="W6" s="349">
        <f>+W195</f>
        <v>100.2</v>
      </c>
      <c r="X6" s="349">
        <f>+X195</f>
        <v>99.8</v>
      </c>
      <c r="Y6" s="349">
        <f>+Y195</f>
        <v>129</v>
      </c>
      <c r="Z6" s="349">
        <f>+Z195</f>
        <v>102.7</v>
      </c>
      <c r="AA6" s="349">
        <f t="shared" ref="AA6:AP6" si="7">+AA195</f>
        <v>110.8</v>
      </c>
      <c r="AB6" s="349">
        <f t="shared" si="7"/>
        <v>116.1</v>
      </c>
      <c r="AC6" s="349">
        <f t="shared" si="7"/>
        <v>140.80000000000001</v>
      </c>
      <c r="AD6" s="349">
        <f t="shared" si="7"/>
        <v>121.4</v>
      </c>
      <c r="AE6" s="349">
        <f t="shared" si="7"/>
        <v>132.9</v>
      </c>
      <c r="AF6" s="349">
        <f t="shared" si="7"/>
        <v>140.6</v>
      </c>
      <c r="AG6" s="349">
        <f t="shared" si="7"/>
        <v>168.2</v>
      </c>
      <c r="AH6" s="349">
        <f t="shared" si="7"/>
        <v>126</v>
      </c>
      <c r="AI6" s="349">
        <f t="shared" si="7"/>
        <v>131.4</v>
      </c>
      <c r="AJ6" s="349">
        <f t="shared" si="7"/>
        <v>147.69999999999999</v>
      </c>
      <c r="AK6" s="349">
        <f t="shared" si="7"/>
        <v>157.5</v>
      </c>
      <c r="AL6" s="349">
        <f t="shared" si="7"/>
        <v>112.7</v>
      </c>
      <c r="AM6" s="349">
        <f t="shared" si="7"/>
        <v>136.6</v>
      </c>
      <c r="AN6" s="349">
        <f t="shared" si="7"/>
        <v>148.80000000000001</v>
      </c>
      <c r="AO6" s="349">
        <f t="shared" si="7"/>
        <v>164.1</v>
      </c>
      <c r="AP6" s="349">
        <f t="shared" si="7"/>
        <v>122.5</v>
      </c>
      <c r="AQ6" s="349">
        <f t="shared" ref="AQ6:BN6" si="8">+AQ195</f>
        <v>147.5</v>
      </c>
      <c r="AR6" s="349">
        <f t="shared" si="8"/>
        <v>145.5</v>
      </c>
      <c r="AS6" s="349">
        <f t="shared" si="8"/>
        <v>168.8</v>
      </c>
      <c r="AT6" s="349">
        <f t="shared" si="8"/>
        <v>155.80000000000001</v>
      </c>
      <c r="AU6" s="349">
        <f t="shared" si="8"/>
        <v>188</v>
      </c>
      <c r="AV6" s="349">
        <f t="shared" si="8"/>
        <v>198.1</v>
      </c>
      <c r="AW6" s="349">
        <f t="shared" si="8"/>
        <v>213.1</v>
      </c>
      <c r="AX6" s="349">
        <f t="shared" si="8"/>
        <v>178.4</v>
      </c>
      <c r="AY6" s="349">
        <f t="shared" si="8"/>
        <v>200.6</v>
      </c>
      <c r="AZ6" s="349">
        <f t="shared" si="8"/>
        <v>181</v>
      </c>
      <c r="BA6" s="349">
        <f t="shared" si="8"/>
        <v>209.6</v>
      </c>
      <c r="BB6" s="349">
        <f t="shared" si="8"/>
        <v>147.19999999999999</v>
      </c>
      <c r="BC6" s="349">
        <f t="shared" si="8"/>
        <v>178.7</v>
      </c>
      <c r="BD6" s="349">
        <f t="shared" si="8"/>
        <v>194.2</v>
      </c>
      <c r="BE6" s="349">
        <f t="shared" si="8"/>
        <v>181.8</v>
      </c>
      <c r="BF6" s="349">
        <f t="shared" si="8"/>
        <v>156.69999999999999</v>
      </c>
      <c r="BG6" s="349">
        <f t="shared" si="8"/>
        <v>183.7</v>
      </c>
      <c r="BH6" s="349">
        <f t="shared" si="8"/>
        <v>181</v>
      </c>
      <c r="BI6" s="349">
        <f t="shared" si="8"/>
        <v>203.2</v>
      </c>
      <c r="BJ6" s="349">
        <f t="shared" si="8"/>
        <v>161.4</v>
      </c>
      <c r="BK6" s="349">
        <f t="shared" si="8"/>
        <v>162.6</v>
      </c>
      <c r="BL6" s="349">
        <f t="shared" si="8"/>
        <v>169.4</v>
      </c>
      <c r="BM6" s="349">
        <f t="shared" si="8"/>
        <v>183.8</v>
      </c>
      <c r="BN6" s="349">
        <f t="shared" si="8"/>
        <v>165.4</v>
      </c>
      <c r="BO6" s="349">
        <f>+BO195</f>
        <v>165.852</v>
      </c>
      <c r="BP6" s="349">
        <f>+BP195</f>
        <v>179.56400000000002</v>
      </c>
      <c r="BQ6" s="349">
        <f>+BQ195</f>
        <v>194.82800000000003</v>
      </c>
      <c r="BR6" s="349">
        <f>+BR195</f>
        <v>175.32400000000001</v>
      </c>
      <c r="BT6" s="34"/>
    </row>
    <row r="7" spans="1:73" s="34" customFormat="1">
      <c r="B7" s="38" t="s">
        <v>529</v>
      </c>
      <c r="G7" s="39">
        <f t="shared" ref="G7:T7" si="9">SUM(G4:G6)</f>
        <v>1276.8</v>
      </c>
      <c r="H7" s="39">
        <f t="shared" si="9"/>
        <v>1764.5</v>
      </c>
      <c r="I7" s="39">
        <f t="shared" si="9"/>
        <v>1531.5</v>
      </c>
      <c r="J7" s="39">
        <f t="shared" si="9"/>
        <v>1585.9</v>
      </c>
      <c r="K7" s="39">
        <f t="shared" si="9"/>
        <v>1961.1000000000001</v>
      </c>
      <c r="L7" s="39">
        <f t="shared" si="9"/>
        <v>2184.6999999999998</v>
      </c>
      <c r="M7" s="39">
        <f t="shared" si="9"/>
        <v>2515</v>
      </c>
      <c r="N7" s="39">
        <f t="shared" si="9"/>
        <v>2241.2000000000003</v>
      </c>
      <c r="O7" s="39">
        <f t="shared" si="9"/>
        <v>2854.4</v>
      </c>
      <c r="P7" s="39">
        <f t="shared" si="9"/>
        <v>5550.6</v>
      </c>
      <c r="Q7" s="39">
        <f t="shared" si="9"/>
        <v>6268.4</v>
      </c>
      <c r="R7" s="39">
        <f t="shared" si="9"/>
        <v>6981.4521402718956</v>
      </c>
      <c r="S7" s="39">
        <f t="shared" si="9"/>
        <v>7273.2234977724711</v>
      </c>
      <c r="T7" s="39">
        <f t="shared" si="9"/>
        <v>7621.5526577217033</v>
      </c>
      <c r="U7" s="39">
        <f>SUM(U4:U6)</f>
        <v>7934.3484537036111</v>
      </c>
      <c r="V7" s="495"/>
      <c r="W7" s="39">
        <f t="shared" ref="W7:BN7" si="10">SUM(W4:W6)</f>
        <v>255.5</v>
      </c>
      <c r="X7" s="39">
        <f t="shared" si="10"/>
        <v>266.2</v>
      </c>
      <c r="Y7" s="39">
        <f t="shared" si="10"/>
        <v>350.3</v>
      </c>
      <c r="Z7" s="39">
        <f t="shared" si="10"/>
        <v>404.8</v>
      </c>
      <c r="AA7" s="39">
        <f t="shared" si="10"/>
        <v>399.1</v>
      </c>
      <c r="AB7" s="39">
        <f t="shared" si="10"/>
        <v>428.29999999999995</v>
      </c>
      <c r="AC7" s="39">
        <f t="shared" si="10"/>
        <v>502.90000000000003</v>
      </c>
      <c r="AD7" s="39">
        <f t="shared" si="10"/>
        <v>434.20000000000005</v>
      </c>
      <c r="AE7" s="39">
        <f t="shared" si="10"/>
        <v>400.6</v>
      </c>
      <c r="AF7" s="39">
        <f t="shared" si="10"/>
        <v>383</v>
      </c>
      <c r="AG7" s="39">
        <f t="shared" si="10"/>
        <v>397</v>
      </c>
      <c r="AH7" s="39">
        <f t="shared" si="10"/>
        <v>350.9</v>
      </c>
      <c r="AI7" s="39">
        <f t="shared" si="10"/>
        <v>362</v>
      </c>
      <c r="AJ7" s="39">
        <f t="shared" si="10"/>
        <v>405.7</v>
      </c>
      <c r="AK7" s="39">
        <f t="shared" si="10"/>
        <v>432.8</v>
      </c>
      <c r="AL7" s="39">
        <f t="shared" si="10"/>
        <v>385.4</v>
      </c>
      <c r="AM7" s="39">
        <f t="shared" si="10"/>
        <v>436</v>
      </c>
      <c r="AN7" s="39">
        <f t="shared" si="10"/>
        <v>529.1</v>
      </c>
      <c r="AO7" s="39">
        <f t="shared" si="10"/>
        <v>550.20000000000005</v>
      </c>
      <c r="AP7" s="39">
        <f t="shared" si="10"/>
        <v>445.8</v>
      </c>
      <c r="AQ7" s="39">
        <f t="shared" si="10"/>
        <v>507.2</v>
      </c>
      <c r="AR7" s="39">
        <f t="shared" si="10"/>
        <v>508.7</v>
      </c>
      <c r="AS7" s="39">
        <f t="shared" si="10"/>
        <v>581.20000000000005</v>
      </c>
      <c r="AT7" s="39">
        <f t="shared" si="10"/>
        <v>587.59999999999991</v>
      </c>
      <c r="AU7" s="39">
        <f t="shared" si="10"/>
        <v>630</v>
      </c>
      <c r="AV7" s="39">
        <f t="shared" si="10"/>
        <v>652.19999999999993</v>
      </c>
      <c r="AW7" s="39">
        <f t="shared" si="10"/>
        <v>670.7</v>
      </c>
      <c r="AX7" s="39">
        <f t="shared" si="10"/>
        <v>562.1</v>
      </c>
      <c r="AY7" s="39">
        <f t="shared" si="10"/>
        <v>577.4</v>
      </c>
      <c r="AZ7" s="39">
        <f t="shared" si="10"/>
        <v>570.40000000000009</v>
      </c>
      <c r="BA7" s="39">
        <f t="shared" si="10"/>
        <v>593.59999999999991</v>
      </c>
      <c r="BB7" s="39">
        <f t="shared" si="10"/>
        <v>499.8</v>
      </c>
      <c r="BC7" s="39">
        <f t="shared" si="10"/>
        <v>518</v>
      </c>
      <c r="BD7" s="39">
        <f t="shared" si="10"/>
        <v>535.4</v>
      </c>
      <c r="BE7" s="39">
        <f t="shared" si="10"/>
        <v>533.59999999999991</v>
      </c>
      <c r="BF7" s="39">
        <f t="shared" si="10"/>
        <v>1267.4000000000001</v>
      </c>
      <c r="BG7" s="39">
        <f t="shared" si="10"/>
        <v>1348.2</v>
      </c>
      <c r="BH7" s="39">
        <f t="shared" si="10"/>
        <v>1364</v>
      </c>
      <c r="BI7" s="39">
        <f t="shared" si="10"/>
        <v>1452.7</v>
      </c>
      <c r="BJ7" s="39">
        <f t="shared" si="10"/>
        <v>1385.7</v>
      </c>
      <c r="BK7" s="39">
        <f t="shared" si="10"/>
        <v>1567.1</v>
      </c>
      <c r="BL7" s="39">
        <f t="shared" si="10"/>
        <v>1526.5</v>
      </c>
      <c r="BM7" s="39">
        <f t="shared" si="10"/>
        <v>1554.8999999999999</v>
      </c>
      <c r="BN7" s="39">
        <f t="shared" si="10"/>
        <v>1619.9</v>
      </c>
      <c r="BO7" s="39">
        <f>SUM(BO4:BO6)</f>
        <v>1663.16047604656</v>
      </c>
      <c r="BP7" s="39">
        <f>SUM(BP4:BP6)</f>
        <v>1740.0832326738985</v>
      </c>
      <c r="BQ7" s="39">
        <f>SUM(BQ4:BQ6)</f>
        <v>1779.4582090134882</v>
      </c>
      <c r="BR7" s="39">
        <f>SUM(BR4:BR6)</f>
        <v>1798.750222537949</v>
      </c>
    </row>
    <row r="8" spans="1:73" s="7" customFormat="1">
      <c r="B8" s="54" t="s">
        <v>141</v>
      </c>
      <c r="F8" s="55"/>
      <c r="G8" s="63"/>
      <c r="H8" s="63">
        <f t="shared" ref="H8:U8" si="11">H7/G7-1</f>
        <v>0.38197055137844615</v>
      </c>
      <c r="I8" s="63">
        <f t="shared" si="11"/>
        <v>-0.13204873901955227</v>
      </c>
      <c r="J8" s="63">
        <f t="shared" si="11"/>
        <v>3.5520731309174103E-2</v>
      </c>
      <c r="K8" s="63">
        <f t="shared" si="11"/>
        <v>0.23658490447064762</v>
      </c>
      <c r="L8" s="63">
        <f t="shared" si="11"/>
        <v>0.11401764315945107</v>
      </c>
      <c r="M8" s="63">
        <f t="shared" si="11"/>
        <v>0.15118780610610161</v>
      </c>
      <c r="N8" s="63">
        <f t="shared" si="11"/>
        <v>-0.10886679920477127</v>
      </c>
      <c r="O8" s="63">
        <f t="shared" si="11"/>
        <v>0.27360342673567728</v>
      </c>
      <c r="P8" s="63">
        <f t="shared" si="11"/>
        <v>0.94457679372197312</v>
      </c>
      <c r="Q8" s="63">
        <f t="shared" si="11"/>
        <v>0.12931935286275342</v>
      </c>
      <c r="R8" s="63">
        <f t="shared" si="11"/>
        <v>0.11375345227999101</v>
      </c>
      <c r="S8" s="63">
        <f t="shared" si="11"/>
        <v>4.1792359474545071E-2</v>
      </c>
      <c r="T8" s="63">
        <f t="shared" si="11"/>
        <v>4.789199177722403E-2</v>
      </c>
      <c r="U8" s="63">
        <f t="shared" si="11"/>
        <v>4.104095451797507E-2</v>
      </c>
      <c r="V8" s="63"/>
      <c r="W8" s="63"/>
      <c r="X8" s="63"/>
      <c r="Y8" s="63"/>
      <c r="Z8" s="63"/>
      <c r="AA8" s="63">
        <f t="shared" ref="AA8:BN8" si="12">AA7/W7-1</f>
        <v>0.56203522504892378</v>
      </c>
      <c r="AB8" s="63">
        <f t="shared" si="12"/>
        <v>0.60894064613072874</v>
      </c>
      <c r="AC8" s="63">
        <f t="shared" si="12"/>
        <v>0.43562660576648593</v>
      </c>
      <c r="AD8" s="63">
        <f t="shared" si="12"/>
        <v>7.2628458498023907E-2</v>
      </c>
      <c r="AE8" s="63">
        <f t="shared" si="12"/>
        <v>3.7584565271862047E-3</v>
      </c>
      <c r="AF8" s="63">
        <f t="shared" si="12"/>
        <v>-0.10576698575764643</v>
      </c>
      <c r="AG8" s="63">
        <f t="shared" si="12"/>
        <v>-0.21057864386557967</v>
      </c>
      <c r="AH8" s="63">
        <f t="shared" si="12"/>
        <v>-0.19184707508060816</v>
      </c>
      <c r="AI8" s="63">
        <f t="shared" si="12"/>
        <v>-9.6355466799800338E-2</v>
      </c>
      <c r="AJ8" s="63">
        <f t="shared" si="12"/>
        <v>5.9268929503916379E-2</v>
      </c>
      <c r="AK8" s="63">
        <f t="shared" si="12"/>
        <v>9.0176322418136001E-2</v>
      </c>
      <c r="AL8" s="63">
        <f t="shared" si="12"/>
        <v>9.8318609290396042E-2</v>
      </c>
      <c r="AM8" s="63">
        <f t="shared" si="12"/>
        <v>0.20441988950276246</v>
      </c>
      <c r="AN8" s="63">
        <f t="shared" si="12"/>
        <v>0.3041656396351986</v>
      </c>
      <c r="AO8" s="63">
        <f t="shared" si="12"/>
        <v>0.27125693160813324</v>
      </c>
      <c r="AP8" s="63">
        <f t="shared" si="12"/>
        <v>0.15672029060716142</v>
      </c>
      <c r="AQ8" s="63">
        <f t="shared" si="12"/>
        <v>0.16330275229357794</v>
      </c>
      <c r="AR8" s="63">
        <f t="shared" si="12"/>
        <v>-3.8556038556038619E-2</v>
      </c>
      <c r="AS8" s="63">
        <f t="shared" si="12"/>
        <v>5.6343147946201322E-2</v>
      </c>
      <c r="AT8" s="63">
        <f t="shared" si="12"/>
        <v>0.31807985643786418</v>
      </c>
      <c r="AU8" s="63">
        <f t="shared" si="12"/>
        <v>0.24211356466876977</v>
      </c>
      <c r="AV8" s="63">
        <f t="shared" si="12"/>
        <v>0.282091606054649</v>
      </c>
      <c r="AW8" s="63">
        <f t="shared" si="12"/>
        <v>0.15399174122505155</v>
      </c>
      <c r="AX8" s="63">
        <f t="shared" si="12"/>
        <v>-4.339686861810732E-2</v>
      </c>
      <c r="AY8" s="63">
        <f t="shared" si="12"/>
        <v>-8.3492063492063506E-2</v>
      </c>
      <c r="AZ8" s="63">
        <f t="shared" si="12"/>
        <v>-0.12542164980067438</v>
      </c>
      <c r="BA8" s="63">
        <f t="shared" si="12"/>
        <v>-0.11495452512300597</v>
      </c>
      <c r="BB8" s="63">
        <f t="shared" si="12"/>
        <v>-0.11083437110834371</v>
      </c>
      <c r="BC8" s="63">
        <f t="shared" si="12"/>
        <v>-0.10287495670245927</v>
      </c>
      <c r="BD8" s="63">
        <f t="shared" si="12"/>
        <v>-6.1360448807854295E-2</v>
      </c>
      <c r="BE8" s="63">
        <f t="shared" si="12"/>
        <v>-0.10107816711590301</v>
      </c>
      <c r="BF8" s="63">
        <f t="shared" si="12"/>
        <v>1.5358143257302923</v>
      </c>
      <c r="BG8" s="63">
        <f t="shared" si="12"/>
        <v>1.602702702702703</v>
      </c>
      <c r="BH8" s="63">
        <f t="shared" si="12"/>
        <v>1.5476279417258128</v>
      </c>
      <c r="BI8" s="63">
        <f t="shared" si="12"/>
        <v>1.7224512743628191</v>
      </c>
      <c r="BJ8" s="63">
        <f t="shared" si="12"/>
        <v>9.3340697490926328E-2</v>
      </c>
      <c r="BK8" s="63">
        <f t="shared" si="12"/>
        <v>0.16236463432725112</v>
      </c>
      <c r="BL8" s="63">
        <f t="shared" si="12"/>
        <v>0.11913489736070382</v>
      </c>
      <c r="BM8" s="63">
        <f t="shared" si="12"/>
        <v>7.035175879396971E-2</v>
      </c>
      <c r="BN8" s="63">
        <f t="shared" si="12"/>
        <v>0.16901205167063571</v>
      </c>
      <c r="BO8" s="63">
        <f>BO7/BK7-1</f>
        <v>6.1298242643456069E-2</v>
      </c>
      <c r="BP8" s="63">
        <f>BP7/BL7-1</f>
        <v>0.13991695556757189</v>
      </c>
      <c r="BQ8" s="63">
        <f>BQ7/BM7-1</f>
        <v>0.14441971124412389</v>
      </c>
      <c r="BR8" s="63">
        <f>BR7/BN7-1</f>
        <v>0.11040818725720647</v>
      </c>
      <c r="BT8" s="34"/>
    </row>
    <row r="9" spans="1:73">
      <c r="B9" s="43"/>
      <c r="P9" s="44"/>
      <c r="Q9" s="63"/>
      <c r="R9" s="63"/>
      <c r="S9" s="63"/>
      <c r="AU9" s="26"/>
      <c r="AV9" s="26"/>
      <c r="AW9" s="26"/>
      <c r="AX9" s="26"/>
      <c r="AY9" s="26"/>
      <c r="AZ9" s="26"/>
      <c r="BA9" s="26"/>
      <c r="BB9" s="26"/>
      <c r="BC9" s="26"/>
      <c r="BD9" s="26"/>
      <c r="BE9" s="26"/>
      <c r="BF9" s="26"/>
      <c r="BG9" s="26"/>
      <c r="BH9" s="26"/>
      <c r="BI9" s="26"/>
      <c r="BJ9" s="26"/>
      <c r="BK9" s="26"/>
      <c r="BL9" s="26"/>
      <c r="BN9" s="26"/>
      <c r="BO9" s="26"/>
      <c r="BP9" s="26"/>
      <c r="BQ9" s="26"/>
      <c r="BR9" s="26"/>
      <c r="BS9" s="44"/>
      <c r="BT9" s="34"/>
    </row>
    <row r="10" spans="1:73" s="34" customFormat="1">
      <c r="B10" s="35" t="s">
        <v>252</v>
      </c>
      <c r="G10" s="348">
        <f t="shared" ref="G10:U10" si="13">+G42</f>
        <v>237.29999999999998</v>
      </c>
      <c r="H10" s="348">
        <f t="shared" si="13"/>
        <v>328.3</v>
      </c>
      <c r="I10" s="348">
        <f t="shared" si="13"/>
        <v>125.40000000000002</v>
      </c>
      <c r="J10" s="348">
        <f t="shared" si="13"/>
        <v>117.2</v>
      </c>
      <c r="K10" s="348">
        <f t="shared" si="13"/>
        <v>245</v>
      </c>
      <c r="L10" s="348">
        <f t="shared" si="13"/>
        <v>267.7</v>
      </c>
      <c r="M10" s="348">
        <f t="shared" si="13"/>
        <v>213.5</v>
      </c>
      <c r="N10" s="348">
        <f t="shared" si="13"/>
        <v>130.1</v>
      </c>
      <c r="O10" s="348">
        <f t="shared" si="13"/>
        <v>122.20000000000002</v>
      </c>
      <c r="P10" s="348">
        <f t="shared" si="13"/>
        <v>224.9</v>
      </c>
      <c r="Q10" s="348">
        <f t="shared" si="13"/>
        <v>405.8</v>
      </c>
      <c r="R10" s="348">
        <f t="shared" si="13"/>
        <v>711.31214500873011</v>
      </c>
      <c r="S10" s="348">
        <f t="shared" si="13"/>
        <v>786.18456407628139</v>
      </c>
      <c r="T10" s="348">
        <f t="shared" si="13"/>
        <v>851.58675963008909</v>
      </c>
      <c r="U10" s="348">
        <f t="shared" si="13"/>
        <v>936.17268229232832</v>
      </c>
      <c r="V10" s="350"/>
      <c r="W10" s="348">
        <f t="shared" ref="W10:BR10" si="14">+W42</f>
        <v>43.2</v>
      </c>
      <c r="X10" s="348">
        <f t="shared" si="14"/>
        <v>55.3</v>
      </c>
      <c r="Y10" s="348">
        <f t="shared" si="14"/>
        <v>70.7</v>
      </c>
      <c r="Z10" s="348">
        <f t="shared" si="14"/>
        <v>68.099999999999994</v>
      </c>
      <c r="AA10" s="348">
        <f t="shared" si="14"/>
        <v>67</v>
      </c>
      <c r="AB10" s="348">
        <f t="shared" si="14"/>
        <v>70.5</v>
      </c>
      <c r="AC10" s="348">
        <f t="shared" si="14"/>
        <v>104.3</v>
      </c>
      <c r="AD10" s="348">
        <f t="shared" si="14"/>
        <v>86.5</v>
      </c>
      <c r="AE10" s="348">
        <f t="shared" si="14"/>
        <v>68.7</v>
      </c>
      <c r="AF10" s="348">
        <f t="shared" si="14"/>
        <v>47.6</v>
      </c>
      <c r="AG10" s="348">
        <f t="shared" si="14"/>
        <v>3.9</v>
      </c>
      <c r="AH10" s="348">
        <f t="shared" si="14"/>
        <v>5.2</v>
      </c>
      <c r="AI10" s="348">
        <f t="shared" si="14"/>
        <v>10.6</v>
      </c>
      <c r="AJ10" s="348">
        <f t="shared" si="14"/>
        <v>26.1</v>
      </c>
      <c r="AK10" s="348">
        <f t="shared" si="14"/>
        <v>44</v>
      </c>
      <c r="AL10" s="348">
        <f t="shared" si="14"/>
        <v>36.5</v>
      </c>
      <c r="AM10" s="348">
        <f t="shared" si="14"/>
        <v>45.2</v>
      </c>
      <c r="AN10" s="348">
        <f t="shared" si="14"/>
        <v>72.8</v>
      </c>
      <c r="AO10" s="348">
        <f t="shared" si="14"/>
        <v>76.7</v>
      </c>
      <c r="AP10" s="348">
        <f t="shared" si="14"/>
        <v>50.3</v>
      </c>
      <c r="AQ10" s="348">
        <f t="shared" si="14"/>
        <v>74.400000000000006</v>
      </c>
      <c r="AR10" s="348">
        <f t="shared" si="14"/>
        <v>75</v>
      </c>
      <c r="AS10" s="348">
        <f t="shared" si="14"/>
        <v>61.4</v>
      </c>
      <c r="AT10" s="348">
        <f t="shared" si="14"/>
        <v>56.9</v>
      </c>
      <c r="AU10" s="348">
        <f t="shared" si="14"/>
        <v>62.6</v>
      </c>
      <c r="AV10" s="348">
        <f t="shared" si="14"/>
        <v>52.400000000000006</v>
      </c>
      <c r="AW10" s="348">
        <f t="shared" si="14"/>
        <v>67.800000000000011</v>
      </c>
      <c r="AX10" s="348">
        <f t="shared" si="14"/>
        <v>30.7</v>
      </c>
      <c r="AY10" s="348">
        <f t="shared" si="14"/>
        <v>33.5</v>
      </c>
      <c r="AZ10" s="348">
        <f t="shared" si="14"/>
        <v>40.799999999999997</v>
      </c>
      <c r="BA10" s="348">
        <f t="shared" si="14"/>
        <v>27</v>
      </c>
      <c r="BB10" s="348">
        <f t="shared" si="14"/>
        <v>28.8</v>
      </c>
      <c r="BC10" s="348">
        <f t="shared" si="14"/>
        <v>24.1</v>
      </c>
      <c r="BD10" s="348">
        <f t="shared" si="14"/>
        <v>27.4</v>
      </c>
      <c r="BE10" s="348">
        <f t="shared" si="14"/>
        <v>17.399999999999999</v>
      </c>
      <c r="BF10" s="348">
        <f t="shared" si="14"/>
        <v>53.300000000000004</v>
      </c>
      <c r="BG10" s="348">
        <f t="shared" si="14"/>
        <v>68.099999999999994</v>
      </c>
      <c r="BH10" s="348">
        <f t="shared" si="14"/>
        <v>30.7</v>
      </c>
      <c r="BI10" s="348">
        <f t="shared" si="14"/>
        <v>53.7</v>
      </c>
      <c r="BJ10" s="348">
        <f t="shared" si="14"/>
        <v>72.400000000000006</v>
      </c>
      <c r="BK10" s="348">
        <f t="shared" si="14"/>
        <v>87.5</v>
      </c>
      <c r="BL10" s="348">
        <f t="shared" si="14"/>
        <v>52.8</v>
      </c>
      <c r="BM10" s="348">
        <f t="shared" si="14"/>
        <v>129.69999999999999</v>
      </c>
      <c r="BN10" s="348">
        <f t="shared" si="14"/>
        <v>135.80000000000001</v>
      </c>
      <c r="BO10" s="348">
        <f t="shared" si="14"/>
        <v>121.10277992426694</v>
      </c>
      <c r="BP10" s="348">
        <f t="shared" si="14"/>
        <v>181.54304321506174</v>
      </c>
      <c r="BQ10" s="348">
        <f t="shared" si="14"/>
        <v>209.76831355999343</v>
      </c>
      <c r="BR10" s="348">
        <f t="shared" si="14"/>
        <v>198.89800830940789</v>
      </c>
      <c r="BU10" s="24"/>
    </row>
    <row r="11" spans="1:73" s="36" customFormat="1">
      <c r="B11" s="37" t="s">
        <v>255</v>
      </c>
      <c r="G11" s="349">
        <f>+G116</f>
        <v>0</v>
      </c>
      <c r="H11" s="349">
        <f t="shared" ref="H11:S11" si="15">+H116</f>
        <v>0</v>
      </c>
      <c r="I11" s="349">
        <f t="shared" si="15"/>
        <v>0</v>
      </c>
      <c r="J11" s="349">
        <f t="shared" si="15"/>
        <v>0</v>
      </c>
      <c r="K11" s="349">
        <f t="shared" si="15"/>
        <v>0</v>
      </c>
      <c r="L11" s="349">
        <f t="shared" si="15"/>
        <v>0</v>
      </c>
      <c r="M11" s="349">
        <f t="shared" si="15"/>
        <v>0</v>
      </c>
      <c r="N11" s="349">
        <f t="shared" si="15"/>
        <v>0</v>
      </c>
      <c r="O11" s="349">
        <f t="shared" si="15"/>
        <v>9.8000000000000007</v>
      </c>
      <c r="P11" s="349">
        <f t="shared" si="15"/>
        <v>15.4</v>
      </c>
      <c r="Q11" s="349">
        <f>+Q116</f>
        <v>-11.799999999999999</v>
      </c>
      <c r="R11" s="349">
        <f t="shared" si="15"/>
        <v>49.774157729681349</v>
      </c>
      <c r="S11" s="349">
        <f t="shared" si="15"/>
        <v>101.15231058252944</v>
      </c>
      <c r="T11" s="349">
        <f>+T116</f>
        <v>107.7804929975288</v>
      </c>
      <c r="U11" s="349">
        <f>+U116</f>
        <v>114.81861287757175</v>
      </c>
      <c r="V11" s="351"/>
      <c r="W11" s="349">
        <f t="shared" ref="W11:BE11" si="16">+W116</f>
        <v>0</v>
      </c>
      <c r="X11" s="349">
        <f t="shared" si="16"/>
        <v>0</v>
      </c>
      <c r="Y11" s="349">
        <f t="shared" si="16"/>
        <v>0</v>
      </c>
      <c r="Z11" s="349">
        <f t="shared" si="16"/>
        <v>0</v>
      </c>
      <c r="AA11" s="349">
        <f t="shared" si="16"/>
        <v>0</v>
      </c>
      <c r="AB11" s="349">
        <f t="shared" si="16"/>
        <v>0</v>
      </c>
      <c r="AC11" s="349">
        <f t="shared" si="16"/>
        <v>0</v>
      </c>
      <c r="AD11" s="349">
        <f t="shared" si="16"/>
        <v>0</v>
      </c>
      <c r="AE11" s="349">
        <f t="shared" si="16"/>
        <v>0</v>
      </c>
      <c r="AF11" s="349">
        <f t="shared" si="16"/>
        <v>0</v>
      </c>
      <c r="AG11" s="349">
        <f t="shared" si="16"/>
        <v>0</v>
      </c>
      <c r="AH11" s="349">
        <f t="shared" si="16"/>
        <v>0</v>
      </c>
      <c r="AI11" s="349">
        <f t="shared" si="16"/>
        <v>0</v>
      </c>
      <c r="AJ11" s="349">
        <f t="shared" si="16"/>
        <v>0</v>
      </c>
      <c r="AK11" s="349">
        <f t="shared" si="16"/>
        <v>0</v>
      </c>
      <c r="AL11" s="349">
        <f t="shared" si="16"/>
        <v>0</v>
      </c>
      <c r="AM11" s="349">
        <f t="shared" si="16"/>
        <v>0</v>
      </c>
      <c r="AN11" s="349">
        <f t="shared" si="16"/>
        <v>0</v>
      </c>
      <c r="AO11" s="349">
        <f t="shared" si="16"/>
        <v>0</v>
      </c>
      <c r="AP11" s="349">
        <f t="shared" si="16"/>
        <v>0</v>
      </c>
      <c r="AQ11" s="349">
        <f t="shared" si="16"/>
        <v>0</v>
      </c>
      <c r="AR11" s="349">
        <f t="shared" si="16"/>
        <v>0</v>
      </c>
      <c r="AS11" s="349">
        <f t="shared" si="16"/>
        <v>0</v>
      </c>
      <c r="AT11" s="349">
        <f t="shared" si="16"/>
        <v>0</v>
      </c>
      <c r="AU11" s="349">
        <f t="shared" si="16"/>
        <v>0</v>
      </c>
      <c r="AV11" s="349">
        <f t="shared" si="16"/>
        <v>0</v>
      </c>
      <c r="AW11" s="349">
        <f t="shared" si="16"/>
        <v>0</v>
      </c>
      <c r="AX11" s="349">
        <f t="shared" si="16"/>
        <v>0</v>
      </c>
      <c r="AY11" s="349">
        <f t="shared" si="16"/>
        <v>0</v>
      </c>
      <c r="AZ11" s="349">
        <f t="shared" si="16"/>
        <v>0</v>
      </c>
      <c r="BA11" s="349">
        <f t="shared" si="16"/>
        <v>0</v>
      </c>
      <c r="BB11" s="349">
        <f t="shared" si="16"/>
        <v>0</v>
      </c>
      <c r="BC11" s="349">
        <f t="shared" si="16"/>
        <v>0</v>
      </c>
      <c r="BD11" s="349">
        <f t="shared" si="16"/>
        <v>0</v>
      </c>
      <c r="BE11" s="349">
        <f t="shared" si="16"/>
        <v>0</v>
      </c>
      <c r="BF11" s="349">
        <f t="shared" ref="BF11:BN11" si="17">+BF116</f>
        <v>9.8000000000000007</v>
      </c>
      <c r="BG11" s="349">
        <f t="shared" si="17"/>
        <v>8.1999999999999993</v>
      </c>
      <c r="BH11" s="349">
        <f t="shared" si="17"/>
        <v>0</v>
      </c>
      <c r="BI11" s="349">
        <f t="shared" si="17"/>
        <v>10.3</v>
      </c>
      <c r="BJ11" s="349">
        <f t="shared" si="17"/>
        <v>-3.1</v>
      </c>
      <c r="BK11" s="349">
        <f t="shared" si="17"/>
        <v>-1.2</v>
      </c>
      <c r="BL11" s="349">
        <f t="shared" si="17"/>
        <v>-8.1</v>
      </c>
      <c r="BM11" s="349">
        <f t="shared" si="17"/>
        <v>-1.7</v>
      </c>
      <c r="BN11" s="349">
        <f t="shared" si="17"/>
        <v>-0.8</v>
      </c>
      <c r="BO11" s="349">
        <f>+BO116</f>
        <v>-18.423943739644848</v>
      </c>
      <c r="BP11" s="349">
        <f>+BP116</f>
        <v>-2.9952330581910367</v>
      </c>
      <c r="BQ11" s="349">
        <f>+BQ116</f>
        <v>32.58512390861857</v>
      </c>
      <c r="BR11" s="349">
        <f>+BR116</f>
        <v>38.60821061889866</v>
      </c>
      <c r="BT11" s="34"/>
      <c r="BU11" s="24"/>
    </row>
    <row r="12" spans="1:73" s="36" customFormat="1">
      <c r="B12" s="37" t="s">
        <v>256</v>
      </c>
      <c r="G12" s="349">
        <f t="shared" ref="G12:U12" si="18">+G205</f>
        <v>26.4</v>
      </c>
      <c r="H12" s="349">
        <f t="shared" si="18"/>
        <v>32.6</v>
      </c>
      <c r="I12" s="349">
        <f t="shared" si="18"/>
        <v>68.599999999999994</v>
      </c>
      <c r="J12" s="349">
        <f t="shared" si="18"/>
        <v>63.000000000000007</v>
      </c>
      <c r="K12" s="349">
        <f t="shared" si="18"/>
        <v>37.9</v>
      </c>
      <c r="L12" s="349">
        <f t="shared" si="18"/>
        <v>55.2</v>
      </c>
      <c r="M12" s="349">
        <f t="shared" si="18"/>
        <v>143.20000000000002</v>
      </c>
      <c r="N12" s="349">
        <f t="shared" si="18"/>
        <v>127.30000000000001</v>
      </c>
      <c r="O12" s="349">
        <f t="shared" si="18"/>
        <v>115.60000000000001</v>
      </c>
      <c r="P12" s="349">
        <f t="shared" si="18"/>
        <v>120.9</v>
      </c>
      <c r="Q12" s="349">
        <f t="shared" si="18"/>
        <v>72.399999999999991</v>
      </c>
      <c r="R12" s="349">
        <f t="shared" si="18"/>
        <v>75.772420000000011</v>
      </c>
      <c r="S12" s="349">
        <f t="shared" si="18"/>
        <v>78.424454699999998</v>
      </c>
      <c r="T12" s="349">
        <f t="shared" si="18"/>
        <v>81.169310614499992</v>
      </c>
      <c r="U12" s="349">
        <f t="shared" si="18"/>
        <v>84.0102364860075</v>
      </c>
      <c r="V12" s="351"/>
      <c r="W12" s="349">
        <f t="shared" ref="W12:BR12" si="19">+W205</f>
        <v>8.1</v>
      </c>
      <c r="X12" s="349">
        <f t="shared" si="19"/>
        <v>5.6</v>
      </c>
      <c r="Y12" s="349">
        <f t="shared" si="19"/>
        <v>10</v>
      </c>
      <c r="Z12" s="349">
        <f t="shared" si="19"/>
        <v>2.7</v>
      </c>
      <c r="AA12" s="349">
        <f t="shared" si="19"/>
        <v>10</v>
      </c>
      <c r="AB12" s="349">
        <f t="shared" si="19"/>
        <v>9.5</v>
      </c>
      <c r="AC12" s="349">
        <f t="shared" si="19"/>
        <v>9.8000000000000007</v>
      </c>
      <c r="AD12" s="349">
        <f t="shared" si="19"/>
        <v>3.3</v>
      </c>
      <c r="AE12" s="349">
        <f t="shared" si="19"/>
        <v>17</v>
      </c>
      <c r="AF12" s="349">
        <f t="shared" si="19"/>
        <v>19.100000000000001</v>
      </c>
      <c r="AG12" s="349">
        <f t="shared" si="19"/>
        <v>23</v>
      </c>
      <c r="AH12" s="349">
        <f t="shared" si="19"/>
        <v>9.5</v>
      </c>
      <c r="AI12" s="349">
        <f t="shared" si="19"/>
        <v>19.5</v>
      </c>
      <c r="AJ12" s="349">
        <f t="shared" si="19"/>
        <v>21.1</v>
      </c>
      <c r="AK12" s="349">
        <f t="shared" si="19"/>
        <v>18.8</v>
      </c>
      <c r="AL12" s="349">
        <f t="shared" si="19"/>
        <v>3.6</v>
      </c>
      <c r="AM12" s="349">
        <f t="shared" si="19"/>
        <v>12.5</v>
      </c>
      <c r="AN12" s="349">
        <f t="shared" si="19"/>
        <v>11.8</v>
      </c>
      <c r="AO12" s="349">
        <f t="shared" si="19"/>
        <v>13.1</v>
      </c>
      <c r="AP12" s="349">
        <f t="shared" si="19"/>
        <v>0.5</v>
      </c>
      <c r="AQ12" s="349">
        <f t="shared" si="19"/>
        <v>10.8</v>
      </c>
      <c r="AR12" s="349">
        <f t="shared" si="19"/>
        <v>11.9</v>
      </c>
      <c r="AS12" s="349">
        <f t="shared" si="19"/>
        <v>16</v>
      </c>
      <c r="AT12" s="349">
        <f t="shared" si="19"/>
        <v>16.5</v>
      </c>
      <c r="AU12" s="349">
        <f t="shared" si="19"/>
        <v>31.3</v>
      </c>
      <c r="AV12" s="349">
        <f t="shared" si="19"/>
        <v>37.1</v>
      </c>
      <c r="AW12" s="349">
        <f t="shared" si="19"/>
        <v>40.700000000000003</v>
      </c>
      <c r="AX12" s="349">
        <f t="shared" si="19"/>
        <v>34.1</v>
      </c>
      <c r="AY12" s="349">
        <f t="shared" si="19"/>
        <v>38.299999999999997</v>
      </c>
      <c r="AZ12" s="349">
        <f t="shared" si="19"/>
        <v>33.1</v>
      </c>
      <c r="BA12" s="349">
        <f t="shared" si="19"/>
        <v>38.5</v>
      </c>
      <c r="BB12" s="349">
        <f t="shared" si="19"/>
        <v>17.399999999999999</v>
      </c>
      <c r="BC12" s="349">
        <f t="shared" si="19"/>
        <v>29.8</v>
      </c>
      <c r="BD12" s="349">
        <f t="shared" si="19"/>
        <v>33.9</v>
      </c>
      <c r="BE12" s="349">
        <f t="shared" si="19"/>
        <v>30.1</v>
      </c>
      <c r="BF12" s="349">
        <f t="shared" si="19"/>
        <v>21.8</v>
      </c>
      <c r="BG12" s="349">
        <f t="shared" si="19"/>
        <v>28.7</v>
      </c>
      <c r="BH12" s="349">
        <f t="shared" si="19"/>
        <v>31.2</v>
      </c>
      <c r="BI12" s="349">
        <f t="shared" si="19"/>
        <v>36</v>
      </c>
      <c r="BJ12" s="349">
        <f t="shared" si="19"/>
        <v>25</v>
      </c>
      <c r="BK12" s="349">
        <f t="shared" si="19"/>
        <v>25.1</v>
      </c>
      <c r="BL12" s="349">
        <f t="shared" si="19"/>
        <v>19</v>
      </c>
      <c r="BM12" s="349">
        <f t="shared" si="19"/>
        <v>17.2</v>
      </c>
      <c r="BN12" s="349">
        <f t="shared" si="19"/>
        <v>11.1</v>
      </c>
      <c r="BO12" s="349">
        <f t="shared" si="19"/>
        <v>16.560760000000002</v>
      </c>
      <c r="BP12" s="349">
        <f t="shared" si="19"/>
        <v>19.241140000000005</v>
      </c>
      <c r="BQ12" s="349">
        <f t="shared" si="19"/>
        <v>21.301780000000004</v>
      </c>
      <c r="BR12" s="349">
        <f t="shared" si="19"/>
        <v>18.668740000000003</v>
      </c>
      <c r="BT12" s="34"/>
      <c r="BU12" s="24"/>
    </row>
    <row r="13" spans="1:73" s="36" customFormat="1">
      <c r="B13" s="37" t="s">
        <v>530</v>
      </c>
      <c r="G13" s="349">
        <f t="shared" ref="G13:U13" si="20">+G253</f>
        <v>-103.69999999999999</v>
      </c>
      <c r="H13" s="349">
        <f t="shared" si="20"/>
        <v>-70.3</v>
      </c>
      <c r="I13" s="349">
        <f t="shared" si="20"/>
        <v>26.299999999999997</v>
      </c>
      <c r="J13" s="349">
        <f t="shared" si="20"/>
        <v>-80.399999999999991</v>
      </c>
      <c r="K13" s="349">
        <f t="shared" si="20"/>
        <v>-49.400000000000006</v>
      </c>
      <c r="L13" s="349">
        <f t="shared" si="20"/>
        <v>-61.000000000000007</v>
      </c>
      <c r="M13" s="349">
        <f t="shared" si="20"/>
        <v>-67.399999999999991</v>
      </c>
      <c r="N13" s="349">
        <f t="shared" si="20"/>
        <v>-47.999999999999986</v>
      </c>
      <c r="O13" s="349">
        <f t="shared" si="20"/>
        <v>2.2000000000000028</v>
      </c>
      <c r="P13" s="349">
        <f t="shared" si="20"/>
        <v>-56.20000000000001</v>
      </c>
      <c r="Q13" s="349">
        <f t="shared" si="20"/>
        <v>-81.199999999999989</v>
      </c>
      <c r="R13" s="349">
        <f t="shared" si="20"/>
        <v>-108.86428373892133</v>
      </c>
      <c r="S13" s="349">
        <f t="shared" si="20"/>
        <v>-120.68720251664966</v>
      </c>
      <c r="T13" s="349">
        <f t="shared" si="20"/>
        <v>-134.08870568491494</v>
      </c>
      <c r="U13" s="349">
        <f t="shared" si="20"/>
        <v>-147.52618261000728</v>
      </c>
      <c r="V13" s="351"/>
      <c r="W13" s="349">
        <f t="shared" ref="W13:BR13" si="21">+W253</f>
        <v>-25.299999999999997</v>
      </c>
      <c r="X13" s="349">
        <f t="shared" si="21"/>
        <v>-27</v>
      </c>
      <c r="Y13" s="349">
        <f t="shared" si="21"/>
        <v>-28.8</v>
      </c>
      <c r="Z13" s="349">
        <f t="shared" si="21"/>
        <v>-22.6</v>
      </c>
      <c r="AA13" s="349">
        <f t="shared" si="21"/>
        <v>-16.5</v>
      </c>
      <c r="AB13" s="349">
        <f t="shared" si="21"/>
        <v>-23.1</v>
      </c>
      <c r="AC13" s="349">
        <f t="shared" si="21"/>
        <v>-15.100000000000001</v>
      </c>
      <c r="AD13" s="349">
        <f t="shared" si="21"/>
        <v>-15.600000000000001</v>
      </c>
      <c r="AE13" s="349">
        <f t="shared" si="21"/>
        <v>-10.199999999999999</v>
      </c>
      <c r="AF13" s="349">
        <f t="shared" si="21"/>
        <v>-20.6</v>
      </c>
      <c r="AG13" s="349">
        <f t="shared" si="21"/>
        <v>30.799999999999994</v>
      </c>
      <c r="AH13" s="349">
        <f t="shared" si="21"/>
        <v>26.3</v>
      </c>
      <c r="AI13" s="349">
        <f t="shared" si="21"/>
        <v>-8.1999999999999993</v>
      </c>
      <c r="AJ13" s="349">
        <f t="shared" si="21"/>
        <v>-16.099999999999998</v>
      </c>
      <c r="AK13" s="349">
        <f t="shared" si="21"/>
        <v>-17.900000000000002</v>
      </c>
      <c r="AL13" s="349">
        <f t="shared" si="21"/>
        <v>-38.20000000000001</v>
      </c>
      <c r="AM13" s="349">
        <f t="shared" si="21"/>
        <v>-12.1</v>
      </c>
      <c r="AN13" s="349">
        <f t="shared" si="21"/>
        <v>-13.200000000000001</v>
      </c>
      <c r="AO13" s="349">
        <f t="shared" si="21"/>
        <v>-11.099999999999998</v>
      </c>
      <c r="AP13" s="349">
        <f t="shared" si="21"/>
        <v>-13</v>
      </c>
      <c r="AQ13" s="349">
        <f t="shared" si="21"/>
        <v>-15.799999999999997</v>
      </c>
      <c r="AR13" s="349">
        <f t="shared" si="21"/>
        <v>-16</v>
      </c>
      <c r="AS13" s="349">
        <f t="shared" si="21"/>
        <v>-22.7</v>
      </c>
      <c r="AT13" s="349">
        <f t="shared" si="21"/>
        <v>-6.5</v>
      </c>
      <c r="AU13" s="349">
        <f t="shared" si="21"/>
        <v>-18.900000000000002</v>
      </c>
      <c r="AV13" s="349">
        <f t="shared" si="21"/>
        <v>-15</v>
      </c>
      <c r="AW13" s="349">
        <f t="shared" si="21"/>
        <v>-3.8000000000000003</v>
      </c>
      <c r="AX13" s="349">
        <f t="shared" si="21"/>
        <v>-29.700000000000003</v>
      </c>
      <c r="AY13" s="349">
        <f t="shared" si="21"/>
        <v>-14</v>
      </c>
      <c r="AZ13" s="349">
        <f t="shared" si="21"/>
        <v>-9.6999999999999993</v>
      </c>
      <c r="BA13" s="349">
        <f t="shared" si="21"/>
        <v>-6.6999999999999984</v>
      </c>
      <c r="BB13" s="349">
        <f t="shared" si="21"/>
        <v>-17.600000000000001</v>
      </c>
      <c r="BC13" s="349">
        <f t="shared" si="21"/>
        <v>-17.100000000000001</v>
      </c>
      <c r="BD13" s="349">
        <f t="shared" si="21"/>
        <v>30.8</v>
      </c>
      <c r="BE13" s="349">
        <f t="shared" si="21"/>
        <v>-9.6</v>
      </c>
      <c r="BF13" s="349">
        <f t="shared" si="21"/>
        <v>-1.9</v>
      </c>
      <c r="BG13" s="349">
        <f t="shared" si="21"/>
        <v>-20.200000000000003</v>
      </c>
      <c r="BH13" s="349">
        <f t="shared" si="21"/>
        <v>-13.899999999999999</v>
      </c>
      <c r="BI13" s="349">
        <f t="shared" si="21"/>
        <v>-13.399999999999999</v>
      </c>
      <c r="BJ13" s="349">
        <f t="shared" si="21"/>
        <v>-8.7000000000000011</v>
      </c>
      <c r="BK13" s="349">
        <f t="shared" si="21"/>
        <v>-26.099999999999994</v>
      </c>
      <c r="BL13" s="349">
        <f t="shared" si="21"/>
        <v>-20.5</v>
      </c>
      <c r="BM13" s="349">
        <f t="shared" si="21"/>
        <v>-18.900000000000006</v>
      </c>
      <c r="BN13" s="349">
        <f t="shared" si="21"/>
        <v>-15.7</v>
      </c>
      <c r="BO13" s="349">
        <f t="shared" si="21"/>
        <v>-25.728204616442738</v>
      </c>
      <c r="BP13" s="349">
        <f t="shared" si="21"/>
        <v>-27.120506511397565</v>
      </c>
      <c r="BQ13" s="349">
        <f t="shared" si="21"/>
        <v>-27.833193583144137</v>
      </c>
      <c r="BR13" s="349">
        <f t="shared" si="21"/>
        <v>-28.182379027936882</v>
      </c>
      <c r="BT13" s="34"/>
      <c r="BU13" s="24"/>
    </row>
    <row r="14" spans="1:73" s="34" customFormat="1">
      <c r="B14" s="38" t="s">
        <v>535</v>
      </c>
      <c r="G14" s="39">
        <f>SUM(G10:G13)</f>
        <v>160</v>
      </c>
      <c r="H14" s="39">
        <f t="shared" ref="H14:W14" si="22">SUM(H10:H13)</f>
        <v>290.60000000000002</v>
      </c>
      <c r="I14" s="39">
        <f t="shared" si="22"/>
        <v>220.3</v>
      </c>
      <c r="J14" s="39">
        <f t="shared" si="22"/>
        <v>99.800000000000026</v>
      </c>
      <c r="K14" s="39">
        <f t="shared" si="22"/>
        <v>233.49999999999997</v>
      </c>
      <c r="L14" s="39">
        <f t="shared" si="22"/>
        <v>261.89999999999998</v>
      </c>
      <c r="M14" s="39">
        <f t="shared" si="22"/>
        <v>289.30000000000007</v>
      </c>
      <c r="N14" s="39">
        <f t="shared" si="22"/>
        <v>209.39999999999998</v>
      </c>
      <c r="O14" s="39">
        <f t="shared" si="22"/>
        <v>249.8</v>
      </c>
      <c r="P14" s="39">
        <f t="shared" si="22"/>
        <v>305.00000000000006</v>
      </c>
      <c r="Q14" s="39">
        <f t="shared" si="22"/>
        <v>385.2</v>
      </c>
      <c r="R14" s="39">
        <f>SUM(R10:R13)</f>
        <v>727.99443899949006</v>
      </c>
      <c r="S14" s="39">
        <f t="shared" si="22"/>
        <v>845.07412684216115</v>
      </c>
      <c r="T14" s="39">
        <f t="shared" si="22"/>
        <v>906.44785755720295</v>
      </c>
      <c r="U14" s="39">
        <f>SUM(U10:U13)</f>
        <v>987.4753490459002</v>
      </c>
      <c r="W14" s="39">
        <f t="shared" si="22"/>
        <v>26.000000000000007</v>
      </c>
      <c r="X14" s="39">
        <f t="shared" ref="X14:BN14" si="23">SUM(X10:X13)</f>
        <v>33.9</v>
      </c>
      <c r="Y14" s="39">
        <f t="shared" si="23"/>
        <v>51.900000000000006</v>
      </c>
      <c r="Z14" s="39">
        <f t="shared" si="23"/>
        <v>48.199999999999996</v>
      </c>
      <c r="AA14" s="39">
        <f t="shared" si="23"/>
        <v>60.5</v>
      </c>
      <c r="AB14" s="39">
        <f t="shared" si="23"/>
        <v>56.9</v>
      </c>
      <c r="AC14" s="39">
        <f t="shared" si="23"/>
        <v>99</v>
      </c>
      <c r="AD14" s="39">
        <f t="shared" si="23"/>
        <v>74.199999999999989</v>
      </c>
      <c r="AE14" s="39">
        <f t="shared" si="23"/>
        <v>75.5</v>
      </c>
      <c r="AF14" s="39">
        <f t="shared" si="23"/>
        <v>46.1</v>
      </c>
      <c r="AG14" s="39">
        <f t="shared" si="23"/>
        <v>57.699999999999989</v>
      </c>
      <c r="AH14" s="39">
        <f t="shared" si="23"/>
        <v>41</v>
      </c>
      <c r="AI14" s="39">
        <f t="shared" si="23"/>
        <v>21.900000000000002</v>
      </c>
      <c r="AJ14" s="39">
        <f t="shared" si="23"/>
        <v>31.100000000000005</v>
      </c>
      <c r="AK14" s="39">
        <f t="shared" si="23"/>
        <v>44.899999999999991</v>
      </c>
      <c r="AL14" s="39">
        <f t="shared" si="23"/>
        <v>1.8999999999999915</v>
      </c>
      <c r="AM14" s="39">
        <f t="shared" si="23"/>
        <v>45.6</v>
      </c>
      <c r="AN14" s="39">
        <f t="shared" si="23"/>
        <v>71.399999999999991</v>
      </c>
      <c r="AO14" s="39">
        <f t="shared" si="23"/>
        <v>78.7</v>
      </c>
      <c r="AP14" s="39">
        <f t="shared" si="23"/>
        <v>37.799999999999997</v>
      </c>
      <c r="AQ14" s="39">
        <f t="shared" si="23"/>
        <v>69.400000000000006</v>
      </c>
      <c r="AR14" s="39">
        <f t="shared" si="23"/>
        <v>70.900000000000006</v>
      </c>
      <c r="AS14" s="39">
        <f t="shared" si="23"/>
        <v>54.7</v>
      </c>
      <c r="AT14" s="39">
        <f t="shared" si="23"/>
        <v>66.900000000000006</v>
      </c>
      <c r="AU14" s="39">
        <f t="shared" si="23"/>
        <v>75</v>
      </c>
      <c r="AV14" s="39">
        <f t="shared" si="23"/>
        <v>74.5</v>
      </c>
      <c r="AW14" s="39">
        <f t="shared" si="23"/>
        <v>104.70000000000002</v>
      </c>
      <c r="AX14" s="39">
        <f t="shared" si="23"/>
        <v>35.099999999999994</v>
      </c>
      <c r="AY14" s="39">
        <f t="shared" si="23"/>
        <v>57.8</v>
      </c>
      <c r="AZ14" s="39">
        <f t="shared" si="23"/>
        <v>64.2</v>
      </c>
      <c r="BA14" s="39">
        <f t="shared" si="23"/>
        <v>58.800000000000004</v>
      </c>
      <c r="BB14" s="39">
        <f t="shared" si="23"/>
        <v>28.6</v>
      </c>
      <c r="BC14" s="39">
        <f t="shared" si="23"/>
        <v>36.800000000000004</v>
      </c>
      <c r="BD14" s="39">
        <f t="shared" si="23"/>
        <v>92.1</v>
      </c>
      <c r="BE14" s="39">
        <f t="shared" si="23"/>
        <v>37.9</v>
      </c>
      <c r="BF14" s="39">
        <f t="shared" si="23"/>
        <v>83</v>
      </c>
      <c r="BG14" s="39">
        <f t="shared" si="23"/>
        <v>84.8</v>
      </c>
      <c r="BH14" s="39">
        <f t="shared" si="23"/>
        <v>48</v>
      </c>
      <c r="BI14" s="39">
        <f t="shared" si="23"/>
        <v>86.6</v>
      </c>
      <c r="BJ14" s="39">
        <f t="shared" si="23"/>
        <v>85.600000000000009</v>
      </c>
      <c r="BK14" s="39">
        <f t="shared" si="23"/>
        <v>85.300000000000011</v>
      </c>
      <c r="BL14" s="39">
        <f t="shared" si="23"/>
        <v>43.199999999999996</v>
      </c>
      <c r="BM14" s="39">
        <f>SUM(BM10:BM13)</f>
        <v>126.29999999999998</v>
      </c>
      <c r="BN14" s="39">
        <f t="shared" si="23"/>
        <v>130.4</v>
      </c>
      <c r="BO14" s="39">
        <f>SUM(BO10:BO13)</f>
        <v>93.511391568179363</v>
      </c>
      <c r="BP14" s="39">
        <f>SUM(BP10:BP13)</f>
        <v>170.66844364547313</v>
      </c>
      <c r="BQ14" s="39">
        <f>SUM(BQ10:BQ13)</f>
        <v>235.8220238854679</v>
      </c>
      <c r="BR14" s="39">
        <f>SUM(BR10:BR13)</f>
        <v>227.99257990036963</v>
      </c>
    </row>
    <row r="15" spans="1:73" s="34" customFormat="1">
      <c r="B15" s="54" t="s">
        <v>189</v>
      </c>
      <c r="G15" s="63">
        <f>+G14/G$7</f>
        <v>0.12531328320802004</v>
      </c>
      <c r="H15" s="63">
        <f t="shared" ref="H15:W15" si="24">+H14/H$7</f>
        <v>0.1646925474638708</v>
      </c>
      <c r="I15" s="63">
        <f t="shared" si="24"/>
        <v>0.14384590270976169</v>
      </c>
      <c r="J15" s="63">
        <f t="shared" si="24"/>
        <v>6.2929566807491025E-2</v>
      </c>
      <c r="K15" s="63">
        <f t="shared" si="24"/>
        <v>0.11906583040130536</v>
      </c>
      <c r="L15" s="63">
        <f t="shared" si="24"/>
        <v>0.11987915961001511</v>
      </c>
      <c r="M15" s="63">
        <f t="shared" si="24"/>
        <v>0.11502982107355868</v>
      </c>
      <c r="N15" s="63">
        <f t="shared" si="24"/>
        <v>9.3432089951811514E-2</v>
      </c>
      <c r="O15" s="63">
        <f t="shared" si="24"/>
        <v>8.7514013452914804E-2</v>
      </c>
      <c r="P15" s="63">
        <f t="shared" si="24"/>
        <v>5.4949014520952695E-2</v>
      </c>
      <c r="Q15" s="63">
        <f t="shared" si="24"/>
        <v>6.1451087996937021E-2</v>
      </c>
      <c r="R15" s="63">
        <f t="shared" si="24"/>
        <v>0.10427550377379484</v>
      </c>
      <c r="S15" s="63">
        <f t="shared" si="24"/>
        <v>0.11618976470350144</v>
      </c>
      <c r="T15" s="63">
        <f t="shared" si="24"/>
        <v>0.11893217803052819</v>
      </c>
      <c r="U15" s="63">
        <f>+U14/U$7</f>
        <v>0.12445575774844682</v>
      </c>
      <c r="V15" s="48"/>
      <c r="W15" s="63">
        <f t="shared" si="24"/>
        <v>0.10176125244618398</v>
      </c>
      <c r="X15" s="63">
        <f t="shared" ref="X15:BN15" si="25">+X14/X$7</f>
        <v>0.12734785875281743</v>
      </c>
      <c r="Y15" s="63">
        <f t="shared" si="25"/>
        <v>0.14815872109620326</v>
      </c>
      <c r="Z15" s="63">
        <f t="shared" si="25"/>
        <v>0.11907114624505928</v>
      </c>
      <c r="AA15" s="63">
        <f t="shared" si="25"/>
        <v>0.15159107992984214</v>
      </c>
      <c r="AB15" s="63">
        <f t="shared" si="25"/>
        <v>0.13285080551015643</v>
      </c>
      <c r="AC15" s="63">
        <f t="shared" si="25"/>
        <v>0.19685822231059852</v>
      </c>
      <c r="AD15" s="63">
        <f t="shared" si="25"/>
        <v>0.17088899124827264</v>
      </c>
      <c r="AE15" s="63">
        <f t="shared" si="25"/>
        <v>0.18846729905142284</v>
      </c>
      <c r="AF15" s="63">
        <f t="shared" si="25"/>
        <v>0.12036553524804178</v>
      </c>
      <c r="AG15" s="63">
        <f t="shared" si="25"/>
        <v>0.14534005037783373</v>
      </c>
      <c r="AH15" s="63">
        <f t="shared" si="25"/>
        <v>0.11684240524365917</v>
      </c>
      <c r="AI15" s="63">
        <f t="shared" si="25"/>
        <v>6.049723756906078E-2</v>
      </c>
      <c r="AJ15" s="63">
        <f t="shared" si="25"/>
        <v>7.6657628789746135E-2</v>
      </c>
      <c r="AK15" s="63">
        <f t="shared" si="25"/>
        <v>0.10374306839186689</v>
      </c>
      <c r="AL15" s="63">
        <f t="shared" si="25"/>
        <v>4.9299429164504196E-3</v>
      </c>
      <c r="AM15" s="63">
        <f t="shared" si="25"/>
        <v>0.10458715596330276</v>
      </c>
      <c r="AN15" s="63">
        <f t="shared" si="25"/>
        <v>0.13494613494613492</v>
      </c>
      <c r="AO15" s="63">
        <f t="shared" si="25"/>
        <v>0.14303889494729188</v>
      </c>
      <c r="AP15" s="63">
        <f t="shared" si="25"/>
        <v>8.4791386271870786E-2</v>
      </c>
      <c r="AQ15" s="63">
        <f t="shared" si="25"/>
        <v>0.13682965299684544</v>
      </c>
      <c r="AR15" s="63">
        <f t="shared" si="25"/>
        <v>0.13937487713780225</v>
      </c>
      <c r="AS15" s="63">
        <f t="shared" si="25"/>
        <v>9.4115622849277353E-2</v>
      </c>
      <c r="AT15" s="63">
        <f t="shared" si="25"/>
        <v>0.11385296119809397</v>
      </c>
      <c r="AU15" s="63">
        <f t="shared" si="25"/>
        <v>0.11904761904761904</v>
      </c>
      <c r="AV15" s="63">
        <f t="shared" si="25"/>
        <v>0.11422876418276603</v>
      </c>
      <c r="AW15" s="63">
        <f t="shared" si="25"/>
        <v>0.15610556135380946</v>
      </c>
      <c r="AX15" s="63">
        <f t="shared" si="25"/>
        <v>6.2444404910158319E-2</v>
      </c>
      <c r="AY15" s="63">
        <f t="shared" si="25"/>
        <v>0.10010391409767926</v>
      </c>
      <c r="AZ15" s="63">
        <f t="shared" si="25"/>
        <v>0.11255259467040672</v>
      </c>
      <c r="BA15" s="63">
        <f t="shared" si="25"/>
        <v>9.9056603773584925E-2</v>
      </c>
      <c r="BB15" s="63">
        <f t="shared" si="25"/>
        <v>5.7222889155662267E-2</v>
      </c>
      <c r="BC15" s="63">
        <f t="shared" si="25"/>
        <v>7.104247104247105E-2</v>
      </c>
      <c r="BD15" s="63">
        <f t="shared" si="25"/>
        <v>0.17202091893911095</v>
      </c>
      <c r="BE15" s="63">
        <f t="shared" si="25"/>
        <v>7.1026986506746631E-2</v>
      </c>
      <c r="BF15" s="63">
        <f t="shared" si="25"/>
        <v>6.5488401451791065E-2</v>
      </c>
      <c r="BG15" s="63">
        <f t="shared" si="25"/>
        <v>6.2898679721109629E-2</v>
      </c>
      <c r="BH15" s="63">
        <f t="shared" si="25"/>
        <v>3.519061583577713E-2</v>
      </c>
      <c r="BI15" s="63">
        <f t="shared" si="25"/>
        <v>5.961313416397053E-2</v>
      </c>
      <c r="BJ15" s="63">
        <f t="shared" si="25"/>
        <v>6.1773832719924954E-2</v>
      </c>
      <c r="BK15" s="63">
        <f t="shared" si="25"/>
        <v>5.4431752919405281E-2</v>
      </c>
      <c r="BL15" s="63">
        <f t="shared" si="25"/>
        <v>2.8300032754667536E-2</v>
      </c>
      <c r="BM15" s="63">
        <f t="shared" si="25"/>
        <v>8.1227088558749758E-2</v>
      </c>
      <c r="BN15" s="63">
        <f t="shared" si="25"/>
        <v>8.0498796221989008E-2</v>
      </c>
      <c r="BO15" s="63">
        <f>+BO14/BO$7</f>
        <v>5.6225116526615632E-2</v>
      </c>
      <c r="BP15" s="63">
        <f>+BP14/BP$7</f>
        <v>9.808062076617767E-2</v>
      </c>
      <c r="BQ15" s="63">
        <f>+BQ14/BQ$7</f>
        <v>0.13252462052267303</v>
      </c>
      <c r="BR15" s="63">
        <f>+BR14/BR$7</f>
        <v>0.12675054993387755</v>
      </c>
    </row>
    <row r="16" spans="1:73" s="34" customFormat="1">
      <c r="B16" s="38"/>
      <c r="G16" s="52"/>
      <c r="H16" s="52"/>
      <c r="I16" s="52"/>
      <c r="J16" s="52"/>
      <c r="K16" s="52"/>
      <c r="L16" s="52"/>
      <c r="M16" s="52"/>
      <c r="N16" s="52"/>
      <c r="O16" s="52"/>
      <c r="P16" s="52"/>
      <c r="Q16" s="52"/>
      <c r="R16" s="52"/>
      <c r="S16" s="52"/>
      <c r="T16" s="52"/>
      <c r="U16" s="52"/>
      <c r="W16" s="52"/>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2"/>
      <c r="BC16" s="52"/>
      <c r="BD16" s="52"/>
      <c r="BE16" s="52"/>
      <c r="BF16" s="52"/>
      <c r="BG16" s="52"/>
      <c r="BH16" s="52"/>
      <c r="BI16" s="52">
        <f>BI14-47.5</f>
        <v>39.099999999999994</v>
      </c>
      <c r="BJ16" s="52">
        <f>BI16-21.3</f>
        <v>17.799999999999994</v>
      </c>
      <c r="BK16" s="52"/>
      <c r="BL16" s="52"/>
      <c r="BM16" s="52"/>
      <c r="BN16" s="52"/>
      <c r="BO16" s="52"/>
      <c r="BP16" s="52"/>
      <c r="BQ16" s="52"/>
      <c r="BR16" s="52"/>
    </row>
    <row r="17" spans="1:74">
      <c r="B17" s="35" t="s">
        <v>252</v>
      </c>
      <c r="O17" s="48"/>
      <c r="P17" s="353">
        <f t="shared" ref="P17:U17" si="26">+P39</f>
        <v>418.1</v>
      </c>
      <c r="Q17" s="353">
        <f t="shared" si="26"/>
        <v>432.2</v>
      </c>
      <c r="R17" s="353">
        <f t="shared" si="26"/>
        <v>436</v>
      </c>
      <c r="S17" s="353">
        <f t="shared" si="26"/>
        <v>446.87975313687173</v>
      </c>
      <c r="T17" s="353">
        <f t="shared" si="26"/>
        <v>451.48098786738677</v>
      </c>
      <c r="U17" s="353">
        <f t="shared" si="26"/>
        <v>456.08222259790205</v>
      </c>
      <c r="V17" s="402"/>
      <c r="BF17" s="353">
        <f t="shared" ref="BF17:BR17" si="27">+BF39</f>
        <v>97.3</v>
      </c>
      <c r="BG17" s="353">
        <f t="shared" si="27"/>
        <v>101.9</v>
      </c>
      <c r="BH17" s="353">
        <f t="shared" si="27"/>
        <v>103.4</v>
      </c>
      <c r="BI17" s="353">
        <f t="shared" si="27"/>
        <v>106.3</v>
      </c>
      <c r="BJ17" s="353">
        <f t="shared" si="27"/>
        <v>106.5</v>
      </c>
      <c r="BK17" s="353">
        <f t="shared" si="27"/>
        <v>104.6</v>
      </c>
      <c r="BL17" s="353">
        <f t="shared" si="27"/>
        <v>106.6</v>
      </c>
      <c r="BM17" s="353">
        <f t="shared" si="27"/>
        <v>106.8</v>
      </c>
      <c r="BN17" s="353">
        <f t="shared" si="27"/>
        <v>114.2</v>
      </c>
      <c r="BO17" s="353">
        <f t="shared" si="27"/>
        <v>109</v>
      </c>
      <c r="BP17" s="353">
        <f t="shared" si="27"/>
        <v>109</v>
      </c>
      <c r="BQ17" s="353">
        <f t="shared" si="27"/>
        <v>109</v>
      </c>
      <c r="BR17" s="353">
        <f t="shared" si="27"/>
        <v>109</v>
      </c>
    </row>
    <row r="18" spans="1:74">
      <c r="B18" s="37" t="s">
        <v>255</v>
      </c>
      <c r="O18" s="48"/>
      <c r="P18" s="346">
        <f t="shared" ref="P18:U18" si="28">+P113</f>
        <v>90</v>
      </c>
      <c r="Q18" s="346">
        <f t="shared" si="28"/>
        <v>94.3</v>
      </c>
      <c r="R18" s="346">
        <f t="shared" si="28"/>
        <v>96</v>
      </c>
      <c r="S18" s="346">
        <f t="shared" si="28"/>
        <v>100.8</v>
      </c>
      <c r="T18" s="346">
        <f t="shared" si="28"/>
        <v>105.84</v>
      </c>
      <c r="U18" s="346">
        <f t="shared" si="28"/>
        <v>111.13200000000001</v>
      </c>
      <c r="BF18" s="346">
        <f t="shared" ref="BF18:BR18" si="29">+BF113</f>
        <v>20.9</v>
      </c>
      <c r="BG18" s="346">
        <f t="shared" si="29"/>
        <v>21.7</v>
      </c>
      <c r="BH18" s="346">
        <f t="shared" si="29"/>
        <v>23</v>
      </c>
      <c r="BI18" s="346">
        <f t="shared" si="29"/>
        <v>22.6</v>
      </c>
      <c r="BJ18" s="346">
        <f t="shared" si="29"/>
        <v>22.699999999999989</v>
      </c>
      <c r="BK18" s="346">
        <f t="shared" si="29"/>
        <v>22.4</v>
      </c>
      <c r="BL18" s="346">
        <f t="shared" si="29"/>
        <v>22.8</v>
      </c>
      <c r="BM18" s="346">
        <f t="shared" si="29"/>
        <v>24.4</v>
      </c>
      <c r="BN18" s="346">
        <f t="shared" si="29"/>
        <v>24.7</v>
      </c>
      <c r="BO18" s="346">
        <f t="shared" si="29"/>
        <v>24</v>
      </c>
      <c r="BP18" s="346">
        <f t="shared" si="29"/>
        <v>24</v>
      </c>
      <c r="BQ18" s="346">
        <f t="shared" si="29"/>
        <v>24</v>
      </c>
      <c r="BR18" s="346">
        <f t="shared" si="29"/>
        <v>24</v>
      </c>
    </row>
    <row r="19" spans="1:74">
      <c r="B19" s="37" t="s">
        <v>256</v>
      </c>
      <c r="O19" s="48"/>
      <c r="P19" s="346">
        <f t="shared" ref="P19:U19" si="30">+P202</f>
        <v>18.5</v>
      </c>
      <c r="Q19" s="346">
        <f t="shared" si="30"/>
        <v>19.5</v>
      </c>
      <c r="R19" s="346">
        <f t="shared" si="30"/>
        <v>20</v>
      </c>
      <c r="S19" s="346">
        <f t="shared" si="30"/>
        <v>20.7</v>
      </c>
      <c r="T19" s="346">
        <f t="shared" si="30"/>
        <v>21.424499999999995</v>
      </c>
      <c r="U19" s="346">
        <f t="shared" si="30"/>
        <v>22.174357499999992</v>
      </c>
      <c r="BF19" s="346">
        <f>+BF202</f>
        <v>4.9000000000000004</v>
      </c>
      <c r="BG19" s="346">
        <f t="shared" ref="BG19:BN19" si="31">+BG202</f>
        <v>4.5999999999999996</v>
      </c>
      <c r="BH19" s="346">
        <f t="shared" si="31"/>
        <v>4.5</v>
      </c>
      <c r="BI19" s="346">
        <f t="shared" si="31"/>
        <v>4.7</v>
      </c>
      <c r="BJ19" s="346">
        <f t="shared" si="31"/>
        <v>4.6999999999999993</v>
      </c>
      <c r="BK19" s="346">
        <f t="shared" si="31"/>
        <v>4.9000000000000004</v>
      </c>
      <c r="BL19" s="346">
        <f t="shared" si="31"/>
        <v>4.5</v>
      </c>
      <c r="BM19" s="346">
        <f t="shared" si="31"/>
        <v>4.8</v>
      </c>
      <c r="BN19" s="346">
        <f t="shared" si="31"/>
        <v>5.3</v>
      </c>
      <c r="BO19" s="346">
        <f>+BO202</f>
        <v>5</v>
      </c>
      <c r="BP19" s="346">
        <f>+BP202</f>
        <v>5</v>
      </c>
      <c r="BQ19" s="346">
        <f>+BQ202</f>
        <v>5</v>
      </c>
      <c r="BR19" s="346">
        <f>+BR202</f>
        <v>5</v>
      </c>
    </row>
    <row r="20" spans="1:74">
      <c r="B20" s="37" t="s">
        <v>530</v>
      </c>
      <c r="O20" s="48"/>
      <c r="P20" s="346">
        <f t="shared" ref="P20:U20" si="32">+P244</f>
        <v>6.9000000000000057</v>
      </c>
      <c r="Q20" s="346">
        <f>+Q244</f>
        <v>12.899999999999949</v>
      </c>
      <c r="R20" s="346">
        <f t="shared" si="32"/>
        <v>13</v>
      </c>
      <c r="S20" s="346">
        <f t="shared" si="32"/>
        <v>13.543300673169087</v>
      </c>
      <c r="T20" s="346">
        <f t="shared" si="32"/>
        <v>14.191916317644974</v>
      </c>
      <c r="U20" s="346">
        <f t="shared" si="32"/>
        <v>14.774366109760349</v>
      </c>
      <c r="BF20" s="42">
        <f>+BF21-SUM(BF17:BF19)</f>
        <v>0.90000000000000568</v>
      </c>
      <c r="BG20" s="42">
        <f t="shared" ref="BG20:BN20" si="33">+BG21-SUM(BG17:BG19)</f>
        <v>1.4999999999999716</v>
      </c>
      <c r="BH20" s="42">
        <f t="shared" si="33"/>
        <v>1.5000000000000284</v>
      </c>
      <c r="BI20" s="42">
        <f t="shared" si="33"/>
        <v>1.6999999999999602</v>
      </c>
      <c r="BJ20" s="42">
        <f t="shared" si="33"/>
        <v>2.2000000000000455</v>
      </c>
      <c r="BK20" s="42">
        <f t="shared" si="33"/>
        <v>3.1999999999999886</v>
      </c>
      <c r="BL20" s="42">
        <f t="shared" si="33"/>
        <v>3.1999999999999886</v>
      </c>
      <c r="BM20" s="42">
        <f t="shared" si="33"/>
        <v>3.1999999999999886</v>
      </c>
      <c r="BN20" s="42">
        <f t="shared" si="33"/>
        <v>3.2999999999999829</v>
      </c>
      <c r="BO20" s="346">
        <f>+BO244</f>
        <v>3.2500000000000004</v>
      </c>
      <c r="BP20" s="346">
        <f>+BP244</f>
        <v>3.25</v>
      </c>
      <c r="BQ20" s="346">
        <f>+BQ244</f>
        <v>3.25</v>
      </c>
      <c r="BR20" s="346">
        <f>+BR244</f>
        <v>3.25</v>
      </c>
    </row>
    <row r="21" spans="1:74">
      <c r="B21" s="38" t="s">
        <v>534</v>
      </c>
      <c r="G21" s="264">
        <f>IS!G49</f>
        <v>48</v>
      </c>
      <c r="H21" s="264">
        <f>IS!H49</f>
        <v>69.599999999999994</v>
      </c>
      <c r="I21" s="264">
        <f>IS!I49</f>
        <v>71.7</v>
      </c>
      <c r="J21" s="264">
        <f>IS!J49</f>
        <v>86.9</v>
      </c>
      <c r="K21" s="264">
        <f>IS!K49</f>
        <v>99.3</v>
      </c>
      <c r="L21" s="264">
        <f>IS!L49</f>
        <v>110.9</v>
      </c>
      <c r="M21" s="264">
        <f>IS!M49</f>
        <v>135.29999999999998</v>
      </c>
      <c r="N21" s="264">
        <f>IS!N49</f>
        <v>139.1</v>
      </c>
      <c r="O21" s="264">
        <f>IS!O49</f>
        <v>228.9</v>
      </c>
      <c r="P21" s="39">
        <f t="shared" ref="P21:U21" si="34">SUM(P17:P20)</f>
        <v>533.5</v>
      </c>
      <c r="Q21" s="39">
        <f t="shared" si="34"/>
        <v>558.9</v>
      </c>
      <c r="R21" s="39">
        <f t="shared" si="34"/>
        <v>565</v>
      </c>
      <c r="S21" s="39">
        <f t="shared" si="34"/>
        <v>581.92305381004087</v>
      </c>
      <c r="T21" s="39">
        <f t="shared" si="34"/>
        <v>592.93740418503171</v>
      </c>
      <c r="U21" s="39">
        <f t="shared" si="34"/>
        <v>604.16294620766246</v>
      </c>
      <c r="W21" s="61">
        <v>9.6</v>
      </c>
      <c r="X21" s="61">
        <f>19.1-W21</f>
        <v>9.5000000000000018</v>
      </c>
      <c r="Y21" s="61">
        <f>31.2-SUM(W21:X21)</f>
        <v>12.099999999999998</v>
      </c>
      <c r="Z21" s="61">
        <f>48-SUM(W21:Y21)</f>
        <v>16.8</v>
      </c>
      <c r="AA21" s="61">
        <v>17.3</v>
      </c>
      <c r="AB21" s="61">
        <f>34.9-AA21</f>
        <v>17.599999999999998</v>
      </c>
      <c r="AC21" s="61">
        <f>52.2-SUM(AA21:AB21)</f>
        <v>17.300000000000004</v>
      </c>
      <c r="AD21" s="61">
        <f>69.6-SUM(AA21:AC21)</f>
        <v>17.399999999999991</v>
      </c>
      <c r="AE21" s="61">
        <v>16.600000000000001</v>
      </c>
      <c r="AF21" s="61">
        <f>33.4-AE21</f>
        <v>16.799999999999997</v>
      </c>
      <c r="AG21" s="61">
        <f>50.5-SUM(AE21:AF21)</f>
        <v>17.100000000000001</v>
      </c>
      <c r="AH21" s="61">
        <v>21.2</v>
      </c>
      <c r="AI21" s="61">
        <v>21.6</v>
      </c>
      <c r="AJ21" s="61">
        <f>43.2-AI21</f>
        <v>21.6</v>
      </c>
      <c r="AK21" s="61">
        <f>64.8-SUM(AI21:AJ21)</f>
        <v>21.599999999999994</v>
      </c>
      <c r="AL21" s="61">
        <f>86.9-SUM(AI21:AK21)</f>
        <v>22.100000000000009</v>
      </c>
      <c r="AM21" s="61">
        <v>23.2</v>
      </c>
      <c r="AN21" s="61">
        <v>25.4</v>
      </c>
      <c r="AO21" s="61">
        <v>25.5</v>
      </c>
      <c r="AP21" s="61">
        <v>25.2</v>
      </c>
      <c r="AQ21" s="61">
        <v>25.5</v>
      </c>
      <c r="AR21" s="61">
        <v>26.6</v>
      </c>
      <c r="AS21" s="61">
        <v>26.6</v>
      </c>
      <c r="AT21" s="61">
        <v>32.200000000000003</v>
      </c>
      <c r="AU21" s="61">
        <v>32.9</v>
      </c>
      <c r="AV21" s="61">
        <v>34.200000000000003</v>
      </c>
      <c r="AW21" s="61">
        <v>34.1</v>
      </c>
      <c r="AX21" s="61">
        <v>34.1</v>
      </c>
      <c r="AY21" s="61">
        <v>34.200000000000003</v>
      </c>
      <c r="AZ21" s="61">
        <f>69.4-AY21</f>
        <v>35.200000000000003</v>
      </c>
      <c r="BA21" s="61">
        <f>104.3-SUM(AY21:AZ21)</f>
        <v>34.899999999999991</v>
      </c>
      <c r="BB21" s="61">
        <f>139.1-SUM(AY21:BA21)</f>
        <v>34.799999999999997</v>
      </c>
      <c r="BC21" s="352">
        <v>34.4</v>
      </c>
      <c r="BD21" s="352">
        <f>69.1-BC21</f>
        <v>34.699999999999996</v>
      </c>
      <c r="BE21" s="352">
        <f>104.9-SUM(BC21:BD21)</f>
        <v>35.800000000000011</v>
      </c>
      <c r="BF21" s="352">
        <f>228.9-SUM(BC21:BE21)</f>
        <v>124</v>
      </c>
      <c r="BG21" s="352">
        <v>129.69999999999999</v>
      </c>
      <c r="BH21" s="352">
        <f>262.1-BG21</f>
        <v>132.40000000000003</v>
      </c>
      <c r="BI21" s="352">
        <f>397.4-SUM(BG21:BH21)</f>
        <v>135.29999999999995</v>
      </c>
      <c r="BJ21" s="352">
        <f>533.5-SUM(BG21:BI21)</f>
        <v>136.10000000000002</v>
      </c>
      <c r="BK21" s="352">
        <v>135.1</v>
      </c>
      <c r="BL21" s="352">
        <v>137.1</v>
      </c>
      <c r="BM21" s="352">
        <v>139.19999999999999</v>
      </c>
      <c r="BN21" s="352">
        <v>147.5</v>
      </c>
      <c r="BO21" s="39">
        <f>SUM(BO17:BO20)</f>
        <v>141.25</v>
      </c>
      <c r="BP21" s="39">
        <f>SUM(BP17:BP20)</f>
        <v>141.25</v>
      </c>
      <c r="BQ21" s="39">
        <f>SUM(BQ17:BQ20)</f>
        <v>141.25</v>
      </c>
      <c r="BR21" s="39">
        <f>SUM(BR17:BR20)</f>
        <v>141.25</v>
      </c>
    </row>
    <row r="22" spans="1:74">
      <c r="B22" s="54" t="s">
        <v>504</v>
      </c>
      <c r="G22" s="63">
        <f t="shared" ref="G22:T22" si="35">+G21/G$7</f>
        <v>3.7593984962406013E-2</v>
      </c>
      <c r="H22" s="63">
        <f t="shared" si="35"/>
        <v>3.9444601870218192E-2</v>
      </c>
      <c r="I22" s="63">
        <f t="shared" si="35"/>
        <v>4.6816846229187074E-2</v>
      </c>
      <c r="J22" s="63">
        <f t="shared" si="35"/>
        <v>5.4795384324358411E-2</v>
      </c>
      <c r="K22" s="63">
        <f t="shared" si="35"/>
        <v>5.0634847789505888E-2</v>
      </c>
      <c r="L22" s="63">
        <f t="shared" si="35"/>
        <v>5.0762118368654741E-2</v>
      </c>
      <c r="M22" s="63">
        <f t="shared" si="35"/>
        <v>5.3797216699801184E-2</v>
      </c>
      <c r="N22" s="63">
        <f t="shared" si="35"/>
        <v>6.2064965197215764E-2</v>
      </c>
      <c r="O22" s="63">
        <f t="shared" si="35"/>
        <v>8.019198430493274E-2</v>
      </c>
      <c r="P22" s="63">
        <f t="shared" si="35"/>
        <v>9.6115735235830349E-2</v>
      </c>
      <c r="Q22" s="63">
        <f t="shared" si="35"/>
        <v>8.9161508518920296E-2</v>
      </c>
      <c r="R22" s="63">
        <f t="shared" si="35"/>
        <v>8.0928722083597332E-2</v>
      </c>
      <c r="S22" s="63">
        <f t="shared" si="35"/>
        <v>8.000896081197878E-2</v>
      </c>
      <c r="T22" s="63">
        <f t="shared" si="35"/>
        <v>7.7797455559701842E-2</v>
      </c>
      <c r="U22" s="63">
        <f>+U21/U$7</f>
        <v>7.6145249951260971E-2</v>
      </c>
      <c r="V22" s="48"/>
      <c r="W22" s="63">
        <f t="shared" ref="W22:BN22" si="36">+W21/W$7</f>
        <v>3.7573385518590997E-2</v>
      </c>
      <c r="X22" s="63">
        <f t="shared" si="36"/>
        <v>3.5687453042824953E-2</v>
      </c>
      <c r="Y22" s="63">
        <f t="shared" si="36"/>
        <v>3.4541821296031963E-2</v>
      </c>
      <c r="Z22" s="63">
        <f t="shared" si="36"/>
        <v>4.1501976284584984E-2</v>
      </c>
      <c r="AA22" s="63">
        <f t="shared" si="36"/>
        <v>4.3347531946880478E-2</v>
      </c>
      <c r="AB22" s="63">
        <f t="shared" si="36"/>
        <v>4.1092692038290919E-2</v>
      </c>
      <c r="AC22" s="63">
        <f t="shared" si="36"/>
        <v>3.440047723205409E-2</v>
      </c>
      <c r="AD22" s="63">
        <f t="shared" si="36"/>
        <v>4.0073698756333466E-2</v>
      </c>
      <c r="AE22" s="63">
        <f t="shared" si="36"/>
        <v>4.1437843235147279E-2</v>
      </c>
      <c r="AF22" s="63">
        <f t="shared" si="36"/>
        <v>4.3864229765013051E-2</v>
      </c>
      <c r="AG22" s="63">
        <f t="shared" si="36"/>
        <v>4.3073047858942067E-2</v>
      </c>
      <c r="AH22" s="63">
        <f t="shared" si="36"/>
        <v>6.0416072955257909E-2</v>
      </c>
      <c r="AI22" s="63">
        <f t="shared" si="36"/>
        <v>5.9668508287292824E-2</v>
      </c>
      <c r="AJ22" s="63">
        <f t="shared" si="36"/>
        <v>5.3241311313778662E-2</v>
      </c>
      <c r="AK22" s="63">
        <f t="shared" si="36"/>
        <v>4.9907578558225495E-2</v>
      </c>
      <c r="AL22" s="63">
        <f t="shared" si="36"/>
        <v>5.7343020238713051E-2</v>
      </c>
      <c r="AM22" s="63">
        <f t="shared" si="36"/>
        <v>5.3211009174311923E-2</v>
      </c>
      <c r="AN22" s="63">
        <f t="shared" si="36"/>
        <v>4.8006048006047998E-2</v>
      </c>
      <c r="AO22" s="63">
        <f t="shared" si="36"/>
        <v>4.6346782988004355E-2</v>
      </c>
      <c r="AP22" s="63">
        <f t="shared" si="36"/>
        <v>5.652759084791386E-2</v>
      </c>
      <c r="AQ22" s="63">
        <f t="shared" si="36"/>
        <v>5.027602523659306E-2</v>
      </c>
      <c r="AR22" s="63">
        <f t="shared" si="36"/>
        <v>5.2290151366227645E-2</v>
      </c>
      <c r="AS22" s="63">
        <f t="shared" si="36"/>
        <v>4.576737783895389E-2</v>
      </c>
      <c r="AT22" s="63">
        <f t="shared" si="36"/>
        <v>5.47991831177672E-2</v>
      </c>
      <c r="AU22" s="63">
        <f t="shared" si="36"/>
        <v>5.2222222222222218E-2</v>
      </c>
      <c r="AV22" s="63">
        <f t="shared" si="36"/>
        <v>5.2437902483900657E-2</v>
      </c>
      <c r="AW22" s="63">
        <f t="shared" si="36"/>
        <v>5.0842403459072608E-2</v>
      </c>
      <c r="AX22" s="63">
        <f t="shared" si="36"/>
        <v>6.0665362035225046E-2</v>
      </c>
      <c r="AY22" s="63">
        <f t="shared" si="36"/>
        <v>5.9231035677173541E-2</v>
      </c>
      <c r="AZ22" s="63">
        <f t="shared" si="36"/>
        <v>6.1711079943899017E-2</v>
      </c>
      <c r="BA22" s="63">
        <f t="shared" si="36"/>
        <v>5.8793800539083556E-2</v>
      </c>
      <c r="BB22" s="63">
        <f t="shared" si="36"/>
        <v>6.9627851140456179E-2</v>
      </c>
      <c r="BC22" s="63">
        <f t="shared" si="36"/>
        <v>6.6409266409266407E-2</v>
      </c>
      <c r="BD22" s="63">
        <f t="shared" si="36"/>
        <v>6.4811355995517364E-2</v>
      </c>
      <c r="BE22" s="63">
        <f t="shared" si="36"/>
        <v>6.7091454272863602E-2</v>
      </c>
      <c r="BF22" s="63">
        <f t="shared" si="36"/>
        <v>9.7838093735205925E-2</v>
      </c>
      <c r="BG22" s="63">
        <f t="shared" si="36"/>
        <v>9.6202343865895254E-2</v>
      </c>
      <c r="BH22" s="63">
        <f t="shared" si="36"/>
        <v>9.7067448680351928E-2</v>
      </c>
      <c r="BI22" s="63">
        <f t="shared" si="36"/>
        <v>9.3136917464032451E-2</v>
      </c>
      <c r="BJ22" s="63">
        <f t="shared" si="36"/>
        <v>9.8217507396983483E-2</v>
      </c>
      <c r="BK22" s="63">
        <f t="shared" si="36"/>
        <v>8.6210197179503539E-2</v>
      </c>
      <c r="BL22" s="63">
        <f t="shared" si="36"/>
        <v>8.9813298395021293E-2</v>
      </c>
      <c r="BM22" s="63">
        <f t="shared" si="36"/>
        <v>8.9523442021994984E-2</v>
      </c>
      <c r="BN22" s="63">
        <f t="shared" si="36"/>
        <v>9.1055003395271311E-2</v>
      </c>
      <c r="BO22" s="63">
        <f>+BO21/BO$7</f>
        <v>8.4928665654537674E-2</v>
      </c>
      <c r="BP22" s="63">
        <f>+BP21/BP$7</f>
        <v>8.1174277958502142E-2</v>
      </c>
      <c r="BQ22" s="63">
        <f>+BQ21/BQ$7</f>
        <v>7.9378093446941606E-2</v>
      </c>
      <c r="BR22" s="63">
        <f>+BR21/BR$7</f>
        <v>7.8526744975577059E-2</v>
      </c>
    </row>
    <row r="23" spans="1:74">
      <c r="O23" s="48"/>
      <c r="P23" s="48"/>
      <c r="Q23" s="280"/>
      <c r="R23" s="17"/>
      <c r="S23" s="44"/>
      <c r="T23" s="44"/>
      <c r="U23" s="44"/>
      <c r="V23" s="495"/>
      <c r="BG23" s="24"/>
      <c r="BH23" s="24"/>
      <c r="BI23" s="24"/>
      <c r="BJ23" s="24"/>
      <c r="BK23" s="49"/>
      <c r="BL23" s="49"/>
      <c r="BM23" s="49"/>
      <c r="BN23" s="49"/>
      <c r="BO23" s="49"/>
      <c r="BP23" s="49"/>
      <c r="BQ23" s="49"/>
      <c r="BR23" s="49"/>
    </row>
    <row r="24" spans="1:74">
      <c r="B24" s="35" t="s">
        <v>252</v>
      </c>
      <c r="G24" s="348"/>
      <c r="H24" s="348"/>
      <c r="I24" s="348"/>
      <c r="J24" s="348"/>
      <c r="K24" s="348"/>
      <c r="L24" s="348"/>
      <c r="M24" s="348"/>
      <c r="N24" s="348"/>
      <c r="O24" s="348"/>
      <c r="P24" s="348">
        <f t="shared" ref="P24:U24" si="37">P35</f>
        <v>643</v>
      </c>
      <c r="Q24" s="348">
        <f t="shared" si="37"/>
        <v>838</v>
      </c>
      <c r="R24" s="348">
        <f t="shared" si="37"/>
        <v>1147.3121450087301</v>
      </c>
      <c r="S24" s="348">
        <f t="shared" si="37"/>
        <v>1233.0643172131531</v>
      </c>
      <c r="T24" s="348">
        <f t="shared" si="37"/>
        <v>1303.0677474974759</v>
      </c>
      <c r="U24" s="348">
        <f t="shared" si="37"/>
        <v>1392.2549048902304</v>
      </c>
      <c r="V24" s="495"/>
      <c r="BF24" s="348">
        <f t="shared" ref="BF24:BR24" si="38">BF35</f>
        <v>150.6</v>
      </c>
      <c r="BG24" s="348">
        <f t="shared" si="38"/>
        <v>170</v>
      </c>
      <c r="BH24" s="348">
        <f t="shared" si="38"/>
        <v>134.1</v>
      </c>
      <c r="BI24" s="348">
        <f t="shared" si="38"/>
        <v>160</v>
      </c>
      <c r="BJ24" s="348">
        <f t="shared" si="38"/>
        <v>178.9</v>
      </c>
      <c r="BK24" s="348">
        <f t="shared" si="38"/>
        <v>192.1</v>
      </c>
      <c r="BL24" s="348">
        <f t="shared" si="38"/>
        <v>159.39999999999998</v>
      </c>
      <c r="BM24" s="348">
        <f t="shared" si="38"/>
        <v>236.5</v>
      </c>
      <c r="BN24" s="348">
        <f t="shared" si="38"/>
        <v>250</v>
      </c>
      <c r="BO24" s="348">
        <f t="shared" si="38"/>
        <v>230.10277992426694</v>
      </c>
      <c r="BP24" s="348">
        <f t="shared" si="38"/>
        <v>290.54304321506174</v>
      </c>
      <c r="BQ24" s="348">
        <f t="shared" si="38"/>
        <v>318.76831355999343</v>
      </c>
      <c r="BR24" s="348">
        <f t="shared" si="38"/>
        <v>307.89800830940789</v>
      </c>
      <c r="BS24" s="24"/>
      <c r="BT24" s="24"/>
      <c r="BU24" s="24"/>
      <c r="BV24" s="24"/>
    </row>
    <row r="25" spans="1:74">
      <c r="B25" s="37" t="s">
        <v>255</v>
      </c>
      <c r="F25" s="78">
        <v>1.0214408090778306</v>
      </c>
      <c r="G25" s="78">
        <v>4.1422981572870867</v>
      </c>
      <c r="H25" s="78">
        <v>3.5672488501398618</v>
      </c>
      <c r="I25" s="78">
        <v>2.9243388668846819</v>
      </c>
      <c r="J25" s="78">
        <v>0</v>
      </c>
      <c r="O25" s="48"/>
      <c r="P25" s="349">
        <f t="shared" ref="P25:U25" si="39">P107</f>
        <v>105.4</v>
      </c>
      <c r="Q25" s="349">
        <f t="shared" si="39"/>
        <v>82.5</v>
      </c>
      <c r="R25" s="349">
        <f t="shared" si="39"/>
        <v>145.77415772968135</v>
      </c>
      <c r="S25" s="349">
        <f t="shared" si="39"/>
        <v>201.95231058252944</v>
      </c>
      <c r="T25" s="349">
        <f t="shared" si="39"/>
        <v>213.6204929975288</v>
      </c>
      <c r="U25" s="349">
        <f t="shared" si="39"/>
        <v>225.95061287757176</v>
      </c>
      <c r="V25" s="495"/>
      <c r="AU25" s="504"/>
      <c r="BF25" s="349">
        <f t="shared" ref="BF25:BR25" si="40">BF107</f>
        <v>30.7</v>
      </c>
      <c r="BG25" s="349">
        <f t="shared" si="40"/>
        <v>29.9</v>
      </c>
      <c r="BH25" s="349">
        <f t="shared" si="40"/>
        <v>23</v>
      </c>
      <c r="BI25" s="349">
        <f t="shared" si="40"/>
        <v>32.900000000000006</v>
      </c>
      <c r="BJ25" s="349">
        <f t="shared" si="40"/>
        <v>19.599999999999987</v>
      </c>
      <c r="BK25" s="346">
        <f t="shared" si="40"/>
        <v>21.2</v>
      </c>
      <c r="BL25" s="346">
        <f t="shared" si="40"/>
        <v>14.700000000000001</v>
      </c>
      <c r="BM25" s="346">
        <f t="shared" si="40"/>
        <v>22.7</v>
      </c>
      <c r="BN25" s="346">
        <f t="shared" si="40"/>
        <v>23.9</v>
      </c>
      <c r="BO25" s="346">
        <f t="shared" si="40"/>
        <v>5.5760562603551538</v>
      </c>
      <c r="BP25" s="346">
        <f t="shared" si="40"/>
        <v>21.004766941808963</v>
      </c>
      <c r="BQ25" s="346">
        <f t="shared" si="40"/>
        <v>56.58512390861857</v>
      </c>
      <c r="BR25" s="346">
        <f t="shared" si="40"/>
        <v>62.60821061889866</v>
      </c>
      <c r="BS25" s="24"/>
      <c r="BT25" s="24"/>
      <c r="BU25" s="24"/>
      <c r="BV25" s="24"/>
    </row>
    <row r="26" spans="1:74">
      <c r="B26" s="37" t="s">
        <v>256</v>
      </c>
      <c r="O26" s="48"/>
      <c r="P26" s="349">
        <f t="shared" ref="P26:U26" si="41">P198</f>
        <v>139.4</v>
      </c>
      <c r="Q26" s="349">
        <f t="shared" si="41"/>
        <v>91.9</v>
      </c>
      <c r="R26" s="349">
        <f t="shared" si="41"/>
        <v>95.772420000000011</v>
      </c>
      <c r="S26" s="349">
        <f t="shared" si="41"/>
        <v>99.124454700000001</v>
      </c>
      <c r="T26" s="349">
        <f t="shared" si="41"/>
        <v>102.59381061449999</v>
      </c>
      <c r="U26" s="349">
        <f t="shared" si="41"/>
        <v>106.18459398600749</v>
      </c>
      <c r="V26" s="495"/>
      <c r="AU26" s="48"/>
      <c r="BF26" s="349">
        <f t="shared" ref="BF26:BR26" si="42">BF198</f>
        <v>26.700000000000003</v>
      </c>
      <c r="BG26" s="349">
        <f t="shared" si="42"/>
        <v>33.299999999999997</v>
      </c>
      <c r="BH26" s="349">
        <f t="shared" si="42"/>
        <v>35.700000000000003</v>
      </c>
      <c r="BI26" s="349">
        <f t="shared" si="42"/>
        <v>40.700000000000003</v>
      </c>
      <c r="BJ26" s="349">
        <f t="shared" si="42"/>
        <v>29.7</v>
      </c>
      <c r="BK26" s="346">
        <f t="shared" si="42"/>
        <v>30</v>
      </c>
      <c r="BL26" s="346">
        <f t="shared" si="42"/>
        <v>23.5</v>
      </c>
      <c r="BM26" s="346">
        <f t="shared" si="42"/>
        <v>22</v>
      </c>
      <c r="BN26" s="346">
        <f t="shared" si="42"/>
        <v>16.399999999999999</v>
      </c>
      <c r="BO26" s="346">
        <f t="shared" si="42"/>
        <v>21.560760000000002</v>
      </c>
      <c r="BP26" s="346">
        <f t="shared" si="42"/>
        <v>24.241140000000005</v>
      </c>
      <c r="BQ26" s="346">
        <f t="shared" si="42"/>
        <v>26.301780000000004</v>
      </c>
      <c r="BR26" s="346">
        <f t="shared" si="42"/>
        <v>23.668740000000003</v>
      </c>
      <c r="BS26" s="24"/>
      <c r="BT26" s="24"/>
      <c r="BU26" s="24"/>
      <c r="BV26" s="24"/>
    </row>
    <row r="27" spans="1:74">
      <c r="B27" s="37" t="s">
        <v>530</v>
      </c>
      <c r="O27" s="48"/>
      <c r="P27" s="349">
        <f t="shared" ref="P27:U27" si="43">P240</f>
        <v>-49.300000000000004</v>
      </c>
      <c r="Q27" s="349">
        <f t="shared" si="43"/>
        <v>-68.30000000000004</v>
      </c>
      <c r="R27" s="349">
        <f t="shared" si="43"/>
        <v>-95.86428373892133</v>
      </c>
      <c r="S27" s="349">
        <f t="shared" si="43"/>
        <v>-107.14390184348058</v>
      </c>
      <c r="T27" s="349">
        <f t="shared" si="43"/>
        <v>-119.89678936726997</v>
      </c>
      <c r="U27" s="349">
        <f t="shared" si="43"/>
        <v>-132.75181650024695</v>
      </c>
      <c r="V27" s="495"/>
      <c r="BF27" s="349">
        <f t="shared" ref="BF27:BR27" si="44">BF240</f>
        <v>-0.99999999999999423</v>
      </c>
      <c r="BG27" s="349">
        <f t="shared" si="44"/>
        <v>-18.700000000000031</v>
      </c>
      <c r="BH27" s="349">
        <f t="shared" si="44"/>
        <v>-12.39999999999997</v>
      </c>
      <c r="BI27" s="349">
        <f t="shared" si="44"/>
        <v>-11.700000000000038</v>
      </c>
      <c r="BJ27" s="349">
        <f t="shared" si="44"/>
        <v>-6.4999999999999556</v>
      </c>
      <c r="BK27" s="346">
        <f t="shared" si="44"/>
        <v>-22.900000000000006</v>
      </c>
      <c r="BL27" s="346">
        <f t="shared" si="44"/>
        <v>-17.300000000000011</v>
      </c>
      <c r="BM27" s="346">
        <f t="shared" si="44"/>
        <v>-15.700000000000017</v>
      </c>
      <c r="BN27" s="346">
        <f t="shared" si="44"/>
        <v>-12.400000000000016</v>
      </c>
      <c r="BO27" s="346">
        <f t="shared" si="44"/>
        <v>-22.478204616442738</v>
      </c>
      <c r="BP27" s="346">
        <f t="shared" si="44"/>
        <v>-23.870506511397565</v>
      </c>
      <c r="BQ27" s="346">
        <f t="shared" si="44"/>
        <v>-24.583193583144137</v>
      </c>
      <c r="BR27" s="346">
        <f t="shared" si="44"/>
        <v>-24.932379027936882</v>
      </c>
      <c r="BS27" s="48"/>
      <c r="BT27" s="48"/>
      <c r="BU27" s="48"/>
      <c r="BV27" s="48"/>
    </row>
    <row r="28" spans="1:74">
      <c r="B28" s="38" t="s">
        <v>531</v>
      </c>
      <c r="G28" s="264">
        <f>IS!G50</f>
        <v>208</v>
      </c>
      <c r="H28" s="264">
        <f>IS!H50</f>
        <v>360.20000000000005</v>
      </c>
      <c r="I28" s="264">
        <f>IS!I50</f>
        <v>292</v>
      </c>
      <c r="J28" s="264">
        <f>IS!J50</f>
        <v>186.7</v>
      </c>
      <c r="K28" s="264">
        <f>IS!K50</f>
        <v>332.8</v>
      </c>
      <c r="L28" s="264">
        <f>IS!L50</f>
        <v>372.79999999999995</v>
      </c>
      <c r="M28" s="264">
        <f>IS!M50</f>
        <v>424.6</v>
      </c>
      <c r="N28" s="264">
        <f>IS!N50</f>
        <v>348.5</v>
      </c>
      <c r="O28" s="264">
        <f>IS!O50</f>
        <v>478.70000000000005</v>
      </c>
      <c r="P28" s="39">
        <f t="shared" ref="P28:U28" si="45">SUM(P24:P27)</f>
        <v>838.5</v>
      </c>
      <c r="Q28" s="39">
        <f t="shared" si="45"/>
        <v>944.09999999999991</v>
      </c>
      <c r="R28" s="39">
        <f t="shared" si="45"/>
        <v>1292.9944389994901</v>
      </c>
      <c r="S28" s="39">
        <f t="shared" si="45"/>
        <v>1426.9971806522019</v>
      </c>
      <c r="T28" s="39">
        <f t="shared" si="45"/>
        <v>1499.3852617422347</v>
      </c>
      <c r="U28" s="39">
        <f t="shared" si="45"/>
        <v>1591.6382952535628</v>
      </c>
      <c r="V28" s="495"/>
      <c r="BF28" s="39">
        <f>SUM(BF24:BF27)</f>
        <v>207</v>
      </c>
      <c r="BG28" s="39">
        <f>SUM(BG24:BG27)</f>
        <v>214.49999999999994</v>
      </c>
      <c r="BH28" s="39">
        <f t="shared" ref="BH28:BN28" si="46">SUM(BH24:BH27)</f>
        <v>180.40000000000003</v>
      </c>
      <c r="BI28" s="39">
        <f t="shared" si="46"/>
        <v>221.89999999999998</v>
      </c>
      <c r="BJ28" s="39">
        <f t="shared" si="46"/>
        <v>221.70000000000005</v>
      </c>
      <c r="BK28" s="39">
        <f t="shared" si="46"/>
        <v>220.39999999999998</v>
      </c>
      <c r="BL28" s="39">
        <f t="shared" si="46"/>
        <v>180.29999999999995</v>
      </c>
      <c r="BM28" s="39">
        <f t="shared" si="46"/>
        <v>265.5</v>
      </c>
      <c r="BN28" s="39">
        <f t="shared" si="46"/>
        <v>277.89999999999992</v>
      </c>
      <c r="BO28" s="39">
        <f>SUM(BO24:BO27)</f>
        <v>234.76139156817936</v>
      </c>
      <c r="BP28" s="39">
        <f>SUM(BP24:BP27)</f>
        <v>311.91844364547319</v>
      </c>
      <c r="BQ28" s="39">
        <f>SUM(BQ24:BQ27)</f>
        <v>377.0720238854679</v>
      </c>
      <c r="BR28" s="39">
        <f>SUM(BR24:BR27)</f>
        <v>369.24257990036972</v>
      </c>
    </row>
    <row r="29" spans="1:74">
      <c r="B29" s="54" t="s">
        <v>189</v>
      </c>
      <c r="G29" s="63">
        <f t="shared" ref="G29:T29" si="47">+G28/G$7</f>
        <v>0.16290726817042608</v>
      </c>
      <c r="H29" s="63">
        <f t="shared" si="47"/>
        <v>0.204137149334089</v>
      </c>
      <c r="I29" s="63">
        <f t="shared" si="47"/>
        <v>0.19066274893894875</v>
      </c>
      <c r="J29" s="63">
        <f t="shared" si="47"/>
        <v>0.11772495113184941</v>
      </c>
      <c r="K29" s="63">
        <f t="shared" si="47"/>
        <v>0.16970067819081128</v>
      </c>
      <c r="L29" s="63">
        <f t="shared" si="47"/>
        <v>0.17064127797866985</v>
      </c>
      <c r="M29" s="63">
        <f t="shared" si="47"/>
        <v>0.16882703777335986</v>
      </c>
      <c r="N29" s="63">
        <f t="shared" si="47"/>
        <v>0.15549705514902729</v>
      </c>
      <c r="O29" s="63">
        <f t="shared" si="47"/>
        <v>0.16770599775784756</v>
      </c>
      <c r="P29" s="63">
        <f t="shared" si="47"/>
        <v>0.15106474975678305</v>
      </c>
      <c r="Q29" s="63">
        <f t="shared" si="47"/>
        <v>0.15061259651585732</v>
      </c>
      <c r="R29" s="63">
        <f t="shared" si="47"/>
        <v>0.18520422585739216</v>
      </c>
      <c r="S29" s="63">
        <f t="shared" si="47"/>
        <v>0.1961987255154802</v>
      </c>
      <c r="T29" s="63">
        <f t="shared" si="47"/>
        <v>0.19672963359023005</v>
      </c>
      <c r="U29" s="63">
        <f>+U28/U$7</f>
        <v>0.20060100769970779</v>
      </c>
      <c r="V29" s="495"/>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f t="shared" ref="BF29:BN29" si="48">+BF28/BF$7</f>
        <v>0.16332649518699699</v>
      </c>
      <c r="BG29" s="63">
        <f t="shared" si="48"/>
        <v>0.15910102358700484</v>
      </c>
      <c r="BH29" s="63">
        <f t="shared" si="48"/>
        <v>0.13225806451612906</v>
      </c>
      <c r="BI29" s="63">
        <f t="shared" si="48"/>
        <v>0.15275005162800301</v>
      </c>
      <c r="BJ29" s="63">
        <f t="shared" si="48"/>
        <v>0.15999134011690844</v>
      </c>
      <c r="BK29" s="63">
        <f t="shared" si="48"/>
        <v>0.14064195009890881</v>
      </c>
      <c r="BL29" s="63">
        <f t="shared" si="48"/>
        <v>0.1181133311496888</v>
      </c>
      <c r="BM29" s="63">
        <f t="shared" si="48"/>
        <v>0.17075053058074477</v>
      </c>
      <c r="BN29" s="63">
        <f t="shared" si="48"/>
        <v>0.17155379961726028</v>
      </c>
      <c r="BO29" s="63">
        <f>+BO28/BO$7</f>
        <v>0.14115378218115329</v>
      </c>
      <c r="BP29" s="63">
        <f>+BP28/BP$7</f>
        <v>0.17925489872467984</v>
      </c>
      <c r="BQ29" s="63">
        <f>+BQ28/BQ$7</f>
        <v>0.21190271396961463</v>
      </c>
      <c r="BR29" s="63">
        <f>+BR28/BR$7</f>
        <v>0.20527729490945465</v>
      </c>
    </row>
    <row r="30" spans="1:74">
      <c r="G30" s="55"/>
      <c r="H30" s="55"/>
      <c r="I30" s="55"/>
      <c r="J30" s="55"/>
      <c r="K30" s="55"/>
      <c r="L30" s="55"/>
      <c r="M30" s="55"/>
      <c r="N30" s="55"/>
      <c r="O30" s="55"/>
      <c r="P30" s="55"/>
      <c r="Q30" s="402"/>
      <c r="R30" s="63"/>
      <c r="S30" s="48"/>
      <c r="T30" s="63"/>
      <c r="U30" s="63"/>
      <c r="V30" s="34"/>
      <c r="W30" s="55"/>
      <c r="X30" s="55"/>
      <c r="Y30" s="55"/>
      <c r="Z30" s="55"/>
      <c r="AA30" s="55"/>
      <c r="AB30" s="55"/>
      <c r="AC30" s="55"/>
      <c r="AD30" s="55"/>
      <c r="AE30" s="55"/>
      <c r="AF30" s="55"/>
      <c r="AG30" s="55"/>
      <c r="AH30" s="55"/>
      <c r="AI30" s="55"/>
      <c r="AJ30" s="55"/>
      <c r="AK30" s="55"/>
      <c r="AL30" s="55"/>
      <c r="AM30" s="55"/>
      <c r="AN30" s="55"/>
      <c r="AO30" s="55"/>
      <c r="AP30" s="55"/>
      <c r="AQ30" s="55"/>
      <c r="AR30" s="55"/>
      <c r="AS30" s="55"/>
      <c r="AT30" s="55"/>
      <c r="AU30" s="55"/>
      <c r="AV30" s="55"/>
      <c r="AW30" s="55"/>
      <c r="AX30" s="55"/>
      <c r="AY30" s="55"/>
      <c r="AZ30" s="55"/>
      <c r="BA30" s="55"/>
      <c r="BB30" s="55"/>
      <c r="BC30" s="55"/>
      <c r="BD30" s="55"/>
      <c r="BE30" s="55"/>
      <c r="BF30" s="55"/>
      <c r="BG30" s="55"/>
      <c r="BH30" s="55"/>
      <c r="BI30" s="55"/>
      <c r="BJ30" s="55"/>
      <c r="BK30" s="55"/>
      <c r="BL30" s="55"/>
      <c r="BM30" s="55"/>
      <c r="BN30" s="507"/>
      <c r="BO30" s="55"/>
      <c r="BP30" s="55"/>
      <c r="BQ30" s="55"/>
      <c r="BR30" s="55"/>
    </row>
    <row r="31" spans="1:74">
      <c r="A31" s="5" t="s">
        <v>150</v>
      </c>
      <c r="B31" s="33" t="s">
        <v>252</v>
      </c>
      <c r="C31" s="28"/>
      <c r="D31" s="28"/>
      <c r="E31" s="28"/>
      <c r="F31" s="28"/>
      <c r="G31" s="28"/>
      <c r="H31" s="28"/>
      <c r="I31" s="28"/>
      <c r="J31" s="28"/>
      <c r="K31" s="28"/>
      <c r="L31" s="28"/>
      <c r="M31" s="28"/>
      <c r="N31" s="28"/>
      <c r="O31" s="28"/>
      <c r="P31" s="28"/>
      <c r="Q31" s="50"/>
      <c r="R31" s="28"/>
      <c r="S31" s="28"/>
      <c r="T31" s="28"/>
      <c r="U31" s="28"/>
      <c r="V31" s="28"/>
      <c r="W31" s="33"/>
      <c r="X31" s="33"/>
      <c r="Y31" s="33"/>
      <c r="Z31" s="33"/>
      <c r="AA31" s="33"/>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8"/>
      <c r="BA31" s="28"/>
      <c r="BB31" s="28"/>
      <c r="BC31" s="28"/>
      <c r="BD31" s="28"/>
      <c r="BE31" s="28"/>
      <c r="BF31" s="28"/>
      <c r="BG31" s="354"/>
      <c r="BH31" s="354"/>
      <c r="BI31" s="354"/>
      <c r="BJ31" s="354"/>
      <c r="BK31" s="354"/>
      <c r="BL31" s="354"/>
      <c r="BM31" s="28"/>
      <c r="BN31" s="28"/>
      <c r="BO31" s="28"/>
      <c r="BP31" s="28"/>
      <c r="BQ31" s="28"/>
      <c r="BR31" s="28"/>
    </row>
    <row r="32" spans="1:74" s="51" customFormat="1">
      <c r="B32" s="38" t="s">
        <v>195</v>
      </c>
      <c r="F32" s="52"/>
      <c r="G32" s="52">
        <f>SUM(W32:Z32)</f>
        <v>845.1</v>
      </c>
      <c r="H32" s="52">
        <f>SUM(AA32:AD32)</f>
        <v>1275.4000000000001</v>
      </c>
      <c r="I32" s="52">
        <f>SUM(AE32:AH32)</f>
        <v>963.80000000000007</v>
      </c>
      <c r="J32" s="52">
        <f>SUM(AI32:AL32)</f>
        <v>1036.6000000000001</v>
      </c>
      <c r="K32" s="52">
        <f>SUM(AM32:AP32)</f>
        <v>1389.1000000000001</v>
      </c>
      <c r="L32" s="52">
        <f>SUM(AQ32:AT32)</f>
        <v>1567.1</v>
      </c>
      <c r="M32" s="304">
        <f>SUM(AU32:AX32)</f>
        <v>1737.3999999999999</v>
      </c>
      <c r="N32" s="304">
        <f>SUM(AY32:BB32)</f>
        <v>1502.8000000000002</v>
      </c>
      <c r="O32" s="304">
        <f>SUM(BC32:BF32)</f>
        <v>1713.4</v>
      </c>
      <c r="P32" s="304">
        <f>SUM(BG32:BJ32)</f>
        <v>2999.2999999999997</v>
      </c>
      <c r="Q32" s="304">
        <f>SUM(BK32:BN32)</f>
        <v>3500.7999999999997</v>
      </c>
      <c r="R32" s="304">
        <f>SUM(BO32:BR32)</f>
        <v>3891.6333679772897</v>
      </c>
      <c r="S32" s="278">
        <f>'CA&amp;V'!W9</f>
        <v>4039.6473068631344</v>
      </c>
      <c r="T32" s="278">
        <f>'CA&amp;V'!X9</f>
        <v>4237.4068504669003</v>
      </c>
      <c r="U32" s="278">
        <f>'CA&amp;V'!Y9</f>
        <v>4392.4933710480682</v>
      </c>
      <c r="W32" s="53">
        <v>155.30000000000001</v>
      </c>
      <c r="X32" s="53">
        <v>166.4</v>
      </c>
      <c r="Y32" s="53">
        <v>221.3</v>
      </c>
      <c r="Z32" s="53">
        <v>302.10000000000002</v>
      </c>
      <c r="AA32" s="53">
        <v>288.3</v>
      </c>
      <c r="AB32" s="53">
        <v>312.2</v>
      </c>
      <c r="AC32" s="53">
        <v>362.1</v>
      </c>
      <c r="AD32" s="53">
        <v>312.8</v>
      </c>
      <c r="AE32" s="53">
        <v>267.7</v>
      </c>
      <c r="AF32" s="53">
        <v>242.4</v>
      </c>
      <c r="AG32" s="53">
        <v>228.8</v>
      </c>
      <c r="AH32" s="53">
        <v>224.9</v>
      </c>
      <c r="AI32" s="53">
        <v>230.6</v>
      </c>
      <c r="AJ32" s="53">
        <v>258</v>
      </c>
      <c r="AK32" s="53">
        <v>275.3</v>
      </c>
      <c r="AL32" s="53">
        <v>272.7</v>
      </c>
      <c r="AM32" s="53">
        <v>299.39999999999998</v>
      </c>
      <c r="AN32" s="53">
        <v>380.3</v>
      </c>
      <c r="AO32" s="53">
        <v>386.1</v>
      </c>
      <c r="AP32" s="53">
        <v>323.3</v>
      </c>
      <c r="AQ32" s="53">
        <v>359.7</v>
      </c>
      <c r="AR32" s="53">
        <v>363.2</v>
      </c>
      <c r="AS32" s="101">
        <f t="shared" ref="AS32:BE32" si="49">+AS68+AS84+AS100</f>
        <v>412.40000000000003</v>
      </c>
      <c r="AT32" s="101">
        <f t="shared" si="49"/>
        <v>431.79999999999995</v>
      </c>
      <c r="AU32" s="101">
        <f t="shared" si="49"/>
        <v>441.99999999999994</v>
      </c>
      <c r="AV32" s="101">
        <f t="shared" si="49"/>
        <v>454.09999999999997</v>
      </c>
      <c r="AW32" s="101">
        <f t="shared" si="49"/>
        <v>457.6</v>
      </c>
      <c r="AX32" s="101">
        <f t="shared" si="49"/>
        <v>383.7</v>
      </c>
      <c r="AY32" s="101">
        <f t="shared" si="49"/>
        <v>376.8</v>
      </c>
      <c r="AZ32" s="101">
        <f t="shared" si="49"/>
        <v>389.40000000000003</v>
      </c>
      <c r="BA32" s="101">
        <f t="shared" si="49"/>
        <v>383.99999999999994</v>
      </c>
      <c r="BB32" s="101">
        <f t="shared" si="49"/>
        <v>352.6</v>
      </c>
      <c r="BC32" s="101">
        <f t="shared" si="49"/>
        <v>339.3</v>
      </c>
      <c r="BD32" s="101">
        <f t="shared" si="49"/>
        <v>341.2</v>
      </c>
      <c r="BE32" s="101">
        <f t="shared" si="49"/>
        <v>351.79999999999995</v>
      </c>
      <c r="BF32" s="53">
        <v>681.1</v>
      </c>
      <c r="BG32" s="53">
        <v>704.3</v>
      </c>
      <c r="BH32" s="53">
        <v>733</v>
      </c>
      <c r="BI32" s="53">
        <v>779.4</v>
      </c>
      <c r="BJ32" s="53">
        <v>782.6</v>
      </c>
      <c r="BK32" s="53">
        <v>836.9</v>
      </c>
      <c r="BL32" s="53">
        <v>865.1</v>
      </c>
      <c r="BM32" s="53">
        <v>881.2</v>
      </c>
      <c r="BN32" s="53">
        <v>917.6</v>
      </c>
      <c r="BO32" s="304">
        <f>+BK32*(1+BO33)</f>
        <v>917.38134316725348</v>
      </c>
      <c r="BP32" s="304">
        <f>+BL32*(1+BP33)</f>
        <v>968.68036276825796</v>
      </c>
      <c r="BQ32" s="304">
        <f>+BM32*(1+BQ33)</f>
        <v>988.89210583530371</v>
      </c>
      <c r="BR32" s="304">
        <f>+BN32*(1+BR33)</f>
        <v>1016.6795562064747</v>
      </c>
      <c r="BT32" s="34"/>
    </row>
    <row r="33" spans="2:72" s="7" customFormat="1">
      <c r="B33" s="54" t="s">
        <v>141</v>
      </c>
      <c r="F33" s="55"/>
      <c r="G33" s="55"/>
      <c r="H33" s="55"/>
      <c r="I33" s="63">
        <f t="shared" ref="I33:U33" si="50">I32/H32-1</f>
        <v>-0.24431550885996545</v>
      </c>
      <c r="J33" s="63">
        <f t="shared" si="50"/>
        <v>7.5534343224735512E-2</v>
      </c>
      <c r="K33" s="63">
        <f t="shared" si="50"/>
        <v>0.34005402276673746</v>
      </c>
      <c r="L33" s="63">
        <f t="shared" si="50"/>
        <v>0.12814052264055853</v>
      </c>
      <c r="M33" s="63">
        <f t="shared" si="50"/>
        <v>0.1086720694276051</v>
      </c>
      <c r="N33" s="63">
        <f t="shared" si="50"/>
        <v>-0.13502935420743623</v>
      </c>
      <c r="O33" s="63">
        <f t="shared" si="50"/>
        <v>0.14013840830449809</v>
      </c>
      <c r="P33" s="63">
        <f t="shared" si="50"/>
        <v>0.75049608964631709</v>
      </c>
      <c r="Q33" s="63">
        <f t="shared" si="50"/>
        <v>0.16720568132564262</v>
      </c>
      <c r="R33" s="63">
        <f t="shared" si="50"/>
        <v>0.11164115858583457</v>
      </c>
      <c r="S33" s="63">
        <f t="shared" si="50"/>
        <v>3.8033885746738827E-2</v>
      </c>
      <c r="T33" s="63">
        <f t="shared" si="50"/>
        <v>4.8954655835370398E-2</v>
      </c>
      <c r="U33" s="63">
        <f t="shared" si="50"/>
        <v>3.6599393462555918E-2</v>
      </c>
      <c r="V33" s="63"/>
      <c r="W33" s="63"/>
      <c r="X33" s="63"/>
      <c r="Y33" s="63"/>
      <c r="Z33" s="63"/>
      <c r="AA33" s="63"/>
      <c r="AB33" s="63"/>
      <c r="AC33" s="63"/>
      <c r="AD33" s="63"/>
      <c r="AE33" s="63">
        <f t="shared" ref="AE33:BN33" si="51">AE32/AA32-1</f>
        <v>-7.1453347207769746E-2</v>
      </c>
      <c r="AF33" s="63">
        <f t="shared" si="51"/>
        <v>-0.22357463164638047</v>
      </c>
      <c r="AG33" s="63">
        <f t="shared" si="51"/>
        <v>-0.36813035073184208</v>
      </c>
      <c r="AH33" s="63">
        <f t="shared" si="51"/>
        <v>-0.28101023017902815</v>
      </c>
      <c r="AI33" s="63">
        <f t="shared" si="51"/>
        <v>-0.13858797161001124</v>
      </c>
      <c r="AJ33" s="63">
        <f t="shared" si="51"/>
        <v>6.4356435643564414E-2</v>
      </c>
      <c r="AK33" s="63">
        <f t="shared" si="51"/>
        <v>0.20323426573426562</v>
      </c>
      <c r="AL33" s="63">
        <f t="shared" si="51"/>
        <v>0.21253890618052451</v>
      </c>
      <c r="AM33" s="63">
        <f t="shared" si="51"/>
        <v>0.29835212489158702</v>
      </c>
      <c r="AN33" s="63">
        <f t="shared" si="51"/>
        <v>0.47403100775193807</v>
      </c>
      <c r="AO33" s="63">
        <f t="shared" si="51"/>
        <v>0.40247003269160908</v>
      </c>
      <c r="AP33" s="63">
        <f t="shared" si="51"/>
        <v>0.18555188852218563</v>
      </c>
      <c r="AQ33" s="63">
        <f t="shared" si="51"/>
        <v>0.20140280561122248</v>
      </c>
      <c r="AR33" s="63">
        <f t="shared" si="51"/>
        <v>-4.4964501709176985E-2</v>
      </c>
      <c r="AS33" s="63">
        <f t="shared" si="51"/>
        <v>6.8117068117068191E-2</v>
      </c>
      <c r="AT33" s="63">
        <f t="shared" si="51"/>
        <v>0.33560160841323827</v>
      </c>
      <c r="AU33" s="63">
        <f t="shared" si="51"/>
        <v>0.22880177926049483</v>
      </c>
      <c r="AV33" s="63">
        <f t="shared" si="51"/>
        <v>0.25027533039647576</v>
      </c>
      <c r="AW33" s="63">
        <f t="shared" si="51"/>
        <v>0.10960232783705126</v>
      </c>
      <c r="AX33" s="63">
        <f t="shared" si="51"/>
        <v>-0.1113941639647984</v>
      </c>
      <c r="AY33" s="63">
        <f t="shared" si="51"/>
        <v>-0.14751131221719449</v>
      </c>
      <c r="AZ33" s="63">
        <f t="shared" si="51"/>
        <v>-0.14247963003743658</v>
      </c>
      <c r="BA33" s="63">
        <f t="shared" si="51"/>
        <v>-0.16083916083916105</v>
      </c>
      <c r="BB33" s="63">
        <f t="shared" si="51"/>
        <v>-8.1052905916080165E-2</v>
      </c>
      <c r="BC33" s="63">
        <f t="shared" si="51"/>
        <v>-9.9522292993630579E-2</v>
      </c>
      <c r="BD33" s="63">
        <f t="shared" si="51"/>
        <v>-0.12378017462763236</v>
      </c>
      <c r="BE33" s="63">
        <f t="shared" si="51"/>
        <v>-8.3854166666666674E-2</v>
      </c>
      <c r="BF33" s="63">
        <f t="shared" si="51"/>
        <v>0.93165059557572305</v>
      </c>
      <c r="BG33" s="63">
        <f t="shared" si="51"/>
        <v>1.0757441791924549</v>
      </c>
      <c r="BH33" s="63">
        <f t="shared" si="51"/>
        <v>1.1483001172332945</v>
      </c>
      <c r="BI33" s="63">
        <f t="shared" si="51"/>
        <v>1.2154633314383174</v>
      </c>
      <c r="BJ33" s="63">
        <f t="shared" si="51"/>
        <v>0.14902363823227138</v>
      </c>
      <c r="BK33" s="63">
        <f t="shared" si="51"/>
        <v>0.18827204316342483</v>
      </c>
      <c r="BL33" s="63">
        <f t="shared" si="51"/>
        <v>0.1802182810368349</v>
      </c>
      <c r="BM33" s="63">
        <f t="shared" si="51"/>
        <v>0.13061329227610985</v>
      </c>
      <c r="BN33" s="63">
        <f t="shared" si="51"/>
        <v>0.17250191668796311</v>
      </c>
      <c r="BO33" s="376">
        <f>+BO57</f>
        <v>9.6166021229840526E-2</v>
      </c>
      <c r="BP33" s="376">
        <f>+BP57</f>
        <v>0.11973224224743717</v>
      </c>
      <c r="BQ33" s="376">
        <f>+BQ57</f>
        <v>0.12221074198286841</v>
      </c>
      <c r="BR33" s="376">
        <f>+BR57</f>
        <v>0.10797684852492884</v>
      </c>
      <c r="BT33" s="34"/>
    </row>
    <row r="34" spans="2:72" s="7" customFormat="1">
      <c r="B34" s="43"/>
      <c r="G34" s="57"/>
      <c r="H34" s="57"/>
      <c r="I34" s="57"/>
      <c r="J34" s="57"/>
      <c r="K34" s="57"/>
      <c r="L34" s="57"/>
      <c r="M34" s="57"/>
      <c r="N34" s="57"/>
      <c r="O34" s="57"/>
      <c r="P34" s="57"/>
      <c r="Q34" s="57"/>
      <c r="R34" s="339"/>
      <c r="S34" s="339"/>
      <c r="T34" s="339"/>
      <c r="U34" s="339"/>
      <c r="V34" s="57"/>
      <c r="W34" s="57"/>
      <c r="X34" s="57"/>
      <c r="Y34" s="57"/>
      <c r="Z34" s="57"/>
      <c r="AA34" s="58"/>
      <c r="AB34" s="58"/>
      <c r="AC34" s="58"/>
      <c r="AD34" s="58"/>
      <c r="AE34" s="58"/>
      <c r="AF34" s="58"/>
      <c r="AG34" s="58"/>
      <c r="AH34" s="58"/>
      <c r="AI34" s="58"/>
      <c r="AJ34" s="58"/>
      <c r="AK34" s="58"/>
      <c r="AL34" s="58"/>
      <c r="AM34" s="58"/>
      <c r="AN34" s="58"/>
      <c r="AO34" s="58"/>
      <c r="AP34" s="58"/>
      <c r="AQ34" s="58"/>
      <c r="AR34" s="58"/>
      <c r="AS34" s="58"/>
      <c r="AT34" s="58"/>
      <c r="AU34" s="58"/>
      <c r="AV34" s="58"/>
      <c r="AW34" s="58"/>
      <c r="AX34" s="58"/>
      <c r="AY34" s="58"/>
      <c r="AZ34" s="58"/>
      <c r="BA34" s="58"/>
      <c r="BB34" s="58"/>
      <c r="BC34" s="58"/>
      <c r="BD34" s="58"/>
      <c r="BE34" s="58"/>
      <c r="BF34" s="57"/>
      <c r="BG34" s="58"/>
      <c r="BH34" s="58"/>
      <c r="BI34" s="58"/>
      <c r="BJ34" s="57"/>
      <c r="BK34" s="58"/>
      <c r="BL34" s="58"/>
      <c r="BM34" s="58"/>
      <c r="BN34" s="51"/>
      <c r="BO34" s="57"/>
      <c r="BP34" s="57"/>
      <c r="BQ34" s="57"/>
      <c r="BR34" s="57"/>
      <c r="BT34" s="34"/>
    </row>
    <row r="35" spans="2:72" s="51" customFormat="1">
      <c r="B35" s="192" t="s">
        <v>97</v>
      </c>
      <c r="F35" s="52"/>
      <c r="G35" s="52"/>
      <c r="H35" s="52"/>
      <c r="I35" s="52"/>
      <c r="J35" s="52"/>
      <c r="K35" s="52"/>
      <c r="L35" s="52"/>
      <c r="M35" s="52"/>
      <c r="N35" s="52"/>
      <c r="O35" s="52"/>
      <c r="P35" s="90">
        <f t="shared" ref="P35:U35" si="52">P39+P42</f>
        <v>643</v>
      </c>
      <c r="Q35" s="90">
        <f t="shared" si="52"/>
        <v>838</v>
      </c>
      <c r="R35" s="90">
        <f t="shared" si="52"/>
        <v>1147.3121450087301</v>
      </c>
      <c r="S35" s="90">
        <f t="shared" si="52"/>
        <v>1233.0643172131531</v>
      </c>
      <c r="T35" s="90">
        <f t="shared" si="52"/>
        <v>1303.0677474974759</v>
      </c>
      <c r="U35" s="90">
        <f t="shared" si="52"/>
        <v>1392.2549048902304</v>
      </c>
      <c r="W35" s="90"/>
      <c r="X35" s="90"/>
      <c r="Y35" s="90"/>
      <c r="Z35" s="90"/>
      <c r="AA35" s="90"/>
      <c r="AB35" s="90"/>
      <c r="AC35" s="90"/>
      <c r="AD35" s="90"/>
      <c r="AE35" s="90"/>
      <c r="AF35" s="90"/>
      <c r="AG35" s="90"/>
      <c r="AH35" s="90"/>
      <c r="AI35" s="90"/>
      <c r="AJ35" s="90"/>
      <c r="AK35" s="90"/>
      <c r="AL35" s="90"/>
      <c r="AM35" s="90"/>
      <c r="AN35" s="90"/>
      <c r="AO35" s="90"/>
      <c r="AP35" s="90"/>
      <c r="AQ35" s="90"/>
      <c r="AR35" s="90"/>
      <c r="AS35" s="90"/>
      <c r="AT35" s="90"/>
      <c r="AU35" s="90"/>
      <c r="AV35" s="90"/>
      <c r="AW35" s="90"/>
      <c r="AX35" s="90"/>
      <c r="AY35" s="90"/>
      <c r="AZ35" s="90"/>
      <c r="BA35" s="90"/>
      <c r="BB35" s="90"/>
      <c r="BC35" s="90"/>
      <c r="BD35" s="90"/>
      <c r="BE35" s="90"/>
      <c r="BF35" s="90">
        <f t="shared" ref="BF35:BN35" si="53">BF39+BF42</f>
        <v>150.6</v>
      </c>
      <c r="BG35" s="90">
        <f t="shared" si="53"/>
        <v>170</v>
      </c>
      <c r="BH35" s="90">
        <f t="shared" si="53"/>
        <v>134.1</v>
      </c>
      <c r="BI35" s="90">
        <f t="shared" si="53"/>
        <v>160</v>
      </c>
      <c r="BJ35" s="90">
        <f t="shared" si="53"/>
        <v>178.9</v>
      </c>
      <c r="BK35" s="90">
        <f t="shared" si="53"/>
        <v>192.1</v>
      </c>
      <c r="BL35" s="90">
        <f t="shared" si="53"/>
        <v>159.39999999999998</v>
      </c>
      <c r="BM35" s="90">
        <f t="shared" si="53"/>
        <v>236.5</v>
      </c>
      <c r="BN35" s="90">
        <f t="shared" si="53"/>
        <v>250</v>
      </c>
      <c r="BO35" s="90">
        <f t="shared" ref="BO35:BR35" si="54">BO39+BO42</f>
        <v>230.10277992426694</v>
      </c>
      <c r="BP35" s="90">
        <f t="shared" si="54"/>
        <v>290.54304321506174</v>
      </c>
      <c r="BQ35" s="90">
        <f t="shared" si="54"/>
        <v>318.76831355999343</v>
      </c>
      <c r="BR35" s="90">
        <f t="shared" si="54"/>
        <v>307.89800830940789</v>
      </c>
    </row>
    <row r="36" spans="2:72" s="51" customFormat="1">
      <c r="B36" s="54" t="s">
        <v>189</v>
      </c>
      <c r="F36" s="52"/>
      <c r="G36" s="52"/>
      <c r="H36" s="52"/>
      <c r="I36" s="52"/>
      <c r="J36" s="52"/>
      <c r="K36" s="52"/>
      <c r="L36" s="52"/>
      <c r="M36" s="52"/>
      <c r="N36" s="52"/>
      <c r="O36" s="63"/>
      <c r="P36" s="63">
        <f t="shared" ref="P36:U36" si="55">+P35/P32</f>
        <v>0.2143833561164272</v>
      </c>
      <c r="Q36" s="63">
        <f t="shared" si="55"/>
        <v>0.23937385740402195</v>
      </c>
      <c r="R36" s="63">
        <f t="shared" si="55"/>
        <v>0.29481506517276462</v>
      </c>
      <c r="S36" s="63">
        <f t="shared" si="55"/>
        <v>0.30524058749342942</v>
      </c>
      <c r="T36" s="63">
        <f t="shared" si="55"/>
        <v>0.30751537284032493</v>
      </c>
      <c r="U36" s="63">
        <f t="shared" si="55"/>
        <v>0.31696232351012799</v>
      </c>
      <c r="W36" s="90"/>
      <c r="X36" s="90"/>
      <c r="Y36" s="90"/>
      <c r="Z36" s="90"/>
      <c r="AA36" s="90"/>
      <c r="AB36" s="90"/>
      <c r="AC36" s="90"/>
      <c r="AD36" s="90"/>
      <c r="AE36" s="90"/>
      <c r="AF36" s="90"/>
      <c r="AG36" s="90"/>
      <c r="AH36" s="90"/>
      <c r="AI36" s="90"/>
      <c r="AJ36" s="90"/>
      <c r="AK36" s="90"/>
      <c r="AL36" s="90"/>
      <c r="AM36" s="90"/>
      <c r="AN36" s="90"/>
      <c r="AO36" s="90"/>
      <c r="AP36" s="90"/>
      <c r="AQ36" s="90"/>
      <c r="AR36" s="90"/>
      <c r="AS36" s="90"/>
      <c r="AT36" s="90"/>
      <c r="AU36" s="90"/>
      <c r="AV36" s="90"/>
      <c r="AW36" s="90"/>
      <c r="AX36" s="90"/>
      <c r="AY36" s="90"/>
      <c r="AZ36" s="90"/>
      <c r="BA36" s="90"/>
      <c r="BB36" s="90"/>
      <c r="BC36" s="90"/>
      <c r="BD36" s="90"/>
      <c r="BE36" s="90"/>
      <c r="BF36" s="63">
        <f t="shared" ref="BF36:BR36" si="56">+BF35/BF32</f>
        <v>0.22111290559389221</v>
      </c>
      <c r="BG36" s="63">
        <f t="shared" si="56"/>
        <v>0.24137441431208292</v>
      </c>
      <c r="BH36" s="63">
        <f t="shared" si="56"/>
        <v>0.18294679399727148</v>
      </c>
      <c r="BI36" s="63">
        <f t="shared" si="56"/>
        <v>0.2052861175263023</v>
      </c>
      <c r="BJ36" s="63">
        <f t="shared" si="56"/>
        <v>0.2285969844109379</v>
      </c>
      <c r="BK36" s="63">
        <f t="shared" si="56"/>
        <v>0.22953757916119011</v>
      </c>
      <c r="BL36" s="63">
        <f t="shared" si="56"/>
        <v>0.18425615535776207</v>
      </c>
      <c r="BM36" s="63">
        <f t="shared" si="56"/>
        <v>0.26838402178847026</v>
      </c>
      <c r="BN36" s="63">
        <f t="shared" si="56"/>
        <v>0.27244986922406278</v>
      </c>
      <c r="BO36" s="63">
        <f t="shared" si="56"/>
        <v>0.25082565896733683</v>
      </c>
      <c r="BP36" s="63">
        <f t="shared" si="56"/>
        <v>0.29993695999448039</v>
      </c>
      <c r="BQ36" s="63">
        <f t="shared" si="56"/>
        <v>0.3223489313737965</v>
      </c>
      <c r="BR36" s="63">
        <f t="shared" si="56"/>
        <v>0.30284666041507158</v>
      </c>
      <c r="BT36" s="34"/>
    </row>
    <row r="37" spans="2:72" s="51" customFormat="1">
      <c r="B37" s="54" t="s">
        <v>141</v>
      </c>
      <c r="F37" s="52"/>
      <c r="G37" s="52"/>
      <c r="H37" s="52"/>
      <c r="I37" s="52"/>
      <c r="J37" s="52"/>
      <c r="K37" s="52"/>
      <c r="L37" s="52"/>
      <c r="M37" s="52"/>
      <c r="N37" s="52"/>
      <c r="O37" s="63"/>
      <c r="P37" s="63"/>
      <c r="Q37" s="63">
        <f>Q35/P35-1</f>
        <v>0.30326594090202175</v>
      </c>
      <c r="R37" s="63">
        <f>R35/Q35-1</f>
        <v>0.36910757160946317</v>
      </c>
      <c r="S37" s="63">
        <f>S35/R35-1</f>
        <v>7.4741797668123278E-2</v>
      </c>
      <c r="T37" s="63">
        <f>T35/S35-1</f>
        <v>5.6771921226735023E-2</v>
      </c>
      <c r="U37" s="63">
        <f>U35/T35-1</f>
        <v>6.844399116165456E-2</v>
      </c>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90"/>
      <c r="AZ37" s="90"/>
      <c r="BA37" s="90"/>
      <c r="BB37" s="90"/>
      <c r="BC37" s="90"/>
      <c r="BD37" s="90"/>
      <c r="BE37" s="90"/>
      <c r="BF37" s="63"/>
      <c r="BG37" s="63"/>
      <c r="BH37" s="63"/>
      <c r="BI37" s="63"/>
      <c r="BJ37" s="63">
        <f t="shared" ref="BJ37:BR37" si="57">BJ35/BF35-1</f>
        <v>0.1879150066401063</v>
      </c>
      <c r="BK37" s="63">
        <f t="shared" si="57"/>
        <v>0.12999999999999989</v>
      </c>
      <c r="BL37" s="63">
        <f t="shared" si="57"/>
        <v>0.18866517524235626</v>
      </c>
      <c r="BM37" s="63">
        <f t="shared" si="57"/>
        <v>0.47812499999999991</v>
      </c>
      <c r="BN37" s="63">
        <f t="shared" si="57"/>
        <v>0.397428731134712</v>
      </c>
      <c r="BO37" s="63">
        <f t="shared" si="57"/>
        <v>0.19782810996495037</v>
      </c>
      <c r="BP37" s="63">
        <f t="shared" si="57"/>
        <v>0.82272925479963477</v>
      </c>
      <c r="BQ37" s="63">
        <f t="shared" si="57"/>
        <v>0.34785756262153678</v>
      </c>
      <c r="BR37" s="63">
        <f t="shared" si="57"/>
        <v>0.23159203323763156</v>
      </c>
      <c r="BT37" s="34"/>
    </row>
    <row r="38" spans="2:72">
      <c r="P38" s="44"/>
      <c r="Q38" s="44"/>
      <c r="R38" s="26"/>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34"/>
      <c r="BO38" s="24"/>
      <c r="BP38" s="24"/>
      <c r="BQ38" s="24"/>
      <c r="BR38" s="24"/>
    </row>
    <row r="39" spans="2:72" s="51" customFormat="1">
      <c r="B39" s="103" t="s">
        <v>107</v>
      </c>
      <c r="P39" s="51">
        <f>SUM(BG39:BJ39)</f>
        <v>418.1</v>
      </c>
      <c r="Q39" s="51">
        <f>SUM(BK39:BN39)</f>
        <v>432.2</v>
      </c>
      <c r="R39" s="51">
        <f>SUM(BO39:BR39)</f>
        <v>436</v>
      </c>
      <c r="S39" s="342">
        <f>-'CA&amp;V'!W24</f>
        <v>446.87975313687173</v>
      </c>
      <c r="T39" s="342">
        <f>-'CA&amp;V'!X24</f>
        <v>451.48098786738677</v>
      </c>
      <c r="U39" s="342">
        <f>-'CA&amp;V'!Y24</f>
        <v>456.08222259790205</v>
      </c>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v>97.3</v>
      </c>
      <c r="BG39" s="105">
        <v>101.9</v>
      </c>
      <c r="BH39" s="105">
        <v>103.4</v>
      </c>
      <c r="BI39" s="105">
        <v>106.3</v>
      </c>
      <c r="BJ39" s="105">
        <f>418.1-SUM(BG39:BI39)</f>
        <v>106.5</v>
      </c>
      <c r="BK39" s="105">
        <v>104.6</v>
      </c>
      <c r="BL39" s="105">
        <v>106.6</v>
      </c>
      <c r="BM39" s="105">
        <v>106.8</v>
      </c>
      <c r="BN39" s="105">
        <v>114.2</v>
      </c>
      <c r="BO39" s="342">
        <f>-'CA&amp;V'!CA24</f>
        <v>109</v>
      </c>
      <c r="BP39" s="342">
        <f>-'CA&amp;V'!CB24</f>
        <v>109</v>
      </c>
      <c r="BQ39" s="342">
        <f>-'CA&amp;V'!CC24</f>
        <v>109</v>
      </c>
      <c r="BR39" s="342">
        <f>-'CA&amp;V'!CD24</f>
        <v>109</v>
      </c>
      <c r="BT39" s="34"/>
    </row>
    <row r="40" spans="2:72" s="51" customFormat="1">
      <c r="B40" s="54" t="s">
        <v>551</v>
      </c>
      <c r="P40" s="63">
        <f t="shared" ref="P40:U40" si="58">+P39/P32</f>
        <v>0.13939919314506721</v>
      </c>
      <c r="Q40" s="63">
        <f t="shared" si="58"/>
        <v>0.12345749542961609</v>
      </c>
      <c r="R40" s="63">
        <f t="shared" si="58"/>
        <v>0.11203521986106692</v>
      </c>
      <c r="S40" s="63">
        <f t="shared" si="58"/>
        <v>0.11062345774039434</v>
      </c>
      <c r="T40" s="63">
        <f t="shared" si="58"/>
        <v>0.10654652805350522</v>
      </c>
      <c r="U40" s="63">
        <f t="shared" si="58"/>
        <v>0.10383219371577078</v>
      </c>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63">
        <f t="shared" ref="BF40:BR40" si="59">+BF39/BF32</f>
        <v>0.14285714285714285</v>
      </c>
      <c r="BG40" s="63">
        <f t="shared" si="59"/>
        <v>0.14468266363765442</v>
      </c>
      <c r="BH40" s="63">
        <f t="shared" si="59"/>
        <v>0.14106412005457028</v>
      </c>
      <c r="BI40" s="63">
        <f t="shared" si="59"/>
        <v>0.13638696433153707</v>
      </c>
      <c r="BJ40" s="63">
        <f t="shared" si="59"/>
        <v>0.13608484538717097</v>
      </c>
      <c r="BK40" s="63">
        <f t="shared" si="59"/>
        <v>0.12498506392639502</v>
      </c>
      <c r="BL40" s="63">
        <f t="shared" si="59"/>
        <v>0.12322274881516587</v>
      </c>
      <c r="BM40" s="63">
        <f t="shared" si="59"/>
        <v>0.1211983658647299</v>
      </c>
      <c r="BN40" s="63">
        <f t="shared" si="59"/>
        <v>0.12445510026155188</v>
      </c>
      <c r="BO40" s="63">
        <f t="shared" si="59"/>
        <v>0.11881645600473863</v>
      </c>
      <c r="BP40" s="63">
        <f t="shared" si="59"/>
        <v>0.1125242176774431</v>
      </c>
      <c r="BQ40" s="63">
        <f t="shared" si="59"/>
        <v>0.11022436053115135</v>
      </c>
      <c r="BR40" s="63">
        <f t="shared" si="59"/>
        <v>0.1072117554981734</v>
      </c>
      <c r="BT40" s="34"/>
    </row>
    <row r="41" spans="2:72" s="51" customFormat="1">
      <c r="B41" s="103"/>
      <c r="R41" s="342"/>
      <c r="S41" s="342"/>
      <c r="T41" s="342"/>
      <c r="U41" s="342"/>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342"/>
      <c r="BN41" s="342"/>
      <c r="BO41" s="342"/>
      <c r="BP41" s="342"/>
      <c r="BQ41" s="342"/>
      <c r="BR41" s="342"/>
      <c r="BT41" s="34"/>
    </row>
    <row r="42" spans="2:72" s="51" customFormat="1">
      <c r="B42" s="38" t="s">
        <v>29</v>
      </c>
      <c r="F42" s="52"/>
      <c r="G42" s="52">
        <f>SUM(W42:Z42)</f>
        <v>237.29999999999998</v>
      </c>
      <c r="H42" s="52">
        <f>SUM(AA42:AD42)</f>
        <v>328.3</v>
      </c>
      <c r="I42" s="52">
        <f>SUM(AE42:AH42)</f>
        <v>125.40000000000002</v>
      </c>
      <c r="J42" s="52">
        <f>SUM(AI42:AL42)</f>
        <v>117.2</v>
      </c>
      <c r="K42" s="52">
        <f>SUM(AM42:AP42)</f>
        <v>245</v>
      </c>
      <c r="L42" s="52">
        <f>SUM(AQ42:AT42)</f>
        <v>267.7</v>
      </c>
      <c r="M42" s="52">
        <f>SUM(AU42:AX42)</f>
        <v>213.5</v>
      </c>
      <c r="N42" s="52">
        <f>SUM(AY42:BB42)</f>
        <v>130.1</v>
      </c>
      <c r="O42" s="52">
        <f>SUM(BC42:BF42)</f>
        <v>122.20000000000002</v>
      </c>
      <c r="P42" s="52">
        <f>SUM(BG42:BJ42)</f>
        <v>224.9</v>
      </c>
      <c r="Q42" s="52">
        <f>SUM(BK42:BN42)</f>
        <v>405.8</v>
      </c>
      <c r="R42" s="52">
        <f>SUM(BO42:BR42)</f>
        <v>711.31214500873011</v>
      </c>
      <c r="S42" s="278">
        <f>'CA&amp;V'!W27</f>
        <v>786.18456407628139</v>
      </c>
      <c r="T42" s="278">
        <f>'CA&amp;V'!X27</f>
        <v>851.58675963008909</v>
      </c>
      <c r="U42" s="278">
        <f>'CA&amp;V'!Y27</f>
        <v>936.17268229232832</v>
      </c>
      <c r="W42" s="53">
        <v>43.2</v>
      </c>
      <c r="X42" s="53">
        <v>55.3</v>
      </c>
      <c r="Y42" s="53">
        <v>70.7</v>
      </c>
      <c r="Z42" s="53">
        <v>68.099999999999994</v>
      </c>
      <c r="AA42" s="53">
        <v>67</v>
      </c>
      <c r="AB42" s="53">
        <v>70.5</v>
      </c>
      <c r="AC42" s="53">
        <v>104.3</v>
      </c>
      <c r="AD42" s="53">
        <v>86.5</v>
      </c>
      <c r="AE42" s="53">
        <v>68.7</v>
      </c>
      <c r="AF42" s="53">
        <v>47.6</v>
      </c>
      <c r="AG42" s="53">
        <v>3.9</v>
      </c>
      <c r="AH42" s="53">
        <v>5.2</v>
      </c>
      <c r="AI42" s="53">
        <v>10.6</v>
      </c>
      <c r="AJ42" s="53">
        <v>26.1</v>
      </c>
      <c r="AK42" s="53">
        <v>44</v>
      </c>
      <c r="AL42" s="53">
        <v>36.5</v>
      </c>
      <c r="AM42" s="53">
        <v>45.2</v>
      </c>
      <c r="AN42" s="53">
        <v>72.8</v>
      </c>
      <c r="AO42" s="53">
        <v>76.7</v>
      </c>
      <c r="AP42" s="53">
        <v>50.3</v>
      </c>
      <c r="AQ42" s="53">
        <v>74.400000000000006</v>
      </c>
      <c r="AR42" s="53">
        <v>75</v>
      </c>
      <c r="AS42" s="101">
        <f t="shared" ref="AS42:AY42" si="60">+AS73+AS89</f>
        <v>61.4</v>
      </c>
      <c r="AT42" s="101">
        <f t="shared" si="60"/>
        <v>56.9</v>
      </c>
      <c r="AU42" s="101">
        <f t="shared" si="60"/>
        <v>62.6</v>
      </c>
      <c r="AV42" s="101">
        <f t="shared" si="60"/>
        <v>52.400000000000006</v>
      </c>
      <c r="AW42" s="101">
        <f t="shared" si="60"/>
        <v>67.800000000000011</v>
      </c>
      <c r="AX42" s="101">
        <f t="shared" si="60"/>
        <v>30.7</v>
      </c>
      <c r="AY42" s="101">
        <f t="shared" si="60"/>
        <v>33.5</v>
      </c>
      <c r="AZ42" s="101">
        <f t="shared" ref="AZ42:BE42" si="61">+AZ73+AZ89</f>
        <v>40.799999999999997</v>
      </c>
      <c r="BA42" s="101">
        <f t="shared" si="61"/>
        <v>27</v>
      </c>
      <c r="BB42" s="101">
        <f t="shared" si="61"/>
        <v>28.8</v>
      </c>
      <c r="BC42" s="101">
        <f t="shared" si="61"/>
        <v>24.1</v>
      </c>
      <c r="BD42" s="101">
        <f t="shared" si="61"/>
        <v>27.4</v>
      </c>
      <c r="BE42" s="101">
        <f t="shared" si="61"/>
        <v>17.399999999999999</v>
      </c>
      <c r="BF42" s="53">
        <f>46.6+6.7</f>
        <v>53.300000000000004</v>
      </c>
      <c r="BG42" s="53">
        <v>68.099999999999994</v>
      </c>
      <c r="BH42" s="53">
        <v>30.7</v>
      </c>
      <c r="BI42" s="53">
        <v>53.7</v>
      </c>
      <c r="BJ42" s="53">
        <v>72.400000000000006</v>
      </c>
      <c r="BK42" s="53">
        <v>87.5</v>
      </c>
      <c r="BL42" s="53">
        <v>52.8</v>
      </c>
      <c r="BM42" s="53">
        <v>129.69999999999999</v>
      </c>
      <c r="BN42" s="53">
        <v>135.80000000000001</v>
      </c>
      <c r="BO42" s="278">
        <f>+'CA&amp;V'!CA27</f>
        <v>121.10277992426694</v>
      </c>
      <c r="BP42" s="278">
        <f>+'CA&amp;V'!CB27</f>
        <v>181.54304321506174</v>
      </c>
      <c r="BQ42" s="278">
        <f>+'CA&amp;V'!CC27</f>
        <v>209.76831355999343</v>
      </c>
      <c r="BR42" s="278">
        <f>+'CA&amp;V'!CD27</f>
        <v>198.89800830940789</v>
      </c>
      <c r="BT42" s="34"/>
    </row>
    <row r="43" spans="2:72" s="7" customFormat="1">
      <c r="B43" s="54" t="s">
        <v>189</v>
      </c>
      <c r="G43" s="55">
        <f t="shared" ref="G43:U43" si="62">+G42/G32</f>
        <v>0.28079517216897404</v>
      </c>
      <c r="H43" s="55">
        <f t="shared" si="62"/>
        <v>0.25740944017563117</v>
      </c>
      <c r="I43" s="55">
        <f t="shared" si="62"/>
        <v>0.13010998132392615</v>
      </c>
      <c r="J43" s="55">
        <f t="shared" si="62"/>
        <v>0.11306193324329537</v>
      </c>
      <c r="K43" s="55">
        <f t="shared" si="62"/>
        <v>0.17637319127492621</v>
      </c>
      <c r="L43" s="55">
        <f t="shared" si="62"/>
        <v>0.17082509093229534</v>
      </c>
      <c r="M43" s="63">
        <f t="shared" si="62"/>
        <v>0.12288477034649477</v>
      </c>
      <c r="N43" s="63">
        <f t="shared" si="62"/>
        <v>8.6571732765504381E-2</v>
      </c>
      <c r="O43" s="63">
        <f t="shared" si="62"/>
        <v>7.1320182094081946E-2</v>
      </c>
      <c r="P43" s="63">
        <f t="shared" si="62"/>
        <v>7.4984162971359999E-2</v>
      </c>
      <c r="Q43" s="63">
        <f t="shared" si="62"/>
        <v>0.11591636197440586</v>
      </c>
      <c r="R43" s="63">
        <f t="shared" si="62"/>
        <v>0.18277984531169769</v>
      </c>
      <c r="S43" s="63">
        <f t="shared" si="62"/>
        <v>0.19461712975303508</v>
      </c>
      <c r="T43" s="63">
        <f t="shared" si="62"/>
        <v>0.20096884478681973</v>
      </c>
      <c r="U43" s="63">
        <f t="shared" si="62"/>
        <v>0.21313012979435719</v>
      </c>
      <c r="V43" s="57"/>
      <c r="W43" s="55">
        <f t="shared" ref="W43:BR43" si="63">+W42/W32</f>
        <v>0.2781712813908564</v>
      </c>
      <c r="X43" s="55">
        <f t="shared" si="63"/>
        <v>0.33233173076923073</v>
      </c>
      <c r="Y43" s="55">
        <f t="shared" si="63"/>
        <v>0.31947582467239044</v>
      </c>
      <c r="Z43" s="55">
        <f t="shared" si="63"/>
        <v>0.2254220456802383</v>
      </c>
      <c r="AA43" s="55">
        <f t="shared" si="63"/>
        <v>0.23239680887963926</v>
      </c>
      <c r="AB43" s="55">
        <f t="shared" si="63"/>
        <v>0.22581678411274825</v>
      </c>
      <c r="AC43" s="55">
        <f t="shared" si="63"/>
        <v>0.28804197735432197</v>
      </c>
      <c r="AD43" s="55">
        <f t="shared" si="63"/>
        <v>0.27653452685421992</v>
      </c>
      <c r="AE43" s="55">
        <f t="shared" si="63"/>
        <v>0.25663055659320139</v>
      </c>
      <c r="AF43" s="55">
        <f t="shared" si="63"/>
        <v>0.19636963696369636</v>
      </c>
      <c r="AG43" s="55">
        <f t="shared" si="63"/>
        <v>1.7045454545454544E-2</v>
      </c>
      <c r="AH43" s="55">
        <f t="shared" si="63"/>
        <v>2.3121387283236993E-2</v>
      </c>
      <c r="AI43" s="55">
        <f t="shared" si="63"/>
        <v>4.5967042497831741E-2</v>
      </c>
      <c r="AJ43" s="55">
        <f t="shared" si="63"/>
        <v>0.10116279069767442</v>
      </c>
      <c r="AK43" s="55">
        <f t="shared" si="63"/>
        <v>0.15982564475118052</v>
      </c>
      <c r="AL43" s="55">
        <f t="shared" si="63"/>
        <v>0.13384671800513384</v>
      </c>
      <c r="AM43" s="55">
        <f t="shared" si="63"/>
        <v>0.15096860387441552</v>
      </c>
      <c r="AN43" s="55">
        <f t="shared" si="63"/>
        <v>0.19142782014199314</v>
      </c>
      <c r="AO43" s="55">
        <f t="shared" si="63"/>
        <v>0.19865319865319864</v>
      </c>
      <c r="AP43" s="55">
        <f t="shared" si="63"/>
        <v>0.15558304979894833</v>
      </c>
      <c r="AQ43" s="55">
        <f t="shared" si="63"/>
        <v>0.20683903252710595</v>
      </c>
      <c r="AR43" s="55">
        <f t="shared" si="63"/>
        <v>0.20649779735682819</v>
      </c>
      <c r="AS43" s="55">
        <f t="shared" si="63"/>
        <v>0.14888457807953442</v>
      </c>
      <c r="AT43" s="55">
        <f t="shared" si="63"/>
        <v>0.13177396943029182</v>
      </c>
      <c r="AU43" s="63">
        <f t="shared" si="63"/>
        <v>0.14162895927601812</v>
      </c>
      <c r="AV43" s="63">
        <f t="shared" si="63"/>
        <v>0.11539308522351907</v>
      </c>
      <c r="AW43" s="63">
        <f t="shared" si="63"/>
        <v>0.14816433566433568</v>
      </c>
      <c r="AX43" s="63">
        <f t="shared" si="63"/>
        <v>8.0010424811050307E-2</v>
      </c>
      <c r="AY43" s="63">
        <f t="shared" si="63"/>
        <v>8.890658174097664E-2</v>
      </c>
      <c r="AZ43" s="63">
        <f t="shared" si="63"/>
        <v>0.10477657935285052</v>
      </c>
      <c r="BA43" s="63">
        <f t="shared" si="63"/>
        <v>7.0312500000000014E-2</v>
      </c>
      <c r="BB43" s="63">
        <f t="shared" si="63"/>
        <v>8.1678956324446966E-2</v>
      </c>
      <c r="BC43" s="63">
        <f t="shared" si="63"/>
        <v>7.102858826996758E-2</v>
      </c>
      <c r="BD43" s="63">
        <f t="shared" si="63"/>
        <v>8.0304806565064474E-2</v>
      </c>
      <c r="BE43" s="63">
        <f t="shared" si="63"/>
        <v>4.9459920409323482E-2</v>
      </c>
      <c r="BF43" s="63">
        <f t="shared" si="63"/>
        <v>7.8255762736749376E-2</v>
      </c>
      <c r="BG43" s="63">
        <f t="shared" si="63"/>
        <v>9.6691750674428506E-2</v>
      </c>
      <c r="BH43" s="63">
        <f t="shared" si="63"/>
        <v>4.1882673942701225E-2</v>
      </c>
      <c r="BI43" s="63">
        <f t="shared" si="63"/>
        <v>6.8899153194765209E-2</v>
      </c>
      <c r="BJ43" s="63">
        <f t="shared" si="63"/>
        <v>9.251213902376694E-2</v>
      </c>
      <c r="BK43" s="63">
        <f t="shared" si="63"/>
        <v>0.10455251523479508</v>
      </c>
      <c r="BL43" s="63">
        <f t="shared" si="63"/>
        <v>6.103340654259623E-2</v>
      </c>
      <c r="BM43" s="63">
        <f t="shared" si="63"/>
        <v>0.14718565592374033</v>
      </c>
      <c r="BN43" s="63">
        <f t="shared" si="63"/>
        <v>0.1479947689625109</v>
      </c>
      <c r="BO43" s="63">
        <f t="shared" si="63"/>
        <v>0.13200920296259822</v>
      </c>
      <c r="BP43" s="63">
        <f t="shared" si="63"/>
        <v>0.18741274231703731</v>
      </c>
      <c r="BQ43" s="63">
        <f t="shared" si="63"/>
        <v>0.21212457084264516</v>
      </c>
      <c r="BR43" s="63">
        <f t="shared" si="63"/>
        <v>0.19563490491689817</v>
      </c>
    </row>
    <row r="44" spans="2:72" s="7" customFormat="1">
      <c r="B44" s="54" t="s">
        <v>141</v>
      </c>
      <c r="G44" s="57"/>
      <c r="H44" s="57"/>
      <c r="I44" s="55">
        <f t="shared" ref="I44:U44" si="64">I42/H42-1</f>
        <v>-0.61803228754188244</v>
      </c>
      <c r="J44" s="55">
        <f t="shared" si="64"/>
        <v>-6.5390749601275999E-2</v>
      </c>
      <c r="K44" s="55">
        <f t="shared" si="64"/>
        <v>1.0904436860068261</v>
      </c>
      <c r="L44" s="55">
        <f t="shared" si="64"/>
        <v>9.2653061224489797E-2</v>
      </c>
      <c r="M44" s="63">
        <f t="shared" si="64"/>
        <v>-0.20246544639521846</v>
      </c>
      <c r="N44" s="63">
        <f t="shared" si="64"/>
        <v>-0.39063231850117097</v>
      </c>
      <c r="O44" s="63">
        <f t="shared" si="64"/>
        <v>-6.0722521137586249E-2</v>
      </c>
      <c r="P44" s="63">
        <f t="shared" si="64"/>
        <v>0.84042553191489344</v>
      </c>
      <c r="Q44" s="63">
        <f t="shared" si="64"/>
        <v>0.80435749221876396</v>
      </c>
      <c r="R44" s="63">
        <f t="shared" si="64"/>
        <v>0.75286383688696423</v>
      </c>
      <c r="S44" s="63">
        <f t="shared" si="64"/>
        <v>0.10525958201744512</v>
      </c>
      <c r="T44" s="63">
        <f t="shared" si="64"/>
        <v>8.3189366139045484E-2</v>
      </c>
      <c r="U44" s="63">
        <f t="shared" si="64"/>
        <v>9.9327428128381801E-2</v>
      </c>
      <c r="V44" s="57"/>
      <c r="W44" s="57"/>
      <c r="X44" s="57"/>
      <c r="Y44" s="57"/>
      <c r="Z44" s="57"/>
      <c r="AA44" s="55">
        <f t="shared" ref="AA44:BJ44" si="65">AA42/W42-1</f>
        <v>0.55092592592592582</v>
      </c>
      <c r="AB44" s="55">
        <f t="shared" si="65"/>
        <v>0.27486437613019898</v>
      </c>
      <c r="AC44" s="55">
        <f t="shared" si="65"/>
        <v>0.47524752475247523</v>
      </c>
      <c r="AD44" s="55">
        <f t="shared" si="65"/>
        <v>0.27019089574155664</v>
      </c>
      <c r="AE44" s="55">
        <f t="shared" si="65"/>
        <v>2.5373134328358304E-2</v>
      </c>
      <c r="AF44" s="55">
        <f t="shared" si="65"/>
        <v>-0.32482269503546102</v>
      </c>
      <c r="AG44" s="55">
        <f t="shared" si="65"/>
        <v>-0.96260786193672099</v>
      </c>
      <c r="AH44" s="55">
        <f t="shared" si="65"/>
        <v>-0.93988439306358385</v>
      </c>
      <c r="AI44" s="55">
        <f t="shared" si="65"/>
        <v>-0.84570596797671038</v>
      </c>
      <c r="AJ44" s="55">
        <f t="shared" si="65"/>
        <v>-0.45168067226890751</v>
      </c>
      <c r="AK44" s="55">
        <f t="shared" si="65"/>
        <v>10.282051282051283</v>
      </c>
      <c r="AL44" s="55">
        <f t="shared" si="65"/>
        <v>6.0192307692307692</v>
      </c>
      <c r="AM44" s="55">
        <f t="shared" si="65"/>
        <v>3.2641509433962268</v>
      </c>
      <c r="AN44" s="55">
        <f t="shared" si="65"/>
        <v>1.7892720306513406</v>
      </c>
      <c r="AO44" s="55">
        <f t="shared" si="65"/>
        <v>0.74318181818181817</v>
      </c>
      <c r="AP44" s="55">
        <f t="shared" si="65"/>
        <v>0.37808219178082192</v>
      </c>
      <c r="AQ44" s="55">
        <f t="shared" si="65"/>
        <v>0.64601769911504436</v>
      </c>
      <c r="AR44" s="55">
        <f t="shared" si="65"/>
        <v>3.0219780219780334E-2</v>
      </c>
      <c r="AS44" s="55">
        <f t="shared" si="65"/>
        <v>-0.19947848761408093</v>
      </c>
      <c r="AT44" s="55">
        <f t="shared" si="65"/>
        <v>0.13121272365805181</v>
      </c>
      <c r="AU44" s="63">
        <f t="shared" si="65"/>
        <v>-0.15860215053763449</v>
      </c>
      <c r="AV44" s="63">
        <f t="shared" si="65"/>
        <v>-0.30133333333333323</v>
      </c>
      <c r="AW44" s="63">
        <f t="shared" si="65"/>
        <v>0.10423452768729669</v>
      </c>
      <c r="AX44" s="63">
        <f t="shared" si="65"/>
        <v>-0.46045694200351495</v>
      </c>
      <c r="AY44" s="63">
        <f t="shared" si="65"/>
        <v>-0.46485623003194887</v>
      </c>
      <c r="AZ44" s="63">
        <f t="shared" si="65"/>
        <v>-0.22137404580152686</v>
      </c>
      <c r="BA44" s="63">
        <f t="shared" si="65"/>
        <v>-0.60176991150442483</v>
      </c>
      <c r="BB44" s="63">
        <f t="shared" si="65"/>
        <v>-6.1889250814332164E-2</v>
      </c>
      <c r="BC44" s="63">
        <f t="shared" si="65"/>
        <v>-0.28059701492537314</v>
      </c>
      <c r="BD44" s="63">
        <f t="shared" si="65"/>
        <v>-0.32843137254901955</v>
      </c>
      <c r="BE44" s="63">
        <f t="shared" si="65"/>
        <v>-0.35555555555555562</v>
      </c>
      <c r="BF44" s="63">
        <f t="shared" si="65"/>
        <v>0.85069444444444464</v>
      </c>
      <c r="BG44" s="63">
        <f t="shared" si="65"/>
        <v>1.8257261410788379</v>
      </c>
      <c r="BH44" s="63">
        <f t="shared" si="65"/>
        <v>0.12043795620437958</v>
      </c>
      <c r="BI44" s="63">
        <f t="shared" si="65"/>
        <v>2.0862068965517246</v>
      </c>
      <c r="BJ44" s="63">
        <f t="shared" si="65"/>
        <v>0.35834896810506556</v>
      </c>
      <c r="BK44" s="63">
        <f t="shared" ref="BK44:BR44" si="66">BK42/BG42-1</f>
        <v>0.28487518355359787</v>
      </c>
      <c r="BL44" s="63">
        <f t="shared" si="66"/>
        <v>0.71986970684039076</v>
      </c>
      <c r="BM44" s="63">
        <f t="shared" si="66"/>
        <v>1.4152700186219738</v>
      </c>
      <c r="BN44" s="63">
        <f t="shared" si="66"/>
        <v>0.87569060773480656</v>
      </c>
      <c r="BO44" s="63">
        <f t="shared" si="66"/>
        <v>0.38403177056305071</v>
      </c>
      <c r="BP44" s="63">
        <f t="shared" si="66"/>
        <v>2.4383152124064726</v>
      </c>
      <c r="BQ44" s="63">
        <f t="shared" si="66"/>
        <v>0.6173347228989472</v>
      </c>
      <c r="BR44" s="63">
        <f t="shared" si="66"/>
        <v>0.46463923644630234</v>
      </c>
    </row>
    <row r="45" spans="2:72" s="7" customFormat="1">
      <c r="B45" s="43"/>
      <c r="G45" s="57"/>
      <c r="H45" s="57"/>
      <c r="I45" s="57"/>
      <c r="J45" s="57"/>
      <c r="K45" s="57"/>
      <c r="L45" s="57"/>
      <c r="M45" s="57"/>
      <c r="N45" s="57"/>
      <c r="O45" s="57"/>
      <c r="P45" s="14"/>
      <c r="Q45" s="57"/>
      <c r="R45" s="57"/>
      <c r="S45" s="57"/>
      <c r="T45" s="57"/>
      <c r="U45" s="57"/>
      <c r="V45" s="57"/>
      <c r="W45" s="57"/>
      <c r="X45" s="57"/>
      <c r="Y45" s="57"/>
      <c r="Z45" s="57"/>
      <c r="AA45" s="58"/>
      <c r="AB45" s="58"/>
      <c r="AC45" s="58"/>
      <c r="AD45" s="58"/>
      <c r="AE45" s="58"/>
      <c r="AF45" s="58"/>
      <c r="AG45" s="58"/>
      <c r="AH45" s="58"/>
      <c r="AI45" s="58"/>
      <c r="AJ45" s="58"/>
      <c r="AK45" s="58"/>
      <c r="AL45" s="58"/>
      <c r="AM45" s="58"/>
      <c r="AN45" s="58"/>
      <c r="AO45" s="58"/>
      <c r="AP45" s="58"/>
      <c r="AQ45" s="58"/>
      <c r="AR45" s="58"/>
      <c r="AS45" s="58"/>
      <c r="AT45" s="58"/>
      <c r="AU45" s="58"/>
      <c r="AV45" s="58"/>
      <c r="AW45" s="58"/>
      <c r="AX45" s="58"/>
      <c r="AY45" s="58"/>
      <c r="AZ45" s="58"/>
      <c r="BA45" s="58"/>
      <c r="BB45" s="58"/>
      <c r="BC45" s="58"/>
      <c r="BD45" s="65"/>
      <c r="BE45" s="65"/>
      <c r="BF45" s="65"/>
      <c r="BG45" s="65"/>
      <c r="BH45" s="65"/>
      <c r="BI45" s="65"/>
      <c r="BJ45" s="65"/>
      <c r="BK45" s="65"/>
      <c r="BL45" s="65"/>
      <c r="BM45" s="65"/>
      <c r="BN45" s="65"/>
      <c r="BO45" s="65"/>
      <c r="BP45" s="65"/>
      <c r="BQ45" s="65"/>
      <c r="BR45" s="65"/>
    </row>
    <row r="46" spans="2:72">
      <c r="B46" s="68" t="s">
        <v>316</v>
      </c>
      <c r="P46" s="44"/>
      <c r="Q46" s="44"/>
      <c r="R46" s="26"/>
      <c r="BE46" s="24"/>
      <c r="BF46" s="105"/>
      <c r="BG46" s="24"/>
      <c r="BH46" s="34"/>
      <c r="BI46" s="34"/>
      <c r="BJ46" s="48"/>
      <c r="BK46" s="24"/>
      <c r="BL46" s="34"/>
      <c r="BM46" s="24"/>
      <c r="BN46" s="48"/>
      <c r="BO46" s="48"/>
      <c r="BP46" s="48"/>
      <c r="BQ46" s="48"/>
      <c r="BR46" s="48"/>
      <c r="BT46" s="34"/>
    </row>
    <row r="47" spans="2:72">
      <c r="B47" s="324" t="s">
        <v>117</v>
      </c>
      <c r="F47" s="69"/>
      <c r="G47" s="69"/>
      <c r="H47" s="69"/>
      <c r="I47" s="69"/>
      <c r="J47" s="69"/>
      <c r="K47" s="69"/>
      <c r="L47" s="69"/>
      <c r="M47" s="69"/>
      <c r="N47" s="69"/>
      <c r="O47" s="69"/>
      <c r="P47" s="69"/>
      <c r="Q47" s="34"/>
      <c r="R47" s="69"/>
      <c r="S47" s="69"/>
      <c r="T47" s="69"/>
      <c r="U47" s="69"/>
      <c r="V47" s="69"/>
      <c r="W47" s="69"/>
      <c r="X47" s="69"/>
      <c r="Y47" s="69"/>
      <c r="Z47" s="69"/>
      <c r="AA47" s="69"/>
      <c r="AB47" s="69"/>
      <c r="AC47" s="69"/>
      <c r="AD47" s="69"/>
      <c r="AE47" s="69"/>
      <c r="AF47" s="69"/>
      <c r="AG47" s="69"/>
      <c r="AH47" s="69"/>
      <c r="AI47" s="69"/>
      <c r="AJ47" s="69"/>
      <c r="AK47" s="69"/>
      <c r="AL47" s="69"/>
      <c r="AM47" s="69"/>
      <c r="AN47" s="69"/>
      <c r="AO47" s="69"/>
      <c r="AP47" s="69"/>
      <c r="AQ47" s="69"/>
      <c r="AR47" s="69"/>
      <c r="AS47" s="69"/>
      <c r="AT47" s="69"/>
      <c r="AU47" s="300">
        <v>-11.8</v>
      </c>
      <c r="AV47" s="300">
        <v>-6.3</v>
      </c>
      <c r="AW47" s="300">
        <v>0</v>
      </c>
      <c r="AX47" s="300">
        <f>-37.4-SUM(AU47:AW47)</f>
        <v>-19.299999999999997</v>
      </c>
      <c r="AY47" s="300">
        <v>-20.399999999999999</v>
      </c>
      <c r="AZ47" s="300">
        <v>-22.5</v>
      </c>
      <c r="BA47" s="300">
        <v>-21.3</v>
      </c>
      <c r="BB47" s="300">
        <f>-73.5-SUM(AY47:BA47)</f>
        <v>-9.2999999999999972</v>
      </c>
      <c r="BC47" s="300">
        <v>-0.8</v>
      </c>
      <c r="BD47" s="300">
        <v>-8.6</v>
      </c>
      <c r="BE47" s="300">
        <v>-12.4</v>
      </c>
      <c r="BF47" s="300">
        <f>-39.3-SUM(BC47:BE47)</f>
        <v>-17.499999999999996</v>
      </c>
      <c r="BG47" s="300">
        <v>-16.600000000000001</v>
      </c>
      <c r="BH47" s="300">
        <v>-19.399999999999999</v>
      </c>
      <c r="BI47" s="300">
        <v>-1.7</v>
      </c>
      <c r="BJ47" s="300">
        <f>-35.3-SUM(BG47:BI47)</f>
        <v>2.4000000000000057</v>
      </c>
      <c r="BK47" s="300">
        <v>74.099999999999994</v>
      </c>
      <c r="BL47" s="300">
        <v>103.8</v>
      </c>
      <c r="BM47" s="300">
        <v>112.3</v>
      </c>
      <c r="BN47" s="300">
        <f>385.5-SUM(BK47:BM47)</f>
        <v>95.300000000000011</v>
      </c>
      <c r="BO47" s="318">
        <f t="shared" ref="BO47:BR49" si="67">+BO54*BK$32</f>
        <v>96.474101355434172</v>
      </c>
      <c r="BP47" s="318">
        <f t="shared" si="67"/>
        <v>80.874914561275773</v>
      </c>
      <c r="BQ47" s="318">
        <f t="shared" si="67"/>
        <v>66.572129315735879</v>
      </c>
      <c r="BR47" s="318">
        <f t="shared" si="67"/>
        <v>47.152556643555528</v>
      </c>
    </row>
    <row r="48" spans="2:72">
      <c r="B48" s="324" t="s">
        <v>507</v>
      </c>
      <c r="F48" s="69"/>
      <c r="G48" s="69"/>
      <c r="H48" s="69"/>
      <c r="I48" s="69"/>
      <c r="J48" s="69"/>
      <c r="K48" s="69"/>
      <c r="L48" s="69"/>
      <c r="M48" s="69"/>
      <c r="N48" s="69"/>
      <c r="O48" s="69"/>
      <c r="P48" s="69"/>
      <c r="Q48" s="69"/>
      <c r="R48" s="69"/>
      <c r="S48" s="69"/>
      <c r="T48" s="69"/>
      <c r="U48" s="69"/>
      <c r="V48" s="69"/>
      <c r="W48" s="69"/>
      <c r="X48" s="69"/>
      <c r="Y48" s="69"/>
      <c r="Z48" s="69"/>
      <c r="AA48" s="69"/>
      <c r="AB48" s="69"/>
      <c r="AC48" s="69"/>
      <c r="AD48" s="69"/>
      <c r="AE48" s="69"/>
      <c r="AF48" s="69"/>
      <c r="AG48" s="69"/>
      <c r="AH48" s="69"/>
      <c r="AI48" s="69"/>
      <c r="AJ48" s="69"/>
      <c r="AK48" s="69"/>
      <c r="AL48" s="69"/>
      <c r="AM48" s="69"/>
      <c r="AN48" s="69"/>
      <c r="AO48" s="69"/>
      <c r="AP48" s="69"/>
      <c r="AQ48" s="69"/>
      <c r="AR48" s="69"/>
      <c r="AS48" s="69"/>
      <c r="AT48" s="69"/>
      <c r="AU48" s="36">
        <f t="shared" ref="AU48:BH48" si="68">AU55*AQ32</f>
        <v>-16.300000000000008</v>
      </c>
      <c r="AV48" s="36">
        <f t="shared" si="68"/>
        <v>-16.200000000000014</v>
      </c>
      <c r="AW48" s="36">
        <f t="shared" si="68"/>
        <v>-9.1000000000000529</v>
      </c>
      <c r="AX48" s="36">
        <f t="shared" si="68"/>
        <v>-0.799999999999916</v>
      </c>
      <c r="AY48" s="36">
        <f t="shared" si="68"/>
        <v>-3.5999999999999623</v>
      </c>
      <c r="AZ48" s="36">
        <f t="shared" si="68"/>
        <v>-4.3999999999999453</v>
      </c>
      <c r="BA48" s="36">
        <f t="shared" si="68"/>
        <v>-27.000000000000099</v>
      </c>
      <c r="BB48" s="36">
        <f t="shared" si="68"/>
        <v>-13.499999999999963</v>
      </c>
      <c r="BC48" s="36">
        <f t="shared" si="68"/>
        <v>-37.300000000000004</v>
      </c>
      <c r="BD48" s="36">
        <f t="shared" si="68"/>
        <v>-34.300000000000047</v>
      </c>
      <c r="BE48" s="36">
        <f t="shared" si="68"/>
        <v>-15.8</v>
      </c>
      <c r="BF48" s="36">
        <f t="shared" si="68"/>
        <v>-27.000000000000004</v>
      </c>
      <c r="BG48" s="36">
        <f t="shared" si="68"/>
        <v>-14.299999999999971</v>
      </c>
      <c r="BH48" s="36">
        <f t="shared" si="68"/>
        <v>-3.6999999999999638</v>
      </c>
      <c r="BI48" s="40">
        <v>-12.6</v>
      </c>
      <c r="BJ48" s="36">
        <f>BJ55*BF32</f>
        <v>9.099999999999806</v>
      </c>
      <c r="BK48" s="40">
        <v>58.5</v>
      </c>
      <c r="BL48" s="40">
        <v>28.3</v>
      </c>
      <c r="BM48" s="40">
        <v>-10.5</v>
      </c>
      <c r="BN48" s="300">
        <f>116-SUM(BK48:BM48)</f>
        <v>39.700000000000003</v>
      </c>
      <c r="BO48" s="285">
        <f t="shared" si="67"/>
        <v>-15.992758188180641</v>
      </c>
      <c r="BP48" s="285">
        <f t="shared" si="67"/>
        <v>22.70544820698213</v>
      </c>
      <c r="BQ48" s="285">
        <f t="shared" si="67"/>
        <v>41.119976519567771</v>
      </c>
      <c r="BR48" s="285">
        <f t="shared" si="67"/>
        <v>51.926999562919178</v>
      </c>
    </row>
    <row r="49" spans="2:77">
      <c r="B49" s="184" t="s">
        <v>328</v>
      </c>
      <c r="F49" s="69"/>
      <c r="G49" s="69"/>
      <c r="H49" s="69"/>
      <c r="I49" s="69"/>
      <c r="J49" s="69"/>
      <c r="K49" s="69"/>
      <c r="L49" s="69"/>
      <c r="M49" s="69"/>
      <c r="N49" s="69"/>
      <c r="O49" s="69"/>
      <c r="P49" s="69"/>
      <c r="Q49" s="69"/>
      <c r="R49" s="69"/>
      <c r="S49" s="69"/>
      <c r="T49" s="69"/>
      <c r="U49" s="69"/>
      <c r="V49" s="69"/>
      <c r="W49" s="69"/>
      <c r="X49" s="69"/>
      <c r="Y49" s="69"/>
      <c r="Z49" s="69"/>
      <c r="AA49" s="69"/>
      <c r="AB49" s="69"/>
      <c r="AC49" s="69"/>
      <c r="AD49" s="69"/>
      <c r="AE49" s="69"/>
      <c r="AF49" s="69"/>
      <c r="AG49" s="69"/>
      <c r="AH49" s="69"/>
      <c r="AI49" s="69"/>
      <c r="AJ49" s="69"/>
      <c r="AK49" s="69"/>
      <c r="AL49" s="69"/>
      <c r="AM49" s="69"/>
      <c r="AN49" s="69"/>
      <c r="AO49" s="69"/>
      <c r="AP49" s="69"/>
      <c r="AQ49" s="69"/>
      <c r="AR49" s="69"/>
      <c r="AS49" s="69"/>
      <c r="AT49" s="69"/>
      <c r="AU49" s="40">
        <v>110.4</v>
      </c>
      <c r="AV49" s="40">
        <v>113.4</v>
      </c>
      <c r="AW49" s="40">
        <v>54.3</v>
      </c>
      <c r="AX49" s="40">
        <f>250.1-SUM(AU49:AW49)</f>
        <v>-28.000000000000028</v>
      </c>
      <c r="AY49" s="40">
        <v>-41.2</v>
      </c>
      <c r="AZ49" s="40">
        <v>-37.799999999999997</v>
      </c>
      <c r="BA49" s="40">
        <v>-25.3</v>
      </c>
      <c r="BB49" s="40">
        <f>-112.6-SUM(AY49:BA49)</f>
        <v>-8.2999999999999972</v>
      </c>
      <c r="BC49" s="40">
        <v>0.6</v>
      </c>
      <c r="BD49" s="40">
        <v>-5.3</v>
      </c>
      <c r="BE49" s="40">
        <v>-4</v>
      </c>
      <c r="BF49" s="40">
        <v>373</v>
      </c>
      <c r="BG49" s="40">
        <v>395.9</v>
      </c>
      <c r="BH49" s="40">
        <v>414.9</v>
      </c>
      <c r="BI49" s="40">
        <v>441.9</v>
      </c>
      <c r="BJ49" s="40">
        <f>1342.7-SUM(BG49:BI49)</f>
        <v>90.000000000000227</v>
      </c>
      <c r="BK49" s="40">
        <v>0</v>
      </c>
      <c r="BL49" s="40">
        <v>0</v>
      </c>
      <c r="BM49" s="40">
        <v>0</v>
      </c>
      <c r="BN49" s="40">
        <v>0</v>
      </c>
      <c r="BO49" s="285">
        <f t="shared" si="67"/>
        <v>0</v>
      </c>
      <c r="BP49" s="285">
        <f t="shared" si="67"/>
        <v>0</v>
      </c>
      <c r="BQ49" s="285">
        <f t="shared" si="67"/>
        <v>0</v>
      </c>
      <c r="BR49" s="285">
        <f t="shared" si="67"/>
        <v>0</v>
      </c>
    </row>
    <row r="50" spans="2:77">
      <c r="B50" s="184" t="s">
        <v>380</v>
      </c>
      <c r="F50" s="69"/>
      <c r="G50" s="69"/>
      <c r="H50" s="69"/>
      <c r="I50" s="69"/>
      <c r="J50" s="69"/>
      <c r="K50" s="69"/>
      <c r="L50" s="69"/>
      <c r="M50" s="69"/>
      <c r="N50" s="69"/>
      <c r="O50" s="69"/>
      <c r="P50" s="69"/>
      <c r="Q50" s="69"/>
      <c r="R50" s="69"/>
      <c r="S50" s="69"/>
      <c r="T50" s="69"/>
      <c r="U50" s="69"/>
      <c r="V50" s="69"/>
      <c r="W50" s="69"/>
      <c r="X50" s="69"/>
      <c r="Y50" s="69"/>
      <c r="Z50" s="69"/>
      <c r="AA50" s="69"/>
      <c r="AB50" s="69"/>
      <c r="AC50" s="69"/>
      <c r="AD50" s="69"/>
      <c r="AE50" s="69"/>
      <c r="AF50" s="69"/>
      <c r="AG50" s="69"/>
      <c r="AH50" s="69"/>
      <c r="AI50" s="69"/>
      <c r="AJ50" s="69"/>
      <c r="AK50" s="69"/>
      <c r="AL50" s="69"/>
      <c r="AM50" s="69"/>
      <c r="AN50" s="69"/>
      <c r="AO50" s="69"/>
      <c r="AP50" s="69"/>
      <c r="AQ50" s="69"/>
      <c r="AR50" s="69"/>
      <c r="AS50" s="69"/>
      <c r="AT50" s="69"/>
      <c r="AU50" s="395">
        <f>SUM(AU47:AU49)</f>
        <v>82.3</v>
      </c>
      <c r="AV50" s="395">
        <f t="shared" ref="AV50:BN50" si="69">SUM(AV47:AV49)</f>
        <v>90.899999999999991</v>
      </c>
      <c r="AW50" s="395">
        <f t="shared" si="69"/>
        <v>45.199999999999946</v>
      </c>
      <c r="AX50" s="395">
        <f t="shared" si="69"/>
        <v>-48.099999999999937</v>
      </c>
      <c r="AY50" s="395">
        <f t="shared" si="69"/>
        <v>-65.19999999999996</v>
      </c>
      <c r="AZ50" s="395">
        <f t="shared" si="69"/>
        <v>-64.699999999999946</v>
      </c>
      <c r="BA50" s="395">
        <f t="shared" si="69"/>
        <v>-73.600000000000094</v>
      </c>
      <c r="BB50" s="395">
        <f t="shared" si="69"/>
        <v>-31.099999999999959</v>
      </c>
      <c r="BC50" s="395">
        <f t="shared" si="69"/>
        <v>-37.5</v>
      </c>
      <c r="BD50" s="395">
        <f t="shared" si="69"/>
        <v>-48.200000000000045</v>
      </c>
      <c r="BE50" s="395">
        <f t="shared" si="69"/>
        <v>-32.200000000000003</v>
      </c>
      <c r="BF50" s="395">
        <f t="shared" si="69"/>
        <v>328.5</v>
      </c>
      <c r="BG50" s="395">
        <f t="shared" si="69"/>
        <v>365</v>
      </c>
      <c r="BH50" s="395">
        <f t="shared" si="69"/>
        <v>391.8</v>
      </c>
      <c r="BI50" s="395">
        <f t="shared" si="69"/>
        <v>427.59999999999997</v>
      </c>
      <c r="BJ50" s="395">
        <f t="shared" si="69"/>
        <v>101.50000000000004</v>
      </c>
      <c r="BK50" s="395">
        <f t="shared" si="69"/>
        <v>132.6</v>
      </c>
      <c r="BL50" s="395">
        <f t="shared" si="69"/>
        <v>132.1</v>
      </c>
      <c r="BM50" s="395">
        <f t="shared" si="69"/>
        <v>101.8</v>
      </c>
      <c r="BN50" s="395">
        <f t="shared" si="69"/>
        <v>135</v>
      </c>
      <c r="BO50" s="395">
        <f t="shared" ref="BO50:BR50" si="70">SUM(BO47:BO49)</f>
        <v>80.481343167253527</v>
      </c>
      <c r="BP50" s="395">
        <f t="shared" si="70"/>
        <v>103.5803627682579</v>
      </c>
      <c r="BQ50" s="395">
        <f t="shared" si="70"/>
        <v>107.69210583530365</v>
      </c>
      <c r="BR50" s="395">
        <f t="shared" si="70"/>
        <v>99.079556206474706</v>
      </c>
    </row>
    <row r="51" spans="2:77">
      <c r="B51" s="364" t="s">
        <v>122</v>
      </c>
      <c r="P51" s="44"/>
      <c r="Q51" s="44"/>
      <c r="R51" s="26"/>
      <c r="AU51" s="366">
        <f t="shared" ref="AU51:BR51" si="71">AU50-(AU32-AQ32)</f>
        <v>0</v>
      </c>
      <c r="AV51" s="366">
        <f t="shared" si="71"/>
        <v>0</v>
      </c>
      <c r="AW51" s="366">
        <f t="shared" si="71"/>
        <v>0</v>
      </c>
      <c r="AX51" s="366">
        <f t="shared" si="71"/>
        <v>0</v>
      </c>
      <c r="AY51" s="366">
        <f t="shared" si="71"/>
        <v>0</v>
      </c>
      <c r="AZ51" s="366">
        <f t="shared" si="71"/>
        <v>0</v>
      </c>
      <c r="BA51" s="366">
        <f t="shared" si="71"/>
        <v>0</v>
      </c>
      <c r="BB51" s="366">
        <f t="shared" si="71"/>
        <v>0</v>
      </c>
      <c r="BC51" s="366">
        <f t="shared" si="71"/>
        <v>0</v>
      </c>
      <c r="BD51" s="366">
        <f t="shared" si="71"/>
        <v>0</v>
      </c>
      <c r="BE51" s="366">
        <f t="shared" si="71"/>
        <v>0</v>
      </c>
      <c r="BF51" s="366">
        <f t="shared" si="71"/>
        <v>0</v>
      </c>
      <c r="BG51" s="366">
        <f t="shared" si="71"/>
        <v>0</v>
      </c>
      <c r="BH51" s="366">
        <f t="shared" si="71"/>
        <v>0</v>
      </c>
      <c r="BI51" s="366">
        <f t="shared" si="71"/>
        <v>0</v>
      </c>
      <c r="BJ51" s="366">
        <f t="shared" si="71"/>
        <v>0</v>
      </c>
      <c r="BK51" s="366">
        <f t="shared" si="71"/>
        <v>0</v>
      </c>
      <c r="BL51" s="366">
        <f t="shared" si="71"/>
        <v>0</v>
      </c>
      <c r="BM51" s="366">
        <f t="shared" si="71"/>
        <v>0</v>
      </c>
      <c r="BN51" s="366">
        <f t="shared" si="71"/>
        <v>0</v>
      </c>
      <c r="BO51" s="366">
        <f t="shared" si="71"/>
        <v>0</v>
      </c>
      <c r="BP51" s="366">
        <f t="shared" si="71"/>
        <v>0</v>
      </c>
      <c r="BQ51" s="366">
        <f t="shared" si="71"/>
        <v>0</v>
      </c>
      <c r="BR51" s="366">
        <f t="shared" si="71"/>
        <v>0</v>
      </c>
    </row>
    <row r="52" spans="2:77">
      <c r="B52" s="364"/>
      <c r="P52" s="44"/>
      <c r="Q52" s="44"/>
      <c r="R52" s="26"/>
      <c r="BE52" s="24"/>
      <c r="BF52" s="24"/>
      <c r="BG52" s="24"/>
      <c r="BH52" s="24"/>
      <c r="BI52" s="24"/>
      <c r="BJ52" s="48"/>
      <c r="BK52" s="24"/>
      <c r="BL52" s="24"/>
      <c r="BM52" s="24"/>
      <c r="BN52" s="48"/>
      <c r="BO52" s="48"/>
      <c r="BP52" s="48"/>
      <c r="BQ52" s="48"/>
      <c r="BR52" s="48"/>
    </row>
    <row r="53" spans="2:77">
      <c r="B53" s="68" t="s">
        <v>194</v>
      </c>
      <c r="N53" s="26"/>
      <c r="P53" s="44"/>
      <c r="Q53" s="44"/>
      <c r="R53" s="26"/>
      <c r="BE53" s="24"/>
      <c r="BF53" s="24"/>
      <c r="BG53" s="24"/>
      <c r="BH53" s="24"/>
      <c r="BI53" s="24"/>
      <c r="BJ53" s="48"/>
      <c r="BK53" s="24"/>
      <c r="BL53" s="24"/>
      <c r="BM53" s="24"/>
      <c r="BN53" s="48"/>
      <c r="BO53" s="48"/>
      <c r="BP53" s="48"/>
      <c r="BQ53" s="48"/>
      <c r="BR53" s="48"/>
    </row>
    <row r="54" spans="2:77">
      <c r="B54" s="54" t="s">
        <v>327</v>
      </c>
      <c r="D54" s="24"/>
      <c r="F54" s="24"/>
      <c r="M54" s="24">
        <f>SUMPRODUCT(AU54:AX54,AQ$32:AT$32)/SUM(AQ$32:AT$32)</f>
        <v>-2.3865739263607938E-2</v>
      </c>
      <c r="N54" s="24">
        <f>SUMPRODUCT(AY54:BB54,AU$32:AX$32)/SUM(AU$32:AX$32)</f>
        <v>-4.2304593070104757E-2</v>
      </c>
      <c r="O54" s="24">
        <f>SUMPRODUCT(BC54:BF54,AY$32:BB$32)/SUM(AY$32:BB$32)</f>
        <v>-2.6151184455682722E-2</v>
      </c>
      <c r="P54" s="24">
        <f>SUMPRODUCT(BG54:BJ54,BC$32:BF$32)/SUM(BC$32:BF$32)</f>
        <v>-2.0602311194116957E-2</v>
      </c>
      <c r="Q54" s="24">
        <f>SUMPRODUCT(BK54:BN54,BG$32:BJ$32)/SUM(BG$32:BJ$32)</f>
        <v>0.12852999033107723</v>
      </c>
      <c r="R54" s="82">
        <f>+'CA&amp;V'!V31</f>
        <v>8.3144910270795638E-2</v>
      </c>
      <c r="S54" s="82">
        <f>+'CA&amp;V'!W31</f>
        <v>1.3080323506207359E-2</v>
      </c>
      <c r="T54" s="82">
        <f>+'CA&amp;V'!X31</f>
        <v>3.8658296024444372E-2</v>
      </c>
      <c r="U54" s="82">
        <f>+'CA&amp;V'!Y31</f>
        <v>2.6407968232781354E-2</v>
      </c>
      <c r="AN54" s="56"/>
      <c r="AO54" s="56"/>
      <c r="AP54" s="56"/>
      <c r="AQ54" s="56"/>
      <c r="AR54" s="56"/>
      <c r="AS54" s="56"/>
      <c r="AT54" s="56"/>
      <c r="AU54" s="70">
        <f t="shared" ref="AU54:BN54" si="72">AU47/AQ32</f>
        <v>-3.2805115373922715E-2</v>
      </c>
      <c r="AV54" s="70">
        <f t="shared" si="72"/>
        <v>-1.7345814977973568E-2</v>
      </c>
      <c r="AW54" s="70">
        <f t="shared" si="72"/>
        <v>0</v>
      </c>
      <c r="AX54" s="70">
        <f t="shared" si="72"/>
        <v>-4.4696618805002315E-2</v>
      </c>
      <c r="AY54" s="70">
        <f t="shared" si="72"/>
        <v>-4.6153846153846156E-2</v>
      </c>
      <c r="AZ54" s="70">
        <f t="shared" si="72"/>
        <v>-4.9548557586434706E-2</v>
      </c>
      <c r="BA54" s="70">
        <f t="shared" si="72"/>
        <v>-4.65472027972028E-2</v>
      </c>
      <c r="BB54" s="70">
        <f t="shared" si="72"/>
        <v>-2.4237685691946828E-2</v>
      </c>
      <c r="BC54" s="70">
        <f t="shared" si="72"/>
        <v>-2.1231422505307855E-3</v>
      </c>
      <c r="BD54" s="70">
        <f t="shared" si="72"/>
        <v>-2.2085259373394964E-2</v>
      </c>
      <c r="BE54" s="70">
        <f t="shared" si="72"/>
        <v>-3.229166666666667E-2</v>
      </c>
      <c r="BF54" s="70">
        <f t="shared" si="72"/>
        <v>-4.9631310266591025E-2</v>
      </c>
      <c r="BG54" s="70">
        <f t="shared" si="72"/>
        <v>-4.8924255820807547E-2</v>
      </c>
      <c r="BH54" s="70">
        <f t="shared" si="72"/>
        <v>-5.6858147713950757E-2</v>
      </c>
      <c r="BI54" s="70">
        <f t="shared" si="72"/>
        <v>-4.8322910744741333E-3</v>
      </c>
      <c r="BJ54" s="70">
        <f t="shared" si="72"/>
        <v>3.5237116429305618E-3</v>
      </c>
      <c r="BK54" s="70">
        <f t="shared" si="72"/>
        <v>0.10521084765014908</v>
      </c>
      <c r="BL54" s="70">
        <f t="shared" si="72"/>
        <v>0.14160982264665756</v>
      </c>
      <c r="BM54" s="70">
        <f t="shared" si="72"/>
        <v>0.1440851937387734</v>
      </c>
      <c r="BN54" s="70">
        <f t="shared" si="72"/>
        <v>0.12177357526194736</v>
      </c>
      <c r="BO54" s="82">
        <f>+'CA&amp;V'!CA31</f>
        <v>0.11527554230545367</v>
      </c>
      <c r="BP54" s="82">
        <f>+'CA&amp;V'!CB31</f>
        <v>9.3486203399925749E-2</v>
      </c>
      <c r="BQ54" s="82">
        <f>+'CA&amp;V'!CC31</f>
        <v>7.554712813860176E-2</v>
      </c>
      <c r="BR54" s="82">
        <f>+'CA&amp;V'!CD31</f>
        <v>5.1386831564467661E-2</v>
      </c>
      <c r="BS54" s="24"/>
      <c r="BT54" s="24"/>
      <c r="BU54" s="24"/>
      <c r="BV54" s="24"/>
      <c r="BW54" s="24"/>
    </row>
    <row r="55" spans="2:77">
      <c r="B55" s="54" t="s">
        <v>191</v>
      </c>
      <c r="M55" s="24">
        <f>SUMPRODUCT(AU55:AX55,AQ$32:AT$32)/SUM(AQ$32:AT$32)</f>
        <v>-2.7056346117031456E-2</v>
      </c>
      <c r="N55" s="24">
        <f>SUMPRODUCT(AY55:BB55,AU$32:AX$32)/SUM(AU$32:AX$32)</f>
        <v>-2.7915275699320809E-2</v>
      </c>
      <c r="O55" s="24">
        <f>SUMPRODUCT(BC55:BF55,AY$32:BB$32)/SUM(AY$32:BB$32)</f>
        <v>-7.6124567474048471E-2</v>
      </c>
      <c r="P55" s="24">
        <f>SUMPRODUCT(BG55:BJ55,BC$32:BF$32)/SUM(BC$32:BF$32)</f>
        <v>-1.2548149877436751E-2</v>
      </c>
      <c r="Q55" s="24">
        <f>SUMPRODUCT(BK55:BN55,BG$32:BJ$32)/SUM(BG$32:BJ$32)</f>
        <v>3.8675690994565401E-2</v>
      </c>
      <c r="R55" s="82">
        <f>+'CA&amp;V'!V32</f>
        <v>2.8496248315038979E-2</v>
      </c>
      <c r="S55" s="82">
        <f>+'CA&amp;V'!W32</f>
        <v>2.4953562240531468E-2</v>
      </c>
      <c r="T55" s="82">
        <f>+'CA&amp;V'!X32</f>
        <v>1.0296359810926026E-2</v>
      </c>
      <c r="U55" s="82">
        <f>+'CA&amp;V'!Y32</f>
        <v>1.0191425229774564E-2</v>
      </c>
      <c r="AN55" s="56"/>
      <c r="AO55" s="56"/>
      <c r="AP55" s="56"/>
      <c r="AQ55" s="56"/>
      <c r="AR55" s="56"/>
      <c r="AS55" s="56"/>
      <c r="AT55" s="56"/>
      <c r="AU55" s="70">
        <f t="shared" ref="AU55:BH55" si="73">AU57-SUM(AU54,AU56)</f>
        <v>-4.5315540728384784E-2</v>
      </c>
      <c r="AV55" s="70">
        <f t="shared" si="73"/>
        <v>-4.4603524229074931E-2</v>
      </c>
      <c r="AW55" s="70">
        <f t="shared" si="73"/>
        <v>-2.2065955383123309E-2</v>
      </c>
      <c r="AX55" s="70">
        <f t="shared" si="73"/>
        <v>-1.8527095877719224E-3</v>
      </c>
      <c r="AY55" s="70">
        <f t="shared" si="73"/>
        <v>-8.1447963800904133E-3</v>
      </c>
      <c r="AZ55" s="70">
        <f t="shared" si="73"/>
        <v>-9.6894957057915565E-3</v>
      </c>
      <c r="BA55" s="70">
        <f t="shared" si="73"/>
        <v>-5.9003496503496719E-2</v>
      </c>
      <c r="BB55" s="70">
        <f t="shared" si="73"/>
        <v>-3.5183737294761437E-2</v>
      </c>
      <c r="BC55" s="70">
        <f t="shared" si="73"/>
        <v>-9.8991507430997883E-2</v>
      </c>
      <c r="BD55" s="70">
        <f t="shared" si="73"/>
        <v>-8.8084232152028874E-2</v>
      </c>
      <c r="BE55" s="70">
        <f t="shared" si="73"/>
        <v>-4.114583333333334E-2</v>
      </c>
      <c r="BF55" s="70">
        <f t="shared" si="73"/>
        <v>-7.6574021554169036E-2</v>
      </c>
      <c r="BG55" s="70">
        <f t="shared" si="73"/>
        <v>-4.2145593869731712E-2</v>
      </c>
      <c r="BH55" s="70">
        <f t="shared" si="73"/>
        <v>-1.0844079718639987E-2</v>
      </c>
      <c r="BI55" s="70">
        <f>BI48/BE32</f>
        <v>-3.5815804434337697E-2</v>
      </c>
      <c r="BJ55" s="70">
        <f>BJ57-SUM(BJ54,BJ56)</f>
        <v>1.336073997944473E-2</v>
      </c>
      <c r="BK55" s="70">
        <f>BK48/BG32</f>
        <v>8.3061195513275593E-2</v>
      </c>
      <c r="BL55" s="70">
        <f>BL48/BH32</f>
        <v>3.8608458390177354E-2</v>
      </c>
      <c r="BM55" s="70">
        <f>BM48/BI32</f>
        <v>-1.3471901462663588E-2</v>
      </c>
      <c r="BN55" s="70">
        <f>BN48/BJ32</f>
        <v>5.0728341426015844E-2</v>
      </c>
      <c r="BO55" s="82">
        <f>+'CA&amp;V'!CA32</f>
        <v>-1.9109521075613145E-2</v>
      </c>
      <c r="BP55" s="82">
        <f>+'CA&amp;V'!CB32</f>
        <v>2.6246038847511421E-2</v>
      </c>
      <c r="BQ55" s="82">
        <f>+'CA&amp;V'!CC32</f>
        <v>4.6663613844266649E-2</v>
      </c>
      <c r="BR55" s="82">
        <f>+'CA&amp;V'!CD32</f>
        <v>5.6590016960461176E-2</v>
      </c>
      <c r="BS55" s="48"/>
      <c r="BT55" s="48"/>
      <c r="BU55" s="48"/>
      <c r="BV55" s="48"/>
      <c r="BW55" s="48"/>
      <c r="BY55" s="48"/>
    </row>
    <row r="56" spans="2:77">
      <c r="B56" s="54" t="s">
        <v>191</v>
      </c>
      <c r="M56" s="24">
        <f>SUMPRODUCT(AU56:AX56,AQ$32:AT$32)/SUM(AQ$32:AT$32)</f>
        <v>0.15959415480824454</v>
      </c>
      <c r="N56" s="24">
        <f>SUMPRODUCT(AY56:BB56,AU$32:AX$32)/SUM(AU$32:AX$32)</f>
        <v>-6.4809485438010822E-2</v>
      </c>
      <c r="O56" s="24">
        <f>SUMPRODUCT(BC56:BF56,AY$32:BB$32)/SUM(AY$32:BB$32)</f>
        <v>0.2424141602342294</v>
      </c>
      <c r="P56" s="24">
        <f>SUMPRODUCT(BG56:BJ56,BC$32:BF$32)/SUM(BC$32:BF$32)</f>
        <v>0.78364655071787093</v>
      </c>
      <c r="Q56" s="24">
        <f>SUMPRODUCT(BK56:BN56,BG$32:BJ$32)/SUM(BG$32:BJ$32)</f>
        <v>0</v>
      </c>
      <c r="R56" s="82">
        <f>+'CA&amp;V'!V33</f>
        <v>0</v>
      </c>
      <c r="S56" s="82">
        <f>+'CA&amp;V'!W33</f>
        <v>0</v>
      </c>
      <c r="T56" s="82">
        <f>+'CA&amp;V'!X33</f>
        <v>0</v>
      </c>
      <c r="U56" s="82">
        <f>+'CA&amp;V'!Y33</f>
        <v>0</v>
      </c>
      <c r="AN56" s="56"/>
      <c r="AO56" s="56"/>
      <c r="AP56" s="56"/>
      <c r="AQ56" s="56"/>
      <c r="AR56" s="56"/>
      <c r="AS56" s="56"/>
      <c r="AT56" s="56"/>
      <c r="AU56" s="70">
        <f t="shared" ref="AU56:BN56" si="74">AU49/AQ32</f>
        <v>0.30692243536280234</v>
      </c>
      <c r="AV56" s="70">
        <f t="shared" si="74"/>
        <v>0.31222466960352424</v>
      </c>
      <c r="AW56" s="70">
        <f t="shared" si="74"/>
        <v>0.13166828322017457</v>
      </c>
      <c r="AX56" s="70">
        <f t="shared" si="74"/>
        <v>-6.4844835572024154E-2</v>
      </c>
      <c r="AY56" s="70">
        <f t="shared" si="74"/>
        <v>-9.3212669683257934E-2</v>
      </c>
      <c r="AZ56" s="70">
        <f t="shared" si="74"/>
        <v>-8.3241576745210308E-2</v>
      </c>
      <c r="BA56" s="70">
        <f t="shared" si="74"/>
        <v>-5.5288461538461536E-2</v>
      </c>
      <c r="BB56" s="70">
        <f t="shared" si="74"/>
        <v>-2.1631482929371899E-2</v>
      </c>
      <c r="BC56" s="70">
        <f t="shared" si="74"/>
        <v>1.592356687898089E-3</v>
      </c>
      <c r="BD56" s="70">
        <f t="shared" si="74"/>
        <v>-1.3610683102208525E-2</v>
      </c>
      <c r="BE56" s="70">
        <f t="shared" si="74"/>
        <v>-1.0416666666666668E-2</v>
      </c>
      <c r="BF56" s="70">
        <f t="shared" si="74"/>
        <v>1.0578559273964832</v>
      </c>
      <c r="BG56" s="70">
        <f t="shared" si="74"/>
        <v>1.1668140288829942</v>
      </c>
      <c r="BH56" s="70">
        <f t="shared" si="74"/>
        <v>1.2160023446658852</v>
      </c>
      <c r="BI56" s="70">
        <f t="shared" si="74"/>
        <v>1.2561114269471292</v>
      </c>
      <c r="BJ56" s="70">
        <f t="shared" si="74"/>
        <v>0.1321391866098961</v>
      </c>
      <c r="BK56" s="70">
        <f t="shared" si="74"/>
        <v>0</v>
      </c>
      <c r="BL56" s="70">
        <f t="shared" si="74"/>
        <v>0</v>
      </c>
      <c r="BM56" s="70">
        <f t="shared" si="74"/>
        <v>0</v>
      </c>
      <c r="BN56" s="70">
        <f t="shared" si="74"/>
        <v>0</v>
      </c>
      <c r="BO56" s="82">
        <f>+'CA&amp;V'!CA33</f>
        <v>0</v>
      </c>
      <c r="BP56" s="82">
        <f>+'CA&amp;V'!CB33</f>
        <v>0</v>
      </c>
      <c r="BQ56" s="82">
        <f>+'CA&amp;V'!CC33</f>
        <v>0</v>
      </c>
      <c r="BR56" s="82">
        <f>+'CA&amp;V'!CD33</f>
        <v>0</v>
      </c>
      <c r="BS56" s="48"/>
      <c r="BT56" s="48"/>
      <c r="BU56" s="48"/>
      <c r="BV56" s="48"/>
      <c r="BW56" s="48"/>
      <c r="BY56" s="48"/>
    </row>
    <row r="57" spans="2:77">
      <c r="B57" s="54" t="s">
        <v>188</v>
      </c>
      <c r="G57" s="71"/>
      <c r="H57" s="71"/>
      <c r="I57" s="72">
        <f t="shared" ref="I57:Q57" si="75">+I33</f>
        <v>-0.24431550885996545</v>
      </c>
      <c r="J57" s="72">
        <f t="shared" si="75"/>
        <v>7.5534343224735512E-2</v>
      </c>
      <c r="K57" s="72">
        <f t="shared" si="75"/>
        <v>0.34005402276673746</v>
      </c>
      <c r="L57" s="72">
        <f t="shared" si="75"/>
        <v>0.12814052264055853</v>
      </c>
      <c r="M57" s="423">
        <f t="shared" si="75"/>
        <v>0.1086720694276051</v>
      </c>
      <c r="N57" s="423">
        <f t="shared" si="75"/>
        <v>-0.13502935420743623</v>
      </c>
      <c r="O57" s="423">
        <f t="shared" si="75"/>
        <v>0.14013840830449809</v>
      </c>
      <c r="P57" s="423">
        <f t="shared" si="75"/>
        <v>0.75049608964631709</v>
      </c>
      <c r="Q57" s="423">
        <f t="shared" si="75"/>
        <v>0.16720568132564262</v>
      </c>
      <c r="R57" s="72">
        <f>SUM(R54:R56)</f>
        <v>0.11164115858583462</v>
      </c>
      <c r="S57" s="72">
        <f>SUM(S54:S56)</f>
        <v>3.8033885746738827E-2</v>
      </c>
      <c r="T57" s="72">
        <f>SUM(T54:T56)</f>
        <v>4.8954655835370398E-2</v>
      </c>
      <c r="U57" s="72">
        <f>SUM(U54:U56)</f>
        <v>3.6599393462555918E-2</v>
      </c>
      <c r="V57" s="73"/>
      <c r="W57" s="74"/>
      <c r="X57" s="74"/>
      <c r="Y57" s="74"/>
      <c r="Z57" s="74"/>
      <c r="AA57" s="74"/>
      <c r="AB57" s="74"/>
      <c r="AC57" s="74"/>
      <c r="AD57" s="74"/>
      <c r="AE57" s="423">
        <f t="shared" ref="AE57:BN57" si="76">+AE33</f>
        <v>-7.1453347207769746E-2</v>
      </c>
      <c r="AF57" s="423">
        <f t="shared" si="76"/>
        <v>-0.22357463164638047</v>
      </c>
      <c r="AG57" s="423">
        <f t="shared" si="76"/>
        <v>-0.36813035073184208</v>
      </c>
      <c r="AH57" s="423">
        <f t="shared" si="76"/>
        <v>-0.28101023017902815</v>
      </c>
      <c r="AI57" s="423">
        <f t="shared" si="76"/>
        <v>-0.13858797161001124</v>
      </c>
      <c r="AJ57" s="423">
        <f t="shared" si="76"/>
        <v>6.4356435643564414E-2</v>
      </c>
      <c r="AK57" s="423">
        <f t="shared" si="76"/>
        <v>0.20323426573426562</v>
      </c>
      <c r="AL57" s="423">
        <f t="shared" si="76"/>
        <v>0.21253890618052451</v>
      </c>
      <c r="AM57" s="423">
        <f t="shared" si="76"/>
        <v>0.29835212489158702</v>
      </c>
      <c r="AN57" s="423">
        <f t="shared" si="76"/>
        <v>0.47403100775193807</v>
      </c>
      <c r="AO57" s="423">
        <f t="shared" si="76"/>
        <v>0.40247003269160908</v>
      </c>
      <c r="AP57" s="423">
        <f t="shared" si="76"/>
        <v>0.18555188852218563</v>
      </c>
      <c r="AQ57" s="423">
        <f t="shared" si="76"/>
        <v>0.20140280561122248</v>
      </c>
      <c r="AR57" s="423">
        <f t="shared" si="76"/>
        <v>-4.4964501709176985E-2</v>
      </c>
      <c r="AS57" s="423">
        <f t="shared" si="76"/>
        <v>6.8117068117068191E-2</v>
      </c>
      <c r="AT57" s="423">
        <f t="shared" si="76"/>
        <v>0.33560160841323827</v>
      </c>
      <c r="AU57" s="423">
        <f t="shared" si="76"/>
        <v>0.22880177926049483</v>
      </c>
      <c r="AV57" s="423">
        <f t="shared" si="76"/>
        <v>0.25027533039647576</v>
      </c>
      <c r="AW57" s="423">
        <f t="shared" si="76"/>
        <v>0.10960232783705126</v>
      </c>
      <c r="AX57" s="423">
        <f t="shared" si="76"/>
        <v>-0.1113941639647984</v>
      </c>
      <c r="AY57" s="423">
        <f t="shared" si="76"/>
        <v>-0.14751131221719449</v>
      </c>
      <c r="AZ57" s="423">
        <f t="shared" si="76"/>
        <v>-0.14247963003743658</v>
      </c>
      <c r="BA57" s="423">
        <f t="shared" si="76"/>
        <v>-0.16083916083916105</v>
      </c>
      <c r="BB57" s="423">
        <f t="shared" si="76"/>
        <v>-8.1052905916080165E-2</v>
      </c>
      <c r="BC57" s="423">
        <f t="shared" si="76"/>
        <v>-9.9522292993630579E-2</v>
      </c>
      <c r="BD57" s="423">
        <f t="shared" si="76"/>
        <v>-0.12378017462763236</v>
      </c>
      <c r="BE57" s="423">
        <f t="shared" si="76"/>
        <v>-8.3854166666666674E-2</v>
      </c>
      <c r="BF57" s="423">
        <f t="shared" si="76"/>
        <v>0.93165059557572305</v>
      </c>
      <c r="BG57" s="423">
        <f t="shared" si="76"/>
        <v>1.0757441791924549</v>
      </c>
      <c r="BH57" s="423">
        <f t="shared" si="76"/>
        <v>1.1483001172332945</v>
      </c>
      <c r="BI57" s="423">
        <f t="shared" si="76"/>
        <v>1.2154633314383174</v>
      </c>
      <c r="BJ57" s="423">
        <f t="shared" si="76"/>
        <v>0.14902363823227138</v>
      </c>
      <c r="BK57" s="423">
        <f t="shared" si="76"/>
        <v>0.18827204316342483</v>
      </c>
      <c r="BL57" s="423">
        <f t="shared" si="76"/>
        <v>0.1802182810368349</v>
      </c>
      <c r="BM57" s="423">
        <f t="shared" si="76"/>
        <v>0.13061329227610985</v>
      </c>
      <c r="BN57" s="423">
        <f t="shared" si="76"/>
        <v>0.17250191668796311</v>
      </c>
      <c r="BO57" s="72">
        <f>SUM(BO54:BO56)</f>
        <v>9.6166021229840526E-2</v>
      </c>
      <c r="BP57" s="72">
        <f>SUM(BP54:BP56)</f>
        <v>0.11973224224743717</v>
      </c>
      <c r="BQ57" s="72">
        <f>SUM(BQ54:BQ56)</f>
        <v>0.12221074198286841</v>
      </c>
      <c r="BR57" s="72">
        <f>SUM(BR54:BR56)</f>
        <v>0.10797684852492884</v>
      </c>
      <c r="BT57" s="48"/>
    </row>
    <row r="58" spans="2:77">
      <c r="B58" s="54"/>
      <c r="G58" s="7"/>
      <c r="H58" s="7"/>
      <c r="I58" s="12"/>
      <c r="J58" s="12"/>
      <c r="K58" s="12"/>
      <c r="L58" s="12"/>
      <c r="M58" s="12"/>
      <c r="N58" s="12"/>
      <c r="O58" s="12"/>
      <c r="P58" s="12"/>
      <c r="Q58" s="12"/>
      <c r="R58" s="12"/>
      <c r="S58" s="12"/>
      <c r="T58" s="12"/>
      <c r="U58" s="12"/>
      <c r="V58" s="73"/>
      <c r="W58" s="75"/>
      <c r="X58" s="75"/>
      <c r="Y58" s="75"/>
      <c r="Z58" s="75"/>
      <c r="AA58" s="75"/>
      <c r="AB58" s="75"/>
      <c r="AC58" s="75"/>
      <c r="AD58" s="75"/>
      <c r="AE58" s="75"/>
      <c r="AF58" s="75"/>
      <c r="AG58" s="75"/>
      <c r="AH58" s="75"/>
      <c r="AI58" s="75"/>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T58" s="48"/>
    </row>
    <row r="59" spans="2:77" hidden="1" outlineLevel="1">
      <c r="B59" s="68" t="s">
        <v>318</v>
      </c>
      <c r="P59" s="44"/>
      <c r="Q59" s="44"/>
      <c r="R59" s="26"/>
      <c r="BE59" s="24"/>
      <c r="BF59" s="24"/>
      <c r="BG59" s="24"/>
      <c r="BH59" s="24"/>
      <c r="BI59" s="24"/>
      <c r="BJ59" s="48"/>
      <c r="BK59" s="24"/>
      <c r="BL59" s="24"/>
      <c r="BM59" s="24"/>
      <c r="BN59" s="48"/>
      <c r="BO59" s="48"/>
      <c r="BP59" s="48"/>
      <c r="BQ59" s="48"/>
      <c r="BR59" s="48"/>
    </row>
    <row r="60" spans="2:77" hidden="1" outlineLevel="1">
      <c r="B60" s="54" t="s">
        <v>117</v>
      </c>
      <c r="F60" s="69"/>
      <c r="G60" s="69"/>
      <c r="H60" s="69"/>
      <c r="I60" s="69"/>
      <c r="J60" s="69"/>
      <c r="K60" s="69"/>
      <c r="L60" s="69"/>
      <c r="M60" s="69"/>
      <c r="N60" s="69"/>
      <c r="O60" s="69"/>
      <c r="P60" s="69"/>
      <c r="Q60" s="69"/>
      <c r="R60" s="69"/>
      <c r="S60" s="69"/>
      <c r="T60" s="69"/>
      <c r="U60" s="69"/>
      <c r="V60" s="69"/>
      <c r="W60" s="69"/>
      <c r="X60" s="69"/>
      <c r="Y60" s="69"/>
      <c r="Z60" s="69"/>
      <c r="AA60" s="69"/>
      <c r="AB60" s="69"/>
      <c r="AC60" s="69"/>
      <c r="AD60" s="69"/>
      <c r="AE60" s="69"/>
      <c r="AF60" s="69"/>
      <c r="AG60" s="69"/>
      <c r="AH60" s="69"/>
      <c r="AI60" s="69"/>
      <c r="AJ60" s="69"/>
      <c r="AK60" s="69"/>
      <c r="AL60" s="69"/>
      <c r="AM60" s="69"/>
      <c r="AN60" s="69"/>
      <c r="AO60" s="69"/>
      <c r="AP60" s="69"/>
      <c r="AQ60" s="69"/>
      <c r="AR60" s="69"/>
      <c r="AS60" s="69"/>
      <c r="AT60" s="69"/>
      <c r="AU60" s="300">
        <v>-11.8</v>
      </c>
      <c r="AV60" s="300">
        <v>-6.3</v>
      </c>
      <c r="AW60" s="300">
        <v>0</v>
      </c>
      <c r="AX60" s="300">
        <f>-37.4-SUM(AU60:AW60)</f>
        <v>-19.299999999999997</v>
      </c>
      <c r="AY60" s="300">
        <v>-20.399999999999999</v>
      </c>
      <c r="AZ60" s="300">
        <v>-22.5</v>
      </c>
      <c r="BA60" s="300">
        <v>-21.3</v>
      </c>
      <c r="BB60" s="300">
        <f>-73.5-SUM(AY60:BA60)</f>
        <v>-9.2999999999999972</v>
      </c>
      <c r="BC60" s="300">
        <v>-0.8</v>
      </c>
      <c r="BD60" s="300">
        <v>-8.6</v>
      </c>
      <c r="BE60" s="300">
        <v>-12.4</v>
      </c>
      <c r="BF60" s="300">
        <f>-39.3-SUM(BC60:BE60)</f>
        <v>-17.499999999999996</v>
      </c>
      <c r="BG60" s="300">
        <v>-16.600000000000001</v>
      </c>
      <c r="BH60" s="300">
        <v>-19.399999999999999</v>
      </c>
      <c r="BI60" s="300">
        <v>-1.7</v>
      </c>
      <c r="BJ60" s="300"/>
      <c r="BK60" s="300">
        <v>74.099999999999994</v>
      </c>
      <c r="BL60" s="300">
        <v>103.8</v>
      </c>
      <c r="BM60" s="300">
        <v>112.3</v>
      </c>
      <c r="BN60" s="69"/>
      <c r="BO60" s="69"/>
      <c r="BP60" s="69"/>
      <c r="BQ60" s="69"/>
      <c r="BR60" s="69"/>
    </row>
    <row r="61" spans="2:77" hidden="1" outlineLevel="1">
      <c r="B61" s="54" t="s">
        <v>317</v>
      </c>
      <c r="F61" s="69"/>
      <c r="G61" s="69"/>
      <c r="H61" s="69"/>
      <c r="I61" s="69"/>
      <c r="J61" s="69"/>
      <c r="K61" s="69"/>
      <c r="L61" s="69"/>
      <c r="M61" s="69"/>
      <c r="N61" s="69"/>
      <c r="O61" s="69"/>
      <c r="P61" s="69"/>
      <c r="Q61" s="69"/>
      <c r="R61" s="69"/>
      <c r="S61" s="69"/>
      <c r="T61" s="69"/>
      <c r="U61" s="69"/>
      <c r="V61" s="69"/>
      <c r="W61" s="69"/>
      <c r="X61" s="69"/>
      <c r="Y61" s="69"/>
      <c r="Z61" s="69"/>
      <c r="AA61" s="69"/>
      <c r="AB61" s="69"/>
      <c r="AC61" s="69"/>
      <c r="AD61" s="69"/>
      <c r="AE61" s="69"/>
      <c r="AF61" s="69"/>
      <c r="AG61" s="69"/>
      <c r="AH61" s="69"/>
      <c r="AI61" s="69"/>
      <c r="AJ61" s="69"/>
      <c r="AK61" s="69"/>
      <c r="AL61" s="69"/>
      <c r="AM61" s="69"/>
      <c r="AN61" s="69"/>
      <c r="AO61" s="69"/>
      <c r="AP61" s="69"/>
      <c r="AQ61" s="69"/>
      <c r="AR61" s="69"/>
      <c r="AS61" s="69"/>
      <c r="AT61" s="69"/>
      <c r="AU61" s="300">
        <v>-8.3000000000000007</v>
      </c>
      <c r="AV61" s="300">
        <v>-1.9</v>
      </c>
      <c r="AW61" s="300">
        <v>2.1</v>
      </c>
      <c r="AX61" s="300">
        <f>3.8-SUM(AU61:AW61)</f>
        <v>11.900000000000002</v>
      </c>
      <c r="AY61" s="300">
        <v>-0.9</v>
      </c>
      <c r="AZ61" s="300"/>
      <c r="BA61" s="300">
        <v>-11.8</v>
      </c>
      <c r="BB61" s="300">
        <f>-11.6-SUM(AY61:BA61)</f>
        <v>1.1000000000000014</v>
      </c>
      <c r="BC61" s="300">
        <v>-16.100000000000001</v>
      </c>
      <c r="BD61" s="300">
        <v>-16.899999999999999</v>
      </c>
      <c r="BE61" s="300">
        <v>-8.9</v>
      </c>
      <c r="BF61" s="300">
        <f>-56.9-SUM(BC61:BE61)</f>
        <v>-15</v>
      </c>
      <c r="BG61" s="300">
        <v>-2.2000000000000002</v>
      </c>
      <c r="BH61" s="300">
        <v>-0.6</v>
      </c>
      <c r="BI61" s="300">
        <v>-2.2999999999999998</v>
      </c>
      <c r="BJ61" s="300"/>
      <c r="BK61" s="300">
        <v>9.3000000000000007</v>
      </c>
      <c r="BL61" s="300"/>
      <c r="BM61" s="300">
        <v>11.3</v>
      </c>
      <c r="BN61" s="69"/>
      <c r="BO61" s="69"/>
      <c r="BP61" s="69"/>
      <c r="BQ61" s="69"/>
      <c r="BR61" s="69"/>
    </row>
    <row r="62" spans="2:77" hidden="1" outlineLevel="1">
      <c r="B62" s="54" t="s">
        <v>329</v>
      </c>
      <c r="F62" s="69"/>
      <c r="G62" s="69"/>
      <c r="H62" s="69"/>
      <c r="I62" s="69"/>
      <c r="J62" s="69"/>
      <c r="K62" s="69"/>
      <c r="L62" s="69"/>
      <c r="M62" s="69"/>
      <c r="N62" s="69"/>
      <c r="O62" s="69"/>
      <c r="P62" s="69"/>
      <c r="Q62" s="69"/>
      <c r="R62" s="69"/>
      <c r="S62" s="69"/>
      <c r="T62" s="69"/>
      <c r="U62" s="69"/>
      <c r="V62" s="69"/>
      <c r="W62" s="69"/>
      <c r="X62" s="69"/>
      <c r="Y62" s="69"/>
      <c r="Z62" s="69"/>
      <c r="AA62" s="69"/>
      <c r="AB62" s="69"/>
      <c r="AC62" s="69"/>
      <c r="AD62" s="69"/>
      <c r="AE62" s="69"/>
      <c r="AF62" s="69"/>
      <c r="AG62" s="69"/>
      <c r="AH62" s="69"/>
      <c r="AI62" s="69"/>
      <c r="AJ62" s="69"/>
      <c r="AK62" s="69"/>
      <c r="AL62" s="69"/>
      <c r="AM62" s="69"/>
      <c r="AN62" s="69"/>
      <c r="AO62" s="69"/>
      <c r="AP62" s="69"/>
      <c r="AQ62" s="69"/>
      <c r="AR62" s="69"/>
      <c r="AS62" s="69"/>
      <c r="AT62" s="69"/>
      <c r="AU62" s="300"/>
      <c r="AV62" s="300"/>
      <c r="AW62" s="300"/>
      <c r="AX62" s="300"/>
      <c r="AY62" s="300"/>
      <c r="AZ62" s="300"/>
      <c r="BA62" s="300"/>
      <c r="BB62" s="300"/>
      <c r="BC62" s="300"/>
      <c r="BD62" s="300"/>
      <c r="BE62" s="300"/>
      <c r="BF62" s="300"/>
      <c r="BG62" s="300">
        <v>56.3</v>
      </c>
      <c r="BH62" s="300">
        <v>15.4</v>
      </c>
      <c r="BI62" s="300">
        <f>32.3+8</f>
        <v>40.299999999999997</v>
      </c>
      <c r="BJ62" s="300"/>
      <c r="BK62" s="300"/>
      <c r="BL62" s="300"/>
      <c r="BM62" s="300"/>
      <c r="BN62" s="69"/>
      <c r="BO62" s="69"/>
      <c r="BP62" s="69"/>
      <c r="BQ62" s="69"/>
      <c r="BR62" s="69"/>
    </row>
    <row r="63" spans="2:77" hidden="1" outlineLevel="1">
      <c r="B63" s="54" t="s">
        <v>319</v>
      </c>
      <c r="F63" s="69"/>
      <c r="G63" s="69"/>
      <c r="H63" s="69"/>
      <c r="I63" s="69"/>
      <c r="J63" s="69"/>
      <c r="K63" s="69"/>
      <c r="L63" s="69"/>
      <c r="M63" s="69"/>
      <c r="N63" s="69"/>
      <c r="O63" s="69"/>
      <c r="P63" s="69"/>
      <c r="Q63" s="69"/>
      <c r="R63" s="69"/>
      <c r="S63" s="69"/>
      <c r="T63" s="69"/>
      <c r="U63" s="69"/>
      <c r="V63" s="69"/>
      <c r="W63" s="69"/>
      <c r="X63" s="69"/>
      <c r="Y63" s="69"/>
      <c r="Z63" s="69"/>
      <c r="AA63" s="69"/>
      <c r="AB63" s="69"/>
      <c r="AC63" s="69"/>
      <c r="AD63" s="69"/>
      <c r="AE63" s="69"/>
      <c r="AF63" s="69"/>
      <c r="AG63" s="69"/>
      <c r="AH63" s="69"/>
      <c r="AI63" s="69"/>
      <c r="AJ63" s="69"/>
      <c r="AK63" s="69"/>
      <c r="AL63" s="69"/>
      <c r="AM63" s="69"/>
      <c r="AN63" s="69"/>
      <c r="AO63" s="69"/>
      <c r="AP63" s="69"/>
      <c r="AQ63" s="69"/>
      <c r="AR63" s="69"/>
      <c r="AS63" s="69"/>
      <c r="AT63" s="69"/>
      <c r="AU63" s="300"/>
      <c r="AV63" s="300"/>
      <c r="AW63" s="300"/>
      <c r="AX63" s="300"/>
      <c r="AY63" s="300"/>
      <c r="AZ63" s="300"/>
      <c r="BA63" s="300"/>
      <c r="BB63" s="300"/>
      <c r="BC63" s="300"/>
      <c r="BD63" s="300"/>
      <c r="BE63" s="300"/>
      <c r="BF63" s="300"/>
      <c r="BG63" s="300"/>
      <c r="BH63" s="300">
        <v>17.8</v>
      </c>
      <c r="BI63" s="300"/>
      <c r="BJ63" s="300"/>
      <c r="BK63" s="300">
        <v>-36.700000000000003</v>
      </c>
      <c r="BL63" s="300">
        <v>-18</v>
      </c>
      <c r="BM63" s="300">
        <v>-3.7</v>
      </c>
      <c r="BN63" s="69"/>
      <c r="BO63" s="69"/>
      <c r="BP63" s="69"/>
      <c r="BQ63" s="69"/>
      <c r="BR63" s="69"/>
    </row>
    <row r="64" spans="2:77" hidden="1" outlineLevel="1">
      <c r="B64" s="54" t="s">
        <v>320</v>
      </c>
      <c r="F64" s="69"/>
      <c r="G64" s="69"/>
      <c r="H64" s="69"/>
      <c r="I64" s="69"/>
      <c r="J64" s="69"/>
      <c r="K64" s="69"/>
      <c r="L64" s="69"/>
      <c r="M64" s="69"/>
      <c r="N64" s="69"/>
      <c r="O64" s="69"/>
      <c r="P64" s="69"/>
      <c r="Q64" s="69"/>
      <c r="R64" s="69"/>
      <c r="S64" s="69"/>
      <c r="T64" s="69"/>
      <c r="U64" s="69"/>
      <c r="V64" s="69"/>
      <c r="W64" s="69"/>
      <c r="X64" s="69"/>
      <c r="Y64" s="69"/>
      <c r="Z64" s="69"/>
      <c r="AA64" s="69"/>
      <c r="AB64" s="69"/>
      <c r="AC64" s="69"/>
      <c r="AD64" s="69"/>
      <c r="AE64" s="69"/>
      <c r="AF64" s="69"/>
      <c r="AG64" s="69"/>
      <c r="AH64" s="69"/>
      <c r="AI64" s="69"/>
      <c r="AJ64" s="69"/>
      <c r="AK64" s="69"/>
      <c r="AL64" s="69"/>
      <c r="AM64" s="69"/>
      <c r="AN64" s="69"/>
      <c r="AO64" s="69"/>
      <c r="AP64" s="69"/>
      <c r="AQ64" s="69"/>
      <c r="AR64" s="69"/>
      <c r="AS64" s="69"/>
      <c r="AT64" s="69"/>
      <c r="AU64" s="300">
        <v>4.2</v>
      </c>
      <c r="AV64" s="300">
        <v>-16.600000000000001</v>
      </c>
      <c r="AW64" s="300">
        <v>-7.9</v>
      </c>
      <c r="AX64" s="300">
        <f>-25-SUM(AU64:AW64)</f>
        <v>-4.6999999999999957</v>
      </c>
      <c r="AY64" s="300">
        <v>-2.9</v>
      </c>
      <c r="AZ64" s="300">
        <v>13.1</v>
      </c>
      <c r="BA64" s="300">
        <v>5.9</v>
      </c>
      <c r="BB64" s="300">
        <f>22.4-SUM(AY64:BA64)</f>
        <v>6.2999999999999972</v>
      </c>
      <c r="BC64" s="300">
        <v>5.7</v>
      </c>
      <c r="BD64" s="300">
        <v>-0.2</v>
      </c>
      <c r="BE64" s="300">
        <v>9.1999999999999993</v>
      </c>
      <c r="BF64" s="300">
        <f>22.1-SUM(BC64:BE64)</f>
        <v>7.4000000000000021</v>
      </c>
      <c r="BG64" s="300">
        <v>6.5</v>
      </c>
      <c r="BH64" s="300"/>
      <c r="BI64" s="300"/>
      <c r="BJ64" s="300"/>
      <c r="BK64" s="300">
        <v>-27.3</v>
      </c>
      <c r="BL64" s="300">
        <v>11.1</v>
      </c>
      <c r="BM64" s="300">
        <v>-19.899999999999999</v>
      </c>
      <c r="BN64" s="69"/>
      <c r="BO64" s="69"/>
      <c r="BP64" s="69"/>
      <c r="BQ64" s="69"/>
      <c r="BR64" s="69"/>
    </row>
    <row r="65" spans="2:72" hidden="1" outlineLevel="1">
      <c r="B65" s="54" t="s">
        <v>18</v>
      </c>
      <c r="F65" s="69"/>
      <c r="G65" s="69"/>
      <c r="H65" s="69"/>
      <c r="I65" s="69"/>
      <c r="J65" s="69"/>
      <c r="K65" s="69"/>
      <c r="L65" s="69"/>
      <c r="M65" s="69"/>
      <c r="N65" s="69"/>
      <c r="O65" s="69"/>
      <c r="P65" s="69"/>
      <c r="Q65" s="69"/>
      <c r="R65" s="69"/>
      <c r="S65" s="69"/>
      <c r="T65" s="69"/>
      <c r="U65" s="69"/>
      <c r="V65" s="69"/>
      <c r="W65" s="69"/>
      <c r="X65" s="69"/>
      <c r="Y65" s="69"/>
      <c r="Z65" s="69"/>
      <c r="AA65" s="69"/>
      <c r="AB65" s="69"/>
      <c r="AC65" s="69"/>
      <c r="AD65" s="69"/>
      <c r="AE65" s="69"/>
      <c r="AF65" s="69"/>
      <c r="AG65" s="69"/>
      <c r="AH65" s="69"/>
      <c r="AI65" s="69"/>
      <c r="AJ65" s="69"/>
      <c r="AK65" s="69"/>
      <c r="AL65" s="69"/>
      <c r="AM65" s="69"/>
      <c r="AN65" s="69"/>
      <c r="AO65" s="69"/>
      <c r="AP65" s="69"/>
      <c r="AQ65" s="69"/>
      <c r="AR65" s="69"/>
      <c r="AS65" s="69"/>
      <c r="AT65" s="69"/>
      <c r="AU65" s="300"/>
      <c r="AV65" s="300"/>
      <c r="AW65" s="300">
        <v>11</v>
      </c>
      <c r="AX65" s="300">
        <f>11-SUM(AU65:AW65)-11.8</f>
        <v>-11.8</v>
      </c>
      <c r="AY65" s="300"/>
      <c r="AZ65" s="300"/>
      <c r="BA65" s="300">
        <v>-11</v>
      </c>
      <c r="BB65" s="300"/>
      <c r="BC65" s="300"/>
      <c r="BD65" s="300">
        <v>9.9</v>
      </c>
      <c r="BE65" s="300"/>
      <c r="BF65" s="300">
        <f>11.4-SUM(BC65:BE65)+10.9-6.7</f>
        <v>5.7</v>
      </c>
      <c r="BG65" s="300"/>
      <c r="BH65" s="300">
        <v>-9.9</v>
      </c>
      <c r="BI65" s="300"/>
      <c r="BJ65" s="300"/>
      <c r="BK65" s="300"/>
      <c r="BL65" s="300">
        <v>-74.8</v>
      </c>
      <c r="BM65" s="300">
        <v>-24</v>
      </c>
      <c r="BN65" s="69"/>
      <c r="BO65" s="69"/>
      <c r="BP65" s="69"/>
      <c r="BQ65" s="69"/>
      <c r="BR65" s="69"/>
    </row>
    <row r="66" spans="2:72" hidden="1" outlineLevel="1">
      <c r="B66" s="54"/>
      <c r="G66" s="7"/>
      <c r="H66" s="7"/>
      <c r="I66" s="12"/>
      <c r="J66" s="12"/>
      <c r="K66" s="12"/>
      <c r="L66" s="12"/>
      <c r="M66" s="12"/>
      <c r="N66" s="12"/>
      <c r="O66" s="12"/>
      <c r="P66" s="12"/>
      <c r="Q66" s="12"/>
      <c r="R66" s="12"/>
      <c r="S66" s="12"/>
      <c r="T66" s="12"/>
      <c r="U66" s="12"/>
      <c r="V66" s="73"/>
      <c r="W66" s="75"/>
      <c r="X66" s="75"/>
      <c r="Y66" s="75"/>
      <c r="Z66" s="75"/>
      <c r="AA66" s="75"/>
      <c r="AB66" s="75"/>
      <c r="AC66" s="75"/>
      <c r="AD66" s="75"/>
      <c r="AE66" s="75"/>
      <c r="AF66" s="75"/>
      <c r="AG66" s="75"/>
      <c r="AH66" s="75"/>
      <c r="AI66" s="75"/>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T66" s="48"/>
    </row>
    <row r="67" spans="2:72" hidden="1" outlineLevel="1">
      <c r="B67" s="33" t="s">
        <v>313</v>
      </c>
      <c r="C67" s="28"/>
      <c r="D67" s="28"/>
      <c r="E67" s="28"/>
      <c r="F67" s="28"/>
      <c r="G67" s="28"/>
      <c r="H67" s="28"/>
      <c r="I67" s="28"/>
      <c r="J67" s="28"/>
      <c r="K67" s="28"/>
      <c r="L67" s="28"/>
      <c r="M67" s="28"/>
      <c r="N67" s="28"/>
      <c r="O67" s="28"/>
      <c r="P67" s="28"/>
      <c r="Q67" s="28"/>
      <c r="R67" s="28"/>
      <c r="S67" s="28"/>
      <c r="T67" s="28"/>
      <c r="U67" s="28"/>
      <c r="V67" s="28"/>
      <c r="W67" s="33"/>
      <c r="X67" s="33"/>
      <c r="Y67" s="33"/>
      <c r="Z67" s="33"/>
      <c r="AA67" s="33"/>
      <c r="AB67" s="28"/>
      <c r="AC67" s="28"/>
      <c r="AD67" s="28"/>
      <c r="AE67" s="28"/>
      <c r="AF67" s="28"/>
      <c r="AG67" s="28"/>
      <c r="AH67" s="28"/>
      <c r="AI67" s="28"/>
      <c r="AJ67" s="28"/>
      <c r="AK67" s="28"/>
      <c r="AL67" s="28"/>
      <c r="AM67" s="28"/>
      <c r="AN67" s="28"/>
      <c r="AO67" s="28"/>
      <c r="AP67" s="28"/>
      <c r="AQ67" s="28"/>
      <c r="AR67" s="28"/>
      <c r="AS67" s="28"/>
      <c r="AT67" s="28"/>
      <c r="AU67" s="28"/>
      <c r="AV67" s="28"/>
      <c r="AW67" s="28"/>
      <c r="AX67" s="28"/>
      <c r="AY67" s="28"/>
      <c r="AZ67" s="28"/>
      <c r="BA67" s="28"/>
      <c r="BB67" s="28"/>
      <c r="BC67" s="28"/>
      <c r="BD67" s="28"/>
      <c r="BE67" s="28"/>
      <c r="BF67" s="28"/>
      <c r="BG67" s="28"/>
      <c r="BH67" s="28"/>
      <c r="BI67" s="28"/>
      <c r="BJ67" s="28"/>
      <c r="BK67" s="28"/>
      <c r="BL67" s="28"/>
      <c r="BM67" s="28"/>
      <c r="BN67" s="28"/>
      <c r="BO67" s="28"/>
      <c r="BP67" s="28"/>
      <c r="BQ67" s="28"/>
      <c r="BR67" s="28"/>
    </row>
    <row r="68" spans="2:72" s="34" customFormat="1" hidden="1" outlineLevel="1">
      <c r="B68" s="38" t="s">
        <v>195</v>
      </c>
      <c r="H68" s="52"/>
      <c r="I68" s="52"/>
      <c r="J68" s="52"/>
      <c r="K68" s="52"/>
      <c r="L68" s="52"/>
      <c r="M68" s="52">
        <f>SUM(AU68:AX68)</f>
        <v>1412.3</v>
      </c>
      <c r="N68" s="52">
        <f>SUM(AY68:BB68)</f>
        <v>1305.5999999999999</v>
      </c>
      <c r="O68" s="52"/>
      <c r="P68" s="52"/>
      <c r="Q68" s="52"/>
      <c r="R68" s="52"/>
      <c r="S68" s="52"/>
      <c r="T68" s="52"/>
      <c r="U68" s="52"/>
      <c r="W68" s="53"/>
      <c r="X68" s="53"/>
      <c r="Y68" s="53"/>
      <c r="Z68" s="53"/>
      <c r="AA68" s="53"/>
      <c r="AB68" s="53"/>
      <c r="AC68" s="53"/>
      <c r="AD68" s="53"/>
      <c r="AE68" s="53"/>
      <c r="AF68" s="53"/>
      <c r="AG68" s="53"/>
      <c r="AH68" s="53"/>
      <c r="AI68" s="53"/>
      <c r="AJ68" s="53"/>
      <c r="AK68" s="53"/>
      <c r="AL68" s="53"/>
      <c r="AM68" s="53"/>
      <c r="AN68" s="53"/>
      <c r="AO68" s="53"/>
      <c r="AP68" s="53"/>
      <c r="AQ68" s="53"/>
      <c r="AR68" s="53"/>
      <c r="AS68" s="53">
        <v>369.6</v>
      </c>
      <c r="AT68" s="53">
        <v>336.4</v>
      </c>
      <c r="AU68" s="53">
        <v>348.9</v>
      </c>
      <c r="AV68" s="53">
        <v>367</v>
      </c>
      <c r="AW68" s="53">
        <v>374.2</v>
      </c>
      <c r="AX68" s="53">
        <v>322.2</v>
      </c>
      <c r="AY68" s="53">
        <v>328.3</v>
      </c>
      <c r="AZ68" s="53">
        <v>338.5</v>
      </c>
      <c r="BA68" s="53">
        <v>329.2</v>
      </c>
      <c r="BB68" s="53">
        <v>309.60000000000002</v>
      </c>
      <c r="BC68" s="53">
        <v>292.7</v>
      </c>
      <c r="BD68" s="53">
        <v>294.7</v>
      </c>
      <c r="BE68" s="53">
        <v>299.7</v>
      </c>
      <c r="BF68" s="53"/>
      <c r="BG68" s="53"/>
      <c r="BH68" s="53"/>
      <c r="BI68" s="53"/>
      <c r="BJ68" s="53"/>
      <c r="BK68" s="53"/>
      <c r="BL68" s="53"/>
      <c r="BM68" s="52"/>
      <c r="BN68" s="52"/>
      <c r="BO68" s="52"/>
      <c r="BP68" s="52"/>
      <c r="BQ68" s="52"/>
      <c r="BR68" s="52"/>
    </row>
    <row r="69" spans="2:72" hidden="1" outlineLevel="1">
      <c r="B69" s="54" t="s">
        <v>141</v>
      </c>
      <c r="H69" s="57"/>
      <c r="I69" s="55"/>
      <c r="J69" s="55"/>
      <c r="K69" s="55"/>
      <c r="L69" s="55"/>
      <c r="M69" s="55"/>
      <c r="N69" s="55">
        <f>N68/M68-1</f>
        <v>-7.5550520427671186E-2</v>
      </c>
      <c r="O69" s="55"/>
      <c r="P69" s="55"/>
      <c r="Q69" s="64"/>
      <c r="R69" s="64"/>
      <c r="S69" s="64"/>
      <c r="T69" s="64"/>
      <c r="U69" s="64"/>
      <c r="AE69" s="55"/>
      <c r="AF69" s="55"/>
      <c r="AG69" s="55"/>
      <c r="AH69" s="55"/>
      <c r="AI69" s="55"/>
      <c r="AJ69" s="55"/>
      <c r="AK69" s="55"/>
      <c r="AL69" s="55"/>
      <c r="AM69" s="55"/>
      <c r="AN69" s="55"/>
      <c r="AO69" s="55"/>
      <c r="AP69" s="55"/>
      <c r="AQ69" s="55"/>
      <c r="AR69" s="55"/>
      <c r="AS69" s="55"/>
      <c r="AT69" s="55"/>
      <c r="AU69" s="55"/>
      <c r="AV69" s="55"/>
      <c r="AW69" s="55">
        <f t="shared" ref="AW69:BE69" si="77">AW68/AS68-1</f>
        <v>1.244588744588726E-2</v>
      </c>
      <c r="AX69" s="55">
        <f t="shared" si="77"/>
        <v>-4.2211652794292509E-2</v>
      </c>
      <c r="AY69" s="55">
        <f t="shared" si="77"/>
        <v>-5.9042705646316862E-2</v>
      </c>
      <c r="AZ69" s="55">
        <f t="shared" si="77"/>
        <v>-7.7656675749318782E-2</v>
      </c>
      <c r="BA69" s="55">
        <f t="shared" si="77"/>
        <v>-0.12025654730090862</v>
      </c>
      <c r="BB69" s="55">
        <f t="shared" si="77"/>
        <v>-3.9106145251396551E-2</v>
      </c>
      <c r="BC69" s="55">
        <f t="shared" si="77"/>
        <v>-0.10843740481267139</v>
      </c>
      <c r="BD69" s="55">
        <f t="shared" si="77"/>
        <v>-0.1293943870014771</v>
      </c>
      <c r="BE69" s="55">
        <f t="shared" si="77"/>
        <v>-8.9611178614823817E-2</v>
      </c>
      <c r="BF69" s="55"/>
      <c r="BG69" s="55"/>
      <c r="BH69" s="55"/>
      <c r="BI69" s="55"/>
      <c r="BJ69" s="55"/>
      <c r="BK69" s="55"/>
      <c r="BL69" s="55"/>
      <c r="BM69" s="55"/>
      <c r="BN69" s="55"/>
      <c r="BO69" s="55"/>
      <c r="BP69" s="55"/>
      <c r="BQ69" s="55"/>
      <c r="BR69" s="55"/>
      <c r="BT69" s="44"/>
    </row>
    <row r="70" spans="2:72" hidden="1" outlineLevel="1">
      <c r="B70" s="43"/>
      <c r="H70" s="57"/>
      <c r="I70" s="57"/>
      <c r="J70" s="57"/>
      <c r="K70" s="57"/>
      <c r="L70" s="57"/>
      <c r="M70" s="57"/>
      <c r="N70" s="57"/>
      <c r="O70" s="57"/>
      <c r="P70" s="57"/>
      <c r="BG70" s="58"/>
      <c r="BH70" s="58"/>
      <c r="BI70" s="58"/>
      <c r="BJ70" s="57"/>
      <c r="BK70" s="58"/>
      <c r="BL70" s="58"/>
      <c r="BM70" s="58"/>
      <c r="BN70" s="57"/>
      <c r="BO70" s="57"/>
      <c r="BP70" s="57"/>
      <c r="BQ70" s="57"/>
      <c r="BR70" s="57"/>
      <c r="BT70" s="44"/>
    </row>
    <row r="71" spans="2:72" s="36" customFormat="1" hidden="1" outlineLevel="1">
      <c r="B71" s="59" t="s">
        <v>190</v>
      </c>
      <c r="H71" s="42"/>
      <c r="I71" s="42"/>
      <c r="J71" s="42"/>
      <c r="K71" s="42"/>
      <c r="L71" s="42"/>
      <c r="M71" s="42">
        <f>M68-M73</f>
        <v>1208.5</v>
      </c>
      <c r="N71" s="42">
        <f>N68-N73</f>
        <v>1175.5</v>
      </c>
      <c r="O71" s="42"/>
      <c r="P71" s="42"/>
      <c r="Q71" s="42"/>
      <c r="R71" s="42"/>
      <c r="S71" s="42"/>
      <c r="T71" s="42"/>
      <c r="U71" s="42"/>
      <c r="W71" s="42"/>
      <c r="X71" s="42"/>
      <c r="Y71" s="42"/>
      <c r="Z71" s="42"/>
      <c r="AA71" s="42"/>
      <c r="AB71" s="42"/>
      <c r="AC71" s="42"/>
      <c r="AD71" s="42"/>
      <c r="AE71" s="42"/>
      <c r="AF71" s="42"/>
      <c r="AG71" s="42"/>
      <c r="AH71" s="42"/>
      <c r="AI71" s="42"/>
      <c r="AJ71" s="42"/>
      <c r="AK71" s="42"/>
      <c r="AL71" s="42"/>
      <c r="AM71" s="42"/>
      <c r="AN71" s="42"/>
      <c r="AO71" s="42"/>
      <c r="AP71" s="42"/>
      <c r="AQ71" s="42"/>
      <c r="AR71" s="42"/>
      <c r="AS71" s="42">
        <f t="shared" ref="AS71:BD71" si="78">AS68-AS73</f>
        <v>310.10000000000002</v>
      </c>
      <c r="AT71" s="42">
        <f t="shared" si="78"/>
        <v>282.09999999999997</v>
      </c>
      <c r="AU71" s="42">
        <f t="shared" si="78"/>
        <v>290.39999999999998</v>
      </c>
      <c r="AV71" s="42">
        <f t="shared" si="78"/>
        <v>316.8</v>
      </c>
      <c r="AW71" s="42">
        <f t="shared" si="78"/>
        <v>309.79999999999995</v>
      </c>
      <c r="AX71" s="42">
        <f t="shared" si="78"/>
        <v>291.5</v>
      </c>
      <c r="AY71" s="42">
        <f t="shared" si="78"/>
        <v>294</v>
      </c>
      <c r="AZ71" s="42">
        <f t="shared" si="78"/>
        <v>297.7</v>
      </c>
      <c r="BA71" s="42">
        <f t="shared" si="78"/>
        <v>303</v>
      </c>
      <c r="BB71" s="42">
        <f t="shared" si="78"/>
        <v>280.8</v>
      </c>
      <c r="BC71" s="42">
        <f t="shared" si="78"/>
        <v>269.59999999999997</v>
      </c>
      <c r="BD71" s="42">
        <f t="shared" si="78"/>
        <v>269.7</v>
      </c>
      <c r="BE71" s="42">
        <f>BE68-BE73</f>
        <v>285.59999999999997</v>
      </c>
      <c r="BF71" s="42"/>
      <c r="BG71" s="42"/>
      <c r="BH71" s="42"/>
      <c r="BI71" s="42"/>
      <c r="BJ71" s="42"/>
      <c r="BK71" s="42"/>
      <c r="BL71" s="42"/>
      <c r="BM71" s="42"/>
      <c r="BN71" s="42"/>
      <c r="BO71" s="42"/>
      <c r="BP71" s="42"/>
      <c r="BQ71" s="42"/>
      <c r="BR71" s="42"/>
    </row>
    <row r="72" spans="2:72" hidden="1" outlineLevel="1">
      <c r="B72" s="43"/>
      <c r="C72" s="7"/>
      <c r="D72" s="7"/>
      <c r="E72" s="7"/>
      <c r="F72" s="7"/>
      <c r="G72" s="57"/>
      <c r="H72" s="57"/>
      <c r="I72" s="57"/>
      <c r="J72" s="57"/>
      <c r="K72" s="57"/>
      <c r="L72" s="57"/>
      <c r="M72" s="57"/>
      <c r="N72" s="57"/>
      <c r="O72" s="57"/>
      <c r="P72" s="57"/>
      <c r="Q72" s="57"/>
      <c r="R72" s="57"/>
      <c r="S72" s="57"/>
      <c r="T72" s="57"/>
      <c r="U72" s="57"/>
      <c r="V72" s="57"/>
      <c r="W72" s="58"/>
      <c r="X72" s="58"/>
      <c r="Y72" s="58"/>
      <c r="Z72" s="58"/>
      <c r="AA72" s="58"/>
      <c r="AB72" s="58"/>
      <c r="AC72" s="58"/>
      <c r="AD72" s="58"/>
      <c r="AE72" s="58"/>
      <c r="AF72" s="58"/>
      <c r="AG72" s="58"/>
      <c r="AH72" s="58"/>
      <c r="AI72" s="58"/>
      <c r="AJ72" s="58"/>
      <c r="AK72" s="58"/>
      <c r="AL72" s="58"/>
      <c r="AM72" s="58"/>
      <c r="AN72" s="58"/>
      <c r="AO72" s="58"/>
      <c r="AP72" s="58"/>
      <c r="AQ72" s="58"/>
      <c r="AR72" s="58"/>
      <c r="AS72" s="58"/>
      <c r="AT72" s="58"/>
      <c r="AU72" s="58"/>
      <c r="AV72" s="58"/>
      <c r="AW72" s="58"/>
      <c r="AX72" s="58"/>
      <c r="AY72" s="58"/>
      <c r="AZ72" s="58"/>
      <c r="BA72" s="58"/>
      <c r="BB72" s="58"/>
      <c r="BC72" s="58"/>
      <c r="BD72" s="58"/>
      <c r="BE72" s="58"/>
      <c r="BF72" s="57"/>
      <c r="BG72" s="58"/>
      <c r="BH72" s="58"/>
      <c r="BI72" s="58"/>
      <c r="BJ72" s="57"/>
      <c r="BK72" s="58"/>
      <c r="BL72" s="58"/>
      <c r="BM72" s="58"/>
      <c r="BN72" s="57"/>
      <c r="BO72" s="57"/>
      <c r="BP72" s="57"/>
      <c r="BQ72" s="57"/>
      <c r="BR72" s="57"/>
    </row>
    <row r="73" spans="2:72" s="34" customFormat="1" hidden="1" outlineLevel="1">
      <c r="B73" s="38" t="s">
        <v>196</v>
      </c>
      <c r="C73" s="51"/>
      <c r="D73" s="51"/>
      <c r="E73" s="51"/>
      <c r="F73" s="51"/>
      <c r="G73" s="60"/>
      <c r="H73" s="39"/>
      <c r="I73" s="39"/>
      <c r="J73" s="39"/>
      <c r="K73" s="39"/>
      <c r="L73" s="39"/>
      <c r="M73" s="39">
        <f>SUM(AU73:AX73)</f>
        <v>203.8</v>
      </c>
      <c r="N73" s="39">
        <f>SUM(AY73:BB73)</f>
        <v>130.1</v>
      </c>
      <c r="O73" s="39"/>
      <c r="P73" s="39"/>
      <c r="Q73" s="39"/>
      <c r="R73" s="39"/>
      <c r="S73" s="39"/>
      <c r="T73" s="39"/>
      <c r="U73" s="39"/>
      <c r="V73" s="51"/>
      <c r="W73" s="61"/>
      <c r="X73" s="61"/>
      <c r="Y73" s="61"/>
      <c r="Z73" s="61"/>
      <c r="AA73" s="61"/>
      <c r="AB73" s="61"/>
      <c r="AC73" s="61"/>
      <c r="AD73" s="61"/>
      <c r="AE73" s="61"/>
      <c r="AF73" s="61"/>
      <c r="AG73" s="61"/>
      <c r="AH73" s="61"/>
      <c r="AI73" s="61"/>
      <c r="AJ73" s="61"/>
      <c r="AK73" s="61"/>
      <c r="AL73" s="61"/>
      <c r="AM73" s="61"/>
      <c r="AN73" s="61"/>
      <c r="AO73" s="61"/>
      <c r="AP73" s="61"/>
      <c r="AQ73" s="61"/>
      <c r="AR73" s="61"/>
      <c r="AS73" s="61">
        <v>59.5</v>
      </c>
      <c r="AT73" s="61">
        <v>54.3</v>
      </c>
      <c r="AU73" s="61">
        <v>58.5</v>
      </c>
      <c r="AV73" s="61">
        <v>50.2</v>
      </c>
      <c r="AW73" s="61">
        <v>64.400000000000006</v>
      </c>
      <c r="AX73" s="61">
        <v>30.7</v>
      </c>
      <c r="AY73" s="61">
        <v>34.299999999999997</v>
      </c>
      <c r="AZ73" s="61">
        <v>40.799999999999997</v>
      </c>
      <c r="BA73" s="61">
        <v>26.2</v>
      </c>
      <c r="BB73" s="61">
        <v>28.8</v>
      </c>
      <c r="BC73" s="61">
        <v>23.1</v>
      </c>
      <c r="BD73" s="61">
        <v>25</v>
      </c>
      <c r="BE73" s="61">
        <v>14.1</v>
      </c>
      <c r="BF73" s="61"/>
      <c r="BG73" s="61"/>
      <c r="BH73" s="61"/>
      <c r="BI73" s="61"/>
      <c r="BJ73" s="61"/>
      <c r="BK73" s="61"/>
      <c r="BL73" s="61"/>
      <c r="BM73" s="39"/>
      <c r="BN73" s="62"/>
      <c r="BO73" s="101"/>
      <c r="BP73" s="101"/>
      <c r="BQ73" s="101"/>
      <c r="BR73" s="101"/>
    </row>
    <row r="74" spans="2:72" hidden="1" outlineLevel="1">
      <c r="B74" s="54" t="s">
        <v>189</v>
      </c>
      <c r="C74" s="7"/>
      <c r="D74" s="7"/>
      <c r="E74" s="7"/>
      <c r="F74" s="7"/>
      <c r="G74" s="57"/>
      <c r="H74" s="55"/>
      <c r="I74" s="55"/>
      <c r="J74" s="55"/>
      <c r="K74" s="55"/>
      <c r="L74" s="55"/>
      <c r="M74" s="63">
        <f>M73/M68</f>
        <v>0.14430361821142818</v>
      </c>
      <c r="N74" s="63">
        <f>N73/N68</f>
        <v>9.9647671568627458E-2</v>
      </c>
      <c r="O74" s="63"/>
      <c r="P74" s="63"/>
      <c r="Q74" s="64"/>
      <c r="R74" s="80"/>
      <c r="S74" s="64"/>
      <c r="T74" s="64"/>
      <c r="U74" s="64"/>
      <c r="V74" s="57"/>
      <c r="W74" s="55"/>
      <c r="X74" s="55"/>
      <c r="Y74" s="55"/>
      <c r="Z74" s="55"/>
      <c r="AA74" s="55"/>
      <c r="AB74" s="55"/>
      <c r="AC74" s="55"/>
      <c r="AD74" s="55"/>
      <c r="AE74" s="55"/>
      <c r="AF74" s="55"/>
      <c r="AG74" s="55"/>
      <c r="AH74" s="55"/>
      <c r="AI74" s="55"/>
      <c r="AJ74" s="55"/>
      <c r="AK74" s="55"/>
      <c r="AL74" s="55"/>
      <c r="AM74" s="63"/>
      <c r="AN74" s="63"/>
      <c r="AO74" s="63"/>
      <c r="AP74" s="63"/>
      <c r="AQ74" s="63"/>
      <c r="AR74" s="63"/>
      <c r="AS74" s="63">
        <f t="shared" ref="AS74:BE74" si="79">AS73/AS68</f>
        <v>0.16098484848484848</v>
      </c>
      <c r="AT74" s="63">
        <f t="shared" si="79"/>
        <v>0.16141498216409036</v>
      </c>
      <c r="AU74" s="63">
        <f t="shared" si="79"/>
        <v>0.16766981943250217</v>
      </c>
      <c r="AV74" s="63">
        <f t="shared" si="79"/>
        <v>0.13678474114441419</v>
      </c>
      <c r="AW74" s="63">
        <f t="shared" si="79"/>
        <v>0.17210048102618922</v>
      </c>
      <c r="AX74" s="63">
        <f t="shared" si="79"/>
        <v>9.5282433271260084E-2</v>
      </c>
      <c r="AY74" s="63">
        <f t="shared" si="79"/>
        <v>0.10447761194029849</v>
      </c>
      <c r="AZ74" s="63">
        <f t="shared" si="79"/>
        <v>0.12053175775480059</v>
      </c>
      <c r="BA74" s="63">
        <f t="shared" si="79"/>
        <v>7.9586877278250298E-2</v>
      </c>
      <c r="BB74" s="63">
        <f t="shared" si="79"/>
        <v>9.3023255813953487E-2</v>
      </c>
      <c r="BC74" s="63">
        <f t="shared" si="79"/>
        <v>7.8920396310215246E-2</v>
      </c>
      <c r="BD74" s="63">
        <f t="shared" si="79"/>
        <v>8.483203257550051E-2</v>
      </c>
      <c r="BE74" s="63">
        <f t="shared" si="79"/>
        <v>4.7047047047047048E-2</v>
      </c>
      <c r="BF74" s="63"/>
      <c r="BG74" s="63"/>
      <c r="BH74" s="63"/>
      <c r="BI74" s="63"/>
      <c r="BJ74" s="63"/>
      <c r="BK74" s="63"/>
      <c r="BL74" s="63"/>
      <c r="BM74" s="64"/>
      <c r="BN74" s="63"/>
      <c r="BO74" s="63"/>
      <c r="BP74" s="63"/>
      <c r="BQ74" s="63"/>
      <c r="BR74" s="63"/>
      <c r="BS74" s="44"/>
    </row>
    <row r="75" spans="2:72" hidden="1" outlineLevel="1">
      <c r="B75" s="54" t="s">
        <v>141</v>
      </c>
      <c r="C75" s="7"/>
      <c r="D75" s="7"/>
      <c r="E75" s="7"/>
      <c r="F75" s="7"/>
      <c r="G75" s="57"/>
      <c r="H75" s="57"/>
      <c r="I75" s="55"/>
      <c r="J75" s="55"/>
      <c r="K75" s="55"/>
      <c r="L75" s="55"/>
      <c r="M75" s="55"/>
      <c r="N75" s="55">
        <f>N73/M73-1</f>
        <v>-0.36162904808635921</v>
      </c>
      <c r="O75" s="63"/>
      <c r="P75" s="63"/>
      <c r="Q75" s="63"/>
      <c r="R75" s="63"/>
      <c r="S75" s="63"/>
      <c r="T75" s="63"/>
      <c r="U75" s="63"/>
      <c r="V75" s="57"/>
      <c r="W75" s="57"/>
      <c r="X75" s="57"/>
      <c r="Y75" s="57"/>
      <c r="Z75" s="57"/>
      <c r="AA75" s="58"/>
      <c r="AB75" s="58"/>
      <c r="AC75" s="58"/>
      <c r="AD75" s="58"/>
      <c r="AE75" s="55"/>
      <c r="AF75" s="55"/>
      <c r="AG75" s="55"/>
      <c r="AH75" s="55"/>
      <c r="AI75" s="55"/>
      <c r="AJ75" s="55"/>
      <c r="AK75" s="55"/>
      <c r="AL75" s="55"/>
      <c r="AM75" s="55"/>
      <c r="AN75" s="55"/>
      <c r="AO75" s="55"/>
      <c r="AP75" s="55"/>
      <c r="AQ75" s="63"/>
      <c r="AR75" s="63"/>
      <c r="AS75" s="63"/>
      <c r="AT75" s="63"/>
      <c r="AU75" s="63"/>
      <c r="AV75" s="63"/>
      <c r="AW75" s="63">
        <f t="shared" ref="AW75:BE75" si="80">AW71/AS71-1</f>
        <v>-9.67429861335245E-4</v>
      </c>
      <c r="AX75" s="63">
        <f t="shared" si="80"/>
        <v>3.3321517192484995E-2</v>
      </c>
      <c r="AY75" s="63">
        <f t="shared" si="80"/>
        <v>1.2396694214876103E-2</v>
      </c>
      <c r="AZ75" s="63">
        <f t="shared" si="80"/>
        <v>-6.0290404040404089E-2</v>
      </c>
      <c r="BA75" s="63">
        <f t="shared" si="80"/>
        <v>-2.1949644932214185E-2</v>
      </c>
      <c r="BB75" s="63">
        <f t="shared" si="80"/>
        <v>-3.6706689536878168E-2</v>
      </c>
      <c r="BC75" s="63">
        <f t="shared" si="80"/>
        <v>-8.2993197278911635E-2</v>
      </c>
      <c r="BD75" s="63">
        <f t="shared" si="80"/>
        <v>-9.4054417198522033E-2</v>
      </c>
      <c r="BE75" s="63">
        <f t="shared" si="80"/>
        <v>-5.7425742574257588E-2</v>
      </c>
      <c r="BF75" s="63"/>
      <c r="BG75" s="63"/>
      <c r="BH75" s="63"/>
      <c r="BI75" s="63"/>
      <c r="BJ75" s="63"/>
      <c r="BK75" s="63"/>
      <c r="BL75" s="63"/>
      <c r="BM75" s="63"/>
      <c r="BN75" s="63"/>
      <c r="BO75" s="63"/>
      <c r="BP75" s="63"/>
      <c r="BQ75" s="63"/>
      <c r="BR75" s="63"/>
    </row>
    <row r="76" spans="2:72" hidden="1" outlineLevel="1">
      <c r="B76" s="43"/>
      <c r="C76" s="7"/>
      <c r="D76" s="7"/>
      <c r="E76" s="7"/>
      <c r="F76" s="7"/>
      <c r="G76" s="57"/>
      <c r="H76" s="57"/>
      <c r="I76" s="57"/>
      <c r="J76" s="57"/>
      <c r="K76" s="57"/>
      <c r="L76" s="57"/>
      <c r="M76" s="57"/>
      <c r="N76" s="57"/>
      <c r="O76" s="57"/>
      <c r="P76" s="14"/>
      <c r="Q76" s="57"/>
      <c r="R76" s="57"/>
      <c r="S76" s="57"/>
      <c r="T76" s="57"/>
      <c r="U76" s="57"/>
      <c r="V76" s="57"/>
      <c r="W76" s="57"/>
      <c r="X76" s="57"/>
      <c r="Y76" s="57"/>
      <c r="Z76" s="57"/>
      <c r="AA76" s="58"/>
      <c r="AB76" s="58"/>
      <c r="AC76" s="58"/>
      <c r="AD76" s="58"/>
      <c r="AE76" s="58"/>
      <c r="AF76" s="58"/>
      <c r="AG76" s="58"/>
      <c r="AH76" s="58"/>
      <c r="AI76" s="58"/>
      <c r="AJ76" s="58"/>
      <c r="AK76" s="58"/>
      <c r="AL76" s="58"/>
      <c r="AM76" s="58"/>
      <c r="AN76" s="58"/>
      <c r="AO76" s="58"/>
      <c r="AP76" s="58"/>
      <c r="AQ76" s="58"/>
      <c r="AR76" s="58"/>
      <c r="AS76" s="58"/>
      <c r="AT76" s="58"/>
      <c r="AU76" s="58"/>
      <c r="AV76" s="58"/>
      <c r="AW76" s="58"/>
      <c r="AX76" s="58"/>
      <c r="AY76" s="58"/>
      <c r="AZ76" s="58"/>
      <c r="BA76" s="58"/>
      <c r="BB76" s="58"/>
      <c r="BC76" s="58"/>
      <c r="BD76" s="58"/>
      <c r="BE76" s="58"/>
      <c r="BF76" s="57"/>
      <c r="BG76" s="81"/>
      <c r="BH76" s="81"/>
      <c r="BI76" s="81"/>
      <c r="BJ76" s="81"/>
      <c r="BK76" s="81"/>
      <c r="BL76" s="81"/>
      <c r="BM76" s="64"/>
      <c r="BN76" s="64"/>
      <c r="BO76" s="64"/>
      <c r="BP76" s="64"/>
      <c r="BQ76" s="64"/>
      <c r="BR76" s="64"/>
    </row>
    <row r="77" spans="2:72" hidden="1" outlineLevel="1">
      <c r="B77" s="68" t="s">
        <v>194</v>
      </c>
      <c r="P77" s="44"/>
      <c r="Q77" s="26"/>
      <c r="BJ77" s="48"/>
      <c r="BK77" s="64"/>
      <c r="BL77" s="64"/>
      <c r="BM77" s="64"/>
      <c r="BN77" s="64"/>
      <c r="BO77" s="64"/>
      <c r="BP77" s="64"/>
      <c r="BQ77" s="64"/>
      <c r="BR77" s="64"/>
    </row>
    <row r="78" spans="2:72" hidden="1" outlineLevel="1">
      <c r="B78" s="54" t="s">
        <v>191</v>
      </c>
      <c r="M78" s="48"/>
      <c r="N78" s="48"/>
      <c r="O78" s="24"/>
      <c r="P78" s="24"/>
      <c r="Q78" s="56"/>
      <c r="R78" s="56"/>
      <c r="S78" s="56"/>
      <c r="T78" s="56"/>
      <c r="U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c r="BL78" s="56"/>
      <c r="BM78" s="56"/>
      <c r="BN78" s="70"/>
      <c r="BO78" s="70"/>
      <c r="BP78" s="70"/>
      <c r="BQ78" s="70"/>
      <c r="BR78" s="70"/>
    </row>
    <row r="79" spans="2:72" hidden="1" outlineLevel="1">
      <c r="B79" s="54" t="s">
        <v>192</v>
      </c>
      <c r="M79" s="48"/>
      <c r="N79" s="48"/>
      <c r="O79" s="24"/>
      <c r="P79" s="24"/>
      <c r="Q79" s="56"/>
      <c r="R79" s="56"/>
      <c r="S79" s="56"/>
      <c r="T79" s="56"/>
      <c r="U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c r="BL79" s="56"/>
      <c r="BM79" s="56"/>
      <c r="BN79" s="70"/>
      <c r="BO79" s="70"/>
      <c r="BP79" s="70"/>
      <c r="BQ79" s="70"/>
      <c r="BR79" s="70"/>
    </row>
    <row r="80" spans="2:72" hidden="1" outlineLevel="1">
      <c r="B80" s="54" t="s">
        <v>193</v>
      </c>
      <c r="M80" s="48"/>
      <c r="N80" s="48"/>
      <c r="O80" s="24"/>
      <c r="P80" s="24"/>
      <c r="Q80" s="56"/>
      <c r="R80" s="82"/>
      <c r="S80" s="56"/>
      <c r="T80" s="56"/>
      <c r="U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70"/>
      <c r="BO80" s="70"/>
      <c r="BP80" s="70"/>
      <c r="BQ80" s="70"/>
      <c r="BR80" s="70"/>
    </row>
    <row r="81" spans="2:72" hidden="1" outlineLevel="1">
      <c r="B81" s="54" t="s">
        <v>188</v>
      </c>
      <c r="G81" s="71"/>
      <c r="H81" s="71"/>
      <c r="I81" s="72"/>
      <c r="J81" s="72"/>
      <c r="K81" s="72"/>
      <c r="L81" s="72"/>
      <c r="M81" s="72"/>
      <c r="N81" s="72">
        <f>N69</f>
        <v>-7.5550520427671186E-2</v>
      </c>
      <c r="O81" s="72"/>
      <c r="P81" s="72"/>
      <c r="Q81" s="72"/>
      <c r="R81" s="72"/>
      <c r="S81" s="72"/>
      <c r="T81" s="72"/>
      <c r="U81" s="72"/>
      <c r="V81" s="73"/>
      <c r="W81" s="74"/>
      <c r="X81" s="74"/>
      <c r="Y81" s="74"/>
      <c r="Z81" s="74"/>
      <c r="AA81" s="74"/>
      <c r="AB81" s="74"/>
      <c r="AC81" s="74"/>
      <c r="AD81" s="74"/>
      <c r="AE81" s="74"/>
      <c r="AF81" s="74"/>
      <c r="AG81" s="74"/>
      <c r="AH81" s="74"/>
      <c r="AI81" s="74"/>
      <c r="AJ81" s="74"/>
      <c r="AK81" s="74"/>
      <c r="AL81" s="74"/>
      <c r="AM81" s="74"/>
      <c r="AN81" s="72"/>
      <c r="AO81" s="72"/>
      <c r="AP81" s="72"/>
      <c r="AQ81" s="72"/>
      <c r="AR81" s="72"/>
      <c r="AS81" s="72"/>
      <c r="AT81" s="72"/>
      <c r="AU81" s="72"/>
      <c r="AV81" s="72"/>
      <c r="AW81" s="72">
        <f t="shared" ref="AW81:BD81" si="81">AW69</f>
        <v>1.244588744588726E-2</v>
      </c>
      <c r="AX81" s="72">
        <f t="shared" si="81"/>
        <v>-4.2211652794292509E-2</v>
      </c>
      <c r="AY81" s="72">
        <f t="shared" si="81"/>
        <v>-5.9042705646316862E-2</v>
      </c>
      <c r="AZ81" s="72">
        <f t="shared" si="81"/>
        <v>-7.7656675749318782E-2</v>
      </c>
      <c r="BA81" s="72">
        <f t="shared" si="81"/>
        <v>-0.12025654730090862</v>
      </c>
      <c r="BB81" s="72">
        <f t="shared" si="81"/>
        <v>-3.9106145251396551E-2</v>
      </c>
      <c r="BC81" s="72">
        <f t="shared" si="81"/>
        <v>-0.10843740481267139</v>
      </c>
      <c r="BD81" s="72">
        <f t="shared" si="81"/>
        <v>-0.1293943870014771</v>
      </c>
      <c r="BE81" s="72">
        <f>BE69</f>
        <v>-8.9611178614823817E-2</v>
      </c>
      <c r="BF81" s="72"/>
      <c r="BG81" s="72"/>
      <c r="BH81" s="72"/>
      <c r="BI81" s="72"/>
      <c r="BJ81" s="72"/>
      <c r="BK81" s="72"/>
      <c r="BL81" s="72"/>
      <c r="BM81" s="72"/>
      <c r="BN81" s="72"/>
      <c r="BO81" s="12"/>
      <c r="BP81" s="12"/>
      <c r="BQ81" s="12"/>
      <c r="BR81" s="12"/>
      <c r="BT81" s="48"/>
    </row>
    <row r="82" spans="2:72" hidden="1" outlineLevel="1">
      <c r="B82" s="83"/>
      <c r="AN82" s="48"/>
      <c r="AO82" s="48"/>
      <c r="AP82" s="48"/>
      <c r="AQ82" s="48"/>
      <c r="AR82" s="48"/>
      <c r="AS82" s="48"/>
      <c r="AT82" s="48"/>
      <c r="AU82" s="48"/>
      <c r="AV82" s="48"/>
      <c r="AW82" s="48"/>
      <c r="AX82" s="48"/>
      <c r="AY82" s="48"/>
      <c r="AZ82" s="48"/>
      <c r="BA82" s="48"/>
      <c r="BB82" s="48"/>
      <c r="BC82" s="48"/>
      <c r="BD82" s="48"/>
      <c r="BE82" s="48"/>
      <c r="BG82" s="48"/>
      <c r="BH82" s="48"/>
      <c r="BI82" s="48"/>
      <c r="BK82" s="48"/>
      <c r="BL82" s="48"/>
      <c r="BM82" s="48"/>
    </row>
    <row r="83" spans="2:72" hidden="1" outlineLevel="1">
      <c r="B83" s="33" t="s">
        <v>536</v>
      </c>
      <c r="C83" s="28"/>
      <c r="D83" s="28"/>
      <c r="E83" s="28"/>
      <c r="F83" s="28"/>
      <c r="G83" s="28"/>
      <c r="H83" s="28"/>
      <c r="I83" s="28"/>
      <c r="J83" s="28"/>
      <c r="K83" s="28"/>
      <c r="L83" s="28"/>
      <c r="M83" s="28"/>
      <c r="N83" s="28"/>
      <c r="O83" s="28"/>
      <c r="P83" s="28"/>
      <c r="Q83" s="28"/>
      <c r="R83" s="28"/>
      <c r="S83" s="28"/>
      <c r="T83" s="28"/>
      <c r="U83" s="28"/>
      <c r="V83" s="28"/>
      <c r="W83" s="33"/>
      <c r="X83" s="33"/>
      <c r="Y83" s="33"/>
      <c r="Z83" s="33"/>
      <c r="AA83" s="33"/>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28"/>
      <c r="BA83" s="28"/>
      <c r="BB83" s="28"/>
      <c r="BC83" s="28"/>
      <c r="BD83" s="28"/>
      <c r="BE83" s="28"/>
      <c r="BF83" s="28"/>
      <c r="BG83" s="28"/>
      <c r="BH83" s="28"/>
      <c r="BI83" s="28"/>
      <c r="BJ83" s="28"/>
      <c r="BK83" s="28"/>
      <c r="BL83" s="28"/>
      <c r="BM83" s="28"/>
      <c r="BN83" s="28"/>
      <c r="BO83" s="28"/>
      <c r="BP83" s="28"/>
      <c r="BQ83" s="28"/>
      <c r="BR83" s="28"/>
    </row>
    <row r="84" spans="2:72" s="34" customFormat="1" hidden="1" outlineLevel="1">
      <c r="B84" s="38" t="s">
        <v>195</v>
      </c>
      <c r="H84" s="52"/>
      <c r="I84" s="52"/>
      <c r="J84" s="52"/>
      <c r="K84" s="52"/>
      <c r="L84" s="52">
        <f>SUM(AQ84:AT84)</f>
        <v>156.30000000000001</v>
      </c>
      <c r="M84" s="52">
        <f>SUM(AU84:AX84)</f>
        <v>406.40000000000003</v>
      </c>
      <c r="N84" s="52">
        <f>SUM(AY84:BB84)</f>
        <v>293.8</v>
      </c>
      <c r="O84" s="52"/>
      <c r="P84" s="52"/>
      <c r="Q84" s="52"/>
      <c r="R84" s="52"/>
      <c r="S84" s="52"/>
      <c r="T84" s="52"/>
      <c r="U84" s="52"/>
      <c r="W84" s="53"/>
      <c r="X84" s="53"/>
      <c r="Y84" s="53"/>
      <c r="Z84" s="53"/>
      <c r="AA84" s="53"/>
      <c r="AB84" s="53"/>
      <c r="AC84" s="53"/>
      <c r="AD84" s="53"/>
      <c r="AE84" s="53"/>
      <c r="AF84" s="53"/>
      <c r="AG84" s="53"/>
      <c r="AH84" s="53"/>
      <c r="AI84" s="53"/>
      <c r="AJ84" s="53"/>
      <c r="AK84" s="53"/>
      <c r="AL84" s="53"/>
      <c r="AM84" s="53"/>
      <c r="AN84" s="53"/>
      <c r="AO84" s="53"/>
      <c r="AP84" s="53"/>
      <c r="AQ84" s="53"/>
      <c r="AR84" s="53"/>
      <c r="AS84" s="53">
        <v>47.6</v>
      </c>
      <c r="AT84" s="53">
        <v>108.7</v>
      </c>
      <c r="AU84" s="53">
        <v>110.4</v>
      </c>
      <c r="AV84" s="53">
        <v>113.4</v>
      </c>
      <c r="AW84" s="53">
        <v>101.9</v>
      </c>
      <c r="AX84" s="53">
        <v>80.7</v>
      </c>
      <c r="AY84" s="53">
        <v>69.2</v>
      </c>
      <c r="AZ84" s="53">
        <v>75.599999999999994</v>
      </c>
      <c r="BA84" s="53">
        <v>76.599999999999994</v>
      </c>
      <c r="BB84" s="53">
        <v>72.400000000000006</v>
      </c>
      <c r="BC84" s="53">
        <v>69.8</v>
      </c>
      <c r="BD84" s="53">
        <v>70.3</v>
      </c>
      <c r="BE84" s="53">
        <v>72.599999999999994</v>
      </c>
      <c r="BF84" s="53"/>
      <c r="BG84" s="53"/>
      <c r="BH84" s="53"/>
      <c r="BI84" s="53"/>
      <c r="BJ84" s="53"/>
      <c r="BK84" s="53"/>
      <c r="BL84" s="53"/>
      <c r="BM84" s="52"/>
      <c r="BN84" s="52"/>
      <c r="BO84" s="52"/>
      <c r="BP84" s="52"/>
      <c r="BQ84" s="52"/>
      <c r="BR84" s="52"/>
    </row>
    <row r="85" spans="2:72" hidden="1" outlineLevel="1">
      <c r="B85" s="54" t="s">
        <v>141</v>
      </c>
      <c r="H85" s="57"/>
      <c r="I85" s="55"/>
      <c r="J85" s="55"/>
      <c r="K85" s="55"/>
      <c r="L85" s="55"/>
      <c r="M85" s="55">
        <f>M84/L84-1</f>
        <v>1.6001279590531032</v>
      </c>
      <c r="N85" s="55">
        <f>N84/M84-1</f>
        <v>-0.27706692913385833</v>
      </c>
      <c r="O85" s="55"/>
      <c r="P85" s="55"/>
      <c r="Q85" s="64"/>
      <c r="R85" s="64"/>
      <c r="S85" s="64"/>
      <c r="T85" s="64"/>
      <c r="U85" s="64"/>
      <c r="AE85" s="55"/>
      <c r="AF85" s="55"/>
      <c r="AG85" s="55"/>
      <c r="AH85" s="55"/>
      <c r="AI85" s="55"/>
      <c r="AJ85" s="55"/>
      <c r="AK85" s="55"/>
      <c r="AL85" s="55"/>
      <c r="AM85" s="55"/>
      <c r="AN85" s="55"/>
      <c r="AO85" s="55"/>
      <c r="AP85" s="55"/>
      <c r="AQ85" s="55"/>
      <c r="AR85" s="55"/>
      <c r="AS85" s="55"/>
      <c r="AT85" s="55"/>
      <c r="AU85" s="55"/>
      <c r="AV85" s="55"/>
      <c r="AW85" s="55">
        <f t="shared" ref="AW85:BD85" si="82">AW84/AS84-1</f>
        <v>1.1407563025210083</v>
      </c>
      <c r="AX85" s="55">
        <f t="shared" si="82"/>
        <v>-0.25758969641214347</v>
      </c>
      <c r="AY85" s="55">
        <f t="shared" si="82"/>
        <v>-0.37318840579710144</v>
      </c>
      <c r="AZ85" s="55">
        <f t="shared" si="82"/>
        <v>-0.33333333333333337</v>
      </c>
      <c r="BA85" s="55">
        <f t="shared" si="82"/>
        <v>-0.24828263002944073</v>
      </c>
      <c r="BB85" s="55">
        <f t="shared" si="82"/>
        <v>-0.10285006195786861</v>
      </c>
      <c r="BC85" s="55">
        <f t="shared" si="82"/>
        <v>8.6705202312138407E-3</v>
      </c>
      <c r="BD85" s="55">
        <f t="shared" si="82"/>
        <v>-7.0105820105820116E-2</v>
      </c>
      <c r="BE85" s="55">
        <f>BE84/BA84-1</f>
        <v>-5.2219321148825104E-2</v>
      </c>
      <c r="BF85" s="55"/>
      <c r="BG85" s="55"/>
      <c r="BH85" s="55"/>
      <c r="BI85" s="55"/>
      <c r="BJ85" s="55"/>
      <c r="BK85" s="55"/>
      <c r="BL85" s="55"/>
      <c r="BM85" s="55"/>
      <c r="BN85" s="55"/>
      <c r="BO85" s="55"/>
      <c r="BP85" s="55"/>
      <c r="BQ85" s="55"/>
      <c r="BR85" s="55"/>
      <c r="BT85" s="44"/>
    </row>
    <row r="86" spans="2:72" hidden="1" outlineLevel="1">
      <c r="B86" s="43"/>
      <c r="H86" s="57"/>
      <c r="I86" s="57"/>
      <c r="J86" s="57"/>
      <c r="K86" s="57"/>
      <c r="L86" s="57"/>
      <c r="M86" s="57"/>
      <c r="N86" s="57"/>
      <c r="O86" s="57"/>
      <c r="P86" s="57"/>
      <c r="BG86" s="58"/>
      <c r="BH86" s="58"/>
      <c r="BI86" s="58"/>
      <c r="BJ86" s="57"/>
      <c r="BK86" s="58"/>
      <c r="BL86" s="58"/>
      <c r="BM86" s="58"/>
      <c r="BN86" s="57"/>
      <c r="BO86" s="57"/>
      <c r="BP86" s="57"/>
      <c r="BQ86" s="57"/>
      <c r="BR86" s="57"/>
      <c r="BT86" s="44"/>
    </row>
    <row r="87" spans="2:72" s="36" customFormat="1" hidden="1" outlineLevel="1">
      <c r="B87" s="59" t="s">
        <v>190</v>
      </c>
      <c r="H87" s="42"/>
      <c r="I87" s="42"/>
      <c r="J87" s="42"/>
      <c r="K87" s="42"/>
      <c r="L87" s="42">
        <f>L84-L89</f>
        <v>151.80000000000001</v>
      </c>
      <c r="M87" s="42">
        <f>M84-M89</f>
        <v>396.70000000000005</v>
      </c>
      <c r="N87" s="42">
        <f>N84-N89</f>
        <v>293.8</v>
      </c>
      <c r="O87" s="42"/>
      <c r="P87" s="42"/>
      <c r="Q87" s="42"/>
      <c r="R87" s="42"/>
      <c r="S87" s="42"/>
      <c r="T87" s="42"/>
      <c r="U87" s="42"/>
      <c r="W87" s="42"/>
      <c r="X87" s="42"/>
      <c r="Y87" s="42"/>
      <c r="Z87" s="42"/>
      <c r="AA87" s="42"/>
      <c r="AB87" s="42"/>
      <c r="AC87" s="42"/>
      <c r="AD87" s="42"/>
      <c r="AE87" s="42"/>
      <c r="AF87" s="42"/>
      <c r="AG87" s="42"/>
      <c r="AH87" s="42"/>
      <c r="AI87" s="42"/>
      <c r="AJ87" s="42"/>
      <c r="AK87" s="42"/>
      <c r="AL87" s="42"/>
      <c r="AM87" s="42"/>
      <c r="AN87" s="42"/>
      <c r="AO87" s="42"/>
      <c r="AP87" s="42"/>
      <c r="AQ87" s="42"/>
      <c r="AR87" s="42"/>
      <c r="AS87" s="42">
        <f t="shared" ref="AS87:BD87" si="83">AS84-AS89</f>
        <v>45.7</v>
      </c>
      <c r="AT87" s="42">
        <f t="shared" si="83"/>
        <v>106.10000000000001</v>
      </c>
      <c r="AU87" s="42">
        <f t="shared" si="83"/>
        <v>106.30000000000001</v>
      </c>
      <c r="AV87" s="42">
        <f t="shared" si="83"/>
        <v>111.2</v>
      </c>
      <c r="AW87" s="42">
        <f t="shared" si="83"/>
        <v>98.5</v>
      </c>
      <c r="AX87" s="42">
        <f t="shared" si="83"/>
        <v>80.7</v>
      </c>
      <c r="AY87" s="42">
        <f t="shared" si="83"/>
        <v>70</v>
      </c>
      <c r="AZ87" s="42">
        <f t="shared" si="83"/>
        <v>75.599999999999994</v>
      </c>
      <c r="BA87" s="42">
        <f t="shared" si="83"/>
        <v>75.8</v>
      </c>
      <c r="BB87" s="42">
        <f t="shared" si="83"/>
        <v>72.400000000000006</v>
      </c>
      <c r="BC87" s="42">
        <f t="shared" si="83"/>
        <v>68.8</v>
      </c>
      <c r="BD87" s="42">
        <f t="shared" si="83"/>
        <v>67.899999999999991</v>
      </c>
      <c r="BE87" s="42">
        <f>BE84-BE89</f>
        <v>69.3</v>
      </c>
      <c r="BF87" s="42"/>
      <c r="BG87" s="42"/>
      <c r="BH87" s="42"/>
      <c r="BI87" s="42"/>
      <c r="BJ87" s="42"/>
      <c r="BK87" s="42"/>
      <c r="BL87" s="42"/>
      <c r="BM87" s="42"/>
      <c r="BN87" s="42"/>
      <c r="BO87" s="42"/>
      <c r="BP87" s="42"/>
      <c r="BQ87" s="42"/>
      <c r="BR87" s="42"/>
    </row>
    <row r="88" spans="2:72" hidden="1" outlineLevel="1">
      <c r="B88" s="43"/>
      <c r="C88" s="7"/>
      <c r="D88" s="7"/>
      <c r="E88" s="7"/>
      <c r="F88" s="7"/>
      <c r="G88" s="57"/>
      <c r="H88" s="57"/>
      <c r="I88" s="57"/>
      <c r="J88" s="57"/>
      <c r="K88" s="57"/>
      <c r="L88" s="57"/>
      <c r="M88" s="57"/>
      <c r="N88" s="57"/>
      <c r="O88" s="57"/>
      <c r="P88" s="57"/>
      <c r="Q88" s="57"/>
      <c r="R88" s="57"/>
      <c r="S88" s="57"/>
      <c r="T88" s="57"/>
      <c r="U88" s="57"/>
      <c r="V88" s="57"/>
      <c r="W88" s="58"/>
      <c r="X88" s="58"/>
      <c r="Y88" s="58"/>
      <c r="Z88" s="58"/>
      <c r="AA88" s="58"/>
      <c r="AB88" s="58"/>
      <c r="AC88" s="58"/>
      <c r="AD88" s="58"/>
      <c r="AE88" s="58"/>
      <c r="AF88" s="58"/>
      <c r="AG88" s="58"/>
      <c r="AH88" s="58"/>
      <c r="AI88" s="58"/>
      <c r="AJ88" s="58"/>
      <c r="AK88" s="58"/>
      <c r="AL88" s="58"/>
      <c r="AM88" s="58"/>
      <c r="AN88" s="58"/>
      <c r="AO88" s="58"/>
      <c r="AP88" s="58"/>
      <c r="AQ88" s="58"/>
      <c r="AR88" s="58"/>
      <c r="AS88" s="58"/>
      <c r="AT88" s="58"/>
      <c r="AU88" s="58"/>
      <c r="AV88" s="58"/>
      <c r="AW88" s="58"/>
      <c r="AX88" s="58"/>
      <c r="AY88" s="58"/>
      <c r="AZ88" s="58"/>
      <c r="BA88" s="58"/>
      <c r="BB88" s="58"/>
      <c r="BC88" s="58"/>
      <c r="BD88" s="58"/>
      <c r="BE88" s="58"/>
      <c r="BF88" s="57"/>
      <c r="BG88" s="58"/>
      <c r="BH88" s="58"/>
      <c r="BI88" s="58"/>
      <c r="BJ88" s="57"/>
      <c r="BK88" s="58"/>
      <c r="BL88" s="58"/>
      <c r="BM88" s="58"/>
      <c r="BN88" s="57"/>
      <c r="BO88" s="57"/>
      <c r="BP88" s="57"/>
      <c r="BQ88" s="57"/>
      <c r="BR88" s="57"/>
    </row>
    <row r="89" spans="2:72" s="34" customFormat="1" hidden="1" outlineLevel="1">
      <c r="B89" s="38" t="s">
        <v>196</v>
      </c>
      <c r="C89" s="51"/>
      <c r="D89" s="51"/>
      <c r="E89" s="51"/>
      <c r="F89" s="51"/>
      <c r="G89" s="60"/>
      <c r="H89" s="39"/>
      <c r="I89" s="39"/>
      <c r="J89" s="39"/>
      <c r="K89" s="39"/>
      <c r="L89" s="39">
        <f>SUM(AQ89:AT89)</f>
        <v>4.5</v>
      </c>
      <c r="M89" s="39">
        <f>SUM(AU89:AX89)</f>
        <v>9.6999999999999993</v>
      </c>
      <c r="N89" s="39">
        <f>SUM(AY89:BB89)</f>
        <v>0</v>
      </c>
      <c r="O89" s="39"/>
      <c r="P89" s="39"/>
      <c r="Q89" s="39"/>
      <c r="R89" s="39"/>
      <c r="S89" s="39"/>
      <c r="T89" s="39"/>
      <c r="U89" s="39"/>
      <c r="V89" s="51"/>
      <c r="W89" s="61"/>
      <c r="X89" s="61"/>
      <c r="Y89" s="61"/>
      <c r="Z89" s="61"/>
      <c r="AA89" s="61"/>
      <c r="AB89" s="61"/>
      <c r="AC89" s="61"/>
      <c r="AD89" s="61"/>
      <c r="AE89" s="61"/>
      <c r="AF89" s="61"/>
      <c r="AG89" s="61"/>
      <c r="AH89" s="61"/>
      <c r="AI89" s="61"/>
      <c r="AJ89" s="61"/>
      <c r="AK89" s="61"/>
      <c r="AL89" s="61"/>
      <c r="AM89" s="61"/>
      <c r="AN89" s="61"/>
      <c r="AO89" s="61"/>
      <c r="AP89" s="61"/>
      <c r="AQ89" s="61"/>
      <c r="AR89" s="61"/>
      <c r="AS89" s="61">
        <v>1.9</v>
      </c>
      <c r="AT89" s="61">
        <v>2.6</v>
      </c>
      <c r="AU89" s="61">
        <v>4.0999999999999996</v>
      </c>
      <c r="AV89" s="61">
        <v>2.2000000000000002</v>
      </c>
      <c r="AW89" s="61">
        <v>3.4</v>
      </c>
      <c r="AX89" s="61">
        <v>0</v>
      </c>
      <c r="AY89" s="61">
        <v>-0.8</v>
      </c>
      <c r="AZ89" s="61">
        <v>0</v>
      </c>
      <c r="BA89" s="61">
        <v>0.8</v>
      </c>
      <c r="BB89" s="61">
        <v>0</v>
      </c>
      <c r="BC89" s="61">
        <v>1</v>
      </c>
      <c r="BD89" s="61">
        <v>2.4</v>
      </c>
      <c r="BE89" s="61">
        <v>3.3</v>
      </c>
      <c r="BF89" s="61"/>
      <c r="BG89" s="61"/>
      <c r="BH89" s="61"/>
      <c r="BI89" s="61"/>
      <c r="BJ89" s="61"/>
      <c r="BK89" s="61"/>
      <c r="BL89" s="61"/>
      <c r="BM89" s="39"/>
      <c r="BN89" s="62"/>
      <c r="BO89" s="101"/>
      <c r="BP89" s="101"/>
      <c r="BQ89" s="101"/>
      <c r="BR89" s="101"/>
    </row>
    <row r="90" spans="2:72" hidden="1" outlineLevel="1">
      <c r="B90" s="54" t="s">
        <v>189</v>
      </c>
      <c r="C90" s="7"/>
      <c r="D90" s="7"/>
      <c r="E90" s="7"/>
      <c r="F90" s="7"/>
      <c r="G90" s="57"/>
      <c r="H90" s="55"/>
      <c r="I90" s="55"/>
      <c r="J90" s="55"/>
      <c r="K90" s="55"/>
      <c r="L90" s="55">
        <f>L89/L84</f>
        <v>2.8790786948176581E-2</v>
      </c>
      <c r="M90" s="55">
        <f>M89/M84</f>
        <v>2.3868110236220468E-2</v>
      </c>
      <c r="N90" s="55">
        <f>N89/N84</f>
        <v>0</v>
      </c>
      <c r="O90" s="63"/>
      <c r="P90" s="63"/>
      <c r="Q90" s="64"/>
      <c r="R90" s="80"/>
      <c r="S90" s="64"/>
      <c r="T90" s="64"/>
      <c r="U90" s="64"/>
      <c r="V90" s="57"/>
      <c r="W90" s="55"/>
      <c r="X90" s="55"/>
      <c r="Y90" s="55"/>
      <c r="Z90" s="55"/>
      <c r="AA90" s="55"/>
      <c r="AB90" s="55"/>
      <c r="AC90" s="55"/>
      <c r="AD90" s="55"/>
      <c r="AE90" s="55"/>
      <c r="AF90" s="55"/>
      <c r="AG90" s="55"/>
      <c r="AH90" s="55"/>
      <c r="AI90" s="55"/>
      <c r="AJ90" s="55"/>
      <c r="AK90" s="55"/>
      <c r="AL90" s="55"/>
      <c r="AM90" s="63"/>
      <c r="AN90" s="63"/>
      <c r="AO90" s="63"/>
      <c r="AP90" s="63"/>
      <c r="AQ90" s="63"/>
      <c r="AR90" s="63"/>
      <c r="AS90" s="63">
        <f t="shared" ref="AS90:BD90" si="84">AS89/AS84</f>
        <v>3.9915966386554619E-2</v>
      </c>
      <c r="AT90" s="63">
        <f t="shared" si="84"/>
        <v>2.391904323827047E-2</v>
      </c>
      <c r="AU90" s="63">
        <f t="shared" si="84"/>
        <v>3.7137681159420281E-2</v>
      </c>
      <c r="AV90" s="63">
        <f t="shared" si="84"/>
        <v>1.9400352733686066E-2</v>
      </c>
      <c r="AW90" s="63">
        <f t="shared" si="84"/>
        <v>3.3366045142296366E-2</v>
      </c>
      <c r="AX90" s="63">
        <f t="shared" si="84"/>
        <v>0</v>
      </c>
      <c r="AY90" s="63">
        <f t="shared" si="84"/>
        <v>-1.1560693641618497E-2</v>
      </c>
      <c r="AZ90" s="63">
        <f t="shared" si="84"/>
        <v>0</v>
      </c>
      <c r="BA90" s="63">
        <f t="shared" si="84"/>
        <v>1.0443864229765015E-2</v>
      </c>
      <c r="BB90" s="63">
        <f t="shared" si="84"/>
        <v>0</v>
      </c>
      <c r="BC90" s="63">
        <f t="shared" si="84"/>
        <v>1.4326647564469915E-2</v>
      </c>
      <c r="BD90" s="63">
        <f t="shared" si="84"/>
        <v>3.4139402560455195E-2</v>
      </c>
      <c r="BE90" s="63">
        <f>BE89/BE84</f>
        <v>4.5454545454545456E-2</v>
      </c>
      <c r="BF90" s="63"/>
      <c r="BG90" s="63"/>
      <c r="BH90" s="63"/>
      <c r="BI90" s="63"/>
      <c r="BJ90" s="63"/>
      <c r="BK90" s="63"/>
      <c r="BL90" s="63"/>
      <c r="BM90" s="64"/>
      <c r="BN90" s="63"/>
      <c r="BO90" s="63"/>
      <c r="BP90" s="63"/>
      <c r="BQ90" s="63"/>
      <c r="BR90" s="63"/>
      <c r="BS90" s="44"/>
    </row>
    <row r="91" spans="2:72" hidden="1" outlineLevel="1">
      <c r="B91" s="54" t="s">
        <v>141</v>
      </c>
      <c r="C91" s="7"/>
      <c r="D91" s="7"/>
      <c r="E91" s="7"/>
      <c r="F91" s="7"/>
      <c r="G91" s="57"/>
      <c r="H91" s="57"/>
      <c r="I91" s="55"/>
      <c r="J91" s="55"/>
      <c r="K91" s="55"/>
      <c r="L91" s="55"/>
      <c r="M91" s="55">
        <f>M89/L89-1</f>
        <v>1.1555555555555554</v>
      </c>
      <c r="N91" s="55">
        <f>N89/M89-1</f>
        <v>-1</v>
      </c>
      <c r="O91" s="63"/>
      <c r="P91" s="63"/>
      <c r="Q91" s="63"/>
      <c r="R91" s="63"/>
      <c r="S91" s="63"/>
      <c r="T91" s="63"/>
      <c r="U91" s="63"/>
      <c r="V91" s="57"/>
      <c r="W91" s="57"/>
      <c r="X91" s="57"/>
      <c r="Y91" s="57"/>
      <c r="Z91" s="57"/>
      <c r="AA91" s="58"/>
      <c r="AB91" s="58"/>
      <c r="AC91" s="58"/>
      <c r="AD91" s="58"/>
      <c r="AE91" s="55"/>
      <c r="AF91" s="55"/>
      <c r="AG91" s="55"/>
      <c r="AH91" s="55"/>
      <c r="AI91" s="55"/>
      <c r="AJ91" s="55"/>
      <c r="AK91" s="55"/>
      <c r="AL91" s="55"/>
      <c r="AM91" s="55"/>
      <c r="AN91" s="55"/>
      <c r="AO91" s="55"/>
      <c r="AP91" s="55"/>
      <c r="AQ91" s="63"/>
      <c r="AR91" s="63"/>
      <c r="AS91" s="63"/>
      <c r="AT91" s="63"/>
      <c r="AU91" s="63"/>
      <c r="AV91" s="63"/>
      <c r="AW91" s="63">
        <f t="shared" ref="AW91:BD91" si="85">AW87/AS87-1</f>
        <v>1.1553610503282274</v>
      </c>
      <c r="AX91" s="63">
        <f t="shared" si="85"/>
        <v>-0.23939679547596615</v>
      </c>
      <c r="AY91" s="63">
        <f t="shared" si="85"/>
        <v>-0.34148635936030114</v>
      </c>
      <c r="AZ91" s="63">
        <f t="shared" si="85"/>
        <v>-0.32014388489208645</v>
      </c>
      <c r="BA91" s="63">
        <f t="shared" si="85"/>
        <v>-0.23045685279187822</v>
      </c>
      <c r="BB91" s="63">
        <f t="shared" si="85"/>
        <v>-0.10285006195786861</v>
      </c>
      <c r="BC91" s="63">
        <f t="shared" si="85"/>
        <v>-1.7142857142857237E-2</v>
      </c>
      <c r="BD91" s="63">
        <f t="shared" si="85"/>
        <v>-0.10185185185185186</v>
      </c>
      <c r="BE91" s="63">
        <f>BE87/BA87-1</f>
        <v>-8.5751978891820624E-2</v>
      </c>
      <c r="BF91" s="63"/>
      <c r="BG91" s="63"/>
      <c r="BH91" s="63"/>
      <c r="BI91" s="63"/>
      <c r="BJ91" s="63"/>
      <c r="BK91" s="63"/>
      <c r="BL91" s="63"/>
      <c r="BM91" s="63"/>
      <c r="BN91" s="63"/>
      <c r="BO91" s="63"/>
      <c r="BP91" s="63"/>
      <c r="BQ91" s="63"/>
      <c r="BR91" s="63"/>
    </row>
    <row r="92" spans="2:72" hidden="1" outlineLevel="1">
      <c r="B92" s="43"/>
      <c r="C92" s="7"/>
      <c r="D92" s="7"/>
      <c r="E92" s="7"/>
      <c r="F92" s="7"/>
      <c r="G92" s="57"/>
      <c r="H92" s="57"/>
      <c r="I92" s="57"/>
      <c r="J92" s="57"/>
      <c r="K92" s="57"/>
      <c r="L92" s="57"/>
      <c r="M92" s="57"/>
      <c r="N92" s="57"/>
      <c r="O92" s="57"/>
      <c r="P92" s="14"/>
      <c r="Q92" s="57"/>
      <c r="R92" s="57"/>
      <c r="S92" s="57"/>
      <c r="T92" s="57"/>
      <c r="U92" s="57"/>
      <c r="V92" s="57"/>
      <c r="W92" s="57"/>
      <c r="X92" s="57"/>
      <c r="Y92" s="57"/>
      <c r="Z92" s="57"/>
      <c r="AA92" s="58"/>
      <c r="AB92" s="58"/>
      <c r="AC92" s="58"/>
      <c r="AD92" s="58"/>
      <c r="AE92" s="58"/>
      <c r="AF92" s="58"/>
      <c r="AG92" s="58"/>
      <c r="AH92" s="58"/>
      <c r="AI92" s="58"/>
      <c r="AJ92" s="58"/>
      <c r="AK92" s="58"/>
      <c r="AL92" s="58"/>
      <c r="AM92" s="58"/>
      <c r="AN92" s="58"/>
      <c r="AO92" s="58"/>
      <c r="AP92" s="58"/>
      <c r="AQ92" s="58"/>
      <c r="AR92" s="58"/>
      <c r="AS92" s="58"/>
      <c r="AT92" s="58"/>
      <c r="AU92" s="58"/>
      <c r="AV92" s="58"/>
      <c r="AW92" s="58"/>
      <c r="AX92" s="58"/>
      <c r="AY92" s="58"/>
      <c r="AZ92" s="58"/>
      <c r="BA92" s="58"/>
      <c r="BB92" s="58"/>
      <c r="BC92" s="58"/>
      <c r="BD92" s="58"/>
      <c r="BE92" s="58"/>
      <c r="BF92" s="57"/>
      <c r="BG92" s="81"/>
      <c r="BH92" s="81"/>
      <c r="BI92" s="81"/>
      <c r="BJ92" s="81"/>
      <c r="BK92" s="81"/>
      <c r="BL92" s="81"/>
      <c r="BM92" s="64"/>
      <c r="BN92" s="64"/>
      <c r="BO92" s="64"/>
      <c r="BP92" s="64"/>
      <c r="BQ92" s="64"/>
      <c r="BR92" s="64"/>
    </row>
    <row r="93" spans="2:72" hidden="1" outlineLevel="1">
      <c r="B93" s="68" t="s">
        <v>194</v>
      </c>
      <c r="P93" s="44"/>
      <c r="Q93" s="26"/>
      <c r="BJ93" s="48"/>
      <c r="BK93" s="64"/>
      <c r="BL93" s="64"/>
      <c r="BM93" s="64"/>
      <c r="BN93" s="64"/>
      <c r="BO93" s="64"/>
      <c r="BP93" s="64"/>
      <c r="BQ93" s="64"/>
      <c r="BR93" s="64"/>
    </row>
    <row r="94" spans="2:72" hidden="1" outlineLevel="1">
      <c r="B94" s="54" t="s">
        <v>191</v>
      </c>
      <c r="M94" s="48"/>
      <c r="N94" s="48"/>
      <c r="O94" s="24"/>
      <c r="P94" s="24"/>
      <c r="Q94" s="56"/>
      <c r="R94" s="56"/>
      <c r="S94" s="56"/>
      <c r="T94" s="56"/>
      <c r="U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c r="BL94" s="56"/>
      <c r="BM94" s="56"/>
      <c r="BN94" s="70"/>
      <c r="BO94" s="70"/>
      <c r="BP94" s="70"/>
      <c r="BQ94" s="70"/>
      <c r="BR94" s="70"/>
    </row>
    <row r="95" spans="2:72" hidden="1" outlineLevel="1">
      <c r="B95" s="54" t="s">
        <v>192</v>
      </c>
      <c r="M95" s="48"/>
      <c r="N95" s="48"/>
      <c r="O95" s="24"/>
      <c r="P95" s="24"/>
      <c r="Q95" s="56"/>
      <c r="R95" s="56"/>
      <c r="S95" s="56"/>
      <c r="T95" s="56"/>
      <c r="U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c r="BL95" s="56"/>
      <c r="BM95" s="56"/>
      <c r="BN95" s="70"/>
      <c r="BO95" s="70"/>
      <c r="BP95" s="70"/>
      <c r="BQ95" s="70"/>
      <c r="BR95" s="70"/>
    </row>
    <row r="96" spans="2:72" hidden="1" outlineLevel="1">
      <c r="B96" s="54" t="s">
        <v>193</v>
      </c>
      <c r="M96" s="48"/>
      <c r="N96" s="48"/>
      <c r="O96" s="24"/>
      <c r="P96" s="24"/>
      <c r="Q96" s="56"/>
      <c r="R96" s="82"/>
      <c r="S96" s="56"/>
      <c r="T96" s="56"/>
      <c r="U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c r="BL96" s="56"/>
      <c r="BM96" s="56"/>
      <c r="BN96" s="70"/>
      <c r="BO96" s="70"/>
      <c r="BP96" s="70"/>
      <c r="BQ96" s="70"/>
      <c r="BR96" s="70"/>
    </row>
    <row r="97" spans="1:72" hidden="1" outlineLevel="1">
      <c r="B97" s="54" t="s">
        <v>188</v>
      </c>
      <c r="G97" s="71"/>
      <c r="H97" s="71"/>
      <c r="I97" s="72"/>
      <c r="J97" s="72"/>
      <c r="K97" s="72"/>
      <c r="L97" s="72"/>
      <c r="M97" s="72">
        <f>M85</f>
        <v>1.6001279590531032</v>
      </c>
      <c r="N97" s="72">
        <f>N85</f>
        <v>-0.27706692913385833</v>
      </c>
      <c r="O97" s="72"/>
      <c r="P97" s="72"/>
      <c r="Q97" s="72"/>
      <c r="R97" s="72"/>
      <c r="S97" s="72"/>
      <c r="T97" s="72"/>
      <c r="U97" s="72"/>
      <c r="V97" s="73"/>
      <c r="W97" s="74"/>
      <c r="X97" s="74"/>
      <c r="Y97" s="74"/>
      <c r="Z97" s="74"/>
      <c r="AA97" s="74"/>
      <c r="AB97" s="74"/>
      <c r="AC97" s="74"/>
      <c r="AD97" s="74"/>
      <c r="AE97" s="74"/>
      <c r="AF97" s="74"/>
      <c r="AG97" s="74"/>
      <c r="AH97" s="74"/>
      <c r="AI97" s="74"/>
      <c r="AJ97" s="74"/>
      <c r="AK97" s="74"/>
      <c r="AL97" s="74"/>
      <c r="AM97" s="74"/>
      <c r="AN97" s="72"/>
      <c r="AO97" s="72"/>
      <c r="AP97" s="72"/>
      <c r="AQ97" s="72"/>
      <c r="AR97" s="72"/>
      <c r="AS97" s="72"/>
      <c r="AT97" s="72"/>
      <c r="AU97" s="72"/>
      <c r="AV97" s="72"/>
      <c r="AW97" s="72">
        <f t="shared" ref="AW97:BD97" si="86">AW85</f>
        <v>1.1407563025210083</v>
      </c>
      <c r="AX97" s="72">
        <f t="shared" si="86"/>
        <v>-0.25758969641214347</v>
      </c>
      <c r="AY97" s="72">
        <f t="shared" si="86"/>
        <v>-0.37318840579710144</v>
      </c>
      <c r="AZ97" s="72">
        <f t="shared" si="86"/>
        <v>-0.33333333333333337</v>
      </c>
      <c r="BA97" s="72">
        <f t="shared" si="86"/>
        <v>-0.24828263002944073</v>
      </c>
      <c r="BB97" s="72">
        <f t="shared" si="86"/>
        <v>-0.10285006195786861</v>
      </c>
      <c r="BC97" s="72">
        <f t="shared" si="86"/>
        <v>8.6705202312138407E-3</v>
      </c>
      <c r="BD97" s="72">
        <f t="shared" si="86"/>
        <v>-7.0105820105820116E-2</v>
      </c>
      <c r="BE97" s="72">
        <f>BE85</f>
        <v>-5.2219321148825104E-2</v>
      </c>
      <c r="BF97" s="72"/>
      <c r="BG97" s="72"/>
      <c r="BH97" s="72"/>
      <c r="BI97" s="72"/>
      <c r="BJ97" s="72"/>
      <c r="BK97" s="72"/>
      <c r="BL97" s="72"/>
      <c r="BM97" s="72"/>
      <c r="BN97" s="72"/>
      <c r="BO97" s="12"/>
      <c r="BP97" s="12"/>
      <c r="BQ97" s="12"/>
      <c r="BR97" s="12"/>
      <c r="BT97" s="48"/>
    </row>
    <row r="98" spans="1:72" hidden="1" outlineLevel="1">
      <c r="B98" s="54"/>
      <c r="G98" s="7"/>
      <c r="H98" s="7"/>
      <c r="I98" s="12"/>
      <c r="J98" s="12"/>
      <c r="K98" s="12"/>
      <c r="L98" s="12"/>
      <c r="M98" s="12"/>
      <c r="N98" s="12"/>
      <c r="O98" s="12"/>
      <c r="P98" s="12"/>
      <c r="Q98" s="12"/>
      <c r="R98" s="12"/>
      <c r="S98" s="12"/>
      <c r="T98" s="12"/>
      <c r="U98" s="12"/>
      <c r="V98" s="73"/>
      <c r="W98" s="75"/>
      <c r="X98" s="75"/>
      <c r="Y98" s="75"/>
      <c r="Z98" s="75"/>
      <c r="AA98" s="75"/>
      <c r="AB98" s="75"/>
      <c r="AC98" s="75"/>
      <c r="AD98" s="75"/>
      <c r="AE98" s="75"/>
      <c r="AF98" s="75"/>
      <c r="AG98" s="75"/>
      <c r="AH98" s="75"/>
      <c r="AI98" s="75"/>
      <c r="AJ98" s="75"/>
      <c r="AK98" s="75"/>
      <c r="AL98" s="75"/>
      <c r="AM98" s="75"/>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T98" s="48"/>
    </row>
    <row r="99" spans="1:72" hidden="1" outlineLevel="1">
      <c r="B99" s="33" t="s">
        <v>554</v>
      </c>
      <c r="C99" s="28"/>
      <c r="D99" s="28"/>
      <c r="E99" s="28"/>
      <c r="F99" s="28"/>
      <c r="G99" s="28"/>
      <c r="H99" s="28"/>
      <c r="I99" s="28"/>
      <c r="J99" s="28"/>
      <c r="K99" s="28"/>
      <c r="L99" s="28"/>
      <c r="M99" s="28"/>
      <c r="N99" s="28"/>
      <c r="O99" s="28"/>
      <c r="P99" s="28"/>
      <c r="Q99" s="28"/>
      <c r="R99" s="28"/>
      <c r="S99" s="28"/>
      <c r="T99" s="28"/>
      <c r="U99" s="28"/>
      <c r="V99" s="28"/>
      <c r="W99" s="33"/>
      <c r="X99" s="33"/>
      <c r="Y99" s="33"/>
      <c r="Z99" s="33"/>
      <c r="AA99" s="33"/>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T99" s="48"/>
    </row>
    <row r="100" spans="1:72" s="34" customFormat="1" hidden="1" outlineLevel="1">
      <c r="B100" s="38" t="s">
        <v>550</v>
      </c>
      <c r="C100" s="51"/>
      <c r="D100" s="51"/>
      <c r="E100" s="51"/>
      <c r="F100" s="51"/>
      <c r="G100" s="51"/>
      <c r="H100" s="52"/>
      <c r="I100" s="52"/>
      <c r="J100" s="52"/>
      <c r="K100" s="52"/>
      <c r="L100" s="52">
        <f>SUM(AQ100:AT100)</f>
        <v>-18.100000000000001</v>
      </c>
      <c r="M100" s="52">
        <f>SUM(AU100:AX100)</f>
        <v>-81.3</v>
      </c>
      <c r="N100" s="52">
        <f>SUM(AY100:BB100)</f>
        <v>-96.6</v>
      </c>
      <c r="O100" s="52"/>
      <c r="P100" s="52"/>
      <c r="Q100" s="52"/>
      <c r="R100" s="52"/>
      <c r="S100" s="52"/>
      <c r="T100" s="52"/>
      <c r="U100" s="52"/>
      <c r="V100" s="51"/>
      <c r="W100" s="53"/>
      <c r="X100" s="53"/>
      <c r="Y100" s="53"/>
      <c r="Z100" s="53"/>
      <c r="AA100" s="53"/>
      <c r="AB100" s="53"/>
      <c r="AC100" s="53"/>
      <c r="AD100" s="53"/>
      <c r="AE100" s="53"/>
      <c r="AF100" s="53"/>
      <c r="AG100" s="53"/>
      <c r="AH100" s="53"/>
      <c r="AI100" s="53"/>
      <c r="AJ100" s="53"/>
      <c r="AK100" s="53"/>
      <c r="AL100" s="53"/>
      <c r="AM100" s="53"/>
      <c r="AN100" s="53"/>
      <c r="AO100" s="53"/>
      <c r="AP100" s="53"/>
      <c r="AQ100" s="53"/>
      <c r="AR100" s="53"/>
      <c r="AS100" s="53">
        <v>-4.8</v>
      </c>
      <c r="AT100" s="53">
        <v>-13.3</v>
      </c>
      <c r="AU100" s="53">
        <v>-17.3</v>
      </c>
      <c r="AV100" s="53">
        <v>-26.3</v>
      </c>
      <c r="AW100" s="53">
        <v>-18.5</v>
      </c>
      <c r="AX100" s="53">
        <v>-19.2</v>
      </c>
      <c r="AY100" s="53">
        <v>-20.7</v>
      </c>
      <c r="AZ100" s="53">
        <v>-24.7</v>
      </c>
      <c r="BA100" s="53">
        <v>-21.8</v>
      </c>
      <c r="BB100" s="53">
        <v>-29.4</v>
      </c>
      <c r="BC100" s="53">
        <v>-23.2</v>
      </c>
      <c r="BD100" s="53">
        <v>-23.8</v>
      </c>
      <c r="BE100" s="53">
        <v>-20.5</v>
      </c>
      <c r="BF100" s="53"/>
      <c r="BG100" s="53"/>
      <c r="BH100" s="53"/>
      <c r="BI100" s="53"/>
      <c r="BJ100" s="53"/>
      <c r="BK100" s="53"/>
      <c r="BL100" s="53"/>
      <c r="BM100" s="52"/>
      <c r="BN100" s="101"/>
      <c r="BO100" s="101"/>
      <c r="BP100" s="101"/>
      <c r="BQ100" s="101"/>
      <c r="BR100" s="101"/>
    </row>
    <row r="101" spans="1:72" s="34" customFormat="1" hidden="1" outlineLevel="1">
      <c r="B101" s="54" t="s">
        <v>141</v>
      </c>
      <c r="C101" s="51"/>
      <c r="D101" s="51"/>
      <c r="E101" s="51"/>
      <c r="F101" s="51"/>
      <c r="G101" s="51"/>
      <c r="H101" s="52"/>
      <c r="I101" s="52"/>
      <c r="J101" s="52"/>
      <c r="K101" s="52"/>
      <c r="L101" s="52"/>
      <c r="M101" s="52"/>
      <c r="N101" s="52"/>
      <c r="O101" s="52"/>
      <c r="P101" s="52"/>
      <c r="Q101" s="52"/>
      <c r="R101" s="52"/>
      <c r="S101" s="52"/>
      <c r="T101" s="52"/>
      <c r="U101" s="52"/>
      <c r="V101" s="51"/>
      <c r="W101" s="53"/>
      <c r="X101" s="53"/>
      <c r="Y101" s="53"/>
      <c r="Z101" s="53"/>
      <c r="AA101" s="53"/>
      <c r="AB101" s="53"/>
      <c r="AC101" s="53"/>
      <c r="AD101" s="53"/>
      <c r="AE101" s="53"/>
      <c r="AF101" s="53"/>
      <c r="AG101" s="53"/>
      <c r="AH101" s="53"/>
      <c r="AI101" s="53"/>
      <c r="AJ101" s="53"/>
      <c r="AK101" s="53"/>
      <c r="AL101" s="53"/>
      <c r="AM101" s="53"/>
      <c r="AN101" s="53"/>
      <c r="AO101" s="53"/>
      <c r="AP101" s="53"/>
      <c r="AQ101" s="53"/>
      <c r="AR101" s="53"/>
      <c r="AS101" s="53"/>
      <c r="AT101" s="53"/>
      <c r="AU101" s="53"/>
      <c r="AV101" s="53"/>
      <c r="AW101" s="55">
        <f t="shared" ref="AW101:BE101" si="87">AW100/AS100-1</f>
        <v>2.854166666666667</v>
      </c>
      <c r="AX101" s="55">
        <f t="shared" si="87"/>
        <v>0.4436090225563909</v>
      </c>
      <c r="AY101" s="55">
        <f t="shared" si="87"/>
        <v>0.19653179190751446</v>
      </c>
      <c r="AZ101" s="55">
        <f t="shared" si="87"/>
        <v>-6.083650190114076E-2</v>
      </c>
      <c r="BA101" s="55">
        <f t="shared" si="87"/>
        <v>0.17837837837837833</v>
      </c>
      <c r="BB101" s="55">
        <f t="shared" si="87"/>
        <v>0.53125</v>
      </c>
      <c r="BC101" s="55">
        <f t="shared" si="87"/>
        <v>0.12077294685990347</v>
      </c>
      <c r="BD101" s="55">
        <f t="shared" si="87"/>
        <v>-3.6437246963562653E-2</v>
      </c>
      <c r="BE101" s="55">
        <f t="shared" si="87"/>
        <v>-5.9633027522935755E-2</v>
      </c>
      <c r="BF101" s="53"/>
      <c r="BG101" s="53"/>
      <c r="BH101" s="53"/>
      <c r="BI101" s="53"/>
      <c r="BJ101" s="53"/>
      <c r="BK101" s="53"/>
      <c r="BL101" s="53"/>
      <c r="BM101" s="52"/>
      <c r="BN101" s="101"/>
      <c r="BO101" s="101"/>
      <c r="BP101" s="101"/>
      <c r="BQ101" s="101"/>
      <c r="BR101" s="101"/>
    </row>
    <row r="102" spans="1:72" s="34" customFormat="1" hidden="1" outlineLevel="1">
      <c r="B102" s="38"/>
      <c r="C102" s="51"/>
      <c r="D102" s="51"/>
      <c r="E102" s="51"/>
      <c r="F102" s="51"/>
      <c r="G102" s="51"/>
      <c r="H102" s="52"/>
      <c r="I102" s="52"/>
      <c r="J102" s="52"/>
      <c r="K102" s="52"/>
      <c r="L102" s="52"/>
      <c r="M102" s="52"/>
      <c r="N102" s="52"/>
      <c r="O102" s="52"/>
      <c r="P102" s="52"/>
      <c r="Q102" s="52"/>
      <c r="R102" s="52"/>
      <c r="S102" s="52"/>
      <c r="T102" s="52"/>
      <c r="U102" s="52"/>
      <c r="V102" s="51"/>
      <c r="W102" s="53"/>
      <c r="X102" s="53"/>
      <c r="Y102" s="53"/>
      <c r="Z102" s="53"/>
      <c r="AA102" s="53"/>
      <c r="AB102" s="53"/>
      <c r="AC102" s="53"/>
      <c r="AD102" s="53"/>
      <c r="AE102" s="53"/>
      <c r="AF102" s="53"/>
      <c r="AG102" s="53"/>
      <c r="AH102" s="53"/>
      <c r="AI102" s="53"/>
      <c r="AJ102" s="53"/>
      <c r="AK102" s="53"/>
      <c r="AL102" s="53"/>
      <c r="AM102" s="53"/>
      <c r="AN102" s="53"/>
      <c r="AO102" s="53"/>
      <c r="AP102" s="53"/>
      <c r="AQ102" s="53"/>
      <c r="AR102" s="53"/>
      <c r="AS102" s="53"/>
      <c r="AT102" s="53"/>
      <c r="AU102" s="53"/>
      <c r="AV102" s="53"/>
      <c r="AW102" s="53"/>
      <c r="AX102" s="53"/>
      <c r="AY102" s="53"/>
      <c r="AZ102" s="53"/>
      <c r="BA102" s="53"/>
      <c r="BB102" s="53"/>
      <c r="BC102" s="53"/>
      <c r="BD102" s="53"/>
      <c r="BE102" s="53"/>
      <c r="BF102" s="53"/>
      <c r="BG102" s="53"/>
      <c r="BH102" s="53"/>
      <c r="BI102" s="53"/>
      <c r="BJ102" s="53"/>
      <c r="BK102" s="53"/>
      <c r="BL102" s="53"/>
      <c r="BM102" s="52"/>
      <c r="BN102" s="101"/>
      <c r="BO102" s="101"/>
      <c r="BP102" s="101"/>
      <c r="BQ102" s="101"/>
      <c r="BR102" s="101"/>
    </row>
    <row r="103" spans="1:72" collapsed="1">
      <c r="A103" s="5" t="s">
        <v>150</v>
      </c>
      <c r="B103" s="33" t="s">
        <v>255</v>
      </c>
      <c r="C103" s="28"/>
      <c r="D103" s="28"/>
      <c r="E103" s="28"/>
      <c r="F103" s="28"/>
      <c r="G103" s="28"/>
      <c r="H103" s="28"/>
      <c r="I103" s="28"/>
      <c r="J103" s="28"/>
      <c r="K103" s="28"/>
      <c r="L103" s="28"/>
      <c r="M103" s="28"/>
      <c r="N103" s="28"/>
      <c r="O103" s="28"/>
      <c r="P103" s="28"/>
      <c r="Q103" s="28"/>
      <c r="R103" s="28"/>
      <c r="S103" s="28"/>
      <c r="T103" s="28"/>
      <c r="U103" s="28"/>
      <c r="V103" s="28"/>
      <c r="W103" s="33"/>
      <c r="X103" s="33"/>
      <c r="Y103" s="33"/>
      <c r="Z103" s="33"/>
      <c r="AA103" s="33"/>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row>
    <row r="104" spans="1:72" s="34" customFormat="1">
      <c r="B104" s="38" t="s">
        <v>195</v>
      </c>
      <c r="H104" s="52"/>
      <c r="I104" s="52"/>
      <c r="J104" s="52"/>
      <c r="K104" s="52"/>
      <c r="L104" s="52"/>
      <c r="M104" s="52"/>
      <c r="N104" s="52"/>
      <c r="O104" s="52">
        <f>SUM(BC104:BF104)</f>
        <v>429.6</v>
      </c>
      <c r="P104" s="52">
        <f>SUM(BG104:BJ104)</f>
        <v>1822.0000000000002</v>
      </c>
      <c r="Q104" s="52">
        <f>SUM(BK104:BN104)</f>
        <v>2086.4</v>
      </c>
      <c r="R104" s="52">
        <f>SUM(BO104:BR104)</f>
        <v>2374.2507722946057</v>
      </c>
      <c r="S104" s="52">
        <f>R104*(1+S105)</f>
        <v>2492.9633109093361</v>
      </c>
      <c r="T104" s="52">
        <f>S104*(1+T105)</f>
        <v>2617.6114764548029</v>
      </c>
      <c r="U104" s="52">
        <f>T104*(1+U105)</f>
        <v>2748.4920502775431</v>
      </c>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v>429.6</v>
      </c>
      <c r="BG104" s="53">
        <v>460.2</v>
      </c>
      <c r="BH104" s="53">
        <v>450</v>
      </c>
      <c r="BI104" s="53">
        <v>470.1</v>
      </c>
      <c r="BJ104" s="53">
        <v>441.7</v>
      </c>
      <c r="BK104" s="53">
        <v>567.6</v>
      </c>
      <c r="BL104" s="53">
        <v>492</v>
      </c>
      <c r="BM104" s="53">
        <v>489.9</v>
      </c>
      <c r="BN104" s="53">
        <v>536.9</v>
      </c>
      <c r="BO104" s="52">
        <f>BK104*(1+BO105)</f>
        <v>579.92713287930655</v>
      </c>
      <c r="BP104" s="52">
        <f>BL104*(1+BP105)</f>
        <v>591.83886990564031</v>
      </c>
      <c r="BQ104" s="52">
        <f>BM104*(1+BQ105)</f>
        <v>595.73810317818459</v>
      </c>
      <c r="BR104" s="52">
        <f>BN104*(1+BR105)</f>
        <v>606.7466663314741</v>
      </c>
    </row>
    <row r="105" spans="1:72">
      <c r="B105" s="54" t="s">
        <v>141</v>
      </c>
      <c r="H105" s="57"/>
      <c r="I105" s="55"/>
      <c r="J105" s="55"/>
      <c r="K105" s="55"/>
      <c r="L105" s="55"/>
      <c r="M105" s="55"/>
      <c r="N105" s="55"/>
      <c r="O105" s="55"/>
      <c r="P105" s="63">
        <f>P104/O104-1</f>
        <v>3.2411545623836133</v>
      </c>
      <c r="Q105" s="63">
        <f>Q104/P104-1</f>
        <v>0.1451152579582875</v>
      </c>
      <c r="R105" s="63">
        <f>R104/Q104-1</f>
        <v>0.1379652858007121</v>
      </c>
      <c r="S105" s="376">
        <f>S133</f>
        <v>0.05</v>
      </c>
      <c r="T105" s="376">
        <f>T133</f>
        <v>0.05</v>
      </c>
      <c r="U105" s="376">
        <f>U133</f>
        <v>0.05</v>
      </c>
      <c r="V105" s="48"/>
      <c r="W105" s="48"/>
      <c r="X105" s="48"/>
      <c r="Y105" s="48"/>
      <c r="Z105" s="48"/>
      <c r="AA105" s="48"/>
      <c r="AB105" s="48"/>
      <c r="AC105" s="48"/>
      <c r="AD105" s="48"/>
      <c r="AE105" s="63"/>
      <c r="AF105" s="63"/>
      <c r="AG105" s="63"/>
      <c r="AH105" s="63"/>
      <c r="AI105" s="63"/>
      <c r="AJ105" s="63"/>
      <c r="AK105" s="63"/>
      <c r="AL105" s="63"/>
      <c r="AM105" s="63"/>
      <c r="AN105" s="63"/>
      <c r="AO105" s="63"/>
      <c r="AP105" s="63"/>
      <c r="AQ105" s="63"/>
      <c r="AR105" s="63"/>
      <c r="AS105" s="63"/>
      <c r="AT105" s="63"/>
      <c r="AU105" s="63"/>
      <c r="AV105" s="63"/>
      <c r="AW105" s="63"/>
      <c r="AX105" s="63"/>
      <c r="AY105" s="63"/>
      <c r="AZ105" s="63"/>
      <c r="BA105" s="63"/>
      <c r="BB105" s="63"/>
      <c r="BC105" s="63"/>
      <c r="BD105" s="63"/>
      <c r="BE105" s="63"/>
      <c r="BF105" s="63"/>
      <c r="BG105" s="63"/>
      <c r="BH105" s="63"/>
      <c r="BI105" s="63"/>
      <c r="BJ105" s="63">
        <f>BJ104/BF104-1</f>
        <v>2.8165735567970085E-2</v>
      </c>
      <c r="BK105" s="63">
        <f>BK104/BG104-1</f>
        <v>0.23337679269882661</v>
      </c>
      <c r="BL105" s="63">
        <f>BL104/BH104-1</f>
        <v>9.3333333333333268E-2</v>
      </c>
      <c r="BM105" s="63">
        <f>BM104/BI104-1</f>
        <v>4.2118698149329781E-2</v>
      </c>
      <c r="BN105" s="63">
        <f>BN104/BJ104-1</f>
        <v>0.21553090332805058</v>
      </c>
      <c r="BO105" s="376">
        <f>BO133</f>
        <v>2.1717993092506299E-2</v>
      </c>
      <c r="BP105" s="376">
        <f>BP133</f>
        <v>0.20292453232853724</v>
      </c>
      <c r="BQ105" s="376">
        <f>BQ133</f>
        <v>0.21604021877563723</v>
      </c>
      <c r="BR105" s="376">
        <f>BR133</f>
        <v>0.13009250573938191</v>
      </c>
      <c r="BT105" s="34"/>
    </row>
    <row r="106" spans="1:72">
      <c r="B106" s="43"/>
      <c r="H106" s="57"/>
      <c r="I106" s="57"/>
      <c r="J106" s="57"/>
      <c r="K106" s="57"/>
      <c r="L106" s="57"/>
      <c r="M106" s="57"/>
      <c r="N106" s="57"/>
      <c r="O106" s="57"/>
      <c r="P106" s="57"/>
      <c r="Q106" s="34"/>
      <c r="R106" s="34"/>
      <c r="S106" s="90"/>
      <c r="T106" s="90"/>
      <c r="U106" s="90"/>
      <c r="BG106" s="58"/>
      <c r="BH106" s="58"/>
      <c r="BI106" s="58"/>
      <c r="BJ106" s="57"/>
      <c r="BK106" s="58"/>
      <c r="BL106" s="433"/>
      <c r="BM106" s="339"/>
      <c r="BN106" s="127"/>
      <c r="BO106" s="63"/>
      <c r="BP106" s="534"/>
      <c r="BQ106" s="57"/>
      <c r="BR106" s="57"/>
      <c r="BT106" s="44"/>
    </row>
    <row r="107" spans="1:72" s="51" customFormat="1">
      <c r="B107" s="192" t="s">
        <v>97</v>
      </c>
      <c r="F107" s="52"/>
      <c r="G107" s="52"/>
      <c r="H107" s="52"/>
      <c r="I107" s="52"/>
      <c r="J107" s="52"/>
      <c r="K107" s="52"/>
      <c r="L107" s="52"/>
      <c r="M107" s="52"/>
      <c r="N107" s="52"/>
      <c r="O107" s="90">
        <f>SUM(BC107:BF107)</f>
        <v>30.7</v>
      </c>
      <c r="P107" s="52">
        <f>SUM(BG107:BJ107)</f>
        <v>105.4</v>
      </c>
      <c r="Q107" s="90">
        <f>SUM(BK107:BN107)</f>
        <v>82.5</v>
      </c>
      <c r="R107" s="52">
        <f>SUM(BO107:BR107)</f>
        <v>145.77415772968135</v>
      </c>
      <c r="S107" s="90">
        <f t="shared" ref="S107" si="88">+S108*S104</f>
        <v>201.95231058252944</v>
      </c>
      <c r="T107" s="90">
        <f t="shared" ref="T107" si="89">+T108*T104</f>
        <v>213.6204929975288</v>
      </c>
      <c r="U107" s="90">
        <f t="shared" ref="U107" si="90">+U108*U104</f>
        <v>225.95061287757176</v>
      </c>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90"/>
      <c r="AZ107" s="90"/>
      <c r="BA107" s="90"/>
      <c r="BB107" s="90"/>
      <c r="BC107" s="90"/>
      <c r="BD107" s="90"/>
      <c r="BE107" s="90"/>
      <c r="BF107" s="90">
        <f t="shared" ref="BF107:BL107" si="91">BF113+BF116</f>
        <v>30.7</v>
      </c>
      <c r="BG107" s="90">
        <f t="shared" si="91"/>
        <v>29.9</v>
      </c>
      <c r="BH107" s="90">
        <f t="shared" si="91"/>
        <v>23</v>
      </c>
      <c r="BI107" s="90">
        <f t="shared" si="91"/>
        <v>32.900000000000006</v>
      </c>
      <c r="BJ107" s="90">
        <f t="shared" si="91"/>
        <v>19.599999999999987</v>
      </c>
      <c r="BK107" s="90">
        <f t="shared" si="91"/>
        <v>21.2</v>
      </c>
      <c r="BL107" s="90">
        <f t="shared" si="91"/>
        <v>14.700000000000001</v>
      </c>
      <c r="BM107" s="90">
        <f>BM113+BM116</f>
        <v>22.7</v>
      </c>
      <c r="BN107" s="90">
        <f>BN113+BN116</f>
        <v>23.9</v>
      </c>
      <c r="BO107" s="90">
        <f t="shared" ref="BO107:BR107" si="92">+BO108*BO104</f>
        <v>5.5760562603551538</v>
      </c>
      <c r="BP107" s="90">
        <f t="shared" si="92"/>
        <v>21.004766941808963</v>
      </c>
      <c r="BQ107" s="90">
        <f t="shared" si="92"/>
        <v>56.58512390861857</v>
      </c>
      <c r="BR107" s="90">
        <f t="shared" si="92"/>
        <v>62.60821061889866</v>
      </c>
      <c r="BT107" s="34"/>
    </row>
    <row r="108" spans="1:72" s="51" customFormat="1">
      <c r="B108" s="54" t="s">
        <v>189</v>
      </c>
      <c r="F108" s="52"/>
      <c r="G108" s="52"/>
      <c r="H108" s="52"/>
      <c r="I108" s="52"/>
      <c r="J108" s="52"/>
      <c r="K108" s="52"/>
      <c r="L108" s="52"/>
      <c r="M108" s="52"/>
      <c r="N108" s="52"/>
      <c r="O108" s="63">
        <f>+O107/O104</f>
        <v>7.1461824953445066E-2</v>
      </c>
      <c r="P108" s="63">
        <f>+P107/P104</f>
        <v>5.7848518111964869E-2</v>
      </c>
      <c r="Q108" s="63">
        <f>+Q107/Q104</f>
        <v>3.9541794478527605E-2</v>
      </c>
      <c r="R108" s="63">
        <f>+R107/R104</f>
        <v>6.139796159307858E-2</v>
      </c>
      <c r="S108" s="64">
        <f>R111+(S143/10000)+(S109/S104)</f>
        <v>8.1008938117450704E-2</v>
      </c>
      <c r="T108" s="64">
        <f>S111+(T143/10000)+(T109/T104)</f>
        <v>8.1608938117450708E-2</v>
      </c>
      <c r="U108" s="64">
        <f>T111+(U143/10000)+(U109/U104)</f>
        <v>8.2208938117450711E-2</v>
      </c>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90"/>
      <c r="AZ108" s="90"/>
      <c r="BA108" s="90"/>
      <c r="BB108" s="90"/>
      <c r="BC108" s="90"/>
      <c r="BD108" s="90"/>
      <c r="BE108" s="90"/>
      <c r="BF108" s="63">
        <f t="shared" ref="BF108:BN108" si="93">+BF107/BF104</f>
        <v>7.1461824953445066E-2</v>
      </c>
      <c r="BG108" s="63">
        <f t="shared" si="93"/>
        <v>6.4971751412429377E-2</v>
      </c>
      <c r="BH108" s="63">
        <f t="shared" si="93"/>
        <v>5.1111111111111114E-2</v>
      </c>
      <c r="BI108" s="63">
        <f t="shared" si="93"/>
        <v>6.998510955115933E-2</v>
      </c>
      <c r="BJ108" s="63">
        <f t="shared" si="93"/>
        <v>4.4374009508716297E-2</v>
      </c>
      <c r="BK108" s="63">
        <f t="shared" si="93"/>
        <v>3.7350246652572229E-2</v>
      </c>
      <c r="BL108" s="63">
        <f t="shared" si="93"/>
        <v>2.9878048780487807E-2</v>
      </c>
      <c r="BM108" s="63">
        <f>+BM107/BM104</f>
        <v>4.6335986936109408E-2</v>
      </c>
      <c r="BN108" s="63">
        <f t="shared" si="93"/>
        <v>4.4514807226671629E-2</v>
      </c>
      <c r="BO108" s="64">
        <f>BK111+(BO143/10000)+(BO109/BO104)</f>
        <v>9.6150980773573036E-3</v>
      </c>
      <c r="BP108" s="64">
        <f>BL111+(BP143/10000)+(BP109/BP104)</f>
        <v>3.549068506628815E-2</v>
      </c>
      <c r="BQ108" s="64">
        <f>BM111+(BQ143/10000)+(BQ109/BQ104)</f>
        <v>9.4983220993829942E-2</v>
      </c>
      <c r="BR108" s="64">
        <f>BN111+(BR143/10000)+(BR109/BR104)</f>
        <v>0.10318674018835883</v>
      </c>
      <c r="BT108" s="34"/>
    </row>
    <row r="109" spans="1:72" s="51" customFormat="1">
      <c r="B109" s="54" t="s">
        <v>690</v>
      </c>
      <c r="F109" s="52"/>
      <c r="G109" s="52"/>
      <c r="H109" s="52"/>
      <c r="I109" s="52"/>
      <c r="J109" s="52"/>
      <c r="K109" s="52"/>
      <c r="L109" s="52"/>
      <c r="M109" s="52"/>
      <c r="N109" s="52"/>
      <c r="O109" s="63"/>
      <c r="P109" s="63"/>
      <c r="Q109" s="89">
        <f>SUM(BK109:BN109)</f>
        <v>-43.7</v>
      </c>
      <c r="R109" s="89">
        <f>SUM(BO109:BR109)</f>
        <v>-43</v>
      </c>
      <c r="S109" s="105">
        <v>0</v>
      </c>
      <c r="T109" s="105">
        <v>0</v>
      </c>
      <c r="U109" s="105">
        <v>0</v>
      </c>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90"/>
      <c r="AZ109" s="90"/>
      <c r="BA109" s="90"/>
      <c r="BB109" s="90"/>
      <c r="BC109" s="90"/>
      <c r="BD109" s="90"/>
      <c r="BE109" s="90"/>
      <c r="BF109" s="105"/>
      <c r="BG109" s="105"/>
      <c r="BH109" s="105"/>
      <c r="BI109" s="105"/>
      <c r="BJ109" s="105"/>
      <c r="BK109" s="105"/>
      <c r="BL109" s="105"/>
      <c r="BM109" s="105">
        <f>-18.7</f>
        <v>-18.7</v>
      </c>
      <c r="BN109" s="105">
        <f>BN122-BJ122-9</f>
        <v>-25</v>
      </c>
      <c r="BO109" s="104">
        <f>BO122-BK122</f>
        <v>-38</v>
      </c>
      <c r="BP109" s="104">
        <f>BP122-BL122</f>
        <v>-5</v>
      </c>
      <c r="BQ109" s="105"/>
      <c r="BR109" s="105"/>
      <c r="BT109" s="34"/>
    </row>
    <row r="110" spans="1:72">
      <c r="B110" s="54" t="s">
        <v>141</v>
      </c>
      <c r="C110" s="7"/>
      <c r="D110" s="7"/>
      <c r="E110" s="7"/>
      <c r="F110" s="7"/>
      <c r="G110" s="57"/>
      <c r="H110" s="57"/>
      <c r="I110" s="55"/>
      <c r="J110" s="55"/>
      <c r="K110" s="55"/>
      <c r="L110" s="55"/>
      <c r="M110" s="63"/>
      <c r="N110" s="63"/>
      <c r="O110" s="63"/>
      <c r="P110" s="63">
        <f t="shared" ref="P110:U110" si="94">P107/O107-1</f>
        <v>2.4332247557003259</v>
      </c>
      <c r="Q110" s="63">
        <f t="shared" si="94"/>
        <v>-0.2172675521821632</v>
      </c>
      <c r="R110" s="63">
        <f t="shared" si="94"/>
        <v>0.76695948763250121</v>
      </c>
      <c r="S110" s="63">
        <f t="shared" si="94"/>
        <v>0.38537799653778793</v>
      </c>
      <c r="T110" s="63">
        <f t="shared" si="94"/>
        <v>5.7776919617025468E-2</v>
      </c>
      <c r="U110" s="63">
        <f t="shared" si="94"/>
        <v>5.7719742647469596E-2</v>
      </c>
      <c r="V110" s="57"/>
      <c r="W110" s="57"/>
      <c r="X110" s="57"/>
      <c r="Y110" s="57"/>
      <c r="Z110" s="57"/>
      <c r="AA110" s="58"/>
      <c r="AB110" s="58"/>
      <c r="AC110" s="58"/>
      <c r="AD110" s="58"/>
      <c r="AE110" s="55"/>
      <c r="AF110" s="55"/>
      <c r="AG110" s="55"/>
      <c r="AH110" s="55"/>
      <c r="AI110" s="55"/>
      <c r="AJ110" s="55"/>
      <c r="AK110" s="55"/>
      <c r="AL110" s="55"/>
      <c r="AM110" s="55"/>
      <c r="AN110" s="55"/>
      <c r="AO110" s="55"/>
      <c r="AP110" s="55"/>
      <c r="AQ110" s="55"/>
      <c r="AR110" s="55"/>
      <c r="AS110" s="55"/>
      <c r="AT110" s="55"/>
      <c r="AU110" s="63"/>
      <c r="AV110" s="63"/>
      <c r="AW110" s="63"/>
      <c r="AX110" s="63"/>
      <c r="AY110" s="63"/>
      <c r="AZ110" s="63"/>
      <c r="BA110" s="63"/>
      <c r="BB110" s="63"/>
      <c r="BC110" s="63"/>
      <c r="BD110" s="63"/>
      <c r="BE110" s="63"/>
      <c r="BF110" s="63"/>
      <c r="BG110" s="63"/>
      <c r="BH110" s="63"/>
      <c r="BI110" s="63"/>
      <c r="BJ110" s="63">
        <f t="shared" ref="BJ110:BR110" si="95">IFERROR(BJ107/BF107-1,"NA")</f>
        <v>-0.36156351791530983</v>
      </c>
      <c r="BK110" s="63">
        <f t="shared" si="95"/>
        <v>-0.29096989966555187</v>
      </c>
      <c r="BL110" s="63">
        <f t="shared" si="95"/>
        <v>-0.36086956521739122</v>
      </c>
      <c r="BM110" s="63">
        <f t="shared" si="95"/>
        <v>-0.31003039513677821</v>
      </c>
      <c r="BN110" s="63">
        <f t="shared" si="95"/>
        <v>0.21938775510204156</v>
      </c>
      <c r="BO110" s="63">
        <f t="shared" si="95"/>
        <v>-0.7369784782851343</v>
      </c>
      <c r="BP110" s="63">
        <f t="shared" si="95"/>
        <v>0.42889571032714024</v>
      </c>
      <c r="BQ110" s="63">
        <f t="shared" si="95"/>
        <v>1.4927367360624921</v>
      </c>
      <c r="BR110" s="63">
        <f t="shared" si="95"/>
        <v>1.6195904024643792</v>
      </c>
      <c r="BT110" s="34"/>
    </row>
    <row r="111" spans="1:72">
      <c r="B111" s="54" t="s">
        <v>689</v>
      </c>
      <c r="C111" s="7"/>
      <c r="D111" s="7"/>
      <c r="E111" s="7"/>
      <c r="F111" s="7"/>
      <c r="G111" s="57"/>
      <c r="H111" s="57"/>
      <c r="I111" s="55"/>
      <c r="J111" s="55"/>
      <c r="K111" s="55"/>
      <c r="L111" s="55"/>
      <c r="M111" s="63"/>
      <c r="N111" s="63"/>
      <c r="O111" s="63"/>
      <c r="P111" s="63"/>
      <c r="Q111" s="63">
        <f t="shared" ref="Q111:U111" si="96">(Q107-Q109)/Q104</f>
        <v>6.0486963190184047E-2</v>
      </c>
      <c r="R111" s="63">
        <f t="shared" si="96"/>
        <v>7.9508938117450703E-2</v>
      </c>
      <c r="S111" s="63">
        <f t="shared" si="96"/>
        <v>8.1008938117450704E-2</v>
      </c>
      <c r="T111" s="63">
        <f t="shared" si="96"/>
        <v>8.1608938117450708E-2</v>
      </c>
      <c r="U111" s="63">
        <f t="shared" si="96"/>
        <v>8.2208938117450711E-2</v>
      </c>
      <c r="V111" s="57"/>
      <c r="W111" s="57"/>
      <c r="X111" s="57"/>
      <c r="Y111" s="57"/>
      <c r="Z111" s="57"/>
      <c r="AA111" s="58"/>
      <c r="AB111" s="58"/>
      <c r="AC111" s="58"/>
      <c r="AD111" s="58"/>
      <c r="AE111" s="55"/>
      <c r="AF111" s="55"/>
      <c r="AG111" s="55"/>
      <c r="AH111" s="55"/>
      <c r="AI111" s="55"/>
      <c r="AJ111" s="55"/>
      <c r="AK111" s="55"/>
      <c r="AL111" s="55"/>
      <c r="AM111" s="55"/>
      <c r="AN111" s="55"/>
      <c r="AO111" s="55"/>
      <c r="AP111" s="55"/>
      <c r="AQ111" s="55"/>
      <c r="AR111" s="55"/>
      <c r="AS111" s="55"/>
      <c r="AT111" s="55"/>
      <c r="AU111" s="63"/>
      <c r="AV111" s="63"/>
      <c r="AW111" s="63"/>
      <c r="AX111" s="63"/>
      <c r="AY111" s="63"/>
      <c r="AZ111" s="63"/>
      <c r="BA111" s="63"/>
      <c r="BB111" s="63"/>
      <c r="BC111" s="63"/>
      <c r="BD111" s="63"/>
      <c r="BE111" s="63"/>
      <c r="BF111" s="63"/>
      <c r="BG111" s="63"/>
      <c r="BH111" s="63"/>
      <c r="BI111" s="63"/>
      <c r="BJ111" s="63">
        <f t="shared" ref="BJ111:BM111" si="97">(BJ107-BJ109)/BJ104</f>
        <v>4.4374009508716297E-2</v>
      </c>
      <c r="BK111" s="63">
        <f t="shared" si="97"/>
        <v>3.7350246652572229E-2</v>
      </c>
      <c r="BL111" s="63">
        <f t="shared" si="97"/>
        <v>2.9878048780487807E-2</v>
      </c>
      <c r="BM111" s="63">
        <f t="shared" si="97"/>
        <v>8.4507042253521125E-2</v>
      </c>
      <c r="BN111" s="63">
        <f>(BN107-BN109)/BN104</f>
        <v>9.1078413112311421E-2</v>
      </c>
      <c r="BO111" s="63">
        <f>(BO107-BO109)/BO104</f>
        <v>7.5140571616303609E-2</v>
      </c>
      <c r="BP111" s="63">
        <f>(BP107-BP109)/BP104</f>
        <v>4.3938930449017359E-2</v>
      </c>
      <c r="BQ111" s="63">
        <f>(BQ107-BQ109)/BQ104</f>
        <v>9.4983220993829942E-2</v>
      </c>
      <c r="BR111" s="63">
        <f>(BR107-BR109)/BR104</f>
        <v>0.10318674018835883</v>
      </c>
    </row>
    <row r="112" spans="1:72" s="51" customFormat="1">
      <c r="B112" s="192"/>
      <c r="F112" s="52"/>
      <c r="G112" s="52"/>
      <c r="H112" s="52"/>
      <c r="I112" s="52"/>
      <c r="J112" s="52"/>
      <c r="K112" s="52"/>
      <c r="L112" s="52"/>
      <c r="M112" s="52"/>
      <c r="N112" s="52"/>
      <c r="O112" s="52"/>
      <c r="P112" s="90"/>
      <c r="Q112" s="90"/>
      <c r="R112" s="52"/>
      <c r="S112" s="52"/>
      <c r="T112" s="52"/>
      <c r="U112" s="52"/>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90"/>
      <c r="AZ112" s="90"/>
      <c r="BA112" s="90"/>
      <c r="BB112" s="90"/>
      <c r="BC112" s="90"/>
      <c r="BD112" s="90"/>
      <c r="BE112" s="90"/>
      <c r="BF112" s="90"/>
      <c r="BG112" s="90"/>
      <c r="BH112" s="90"/>
      <c r="BI112" s="90"/>
      <c r="BJ112" s="90"/>
      <c r="BK112" s="90"/>
      <c r="BL112" s="90"/>
      <c r="BM112" s="90"/>
      <c r="BN112" s="90"/>
      <c r="BO112" s="90"/>
      <c r="BP112" s="90"/>
      <c r="BQ112" s="90"/>
      <c r="BR112" s="90"/>
      <c r="BT112" s="34"/>
    </row>
    <row r="113" spans="2:72" s="51" customFormat="1">
      <c r="B113" s="103" t="s">
        <v>107</v>
      </c>
      <c r="O113" s="51">
        <f>SUM(BC113:BF113)</f>
        <v>20.9</v>
      </c>
      <c r="P113" s="51">
        <f>SUM(BG113:BJ113)</f>
        <v>90</v>
      </c>
      <c r="Q113" s="51">
        <f>SUM(BK113:BN113)</f>
        <v>94.3</v>
      </c>
      <c r="R113" s="51">
        <f>SUM(BO113:BR113)</f>
        <v>96</v>
      </c>
      <c r="S113" s="51">
        <f>S104*S114</f>
        <v>100.8</v>
      </c>
      <c r="T113" s="51">
        <f>T104*T114</f>
        <v>105.84</v>
      </c>
      <c r="U113" s="51">
        <f>U104*U114</f>
        <v>111.13200000000001</v>
      </c>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c r="AX113" s="105"/>
      <c r="AY113" s="105"/>
      <c r="AZ113" s="105"/>
      <c r="BA113" s="105"/>
      <c r="BB113" s="105"/>
      <c r="BC113" s="105"/>
      <c r="BD113" s="105"/>
      <c r="BE113" s="105"/>
      <c r="BF113" s="105">
        <v>20.9</v>
      </c>
      <c r="BG113" s="105">
        <v>21.7</v>
      </c>
      <c r="BH113" s="105">
        <v>23</v>
      </c>
      <c r="BI113" s="105">
        <v>22.6</v>
      </c>
      <c r="BJ113" s="105">
        <f>90-SUM(BG113:BI113)</f>
        <v>22.699999999999989</v>
      </c>
      <c r="BK113" s="105">
        <v>22.4</v>
      </c>
      <c r="BL113" s="105">
        <v>22.8</v>
      </c>
      <c r="BM113" s="105">
        <v>24.4</v>
      </c>
      <c r="BN113" s="105">
        <v>24.7</v>
      </c>
      <c r="BO113" s="105">
        <v>24</v>
      </c>
      <c r="BP113" s="105">
        <v>24</v>
      </c>
      <c r="BQ113" s="105">
        <v>24</v>
      </c>
      <c r="BR113" s="105">
        <v>24</v>
      </c>
      <c r="BT113" s="34"/>
    </row>
    <row r="114" spans="2:72" s="378" customFormat="1">
      <c r="B114" s="54" t="s">
        <v>551</v>
      </c>
      <c r="F114" s="365"/>
      <c r="G114" s="365"/>
      <c r="H114" s="365"/>
      <c r="I114" s="365"/>
      <c r="J114" s="365"/>
      <c r="K114" s="365"/>
      <c r="L114" s="365"/>
      <c r="M114" s="365"/>
      <c r="N114" s="365"/>
      <c r="O114" s="124">
        <f>O113/O104</f>
        <v>4.8649906890130351E-2</v>
      </c>
      <c r="P114" s="124">
        <f>P113/P104</f>
        <v>4.9396267837541155E-2</v>
      </c>
      <c r="Q114" s="124">
        <f>Q113/Q104</f>
        <v>4.5197469325153374E-2</v>
      </c>
      <c r="R114" s="124">
        <f>R113/R104</f>
        <v>4.0433808054412192E-2</v>
      </c>
      <c r="S114" s="125">
        <f>+R114</f>
        <v>4.0433808054412192E-2</v>
      </c>
      <c r="T114" s="125">
        <f>+S114</f>
        <v>4.0433808054412192E-2</v>
      </c>
      <c r="U114" s="125">
        <f>+T114</f>
        <v>4.0433808054412192E-2</v>
      </c>
      <c r="W114" s="380"/>
      <c r="X114" s="380"/>
      <c r="Y114" s="380"/>
      <c r="Z114" s="380"/>
      <c r="AA114" s="380"/>
      <c r="AB114" s="380"/>
      <c r="AC114" s="380"/>
      <c r="AD114" s="380"/>
      <c r="AE114" s="380"/>
      <c r="AF114" s="380"/>
      <c r="AG114" s="380"/>
      <c r="AH114" s="380"/>
      <c r="AI114" s="380"/>
      <c r="AJ114" s="380"/>
      <c r="AK114" s="380"/>
      <c r="AL114" s="380"/>
      <c r="AM114" s="380"/>
      <c r="AN114" s="380"/>
      <c r="AO114" s="380"/>
      <c r="AP114" s="380"/>
      <c r="AQ114" s="380"/>
      <c r="AR114" s="380"/>
      <c r="AS114" s="380"/>
      <c r="AT114" s="380"/>
      <c r="AU114" s="380"/>
      <c r="AV114" s="380"/>
      <c r="AW114" s="380"/>
      <c r="AX114" s="380"/>
      <c r="AY114" s="380"/>
      <c r="AZ114" s="380"/>
      <c r="BA114" s="380"/>
      <c r="BB114" s="380"/>
      <c r="BC114" s="380"/>
      <c r="BD114" s="380"/>
      <c r="BE114" s="380"/>
      <c r="BF114" s="124">
        <f t="shared" ref="BF114:BN114" si="98">BF113/BF104</f>
        <v>4.8649906890130351E-2</v>
      </c>
      <c r="BG114" s="124">
        <f t="shared" si="98"/>
        <v>4.7153411560191219E-2</v>
      </c>
      <c r="BH114" s="124">
        <f t="shared" si="98"/>
        <v>5.1111111111111114E-2</v>
      </c>
      <c r="BI114" s="124">
        <f t="shared" si="98"/>
        <v>4.8074877685598809E-2</v>
      </c>
      <c r="BJ114" s="124">
        <f t="shared" si="98"/>
        <v>5.1392347747339799E-2</v>
      </c>
      <c r="BK114" s="124">
        <f t="shared" si="98"/>
        <v>3.9464411557434811E-2</v>
      </c>
      <c r="BL114" s="124">
        <f t="shared" si="98"/>
        <v>4.6341463414634146E-2</v>
      </c>
      <c r="BM114" s="124">
        <f t="shared" si="98"/>
        <v>4.9806082874055926E-2</v>
      </c>
      <c r="BN114" s="124">
        <f t="shared" si="98"/>
        <v>4.6004842615012108E-2</v>
      </c>
      <c r="BO114" s="124">
        <f>BO113/BO104</f>
        <v>4.1384509603545033E-2</v>
      </c>
      <c r="BP114" s="124">
        <f>BP113/BP104</f>
        <v>4.0551577837100214E-2</v>
      </c>
      <c r="BQ114" s="124">
        <f>BQ113/BQ104</f>
        <v>4.028615908897408E-2</v>
      </c>
      <c r="BR114" s="124">
        <f>BR113/BR104</f>
        <v>3.955522350886468E-2</v>
      </c>
      <c r="BT114" s="367"/>
    </row>
    <row r="115" spans="2:72" s="51" customFormat="1">
      <c r="B115" s="103"/>
      <c r="G115" s="365"/>
      <c r="H115" s="365"/>
      <c r="I115" s="365"/>
      <c r="J115" s="365"/>
      <c r="K115" s="365"/>
      <c r="L115" s="365"/>
      <c r="W115" s="105"/>
      <c r="X115" s="105"/>
      <c r="Y115" s="105"/>
      <c r="Z115" s="105"/>
      <c r="AA115" s="105"/>
      <c r="AB115" s="105"/>
      <c r="AC115" s="105"/>
      <c r="AD115" s="105"/>
      <c r="AE115" s="105"/>
      <c r="AF115" s="105"/>
      <c r="AG115" s="105"/>
      <c r="AH115" s="105"/>
      <c r="AI115" s="105"/>
      <c r="AJ115" s="105"/>
      <c r="AK115" s="105"/>
      <c r="AL115" s="105"/>
      <c r="AM115" s="105"/>
      <c r="AN115" s="105"/>
      <c r="AO115" s="105"/>
      <c r="AP115" s="105"/>
      <c r="AQ115" s="105"/>
      <c r="AR115" s="105"/>
      <c r="AS115" s="105"/>
      <c r="AT115" s="105"/>
      <c r="AU115" s="105"/>
      <c r="AV115" s="105"/>
      <c r="AW115" s="105"/>
      <c r="AX115" s="105"/>
      <c r="AY115" s="105"/>
      <c r="AZ115" s="105"/>
      <c r="BA115" s="105"/>
      <c r="BB115" s="105"/>
      <c r="BC115" s="105"/>
      <c r="BD115" s="105"/>
      <c r="BE115" s="105"/>
      <c r="BF115" s="105"/>
      <c r="BG115" s="105"/>
      <c r="BH115" s="105"/>
      <c r="BI115" s="105"/>
      <c r="BJ115" s="105"/>
      <c r="BK115" s="105"/>
      <c r="BL115" s="105"/>
      <c r="BT115" s="34"/>
    </row>
    <row r="116" spans="2:72" s="34" customFormat="1">
      <c r="B116" s="38" t="s">
        <v>29</v>
      </c>
      <c r="C116" s="51"/>
      <c r="D116" s="51"/>
      <c r="E116" s="51"/>
      <c r="F116" s="51"/>
      <c r="G116" s="365"/>
      <c r="H116" s="365"/>
      <c r="I116" s="365"/>
      <c r="J116" s="365"/>
      <c r="K116" s="365"/>
      <c r="L116" s="365"/>
      <c r="M116" s="52"/>
      <c r="N116" s="52"/>
      <c r="O116" s="52">
        <f>SUM(BC116:BF116)</f>
        <v>9.8000000000000007</v>
      </c>
      <c r="P116" s="52">
        <f>SUM(BG116:BJ116)</f>
        <v>15.4</v>
      </c>
      <c r="Q116" s="52">
        <f>SUM(BK116:BN116)</f>
        <v>-11.799999999999999</v>
      </c>
      <c r="R116" s="52">
        <f>SUM(BO116:BR116)</f>
        <v>49.774157729681349</v>
      </c>
      <c r="S116" s="52">
        <f t="shared" ref="S116:U116" si="99">+S107-S113</f>
        <v>101.15231058252944</v>
      </c>
      <c r="T116" s="52">
        <f t="shared" si="99"/>
        <v>107.7804929975288</v>
      </c>
      <c r="U116" s="52">
        <f t="shared" si="99"/>
        <v>114.81861287757175</v>
      </c>
      <c r="V116" s="51"/>
      <c r="W116" s="53"/>
      <c r="X116" s="53"/>
      <c r="Y116" s="53"/>
      <c r="Z116" s="53"/>
      <c r="AA116" s="53"/>
      <c r="AB116" s="53"/>
      <c r="AC116" s="53"/>
      <c r="AD116" s="53"/>
      <c r="AE116" s="53"/>
      <c r="AF116" s="53"/>
      <c r="AG116" s="53"/>
      <c r="AH116" s="53"/>
      <c r="AI116" s="53"/>
      <c r="AJ116" s="53"/>
      <c r="AK116" s="53"/>
      <c r="AL116" s="53"/>
      <c r="AM116" s="53"/>
      <c r="AN116" s="53"/>
      <c r="AO116" s="53"/>
      <c r="AP116" s="53"/>
      <c r="AQ116" s="53"/>
      <c r="AR116" s="53"/>
      <c r="AS116" s="53"/>
      <c r="AT116" s="53"/>
      <c r="AU116" s="53"/>
      <c r="AV116" s="53"/>
      <c r="AW116" s="53"/>
      <c r="AX116" s="53"/>
      <c r="AY116" s="53"/>
      <c r="AZ116" s="53"/>
      <c r="BA116" s="53"/>
      <c r="BB116" s="53"/>
      <c r="BC116" s="53"/>
      <c r="BD116" s="53"/>
      <c r="BE116" s="53"/>
      <c r="BF116" s="53">
        <f>-7.5+17.3</f>
        <v>9.8000000000000007</v>
      </c>
      <c r="BG116" s="53">
        <v>8.1999999999999993</v>
      </c>
      <c r="BH116" s="53">
        <v>0</v>
      </c>
      <c r="BI116" s="53">
        <v>10.3</v>
      </c>
      <c r="BJ116" s="53">
        <v>-3.1</v>
      </c>
      <c r="BK116" s="53">
        <v>-1.2</v>
      </c>
      <c r="BL116" s="53">
        <v>-8.1</v>
      </c>
      <c r="BM116" s="53">
        <v>-1.7</v>
      </c>
      <c r="BN116" s="53">
        <v>-0.8</v>
      </c>
      <c r="BO116" s="52">
        <f t="shared" ref="BO116:BR116" si="100">+BO107-BO113</f>
        <v>-18.423943739644848</v>
      </c>
      <c r="BP116" s="52">
        <f t="shared" si="100"/>
        <v>-2.9952330581910367</v>
      </c>
      <c r="BQ116" s="52">
        <f t="shared" si="100"/>
        <v>32.58512390861857</v>
      </c>
      <c r="BR116" s="52">
        <f t="shared" si="100"/>
        <v>38.60821061889866</v>
      </c>
    </row>
    <row r="117" spans="2:72">
      <c r="B117" s="54" t="s">
        <v>189</v>
      </c>
      <c r="C117" s="7"/>
      <c r="D117" s="7"/>
      <c r="E117" s="7"/>
      <c r="F117" s="7"/>
      <c r="G117" s="57"/>
      <c r="H117" s="55"/>
      <c r="I117" s="55"/>
      <c r="J117" s="55"/>
      <c r="K117" s="55"/>
      <c r="L117" s="55"/>
      <c r="M117" s="63"/>
      <c r="N117" s="63"/>
      <c r="O117" s="63">
        <f>+O116/O104</f>
        <v>2.2811918063314712E-2</v>
      </c>
      <c r="P117" s="63">
        <f>+P116/P104</f>
        <v>8.4522502744237091E-3</v>
      </c>
      <c r="Q117" s="63">
        <f>+Q116/Q104</f>
        <v>-5.6556748466257663E-3</v>
      </c>
      <c r="R117" s="63">
        <f>+R116/R104</f>
        <v>2.0964153538666382E-2</v>
      </c>
      <c r="S117" s="63">
        <f t="shared" ref="S117:U117" si="101">+S116/S104</f>
        <v>4.0575130063038513E-2</v>
      </c>
      <c r="T117" s="63">
        <f t="shared" si="101"/>
        <v>4.1175130063038516E-2</v>
      </c>
      <c r="U117" s="63">
        <f t="shared" si="101"/>
        <v>4.1775130063038513E-2</v>
      </c>
      <c r="V117" s="57"/>
      <c r="W117" s="55"/>
      <c r="X117" s="55"/>
      <c r="Y117" s="55"/>
      <c r="Z117" s="55"/>
      <c r="AA117" s="55"/>
      <c r="AB117" s="55"/>
      <c r="AC117" s="55"/>
      <c r="AD117" s="55"/>
      <c r="AE117" s="55"/>
      <c r="AF117" s="55"/>
      <c r="AG117" s="55"/>
      <c r="AH117" s="55"/>
      <c r="AI117" s="55"/>
      <c r="AJ117" s="55"/>
      <c r="AK117" s="55"/>
      <c r="AL117" s="55"/>
      <c r="AM117" s="55"/>
      <c r="AN117" s="55"/>
      <c r="AO117" s="55"/>
      <c r="AP117" s="55"/>
      <c r="AQ117" s="55"/>
      <c r="AR117" s="55"/>
      <c r="AS117" s="55"/>
      <c r="AT117" s="55"/>
      <c r="AU117" s="63"/>
      <c r="AV117" s="63"/>
      <c r="AW117" s="63"/>
      <c r="AX117" s="63"/>
      <c r="AY117" s="63"/>
      <c r="AZ117" s="63"/>
      <c r="BA117" s="63"/>
      <c r="BB117" s="63"/>
      <c r="BC117" s="63"/>
      <c r="BD117" s="63"/>
      <c r="BE117" s="63"/>
      <c r="BF117" s="63">
        <f t="shared" ref="BF117:BN117" si="102">+BF116/BF104</f>
        <v>2.2811918063314712E-2</v>
      </c>
      <c r="BG117" s="63">
        <f t="shared" si="102"/>
        <v>1.7818339852238158E-2</v>
      </c>
      <c r="BH117" s="63">
        <f t="shared" si="102"/>
        <v>0</v>
      </c>
      <c r="BI117" s="63">
        <f t="shared" si="102"/>
        <v>2.1910231865560518E-2</v>
      </c>
      <c r="BJ117" s="63">
        <f t="shared" si="102"/>
        <v>-7.0183382386235001E-3</v>
      </c>
      <c r="BK117" s="63">
        <f t="shared" si="102"/>
        <v>-2.1141649048625789E-3</v>
      </c>
      <c r="BL117" s="63">
        <f t="shared" si="102"/>
        <v>-1.6463414634146342E-2</v>
      </c>
      <c r="BM117" s="63">
        <f t="shared" si="102"/>
        <v>-3.4700959379465198E-3</v>
      </c>
      <c r="BN117" s="63">
        <f t="shared" si="102"/>
        <v>-1.4900353883404733E-3</v>
      </c>
      <c r="BO117" s="63">
        <f t="shared" ref="BO117:BR117" si="103">+BO116/BO104</f>
        <v>-3.1769411526187737E-2</v>
      </c>
      <c r="BP117" s="63">
        <f t="shared" si="103"/>
        <v>-5.0608927708120643E-3</v>
      </c>
      <c r="BQ117" s="63">
        <f t="shared" si="103"/>
        <v>5.4697061904855862E-2</v>
      </c>
      <c r="BR117" s="63">
        <f t="shared" si="103"/>
        <v>6.3631516679494141E-2</v>
      </c>
      <c r="BS117" s="44"/>
      <c r="BT117" s="280"/>
    </row>
    <row r="118" spans="2:72">
      <c r="B118" s="54" t="s">
        <v>141</v>
      </c>
      <c r="C118" s="7"/>
      <c r="D118" s="7"/>
      <c r="E118" s="7"/>
      <c r="F118" s="7"/>
      <c r="G118" s="57"/>
      <c r="H118" s="57"/>
      <c r="I118" s="55"/>
      <c r="J118" s="55"/>
      <c r="K118" s="55"/>
      <c r="L118" s="55"/>
      <c r="M118" s="63"/>
      <c r="N118" s="63"/>
      <c r="O118" s="63"/>
      <c r="P118" s="63">
        <f t="shared" ref="P118:U118" si="104">P116/O116-1</f>
        <v>0.5714285714285714</v>
      </c>
      <c r="Q118" s="63">
        <f t="shared" si="104"/>
        <v>-1.7662337662337662</v>
      </c>
      <c r="R118" s="63">
        <f t="shared" si="104"/>
        <v>-5.2181489601424875</v>
      </c>
      <c r="S118" s="63">
        <f t="shared" si="104"/>
        <v>1.032225459883779</v>
      </c>
      <c r="T118" s="63">
        <f t="shared" si="104"/>
        <v>6.5526752447157222E-2</v>
      </c>
      <c r="U118" s="63">
        <f t="shared" si="104"/>
        <v>6.5300498117078831E-2</v>
      </c>
      <c r="V118" s="57"/>
      <c r="W118" s="57"/>
      <c r="X118" s="57"/>
      <c r="Y118" s="57"/>
      <c r="Z118" s="57"/>
      <c r="AA118" s="58"/>
      <c r="AB118" s="58"/>
      <c r="AC118" s="58"/>
      <c r="AD118" s="58"/>
      <c r="AE118" s="55"/>
      <c r="AF118" s="55"/>
      <c r="AG118" s="55"/>
      <c r="AH118" s="55"/>
      <c r="AI118" s="55"/>
      <c r="AJ118" s="55"/>
      <c r="AK118" s="55"/>
      <c r="AL118" s="55"/>
      <c r="AM118" s="55"/>
      <c r="AN118" s="55"/>
      <c r="AO118" s="55"/>
      <c r="AP118" s="55"/>
      <c r="AQ118" s="55"/>
      <c r="AR118" s="55"/>
      <c r="AS118" s="55"/>
      <c r="AT118" s="55"/>
      <c r="AU118" s="63"/>
      <c r="AV118" s="63"/>
      <c r="AW118" s="63"/>
      <c r="AX118" s="63"/>
      <c r="AY118" s="63"/>
      <c r="AZ118" s="63"/>
      <c r="BA118" s="63"/>
      <c r="BB118" s="63"/>
      <c r="BC118" s="63"/>
      <c r="BD118" s="63"/>
      <c r="BE118" s="63"/>
      <c r="BF118" s="63"/>
      <c r="BG118" s="63"/>
      <c r="BH118" s="63"/>
      <c r="BI118" s="63"/>
      <c r="BJ118" s="63">
        <f t="shared" ref="BJ118:BR118" si="105">IFERROR(BJ116/BF116-1,"NA")</f>
        <v>-1.3163265306122449</v>
      </c>
      <c r="BK118" s="63">
        <f t="shared" si="105"/>
        <v>-1.1463414634146343</v>
      </c>
      <c r="BL118" s="63" t="str">
        <f t="shared" si="105"/>
        <v>NA</v>
      </c>
      <c r="BM118" s="63">
        <f t="shared" si="105"/>
        <v>-1.1650485436893203</v>
      </c>
      <c r="BN118" s="63">
        <f t="shared" si="105"/>
        <v>-0.74193548387096775</v>
      </c>
      <c r="BO118" s="63">
        <f t="shared" si="105"/>
        <v>14.35328644970404</v>
      </c>
      <c r="BP118" s="63">
        <f t="shared" si="105"/>
        <v>-0.63021814096406947</v>
      </c>
      <c r="BQ118" s="63">
        <f t="shared" si="105"/>
        <v>-20.167719946246219</v>
      </c>
      <c r="BR118" s="63">
        <f t="shared" si="105"/>
        <v>-49.260263273623323</v>
      </c>
    </row>
    <row r="119" spans="2:72" s="7" customFormat="1">
      <c r="B119" s="54"/>
      <c r="G119" s="55"/>
      <c r="H119" s="375"/>
      <c r="I119" s="375"/>
      <c r="J119" s="375"/>
      <c r="K119" s="375"/>
      <c r="L119" s="375"/>
      <c r="M119" s="375"/>
      <c r="N119" s="375"/>
      <c r="O119" s="375"/>
      <c r="P119" s="375"/>
      <c r="R119" s="51"/>
      <c r="S119" s="51"/>
      <c r="T119" s="375"/>
      <c r="V119" s="57"/>
      <c r="W119" s="55"/>
      <c r="X119" s="55"/>
      <c r="Y119" s="55"/>
      <c r="Z119" s="55"/>
      <c r="AA119" s="375"/>
      <c r="AB119" s="375"/>
      <c r="AC119" s="375"/>
      <c r="AD119" s="375"/>
      <c r="AE119" s="375"/>
      <c r="AF119" s="375"/>
      <c r="AG119" s="375"/>
      <c r="AH119" s="375"/>
      <c r="AI119" s="375"/>
      <c r="AJ119" s="375"/>
      <c r="AK119" s="375"/>
      <c r="AL119" s="375"/>
      <c r="AM119" s="375"/>
      <c r="AN119" s="375"/>
      <c r="AO119" s="375"/>
      <c r="AP119" s="375"/>
      <c r="AQ119" s="375"/>
      <c r="AR119" s="375"/>
      <c r="AS119" s="375"/>
      <c r="AT119" s="375"/>
      <c r="AU119" s="375"/>
      <c r="AV119" s="375"/>
      <c r="AW119" s="375"/>
      <c r="AX119" s="375"/>
      <c r="AY119" s="375"/>
      <c r="AZ119" s="375"/>
      <c r="BA119" s="375"/>
      <c r="BB119" s="375"/>
      <c r="BC119" s="375"/>
      <c r="BD119" s="375"/>
      <c r="BE119" s="375"/>
      <c r="BF119" s="375"/>
      <c r="BG119" s="375"/>
      <c r="BH119" s="375"/>
      <c r="BI119" s="375"/>
      <c r="BJ119" s="375"/>
      <c r="BK119" s="63"/>
      <c r="BL119" s="63"/>
      <c r="BM119" s="63"/>
      <c r="BN119" s="63"/>
      <c r="BO119" s="63"/>
      <c r="BP119" s="41"/>
      <c r="BQ119" s="63"/>
      <c r="BR119" s="63"/>
    </row>
    <row r="120" spans="2:72" s="7" customFormat="1">
      <c r="B120" s="59" t="s">
        <v>698</v>
      </c>
      <c r="G120" s="55"/>
      <c r="H120" s="375"/>
      <c r="I120" s="375"/>
      <c r="J120" s="375"/>
      <c r="K120" s="375"/>
      <c r="L120" s="375"/>
      <c r="M120" s="375"/>
      <c r="N120" s="375"/>
      <c r="O120" s="375"/>
      <c r="P120" s="375"/>
      <c r="Q120" s="42">
        <f>SUM(BK120:BN120)</f>
        <v>-20</v>
      </c>
      <c r="R120" s="42">
        <f>SUM(BO120:BR120)</f>
        <v>-44</v>
      </c>
      <c r="S120" s="51"/>
      <c r="T120" s="375"/>
      <c r="V120" s="57"/>
      <c r="W120" s="55"/>
      <c r="X120" s="55"/>
      <c r="Y120" s="55"/>
      <c r="Z120" s="55"/>
      <c r="AA120" s="375"/>
      <c r="AB120" s="375"/>
      <c r="AC120" s="375"/>
      <c r="AD120" s="375"/>
      <c r="AE120" s="375"/>
      <c r="AF120" s="375"/>
      <c r="AG120" s="375"/>
      <c r="AH120" s="375"/>
      <c r="AI120" s="375"/>
      <c r="AJ120" s="375"/>
      <c r="AK120" s="375"/>
      <c r="AL120" s="375"/>
      <c r="AM120" s="375"/>
      <c r="AN120" s="375"/>
      <c r="AO120" s="375"/>
      <c r="AP120" s="375"/>
      <c r="AQ120" s="375"/>
      <c r="AR120" s="375"/>
      <c r="AS120" s="375"/>
      <c r="AT120" s="375"/>
      <c r="AU120" s="375"/>
      <c r="AV120" s="375"/>
      <c r="AW120" s="375"/>
      <c r="AX120" s="375"/>
      <c r="AY120" s="375"/>
      <c r="AZ120" s="375"/>
      <c r="BA120" s="375"/>
      <c r="BB120" s="375"/>
      <c r="BC120" s="375"/>
      <c r="BD120" s="375"/>
      <c r="BE120" s="375"/>
      <c r="BF120" s="375"/>
      <c r="BG120" s="375"/>
      <c r="BH120" s="375"/>
      <c r="BI120" s="375"/>
      <c r="BJ120" s="375"/>
      <c r="BK120" s="41">
        <v>-2</v>
      </c>
      <c r="BL120" s="41">
        <v>-9</v>
      </c>
      <c r="BM120" s="41">
        <v>-3</v>
      </c>
      <c r="BN120" s="41">
        <v>-6</v>
      </c>
      <c r="BO120" s="41">
        <v>-25</v>
      </c>
      <c r="BP120" s="41">
        <v>-16</v>
      </c>
      <c r="BQ120" s="41">
        <v>-1</v>
      </c>
      <c r="BR120" s="41">
        <v>-2</v>
      </c>
    </row>
    <row r="121" spans="2:72" s="7" customFormat="1">
      <c r="B121" s="59" t="s">
        <v>699</v>
      </c>
      <c r="G121" s="55"/>
      <c r="H121" s="375"/>
      <c r="I121" s="375"/>
      <c r="J121" s="375"/>
      <c r="K121" s="375"/>
      <c r="L121" s="375"/>
      <c r="M121" s="375"/>
      <c r="N121" s="375"/>
      <c r="O121" s="375"/>
      <c r="P121" s="375"/>
      <c r="Q121" s="42">
        <f>SUM(BK121:BN121)</f>
        <v>-23</v>
      </c>
      <c r="R121" s="42">
        <f>SUM(BO121:BR121)</f>
        <v>-22</v>
      </c>
      <c r="S121" s="51"/>
      <c r="T121" s="375"/>
      <c r="V121" s="57"/>
      <c r="W121" s="55"/>
      <c r="X121" s="55"/>
      <c r="Y121" s="55"/>
      <c r="Z121" s="55"/>
      <c r="AA121" s="375"/>
      <c r="AB121" s="375"/>
      <c r="AC121" s="375"/>
      <c r="AD121" s="375"/>
      <c r="AE121" s="375"/>
      <c r="AF121" s="375"/>
      <c r="AG121" s="375"/>
      <c r="AH121" s="375"/>
      <c r="AI121" s="375"/>
      <c r="AJ121" s="375"/>
      <c r="AK121" s="375"/>
      <c r="AL121" s="375"/>
      <c r="AM121" s="375"/>
      <c r="AN121" s="375"/>
      <c r="AO121" s="375"/>
      <c r="AP121" s="375"/>
      <c r="AQ121" s="375"/>
      <c r="AR121" s="375"/>
      <c r="AS121" s="375"/>
      <c r="AT121" s="375"/>
      <c r="AU121" s="375"/>
      <c r="AV121" s="375"/>
      <c r="AW121" s="375"/>
      <c r="AX121" s="375"/>
      <c r="AY121" s="375"/>
      <c r="AZ121" s="375"/>
      <c r="BA121" s="375"/>
      <c r="BB121" s="375"/>
      <c r="BC121" s="375"/>
      <c r="BD121" s="375"/>
      <c r="BE121" s="375"/>
      <c r="BF121" s="375"/>
      <c r="BG121" s="375"/>
      <c r="BH121" s="375"/>
      <c r="BI121" s="375"/>
      <c r="BJ121" s="375"/>
      <c r="BK121" s="41">
        <v>0</v>
      </c>
      <c r="BL121" s="41">
        <v>-9</v>
      </c>
      <c r="BM121" s="41">
        <v>-1</v>
      </c>
      <c r="BN121" s="41">
        <v>-13</v>
      </c>
      <c r="BO121" s="41">
        <v>-15</v>
      </c>
      <c r="BP121" s="41">
        <v>-7</v>
      </c>
      <c r="BQ121" s="41">
        <v>0</v>
      </c>
      <c r="BR121" s="41">
        <v>0</v>
      </c>
    </row>
    <row r="122" spans="2:72" s="36" customFormat="1">
      <c r="B122" s="59" t="s">
        <v>638</v>
      </c>
      <c r="H122" s="42"/>
      <c r="I122" s="42"/>
      <c r="J122" s="42"/>
      <c r="K122" s="42"/>
      <c r="L122" s="42"/>
      <c r="M122" s="42"/>
      <c r="N122" s="42"/>
      <c r="O122" s="42"/>
      <c r="P122" s="42">
        <f>SUM(BG122:BJ122)</f>
        <v>-28</v>
      </c>
      <c r="Q122" s="42">
        <f>SUM(BK122:BN122)</f>
        <v>-43</v>
      </c>
      <c r="R122" s="42">
        <f>SUM(BO122:BR122)</f>
        <v>-66</v>
      </c>
      <c r="S122" s="42">
        <f>AVERAGE(P122:R122)</f>
        <v>-45.666666666666664</v>
      </c>
      <c r="T122" s="346">
        <f>+S122</f>
        <v>-45.666666666666664</v>
      </c>
      <c r="U122" s="346">
        <f>+T122</f>
        <v>-45.666666666666664</v>
      </c>
      <c r="W122" s="42"/>
      <c r="X122" s="42"/>
      <c r="Y122" s="42"/>
      <c r="Z122" s="42"/>
      <c r="AA122" s="42"/>
      <c r="AB122" s="42"/>
      <c r="AC122" s="42"/>
      <c r="AD122" s="42"/>
      <c r="AE122" s="42"/>
      <c r="AF122" s="42"/>
      <c r="AG122" s="42"/>
      <c r="AH122" s="42"/>
      <c r="AI122" s="42"/>
      <c r="AJ122" s="42"/>
      <c r="AK122" s="42"/>
      <c r="AL122" s="42"/>
      <c r="AM122" s="42"/>
      <c r="AN122" s="42"/>
      <c r="AO122" s="42"/>
      <c r="AP122" s="42"/>
      <c r="AQ122" s="42"/>
      <c r="AR122" s="42"/>
      <c r="AS122" s="42"/>
      <c r="AT122" s="42"/>
      <c r="AU122" s="42"/>
      <c r="AV122" s="42"/>
      <c r="AW122" s="42"/>
      <c r="AX122" s="42"/>
      <c r="AY122" s="42"/>
      <c r="AZ122" s="42"/>
      <c r="BA122" s="42"/>
      <c r="BB122" s="42"/>
      <c r="BC122" s="42"/>
      <c r="BD122" s="42"/>
      <c r="BE122" s="42"/>
      <c r="BF122" s="42"/>
      <c r="BG122" s="41">
        <v>-3</v>
      </c>
      <c r="BH122" s="41">
        <v>-20</v>
      </c>
      <c r="BI122" s="41">
        <v>-2</v>
      </c>
      <c r="BJ122" s="41">
        <v>-3</v>
      </c>
      <c r="BK122" s="42">
        <f>SUM(BK120:BK121)</f>
        <v>-2</v>
      </c>
      <c r="BL122" s="42">
        <f t="shared" ref="BL122:BN122" si="106">SUM(BL120:BL121)</f>
        <v>-18</v>
      </c>
      <c r="BM122" s="42">
        <f t="shared" si="106"/>
        <v>-4</v>
      </c>
      <c r="BN122" s="42">
        <f t="shared" si="106"/>
        <v>-19</v>
      </c>
      <c r="BO122" s="42">
        <f t="shared" ref="BO122" si="107">SUM(BO120:BO121)</f>
        <v>-40</v>
      </c>
      <c r="BP122" s="42">
        <f t="shared" ref="BP122" si="108">SUM(BP120:BP121)</f>
        <v>-23</v>
      </c>
      <c r="BQ122" s="42">
        <f t="shared" ref="BQ122" si="109">SUM(BQ120:BQ121)</f>
        <v>-1</v>
      </c>
      <c r="BR122" s="42">
        <f t="shared" ref="BR122" si="110">SUM(BR120:BR121)</f>
        <v>-2</v>
      </c>
      <c r="BT122" s="34"/>
    </row>
    <row r="123" spans="2:72" s="36" customFormat="1">
      <c r="B123" s="59"/>
      <c r="H123" s="42"/>
      <c r="I123" s="42"/>
      <c r="J123" s="42"/>
      <c r="K123" s="42"/>
      <c r="L123" s="42"/>
      <c r="M123" s="42"/>
      <c r="N123" s="42"/>
      <c r="O123" s="42"/>
      <c r="P123" s="42"/>
      <c r="Q123" s="42"/>
      <c r="R123" s="47"/>
      <c r="S123" s="346"/>
      <c r="T123" s="346"/>
      <c r="U123" s="346"/>
      <c r="W123" s="42"/>
      <c r="X123" s="42"/>
      <c r="Y123" s="42"/>
      <c r="Z123" s="42"/>
      <c r="AA123" s="42"/>
      <c r="AB123" s="42"/>
      <c r="AC123" s="42"/>
      <c r="AD123" s="42"/>
      <c r="AE123" s="42"/>
      <c r="AF123" s="42"/>
      <c r="AG123" s="42"/>
      <c r="AH123" s="42"/>
      <c r="AI123" s="42"/>
      <c r="AJ123" s="42"/>
      <c r="AK123" s="42"/>
      <c r="AL123" s="42"/>
      <c r="AM123" s="42"/>
      <c r="AN123" s="42"/>
      <c r="AO123" s="42"/>
      <c r="AP123" s="42"/>
      <c r="AQ123" s="42"/>
      <c r="AR123" s="42"/>
      <c r="AS123" s="42"/>
      <c r="AT123" s="42"/>
      <c r="AU123" s="42"/>
      <c r="AV123" s="42"/>
      <c r="AW123" s="42"/>
      <c r="AX123" s="42"/>
      <c r="AY123" s="42"/>
      <c r="AZ123" s="42"/>
      <c r="BA123" s="42"/>
      <c r="BB123" s="42"/>
      <c r="BC123" s="42"/>
      <c r="BD123" s="42"/>
      <c r="BE123" s="42"/>
      <c r="BF123" s="42"/>
      <c r="BG123" s="41"/>
      <c r="BH123" s="41"/>
      <c r="BI123" s="41"/>
      <c r="BJ123" s="41"/>
      <c r="BK123" s="41"/>
      <c r="BL123" s="41"/>
      <c r="BM123" s="41"/>
      <c r="BN123" s="41"/>
      <c r="BO123" s="41"/>
      <c r="BP123" s="41"/>
      <c r="BQ123" s="41"/>
      <c r="BR123" s="41"/>
      <c r="BT123" s="34"/>
    </row>
    <row r="124" spans="2:72">
      <c r="B124" s="68" t="s">
        <v>316</v>
      </c>
      <c r="P124" s="44"/>
      <c r="Q124" s="44"/>
      <c r="R124" s="26"/>
      <c r="BE124" s="24"/>
      <c r="BF124" s="24"/>
      <c r="BG124" s="24"/>
      <c r="BH124" s="24"/>
      <c r="BI124" s="24"/>
      <c r="BJ124" s="48"/>
      <c r="BK124" s="24"/>
      <c r="BL124" s="24"/>
      <c r="BM124" s="24"/>
      <c r="BN124" s="48"/>
      <c r="BO124" s="48"/>
      <c r="BP124" s="48"/>
      <c r="BQ124" s="48"/>
      <c r="BR124" s="48"/>
    </row>
    <row r="125" spans="2:72">
      <c r="B125" s="324" t="s">
        <v>117</v>
      </c>
      <c r="F125" s="69"/>
      <c r="G125" s="69"/>
      <c r="H125" s="69"/>
      <c r="I125" s="69"/>
      <c r="J125" s="69"/>
      <c r="K125" s="69"/>
      <c r="L125" s="69"/>
      <c r="M125" s="69"/>
      <c r="N125" s="69"/>
      <c r="O125" s="69"/>
      <c r="P125" s="69"/>
      <c r="Q125" s="34">
        <f>SUM(BK125:BN125)</f>
        <v>211.7</v>
      </c>
      <c r="R125" s="34">
        <f>SUM(BO125:BR125)</f>
        <v>292.88827229460571</v>
      </c>
      <c r="S125" s="34">
        <f>+S131*R104</f>
        <v>35.61376158441908</v>
      </c>
      <c r="T125" s="34">
        <f>+T131*S104</f>
        <v>37.394449663640039</v>
      </c>
      <c r="U125" s="34">
        <f>+U131*T104</f>
        <v>39.264172146822041</v>
      </c>
      <c r="V125" s="69"/>
      <c r="W125" s="69"/>
      <c r="X125" s="69"/>
      <c r="Y125" s="69"/>
      <c r="Z125" s="69"/>
      <c r="AA125" s="69"/>
      <c r="AB125" s="69"/>
      <c r="AC125" s="69"/>
      <c r="AD125" s="69"/>
      <c r="AE125" s="69"/>
      <c r="AF125" s="69"/>
      <c r="AG125" s="69"/>
      <c r="AH125" s="69"/>
      <c r="AI125" s="69"/>
      <c r="AJ125" s="69"/>
      <c r="AK125" s="69"/>
      <c r="AL125" s="69"/>
      <c r="AM125" s="69"/>
      <c r="AN125" s="69"/>
      <c r="AO125" s="69"/>
      <c r="AP125" s="69"/>
      <c r="AQ125" s="69"/>
      <c r="AR125" s="69"/>
      <c r="AS125" s="69"/>
      <c r="AT125" s="69"/>
      <c r="AU125" s="69"/>
      <c r="AV125" s="69"/>
      <c r="AW125" s="69"/>
      <c r="AX125" s="69"/>
      <c r="AY125" s="69"/>
      <c r="AZ125" s="69"/>
      <c r="BA125" s="69"/>
      <c r="BB125" s="69"/>
      <c r="BC125" s="69"/>
      <c r="BD125" s="69"/>
      <c r="BE125" s="69"/>
      <c r="BF125" s="69"/>
      <c r="BG125" s="69"/>
      <c r="BH125" s="69"/>
      <c r="BI125" s="69"/>
      <c r="BJ125" s="69"/>
      <c r="BK125" s="300">
        <v>46.6</v>
      </c>
      <c r="BL125" s="300">
        <v>42</v>
      </c>
      <c r="BM125" s="300">
        <v>45.7</v>
      </c>
      <c r="BN125" s="300">
        <f>211.7-SUM(BK125:BM125)</f>
        <v>77.399999999999977</v>
      </c>
      <c r="BO125" s="34">
        <f>BK104*BO131</f>
        <v>97.467132879306575</v>
      </c>
      <c r="BP125" s="34">
        <f>BL104*BP131</f>
        <v>82.618869905640324</v>
      </c>
      <c r="BQ125" s="34">
        <f>BM104*BQ131</f>
        <v>61.747103178184673</v>
      </c>
      <c r="BR125" s="34">
        <f>BN104*BR131</f>
        <v>51.05516633147414</v>
      </c>
    </row>
    <row r="126" spans="2:72" ht="12.75" customHeight="1">
      <c r="B126" s="324" t="s">
        <v>317</v>
      </c>
      <c r="F126" s="69"/>
      <c r="G126" s="69"/>
      <c r="H126" s="69"/>
      <c r="I126" s="69"/>
      <c r="J126" s="69"/>
      <c r="K126" s="69"/>
      <c r="L126" s="69"/>
      <c r="M126" s="69"/>
      <c r="N126" s="69"/>
      <c r="O126" s="69"/>
      <c r="P126" s="69"/>
      <c r="Q126" s="36">
        <f>SUM(BK126:BN126)</f>
        <v>52.7</v>
      </c>
      <c r="R126" s="36">
        <f>SUM(BO126:BR126)</f>
        <v>-5.037500000000005</v>
      </c>
      <c r="S126" s="36">
        <f>+S132*R104</f>
        <v>83.098777030311211</v>
      </c>
      <c r="T126" s="36">
        <f>+T132*S104</f>
        <v>87.253715881826778</v>
      </c>
      <c r="U126" s="36">
        <f>+U132*T104</f>
        <v>91.616401675918112</v>
      </c>
      <c r="V126" s="69"/>
      <c r="W126" s="40"/>
      <c r="X126" s="40"/>
      <c r="Y126" s="40"/>
      <c r="Z126" s="40"/>
      <c r="AA126" s="40"/>
      <c r="AB126" s="40"/>
      <c r="AC126" s="40"/>
      <c r="AD126" s="40"/>
      <c r="AE126" s="40"/>
      <c r="AF126" s="40"/>
      <c r="AG126" s="40"/>
      <c r="AH126" s="40"/>
      <c r="AI126" s="40"/>
      <c r="AJ126" s="40"/>
      <c r="AK126" s="40"/>
      <c r="AL126" s="40"/>
      <c r="AM126" s="40"/>
      <c r="AN126" s="40"/>
      <c r="AO126" s="40"/>
      <c r="AP126" s="40"/>
      <c r="AQ126" s="40"/>
      <c r="AR126" s="40"/>
      <c r="AS126" s="40"/>
      <c r="AT126" s="40"/>
      <c r="AU126" s="40"/>
      <c r="AV126" s="40"/>
      <c r="AW126" s="40"/>
      <c r="AX126" s="40"/>
      <c r="AY126" s="40"/>
      <c r="AZ126" s="40"/>
      <c r="BA126" s="40"/>
      <c r="BB126" s="40"/>
      <c r="BC126" s="40"/>
      <c r="BD126" s="40"/>
      <c r="BE126" s="40"/>
      <c r="BF126" s="40"/>
      <c r="BG126" s="40"/>
      <c r="BH126" s="40"/>
      <c r="BI126" s="40"/>
      <c r="BJ126" s="40"/>
      <c r="BK126" s="46">
        <f>(BK104-BG104)-BK125</f>
        <v>60.800000000000033</v>
      </c>
      <c r="BL126" s="46">
        <f>(BL104-BH104)-BL125</f>
        <v>0</v>
      </c>
      <c r="BM126" s="46">
        <v>-25.9</v>
      </c>
      <c r="BN126" s="46">
        <f>52.7-SUM(BK126:BM126)</f>
        <v>17.799999999999969</v>
      </c>
      <c r="BO126" s="45">
        <f>BK104*BO132</f>
        <v>-85.14</v>
      </c>
      <c r="BP126" s="45">
        <f>BL104*BP132</f>
        <v>17.220000000000002</v>
      </c>
      <c r="BQ126" s="45">
        <f>BM104*BQ132</f>
        <v>44.090999999999994</v>
      </c>
      <c r="BR126" s="45">
        <f>BN104*BR132</f>
        <v>18.791500000000003</v>
      </c>
    </row>
    <row r="127" spans="2:72">
      <c r="B127" s="184" t="s">
        <v>380</v>
      </c>
      <c r="C127" s="7"/>
      <c r="D127" s="7"/>
      <c r="E127" s="7"/>
      <c r="F127" s="7"/>
      <c r="G127" s="60"/>
      <c r="H127" s="60"/>
      <c r="I127" s="60"/>
      <c r="J127" s="60"/>
      <c r="K127" s="60"/>
      <c r="L127" s="60"/>
      <c r="M127" s="60"/>
      <c r="N127" s="60"/>
      <c r="O127" s="60"/>
      <c r="P127" s="60"/>
      <c r="Q127" s="60">
        <f>SUM(Q125:Q126)</f>
        <v>264.39999999999998</v>
      </c>
      <c r="R127" s="60">
        <f>SUM(R125:R126)</f>
        <v>287.85077229460569</v>
      </c>
      <c r="S127" s="60">
        <f>SUM(S125:S126)</f>
        <v>118.71253861473029</v>
      </c>
      <c r="T127" s="60">
        <f>SUM(T125:T126)</f>
        <v>124.64816554546681</v>
      </c>
      <c r="U127" s="60">
        <f>SUM(U125:U126)</f>
        <v>130.88057382274016</v>
      </c>
      <c r="V127" s="69"/>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f t="shared" ref="BK127:BR127" si="111">SUM(BK125:BK126)</f>
        <v>107.40000000000003</v>
      </c>
      <c r="BL127" s="60">
        <f t="shared" si="111"/>
        <v>42</v>
      </c>
      <c r="BM127" s="60">
        <f t="shared" si="111"/>
        <v>19.800000000000004</v>
      </c>
      <c r="BN127" s="60">
        <f t="shared" si="111"/>
        <v>95.199999999999946</v>
      </c>
      <c r="BO127" s="60">
        <f t="shared" si="111"/>
        <v>12.327132879306575</v>
      </c>
      <c r="BP127" s="60">
        <f t="shared" si="111"/>
        <v>99.838869905640323</v>
      </c>
      <c r="BQ127" s="60">
        <f t="shared" si="111"/>
        <v>105.83810317818467</v>
      </c>
      <c r="BR127" s="60">
        <f t="shared" si="111"/>
        <v>69.84666633147414</v>
      </c>
    </row>
    <row r="128" spans="2:72" s="73" customFormat="1" ht="12.75" customHeight="1">
      <c r="B128" s="364" t="s">
        <v>122</v>
      </c>
      <c r="F128" s="298"/>
      <c r="G128" s="365"/>
      <c r="H128" s="365"/>
      <c r="I128" s="365"/>
      <c r="J128" s="365"/>
      <c r="K128" s="365"/>
      <c r="L128" s="365"/>
      <c r="M128" s="366"/>
      <c r="N128" s="366"/>
      <c r="O128" s="366"/>
      <c r="P128" s="366"/>
      <c r="Q128" s="366">
        <f>Q127-(Q104-P104)</f>
        <v>0</v>
      </c>
      <c r="R128" s="366">
        <f>R127-(R104-Q104)</f>
        <v>0</v>
      </c>
      <c r="S128" s="366">
        <f>S127-(S104-R104)</f>
        <v>-1.2789769243681803E-13</v>
      </c>
      <c r="T128" s="366">
        <f>T127-(T104-S104)</f>
        <v>0</v>
      </c>
      <c r="U128" s="366">
        <f>U127-(U104-T104)</f>
        <v>0</v>
      </c>
      <c r="V128" s="367"/>
      <c r="W128" s="365"/>
      <c r="X128" s="365"/>
      <c r="Y128" s="365"/>
      <c r="Z128" s="365"/>
      <c r="AA128" s="365"/>
      <c r="AB128" s="365"/>
      <c r="AC128" s="365"/>
      <c r="AD128" s="365"/>
      <c r="AE128" s="365"/>
      <c r="AF128" s="365"/>
      <c r="AG128" s="365"/>
      <c r="AH128" s="365"/>
      <c r="AI128" s="365"/>
      <c r="AJ128" s="365"/>
      <c r="AK128" s="365"/>
      <c r="AL128" s="365"/>
      <c r="AM128" s="365"/>
      <c r="AN128" s="365"/>
      <c r="AO128" s="365"/>
      <c r="AP128" s="365"/>
      <c r="AQ128" s="365"/>
      <c r="AR128" s="365"/>
      <c r="AS128" s="365"/>
      <c r="AT128" s="365"/>
      <c r="AU128" s="366"/>
      <c r="AV128" s="366"/>
      <c r="AW128" s="366"/>
      <c r="AX128" s="366"/>
      <c r="AY128" s="366"/>
      <c r="AZ128" s="366"/>
      <c r="BA128" s="366"/>
      <c r="BB128" s="366"/>
      <c r="BC128" s="366"/>
      <c r="BD128" s="366"/>
      <c r="BE128" s="366"/>
      <c r="BF128" s="366"/>
      <c r="BG128" s="366"/>
      <c r="BH128" s="366"/>
      <c r="BI128" s="366"/>
      <c r="BJ128" s="366"/>
      <c r="BK128" s="366"/>
      <c r="BL128" s="366">
        <f t="shared" ref="BL128:BR128" si="112">BL127-(BL104-BH104)</f>
        <v>0</v>
      </c>
      <c r="BM128" s="366">
        <f t="shared" si="112"/>
        <v>4.9737991503207013E-14</v>
      </c>
      <c r="BN128" s="366">
        <f t="shared" si="112"/>
        <v>0</v>
      </c>
      <c r="BO128" s="366">
        <f t="shared" si="112"/>
        <v>4.2632564145606011E-14</v>
      </c>
      <c r="BP128" s="366">
        <f t="shared" si="112"/>
        <v>0</v>
      </c>
      <c r="BQ128" s="366">
        <f t="shared" si="112"/>
        <v>0</v>
      </c>
      <c r="BR128" s="366">
        <f t="shared" si="112"/>
        <v>0</v>
      </c>
    </row>
    <row r="129" spans="2:72">
      <c r="B129" s="192"/>
      <c r="C129" s="7"/>
      <c r="D129" s="7"/>
      <c r="E129" s="7"/>
      <c r="F129" s="7"/>
      <c r="G129" s="57"/>
      <c r="H129" s="57"/>
      <c r="I129" s="57"/>
      <c r="J129" s="57"/>
      <c r="K129" s="57"/>
      <c r="L129" s="57"/>
      <c r="M129" s="57"/>
      <c r="N129" s="57"/>
      <c r="O129" s="57"/>
      <c r="P129" s="14"/>
      <c r="Q129" s="57"/>
      <c r="R129" s="57"/>
      <c r="S129" s="57"/>
      <c r="T129" s="57"/>
      <c r="U129" s="57"/>
      <c r="V129" s="69"/>
      <c r="W129" s="57"/>
      <c r="X129" s="57"/>
      <c r="Y129" s="57"/>
      <c r="Z129" s="57"/>
      <c r="AA129" s="58"/>
      <c r="AB129" s="58"/>
      <c r="AC129" s="58"/>
      <c r="AD129" s="58"/>
      <c r="AE129" s="58"/>
      <c r="AF129" s="58"/>
      <c r="AG129" s="58"/>
      <c r="AH129" s="58"/>
      <c r="AI129" s="58"/>
      <c r="AJ129" s="58"/>
      <c r="AK129" s="58"/>
      <c r="AL129" s="58"/>
      <c r="AM129" s="58"/>
      <c r="AN129" s="58"/>
      <c r="AO129" s="58"/>
      <c r="AP129" s="58"/>
      <c r="AQ129" s="58"/>
      <c r="AR129" s="58"/>
      <c r="AS129" s="58"/>
      <c r="AT129" s="58"/>
      <c r="AU129" s="58"/>
      <c r="AV129" s="58"/>
      <c r="AW129" s="58"/>
      <c r="AX129" s="58"/>
      <c r="AY129" s="58"/>
      <c r="AZ129" s="58"/>
      <c r="BA129" s="58"/>
      <c r="BB129" s="58"/>
      <c r="BC129" s="58"/>
      <c r="BD129" s="58"/>
      <c r="BE129" s="58"/>
      <c r="BF129" s="57"/>
      <c r="BG129" s="81"/>
      <c r="BH129" s="81"/>
      <c r="BI129" s="81"/>
      <c r="BJ129" s="81"/>
      <c r="BK129" s="84"/>
      <c r="BL129" s="84"/>
      <c r="BM129" s="84"/>
      <c r="BN129" s="84"/>
      <c r="BO129" s="34"/>
      <c r="BP129" s="64"/>
      <c r="BQ129" s="64"/>
      <c r="BR129" s="64"/>
    </row>
    <row r="130" spans="2:72">
      <c r="B130" s="68" t="s">
        <v>194</v>
      </c>
      <c r="P130" s="44"/>
      <c r="Q130" s="26"/>
      <c r="BJ130" s="529"/>
      <c r="BK130" s="84"/>
      <c r="BL130" s="84"/>
      <c r="BM130" s="84"/>
      <c r="BN130" s="437"/>
      <c r="BO130" s="64"/>
      <c r="BP130" s="64"/>
      <c r="BQ130" s="64"/>
      <c r="BR130" s="64"/>
    </row>
    <row r="131" spans="2:72">
      <c r="B131" s="385" t="s">
        <v>327</v>
      </c>
      <c r="M131" s="48"/>
      <c r="N131" s="48"/>
      <c r="O131" s="48"/>
      <c r="P131" s="48"/>
      <c r="Q131" s="377">
        <f t="shared" ref="Q131:R131" si="113">Q125/P$104</f>
        <v>0.11619099890230514</v>
      </c>
      <c r="R131" s="377">
        <f t="shared" si="113"/>
        <v>0.14037973173629492</v>
      </c>
      <c r="S131" s="64">
        <f>S136*S137</f>
        <v>1.4999999999999999E-2</v>
      </c>
      <c r="T131" s="64">
        <f t="shared" ref="T131:U131" si="114">T136*T137</f>
        <v>1.4999999999999999E-2</v>
      </c>
      <c r="U131" s="64">
        <f t="shared" si="114"/>
        <v>1.4999999999999999E-2</v>
      </c>
      <c r="V131" s="48"/>
      <c r="W131" s="48"/>
      <c r="X131" s="48"/>
      <c r="Y131" s="48"/>
      <c r="Z131" s="48"/>
      <c r="AA131" s="48"/>
      <c r="AB131" s="48"/>
      <c r="AC131" s="48"/>
      <c r="AD131" s="48"/>
      <c r="AE131" s="48"/>
      <c r="AF131" s="48"/>
      <c r="AG131" s="48"/>
      <c r="AH131" s="48"/>
      <c r="AI131" s="48"/>
      <c r="AJ131" s="48"/>
      <c r="AK131" s="48"/>
      <c r="AL131" s="48"/>
      <c r="AM131" s="48"/>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377"/>
      <c r="BK131" s="377">
        <f t="shared" ref="BK131:BN131" si="115">BK125/BG$104</f>
        <v>0.10126032159930466</v>
      </c>
      <c r="BL131" s="377">
        <f t="shared" si="115"/>
        <v>9.3333333333333338E-2</v>
      </c>
      <c r="BM131" s="377">
        <f t="shared" si="115"/>
        <v>9.7213358859817064E-2</v>
      </c>
      <c r="BN131" s="377">
        <f t="shared" si="115"/>
        <v>0.17523205795788993</v>
      </c>
      <c r="BO131" s="64">
        <f>BO136*BO137</f>
        <v>0.17171799309250629</v>
      </c>
      <c r="BP131" s="64">
        <f t="shared" ref="BP131:BR131" si="116">BP136*BP137</f>
        <v>0.16792453232853724</v>
      </c>
      <c r="BQ131" s="64">
        <f t="shared" si="116"/>
        <v>0.12604021877563723</v>
      </c>
      <c r="BR131" s="64">
        <f t="shared" si="116"/>
        <v>9.5092505739381897E-2</v>
      </c>
    </row>
    <row r="132" spans="2:72">
      <c r="B132" s="385" t="s">
        <v>191</v>
      </c>
      <c r="M132" s="48"/>
      <c r="N132" s="48"/>
      <c r="O132" s="48"/>
      <c r="P132" s="48"/>
      <c r="Q132" s="377">
        <f>Q126/P$104</f>
        <v>2.8924259055982435E-2</v>
      </c>
      <c r="R132" s="377">
        <f>R126/Q$104</f>
        <v>-2.4144459355828242E-3</v>
      </c>
      <c r="S132" s="64">
        <v>3.5000000000000003E-2</v>
      </c>
      <c r="T132" s="64">
        <v>3.5000000000000003E-2</v>
      </c>
      <c r="U132" s="64">
        <v>3.5000000000000003E-2</v>
      </c>
      <c r="V132" s="48"/>
      <c r="W132" s="48"/>
      <c r="X132" s="48"/>
      <c r="Y132" s="48"/>
      <c r="Z132" s="48"/>
      <c r="AA132" s="48"/>
      <c r="AB132" s="48"/>
      <c r="AC132" s="48"/>
      <c r="AD132" s="48"/>
      <c r="AE132" s="48"/>
      <c r="AF132" s="48"/>
      <c r="AG132" s="48"/>
      <c r="AH132" s="48"/>
      <c r="AI132" s="48"/>
      <c r="AJ132" s="48"/>
      <c r="AK132" s="48"/>
      <c r="AL132" s="48"/>
      <c r="AM132" s="48"/>
      <c r="AN132" s="64"/>
      <c r="AO132" s="64"/>
      <c r="AP132" s="64"/>
      <c r="AQ132" s="64"/>
      <c r="AR132" s="64"/>
      <c r="AS132" s="64"/>
      <c r="AT132" s="64"/>
      <c r="AU132" s="64"/>
      <c r="AV132" s="64"/>
      <c r="AW132" s="64"/>
      <c r="AX132" s="64"/>
      <c r="AY132" s="64"/>
      <c r="AZ132" s="64"/>
      <c r="BA132" s="64"/>
      <c r="BB132" s="64"/>
      <c r="BC132" s="64"/>
      <c r="BD132" s="64"/>
      <c r="BE132" s="64"/>
      <c r="BF132" s="64"/>
      <c r="BG132" s="64"/>
      <c r="BH132" s="64"/>
      <c r="BI132" s="64"/>
      <c r="BJ132" s="377"/>
      <c r="BK132" s="377">
        <f>BK126/BG$104</f>
        <v>0.13211647109952201</v>
      </c>
      <c r="BL132" s="377">
        <f>BL126/BH$104</f>
        <v>0</v>
      </c>
      <c r="BM132" s="377">
        <f>BM126/BI$104</f>
        <v>-5.5094660710487124E-2</v>
      </c>
      <c r="BN132" s="377">
        <f>BN126/BJ$104</f>
        <v>4.0298845370160673E-2</v>
      </c>
      <c r="BO132" s="64">
        <v>-0.15</v>
      </c>
      <c r="BP132" s="64">
        <v>3.5000000000000003E-2</v>
      </c>
      <c r="BQ132" s="64">
        <v>0.09</v>
      </c>
      <c r="BR132" s="64">
        <v>3.5000000000000003E-2</v>
      </c>
    </row>
    <row r="133" spans="2:72">
      <c r="B133" s="385" t="s">
        <v>188</v>
      </c>
      <c r="G133" s="71"/>
      <c r="H133" s="71"/>
      <c r="I133" s="72"/>
      <c r="J133" s="72"/>
      <c r="K133" s="72"/>
      <c r="L133" s="72"/>
      <c r="M133" s="72"/>
      <c r="N133" s="72"/>
      <c r="O133" s="381"/>
      <c r="P133" s="382"/>
      <c r="Q133" s="381">
        <f>Q127/P$104</f>
        <v>0.14511525795828756</v>
      </c>
      <c r="R133" s="381">
        <f>R127/Q$104</f>
        <v>0.13796528580071207</v>
      </c>
      <c r="S133" s="381">
        <f>SUM(S131:S132)</f>
        <v>0.05</v>
      </c>
      <c r="T133" s="381">
        <f>SUM(T131:T132)</f>
        <v>0.05</v>
      </c>
      <c r="U133" s="381">
        <f>SUM(U131:U132)</f>
        <v>0.05</v>
      </c>
      <c r="V133" s="280"/>
      <c r="W133" s="381"/>
      <c r="X133" s="381"/>
      <c r="Y133" s="381"/>
      <c r="Z133" s="381"/>
      <c r="AA133" s="381"/>
      <c r="AB133" s="381"/>
      <c r="AC133" s="381"/>
      <c r="AD133" s="381"/>
      <c r="AE133" s="381"/>
      <c r="AF133" s="381"/>
      <c r="AG133" s="381"/>
      <c r="AH133" s="381"/>
      <c r="AI133" s="381"/>
      <c r="AJ133" s="381"/>
      <c r="AK133" s="381"/>
      <c r="AL133" s="381"/>
      <c r="AM133" s="381"/>
      <c r="AN133" s="381"/>
      <c r="AO133" s="381"/>
      <c r="AP133" s="381"/>
      <c r="AQ133" s="381"/>
      <c r="AR133" s="381"/>
      <c r="AS133" s="381"/>
      <c r="AT133" s="381"/>
      <c r="AU133" s="381"/>
      <c r="AV133" s="381"/>
      <c r="AW133" s="381"/>
      <c r="AX133" s="381"/>
      <c r="AY133" s="381"/>
      <c r="AZ133" s="381"/>
      <c r="BA133" s="381"/>
      <c r="BB133" s="381"/>
      <c r="BC133" s="381"/>
      <c r="BD133" s="381"/>
      <c r="BE133" s="381"/>
      <c r="BF133" s="381"/>
      <c r="BG133" s="381"/>
      <c r="BH133" s="381"/>
      <c r="BI133" s="381"/>
      <c r="BJ133" s="386"/>
      <c r="BK133" s="386">
        <f>BK127/BG$104</f>
        <v>0.23337679269882669</v>
      </c>
      <c r="BL133" s="386">
        <f>BL127/BH$104</f>
        <v>9.3333333333333338E-2</v>
      </c>
      <c r="BM133" s="386">
        <f>BM127/BI$104</f>
        <v>4.2118698149329933E-2</v>
      </c>
      <c r="BN133" s="381">
        <f>SUM(BN131:BN132)</f>
        <v>0.21553090332805061</v>
      </c>
      <c r="BO133" s="381">
        <f>SUM(BO131:BO132)</f>
        <v>2.1717993092506299E-2</v>
      </c>
      <c r="BP133" s="381">
        <f>SUM(BP131:BP132)</f>
        <v>0.20292453232853724</v>
      </c>
      <c r="BQ133" s="381">
        <f>SUM(BQ131:BQ132)</f>
        <v>0.21604021877563723</v>
      </c>
      <c r="BR133" s="381">
        <f>SUM(BR131:BR132)</f>
        <v>0.13009250573938191</v>
      </c>
      <c r="BT133" s="48"/>
    </row>
    <row r="134" spans="2:72">
      <c r="B134" s="385"/>
      <c r="G134" s="7"/>
      <c r="H134" s="7"/>
      <c r="I134" s="12"/>
      <c r="J134" s="12"/>
      <c r="K134" s="12"/>
      <c r="L134" s="12"/>
      <c r="M134" s="12"/>
      <c r="N134" s="12"/>
      <c r="O134" s="437"/>
      <c r="P134" s="529"/>
      <c r="Q134" s="437"/>
      <c r="R134" s="437"/>
      <c r="S134" s="437"/>
      <c r="T134" s="437"/>
      <c r="U134" s="437"/>
      <c r="V134" s="280"/>
      <c r="W134" s="437"/>
      <c r="X134" s="437"/>
      <c r="Y134" s="437"/>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437"/>
      <c r="BA134" s="437"/>
      <c r="BB134" s="437"/>
      <c r="BC134" s="437"/>
      <c r="BD134" s="437"/>
      <c r="BE134" s="437"/>
      <c r="BF134" s="437"/>
      <c r="BG134" s="437"/>
      <c r="BH134" s="437"/>
      <c r="BI134" s="437"/>
      <c r="BJ134" s="529"/>
      <c r="BK134" s="530"/>
      <c r="BL134" s="530"/>
      <c r="BM134" s="530"/>
      <c r="BN134" s="437"/>
      <c r="BO134" s="437"/>
      <c r="BP134" s="437"/>
      <c r="BQ134" s="437"/>
      <c r="BR134" s="437"/>
      <c r="BT134" s="48"/>
    </row>
    <row r="135" spans="2:72">
      <c r="B135" s="68" t="s">
        <v>679</v>
      </c>
      <c r="G135" s="7"/>
      <c r="H135" s="7"/>
      <c r="I135" s="12"/>
      <c r="J135" s="12"/>
      <c r="K135" s="12"/>
      <c r="L135" s="12"/>
      <c r="M135" s="12"/>
      <c r="N135" s="12"/>
      <c r="O135" s="437"/>
      <c r="P135" s="529"/>
      <c r="Q135" s="437"/>
      <c r="R135" s="437"/>
      <c r="S135" s="437"/>
      <c r="T135" s="437"/>
      <c r="U135" s="437"/>
      <c r="V135" s="280"/>
      <c r="W135" s="437"/>
      <c r="X135" s="437"/>
      <c r="Y135" s="437"/>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437"/>
      <c r="BA135" s="437"/>
      <c r="BB135" s="437"/>
      <c r="BC135" s="437"/>
      <c r="BD135" s="437"/>
      <c r="BE135" s="437"/>
      <c r="BF135" s="437"/>
      <c r="BG135" s="437"/>
      <c r="BH135" s="437"/>
      <c r="BI135" s="437"/>
      <c r="BJ135" s="529"/>
      <c r="BK135" s="530"/>
      <c r="BL135" s="530"/>
      <c r="BM135" s="530"/>
      <c r="BN135" s="437"/>
      <c r="BO135" s="437"/>
      <c r="BP135" s="437"/>
      <c r="BQ135" s="437"/>
      <c r="BR135" s="437"/>
      <c r="BT135" s="48"/>
    </row>
    <row r="136" spans="2:72">
      <c r="B136" s="385" t="s">
        <v>682</v>
      </c>
      <c r="G136" s="7"/>
      <c r="H136" s="7"/>
      <c r="I136" s="12"/>
      <c r="J136" s="12"/>
      <c r="K136" s="12"/>
      <c r="L136" s="12"/>
      <c r="M136" s="12"/>
      <c r="N136" s="12"/>
      <c r="O136" s="530"/>
      <c r="P136" s="530"/>
      <c r="Q136" s="530">
        <f>(0.8*Q171+0.2*Q176)</f>
        <v>4.1954453060298616E-2</v>
      </c>
      <c r="R136" s="530">
        <f>(0.8*R171+0.2*R176)</f>
        <v>0.25078080170219719</v>
      </c>
      <c r="S136" s="530">
        <f>(0.8*S171+0.2*S176)</f>
        <v>0.03</v>
      </c>
      <c r="T136" s="530">
        <f>(0.8*T171+0.2*T176)</f>
        <v>0.03</v>
      </c>
      <c r="U136" s="530">
        <f>(0.8*U171+0.2*U176)</f>
        <v>0.03</v>
      </c>
      <c r="V136" s="280"/>
      <c r="W136" s="437"/>
      <c r="X136" s="437"/>
      <c r="Y136" s="437"/>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530"/>
      <c r="BA136" s="530"/>
      <c r="BB136" s="530"/>
      <c r="BC136" s="530"/>
      <c r="BD136" s="530"/>
      <c r="BE136" s="530"/>
      <c r="BF136" s="530"/>
      <c r="BG136" s="530"/>
      <c r="BH136" s="530"/>
      <c r="BI136" s="530"/>
      <c r="BJ136" s="530">
        <f>(0.8*BJ171+0.2*BJ176)</f>
        <v>-7.6490696002846026E-2</v>
      </c>
      <c r="BK136" s="530">
        <f>(0.8*BK171+0.2*BK176)</f>
        <v>-3.7480944658878641E-2</v>
      </c>
      <c r="BL136" s="530">
        <f t="shared" ref="BL136:BR136" si="117">(0.8*BL171+0.2*BL176)</f>
        <v>3.2817048552216475E-2</v>
      </c>
      <c r="BM136" s="530">
        <f t="shared" si="117"/>
        <v>6.7647047048450343E-2</v>
      </c>
      <c r="BN136" s="530">
        <f t="shared" si="117"/>
        <v>0.10579177676690965</v>
      </c>
      <c r="BO136" s="530">
        <f t="shared" si="117"/>
        <v>0.22895732412334172</v>
      </c>
      <c r="BP136" s="530">
        <f t="shared" si="117"/>
        <v>0.33584906465707448</v>
      </c>
      <c r="BQ136" s="530">
        <f t="shared" si="117"/>
        <v>0.25208043755127446</v>
      </c>
      <c r="BR136" s="530">
        <f t="shared" si="117"/>
        <v>0.19018501147876379</v>
      </c>
      <c r="BT136" s="48"/>
    </row>
    <row r="137" spans="2:72">
      <c r="B137" s="385" t="s">
        <v>680</v>
      </c>
      <c r="G137" s="7"/>
      <c r="H137" s="7"/>
      <c r="I137" s="12"/>
      <c r="J137" s="12"/>
      <c r="K137" s="12"/>
      <c r="L137" s="12"/>
      <c r="M137" s="12"/>
      <c r="N137" s="12"/>
      <c r="O137" s="437"/>
      <c r="P137" s="531"/>
      <c r="Q137" s="531">
        <f>Q131/Q136</f>
        <v>2.7694556936616666</v>
      </c>
      <c r="R137" s="531">
        <f>R131/R136</f>
        <v>0.55977064744771088</v>
      </c>
      <c r="S137" s="532">
        <v>0.5</v>
      </c>
      <c r="T137" s="532">
        <v>0.5</v>
      </c>
      <c r="U137" s="532">
        <v>0.5</v>
      </c>
      <c r="V137" s="280"/>
      <c r="W137" s="437"/>
      <c r="X137" s="437"/>
      <c r="Y137" s="437"/>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437"/>
      <c r="BA137" s="437"/>
      <c r="BB137" s="437"/>
      <c r="BC137" s="437"/>
      <c r="BD137" s="437"/>
      <c r="BE137" s="437"/>
      <c r="BF137" s="437"/>
      <c r="BG137" s="437"/>
      <c r="BH137" s="437"/>
      <c r="BI137" s="437"/>
      <c r="BJ137" s="531"/>
      <c r="BK137" s="531">
        <f>BK131/BK136</f>
        <v>-2.7016480646604433</v>
      </c>
      <c r="BL137" s="531">
        <f>BL131/BL136</f>
        <v>2.8440501949718926</v>
      </c>
      <c r="BM137" s="531">
        <f>BM131/BM136</f>
        <v>1.4370672941597977</v>
      </c>
      <c r="BN137" s="531">
        <f>BN131/BN136</f>
        <v>1.6563863781584613</v>
      </c>
      <c r="BO137" s="532">
        <v>0.75</v>
      </c>
      <c r="BP137" s="532">
        <v>0.5</v>
      </c>
      <c r="BQ137" s="532">
        <v>0.5</v>
      </c>
      <c r="BR137" s="532">
        <v>0.5</v>
      </c>
      <c r="BT137" s="48"/>
    </row>
    <row r="138" spans="2:72">
      <c r="B138" s="385"/>
      <c r="G138" s="7"/>
      <c r="H138" s="7"/>
      <c r="I138" s="12"/>
      <c r="J138" s="12"/>
      <c r="K138" s="12"/>
      <c r="L138" s="12"/>
      <c r="M138" s="12"/>
      <c r="N138" s="12"/>
      <c r="O138" s="437"/>
      <c r="P138" s="529"/>
      <c r="Q138" s="437"/>
      <c r="R138" s="437"/>
      <c r="S138" s="437"/>
      <c r="T138" s="437"/>
      <c r="U138" s="437"/>
      <c r="V138" s="280"/>
      <c r="W138" s="437"/>
      <c r="X138" s="437"/>
      <c r="Y138" s="437"/>
      <c r="Z138" s="437"/>
      <c r="AA138" s="437"/>
      <c r="AB138" s="437"/>
      <c r="AC138" s="437"/>
      <c r="AD138" s="437"/>
      <c r="AE138" s="437"/>
      <c r="AF138" s="437"/>
      <c r="AG138" s="437"/>
      <c r="AH138" s="437"/>
      <c r="AI138" s="437"/>
      <c r="AJ138" s="437"/>
      <c r="AK138" s="437"/>
      <c r="AL138" s="437"/>
      <c r="AM138" s="437"/>
      <c r="AN138" s="437"/>
      <c r="AO138" s="437"/>
      <c r="AP138" s="437"/>
      <c r="AQ138" s="437"/>
      <c r="AR138" s="437"/>
      <c r="AS138" s="437"/>
      <c r="AT138" s="437"/>
      <c r="AU138" s="437"/>
      <c r="AV138" s="437"/>
      <c r="AW138" s="437"/>
      <c r="AX138" s="437"/>
      <c r="AY138" s="437"/>
      <c r="AZ138" s="437"/>
      <c r="BA138" s="437"/>
      <c r="BB138" s="437"/>
      <c r="BC138" s="437"/>
      <c r="BD138" s="437"/>
      <c r="BE138" s="437"/>
      <c r="BF138" s="437"/>
      <c r="BG138" s="437"/>
      <c r="BH138" s="437"/>
      <c r="BI138" s="437"/>
      <c r="BJ138" s="529"/>
      <c r="BK138" s="530"/>
      <c r="BL138" s="530"/>
      <c r="BM138" s="530"/>
      <c r="BN138" s="437"/>
      <c r="BO138" s="437"/>
      <c r="BP138" s="437"/>
      <c r="BQ138" s="437"/>
      <c r="BR138" s="437"/>
      <c r="BT138" s="48"/>
    </row>
    <row r="139" spans="2:72">
      <c r="B139" s="68" t="s">
        <v>681</v>
      </c>
      <c r="G139" s="7"/>
      <c r="H139" s="7"/>
      <c r="I139" s="12"/>
      <c r="J139" s="12"/>
      <c r="K139" s="12"/>
      <c r="L139" s="12"/>
      <c r="M139" s="12"/>
      <c r="N139" s="12"/>
      <c r="O139" s="437"/>
      <c r="P139" s="529"/>
      <c r="Q139" s="437"/>
      <c r="R139" s="437"/>
      <c r="S139" s="437"/>
      <c r="T139" s="437"/>
      <c r="U139" s="437"/>
      <c r="V139" s="280"/>
      <c r="W139" s="437"/>
      <c r="X139" s="437"/>
      <c r="Y139" s="437"/>
      <c r="Z139" s="437"/>
      <c r="AA139" s="437"/>
      <c r="AB139" s="437"/>
      <c r="AC139" s="437"/>
      <c r="AD139" s="437"/>
      <c r="AE139" s="437"/>
      <c r="AF139" s="437"/>
      <c r="AG139" s="437"/>
      <c r="AH139" s="437"/>
      <c r="AI139" s="437"/>
      <c r="AJ139" s="437"/>
      <c r="AK139" s="437"/>
      <c r="AL139" s="437"/>
      <c r="AM139" s="437"/>
      <c r="AN139" s="437"/>
      <c r="AO139" s="437"/>
      <c r="AP139" s="437"/>
      <c r="AQ139" s="437"/>
      <c r="AR139" s="437"/>
      <c r="AS139" s="437"/>
      <c r="AT139" s="437"/>
      <c r="AU139" s="437"/>
      <c r="AV139" s="437"/>
      <c r="AW139" s="437"/>
      <c r="AX139" s="437"/>
      <c r="AY139" s="437"/>
      <c r="AZ139" s="437"/>
      <c r="BA139" s="437"/>
      <c r="BB139" s="437"/>
      <c r="BC139" s="437"/>
      <c r="BD139" s="437"/>
      <c r="BE139" s="437"/>
      <c r="BF139" s="437"/>
      <c r="BG139" s="437"/>
      <c r="BH139" s="437"/>
      <c r="BI139" s="437"/>
      <c r="BJ139" s="529"/>
      <c r="BK139" s="530"/>
      <c r="BL139" s="530"/>
      <c r="BM139" s="530"/>
      <c r="BN139" s="530"/>
      <c r="BO139" s="530"/>
      <c r="BP139" s="437"/>
      <c r="BQ139" s="437"/>
      <c r="BR139" s="437"/>
      <c r="BT139" s="48"/>
    </row>
    <row r="140" spans="2:72">
      <c r="B140" s="385" t="s">
        <v>683</v>
      </c>
      <c r="G140" s="7"/>
      <c r="H140" s="7"/>
      <c r="I140" s="12"/>
      <c r="J140" s="12"/>
      <c r="K140" s="12"/>
      <c r="L140" s="12"/>
      <c r="M140" s="12"/>
      <c r="N140" s="12"/>
      <c r="O140" s="530"/>
      <c r="P140" s="530"/>
      <c r="Q140" s="530">
        <f>(0.3*Q182+0.3*Q187)</f>
        <v>0.18652928252647311</v>
      </c>
      <c r="R140" s="530">
        <f>(0.3*R182+0.3*R187)</f>
        <v>1.3688050459598243E-2</v>
      </c>
      <c r="S140" s="530">
        <f>(0.3*S182+0.3*S187)</f>
        <v>0</v>
      </c>
      <c r="T140" s="530">
        <f>(0.3*T182+0.3*T187)</f>
        <v>1.8000000000000016E-2</v>
      </c>
      <c r="U140" s="530">
        <f>(0.3*U182+0.3*U187)</f>
        <v>1.8000000000000016E-2</v>
      </c>
      <c r="V140" s="280"/>
      <c r="W140" s="437"/>
      <c r="X140" s="437"/>
      <c r="Y140" s="437"/>
      <c r="Z140" s="437"/>
      <c r="AA140" s="437"/>
      <c r="AB140" s="437"/>
      <c r="AC140" s="437"/>
      <c r="AD140" s="437"/>
      <c r="AE140" s="437"/>
      <c r="AF140" s="437"/>
      <c r="AG140" s="437"/>
      <c r="AH140" s="437"/>
      <c r="AI140" s="437"/>
      <c r="AJ140" s="437"/>
      <c r="AK140" s="437"/>
      <c r="AL140" s="437"/>
      <c r="AM140" s="437"/>
      <c r="AN140" s="437"/>
      <c r="AO140" s="437"/>
      <c r="AP140" s="437"/>
      <c r="AQ140" s="437"/>
      <c r="AR140" s="437"/>
      <c r="AS140" s="437"/>
      <c r="AT140" s="437"/>
      <c r="AU140" s="437"/>
      <c r="AV140" s="437"/>
      <c r="AW140" s="437"/>
      <c r="AX140" s="437"/>
      <c r="AY140" s="437"/>
      <c r="AZ140" s="530"/>
      <c r="BA140" s="530"/>
      <c r="BB140" s="530"/>
      <c r="BC140" s="530"/>
      <c r="BD140" s="530"/>
      <c r="BE140" s="530"/>
      <c r="BF140" s="530"/>
      <c r="BG140" s="530"/>
      <c r="BH140" s="530"/>
      <c r="BI140" s="530"/>
      <c r="BJ140" s="530">
        <f t="shared" ref="BJ140:BR140" si="118">(0.3*BJ182+0.3*BJ187)</f>
        <v>5.949848024316113E-2</v>
      </c>
      <c r="BK140" s="530">
        <f t="shared" si="118"/>
        <v>0.3429380993897122</v>
      </c>
      <c r="BL140" s="530">
        <f t="shared" si="118"/>
        <v>0.16399067614266172</v>
      </c>
      <c r="BM140" s="530">
        <f t="shared" si="118"/>
        <v>6.2764325155428888E-2</v>
      </c>
      <c r="BN140" s="530">
        <f t="shared" si="118"/>
        <v>0.19728130722636988</v>
      </c>
      <c r="BO140" s="530">
        <f t="shared" si="118"/>
        <v>4.0005699304684846E-2</v>
      </c>
      <c r="BP140" s="530">
        <f t="shared" si="118"/>
        <v>5.4631431286483442E-2</v>
      </c>
      <c r="BQ140" s="530">
        <f t="shared" si="118"/>
        <v>4.2556862745098206E-2</v>
      </c>
      <c r="BR140" s="530">
        <f t="shared" si="118"/>
        <v>-5.1981530042184421E-2</v>
      </c>
      <c r="BT140" s="48"/>
    </row>
    <row r="141" spans="2:72">
      <c r="B141" s="385"/>
      <c r="G141" s="7"/>
      <c r="H141" s="7"/>
      <c r="I141" s="12"/>
      <c r="J141" s="12"/>
      <c r="K141" s="12"/>
      <c r="L141" s="12"/>
      <c r="M141" s="12"/>
      <c r="N141" s="12"/>
      <c r="O141" s="530"/>
      <c r="P141" s="530"/>
      <c r="Q141" s="530"/>
      <c r="R141" s="530"/>
      <c r="S141" s="530"/>
      <c r="T141" s="530"/>
      <c r="U141" s="530"/>
      <c r="V141" s="280"/>
      <c r="W141" s="437"/>
      <c r="X141" s="437"/>
      <c r="Y141" s="437"/>
      <c r="Z141" s="437"/>
      <c r="AA141" s="437"/>
      <c r="AB141" s="437"/>
      <c r="AC141" s="437"/>
      <c r="AD141" s="437"/>
      <c r="AE141" s="437"/>
      <c r="AF141" s="437"/>
      <c r="AG141" s="437"/>
      <c r="AH141" s="437"/>
      <c r="AI141" s="437"/>
      <c r="AJ141" s="437"/>
      <c r="AK141" s="437"/>
      <c r="AL141" s="437"/>
      <c r="AM141" s="437"/>
      <c r="AN141" s="437"/>
      <c r="AO141" s="437"/>
      <c r="AP141" s="437"/>
      <c r="AQ141" s="437"/>
      <c r="AR141" s="437"/>
      <c r="AS141" s="437"/>
      <c r="AT141" s="437"/>
      <c r="AU141" s="437"/>
      <c r="AV141" s="437"/>
      <c r="AW141" s="437"/>
      <c r="AX141" s="437"/>
      <c r="AY141" s="437"/>
      <c r="AZ141" s="530"/>
      <c r="BA141" s="530"/>
      <c r="BB141" s="530"/>
      <c r="BC141" s="530"/>
      <c r="BD141" s="530"/>
      <c r="BE141" s="530"/>
      <c r="BF141" s="530"/>
      <c r="BG141" s="530"/>
      <c r="BH141" s="530"/>
      <c r="BI141" s="530"/>
      <c r="BJ141" s="530"/>
      <c r="BK141" s="530"/>
      <c r="BL141" s="530"/>
      <c r="BM141" s="530"/>
      <c r="BN141" s="530"/>
      <c r="BO141" s="530"/>
      <c r="BP141" s="530"/>
      <c r="BQ141" s="530"/>
      <c r="BR141" s="530"/>
      <c r="BT141" s="48"/>
    </row>
    <row r="142" spans="2:72">
      <c r="B142" s="68" t="s">
        <v>693</v>
      </c>
      <c r="G142" s="7"/>
      <c r="H142" s="7"/>
      <c r="I142" s="12"/>
      <c r="J142" s="12"/>
      <c r="K142" s="12"/>
      <c r="L142" s="12"/>
      <c r="M142" s="12"/>
      <c r="N142" s="12"/>
      <c r="O142" s="530"/>
      <c r="P142" s="530"/>
      <c r="Q142" s="530"/>
      <c r="R142" s="530"/>
      <c r="S142" s="530"/>
      <c r="T142" s="530"/>
      <c r="U142" s="530"/>
      <c r="V142" s="280"/>
      <c r="W142" s="437"/>
      <c r="X142" s="437"/>
      <c r="Y142" s="437"/>
      <c r="Z142" s="437"/>
      <c r="AA142" s="437"/>
      <c r="AB142" s="437"/>
      <c r="AC142" s="437"/>
      <c r="AD142" s="437"/>
      <c r="AE142" s="437"/>
      <c r="AF142" s="437"/>
      <c r="AG142" s="437"/>
      <c r="AH142" s="437"/>
      <c r="AI142" s="437"/>
      <c r="AJ142" s="437"/>
      <c r="AK142" s="437"/>
      <c r="AL142" s="437"/>
      <c r="AM142" s="437"/>
      <c r="AN142" s="437"/>
      <c r="AO142" s="437"/>
      <c r="AP142" s="437"/>
      <c r="AQ142" s="437"/>
      <c r="AR142" s="437"/>
      <c r="AS142" s="437"/>
      <c r="AT142" s="437"/>
      <c r="AU142" s="437"/>
      <c r="AV142" s="437"/>
      <c r="AW142" s="437"/>
      <c r="AX142" s="437"/>
      <c r="AY142" s="437"/>
      <c r="AZ142" s="530"/>
      <c r="BA142" s="530"/>
      <c r="BB142" s="530"/>
      <c r="BC142" s="530"/>
      <c r="BD142" s="530"/>
      <c r="BE142" s="530"/>
      <c r="BF142" s="530"/>
      <c r="BG142" s="530"/>
      <c r="BH142" s="530"/>
      <c r="BI142" s="530"/>
      <c r="BJ142" s="530"/>
      <c r="BK142" s="533"/>
      <c r="BL142" s="533"/>
      <c r="BM142" s="533"/>
      <c r="BN142" s="533"/>
      <c r="BO142" s="533"/>
      <c r="BP142" s="530"/>
      <c r="BQ142" s="530"/>
      <c r="BR142" s="530"/>
      <c r="BT142" s="48"/>
    </row>
    <row r="143" spans="2:72">
      <c r="B143" s="385" t="s">
        <v>692</v>
      </c>
      <c r="G143" s="7"/>
      <c r="H143" s="7"/>
      <c r="I143" s="12"/>
      <c r="J143" s="12"/>
      <c r="K143" s="12"/>
      <c r="L143" s="12"/>
      <c r="M143" s="12"/>
      <c r="N143" s="12"/>
      <c r="O143" s="533"/>
      <c r="P143" s="533"/>
      <c r="Q143" s="533">
        <f>(Q111-P108)*10000</f>
        <v>26.384450782191774</v>
      </c>
      <c r="R143" s="533">
        <f>(R111-Q111)*10000</f>
        <v>190.21974927266658</v>
      </c>
      <c r="S143" s="533">
        <f>S144*S145*1000</f>
        <v>15</v>
      </c>
      <c r="T143" s="533">
        <f>T144*T145*1000</f>
        <v>5.9999999999999911</v>
      </c>
      <c r="U143" s="533">
        <f>U144*U145*1000</f>
        <v>5.9999999999999911</v>
      </c>
      <c r="V143" s="280"/>
      <c r="W143" s="437"/>
      <c r="X143" s="437"/>
      <c r="Y143" s="437"/>
      <c r="Z143" s="437"/>
      <c r="AA143" s="437"/>
      <c r="AB143" s="437"/>
      <c r="AC143" s="437"/>
      <c r="AD143" s="437"/>
      <c r="AE143" s="437"/>
      <c r="AF143" s="437"/>
      <c r="AG143" s="437"/>
      <c r="AH143" s="437"/>
      <c r="AI143" s="437"/>
      <c r="AJ143" s="437"/>
      <c r="AK143" s="437"/>
      <c r="AL143" s="437"/>
      <c r="AM143" s="437"/>
      <c r="AN143" s="437"/>
      <c r="AO143" s="437"/>
      <c r="AP143" s="437"/>
      <c r="AQ143" s="437"/>
      <c r="AR143" s="437"/>
      <c r="AS143" s="437"/>
      <c r="AT143" s="437"/>
      <c r="AU143" s="437"/>
      <c r="AV143" s="437"/>
      <c r="AW143" s="437"/>
      <c r="AX143" s="437"/>
      <c r="AY143" s="437"/>
      <c r="AZ143" s="533"/>
      <c r="BA143" s="533"/>
      <c r="BB143" s="533"/>
      <c r="BC143" s="533"/>
      <c r="BD143" s="533"/>
      <c r="BE143" s="533"/>
      <c r="BF143" s="533"/>
      <c r="BG143" s="533"/>
      <c r="BH143" s="533"/>
      <c r="BI143" s="533"/>
      <c r="BJ143" s="533">
        <f>(BJ111-BF108)*10000</f>
        <v>-270.87815444728767</v>
      </c>
      <c r="BK143" s="533">
        <f>(BK111-BG108)*10000</f>
        <v>-276.21504759857146</v>
      </c>
      <c r="BL143" s="533">
        <f>(BL111-BH108)*10000</f>
        <v>-212.33062330623306</v>
      </c>
      <c r="BM143" s="533">
        <f>(BM111-BI108)*10000</f>
        <v>145.21932702361795</v>
      </c>
      <c r="BN143" s="533">
        <f>(BN111-BJ108)*10000</f>
        <v>467.04403603595125</v>
      </c>
      <c r="BO143" s="533">
        <f>BO144*BO145*1000</f>
        <v>377.90324963731376</v>
      </c>
      <c r="BP143" s="533">
        <f>BP144*BP145*1000</f>
        <v>140.60881668529552</v>
      </c>
      <c r="BQ143" s="533">
        <f>BQ144*BQ145*1000</f>
        <v>104.76178740308812</v>
      </c>
      <c r="BR143" s="533">
        <f>BR144*BR145*1000</f>
        <v>121.08327076047411</v>
      </c>
      <c r="BT143" s="48"/>
    </row>
    <row r="144" spans="2:72">
      <c r="B144" s="385" t="s">
        <v>688</v>
      </c>
      <c r="G144" s="7"/>
      <c r="H144" s="7"/>
      <c r="I144" s="12"/>
      <c r="J144" s="12"/>
      <c r="K144" s="12"/>
      <c r="L144" s="12"/>
      <c r="M144" s="12"/>
      <c r="N144" s="12"/>
      <c r="O144" s="530"/>
      <c r="P144" s="530"/>
      <c r="Q144" s="530">
        <f t="shared" ref="Q144:U144" si="119">Q136-Q140</f>
        <v>-0.1445748294661745</v>
      </c>
      <c r="R144" s="530">
        <f t="shared" si="119"/>
        <v>0.23709275124259893</v>
      </c>
      <c r="S144" s="530">
        <f t="shared" si="119"/>
        <v>0.03</v>
      </c>
      <c r="T144" s="530">
        <f t="shared" si="119"/>
        <v>1.1999999999999983E-2</v>
      </c>
      <c r="U144" s="530">
        <f t="shared" si="119"/>
        <v>1.1999999999999983E-2</v>
      </c>
      <c r="V144" s="280"/>
      <c r="W144" s="437"/>
      <c r="X144" s="437"/>
      <c r="Y144" s="437"/>
      <c r="Z144" s="437"/>
      <c r="AA144" s="437"/>
      <c r="AB144" s="437"/>
      <c r="AC144" s="437"/>
      <c r="AD144" s="437"/>
      <c r="AE144" s="437"/>
      <c r="AF144" s="437"/>
      <c r="AG144" s="437"/>
      <c r="AH144" s="437"/>
      <c r="AI144" s="437"/>
      <c r="AJ144" s="437"/>
      <c r="AK144" s="437"/>
      <c r="AL144" s="437"/>
      <c r="AM144" s="437"/>
      <c r="AN144" s="437"/>
      <c r="AO144" s="437"/>
      <c r="AP144" s="437"/>
      <c r="AQ144" s="437"/>
      <c r="AR144" s="437"/>
      <c r="AS144" s="437"/>
      <c r="AT144" s="437"/>
      <c r="AU144" s="437"/>
      <c r="AV144" s="437"/>
      <c r="AW144" s="437"/>
      <c r="AX144" s="437"/>
      <c r="AY144" s="437"/>
      <c r="AZ144" s="530"/>
      <c r="BA144" s="530"/>
      <c r="BB144" s="530"/>
      <c r="BC144" s="530"/>
      <c r="BD144" s="530"/>
      <c r="BE144" s="530"/>
      <c r="BF144" s="530"/>
      <c r="BG144" s="530"/>
      <c r="BH144" s="530"/>
      <c r="BI144" s="530"/>
      <c r="BJ144" s="530">
        <f>BJ136-BJ140</f>
        <v>-0.13598917624600715</v>
      </c>
      <c r="BK144" s="530">
        <f t="shared" ref="BK144:BR144" si="120">BK136-BK140</f>
        <v>-0.38041904404859084</v>
      </c>
      <c r="BL144" s="530">
        <f t="shared" si="120"/>
        <v>-0.13117362759044524</v>
      </c>
      <c r="BM144" s="530">
        <f t="shared" si="120"/>
        <v>4.882721893021455E-3</v>
      </c>
      <c r="BN144" s="530">
        <f t="shared" si="120"/>
        <v>-9.1489530459460233E-2</v>
      </c>
      <c r="BO144" s="530">
        <f t="shared" si="120"/>
        <v>0.18895162481865688</v>
      </c>
      <c r="BP144" s="530">
        <f t="shared" si="120"/>
        <v>0.28121763337059102</v>
      </c>
      <c r="BQ144" s="530">
        <f t="shared" si="120"/>
        <v>0.20952357480617625</v>
      </c>
      <c r="BR144" s="530">
        <f t="shared" si="120"/>
        <v>0.24216654152094821</v>
      </c>
      <c r="BT144" s="48"/>
    </row>
    <row r="145" spans="2:72">
      <c r="B145" s="385" t="s">
        <v>691</v>
      </c>
      <c r="G145" s="7"/>
      <c r="H145" s="7"/>
      <c r="I145" s="12"/>
      <c r="J145" s="12"/>
      <c r="K145" s="12"/>
      <c r="L145" s="12"/>
      <c r="M145" s="12"/>
      <c r="N145" s="12"/>
      <c r="O145" s="531"/>
      <c r="P145" s="531"/>
      <c r="Q145" s="531">
        <f>Q143/1000/Q144</f>
        <v>-0.18249684872265279</v>
      </c>
      <c r="R145" s="531">
        <f>R143/1000/R144</f>
        <v>0.80230099096546914</v>
      </c>
      <c r="S145" s="532">
        <v>0.5</v>
      </c>
      <c r="T145" s="532">
        <v>0.5</v>
      </c>
      <c r="U145" s="532">
        <v>0.5</v>
      </c>
      <c r="V145" s="280"/>
      <c r="W145" s="437"/>
      <c r="X145" s="437"/>
      <c r="Y145" s="437"/>
      <c r="Z145" s="437"/>
      <c r="AA145" s="437"/>
      <c r="AB145" s="437"/>
      <c r="AC145" s="437"/>
      <c r="AD145" s="437"/>
      <c r="AE145" s="437"/>
      <c r="AF145" s="437"/>
      <c r="AG145" s="437"/>
      <c r="AH145" s="437"/>
      <c r="AI145" s="437"/>
      <c r="AJ145" s="437"/>
      <c r="AK145" s="437"/>
      <c r="AL145" s="437"/>
      <c r="AM145" s="437"/>
      <c r="AN145" s="437"/>
      <c r="AO145" s="437"/>
      <c r="AP145" s="437"/>
      <c r="AQ145" s="437"/>
      <c r="AR145" s="437"/>
      <c r="AS145" s="437"/>
      <c r="AT145" s="437"/>
      <c r="AU145" s="437"/>
      <c r="AV145" s="437"/>
      <c r="AW145" s="437"/>
      <c r="AX145" s="437"/>
      <c r="AY145" s="437"/>
      <c r="AZ145" s="531"/>
      <c r="BA145" s="531"/>
      <c r="BB145" s="531"/>
      <c r="BC145" s="531"/>
      <c r="BD145" s="531"/>
      <c r="BE145" s="531"/>
      <c r="BF145" s="531"/>
      <c r="BG145" s="531"/>
      <c r="BH145" s="531"/>
      <c r="BI145" s="531"/>
      <c r="BJ145" s="531">
        <f>BJ143/1000/BJ144</f>
        <v>1.9919096646137753</v>
      </c>
      <c r="BK145" s="531">
        <f>BK143/1000/BK144</f>
        <v>0.72608102017965903</v>
      </c>
      <c r="BL145" s="531">
        <f>BL143/1000/BL144</f>
        <v>1.6186990266761467</v>
      </c>
      <c r="BM145" s="531">
        <f>BM143/1000/BM144</f>
        <v>29.741470066351749</v>
      </c>
      <c r="BN145" s="531">
        <f>BN143/1000/BN144</f>
        <v>-5.1048905125040758</v>
      </c>
      <c r="BO145" s="532">
        <v>2</v>
      </c>
      <c r="BP145" s="532">
        <v>0.5</v>
      </c>
      <c r="BQ145" s="532">
        <v>0.5</v>
      </c>
      <c r="BR145" s="532">
        <v>0.5</v>
      </c>
      <c r="BT145" s="48"/>
    </row>
    <row r="146" spans="2:72">
      <c r="B146" s="54"/>
      <c r="G146" s="7"/>
      <c r="H146" s="7"/>
      <c r="I146" s="12"/>
      <c r="J146" s="12"/>
      <c r="K146" s="12"/>
      <c r="L146" s="12"/>
      <c r="M146" s="12"/>
      <c r="N146" s="12"/>
      <c r="O146" s="12"/>
      <c r="P146" s="12"/>
      <c r="Q146" s="12"/>
      <c r="R146" s="12"/>
      <c r="S146" s="12"/>
      <c r="T146" s="12"/>
      <c r="U146" s="12"/>
      <c r="V146" s="73"/>
      <c r="W146" s="75"/>
      <c r="X146" s="75"/>
      <c r="Y146" s="75"/>
      <c r="Z146" s="75"/>
      <c r="AA146" s="75"/>
      <c r="AB146" s="75"/>
      <c r="AC146" s="75"/>
      <c r="AD146" s="75"/>
      <c r="AE146" s="75"/>
      <c r="AF146" s="75"/>
      <c r="AG146" s="75"/>
      <c r="AH146" s="75"/>
      <c r="AI146" s="75"/>
      <c r="AJ146" s="75"/>
      <c r="AK146" s="75"/>
      <c r="AL146" s="75"/>
      <c r="AM146" s="75"/>
      <c r="AN146" s="12"/>
      <c r="AO146" s="12"/>
      <c r="AP146" s="12"/>
      <c r="AQ146" s="12"/>
      <c r="AR146" s="12"/>
      <c r="AS146" s="12"/>
      <c r="AT146" s="12"/>
      <c r="AU146" s="12"/>
      <c r="AV146" s="12"/>
      <c r="AW146" s="12"/>
      <c r="AX146" s="12"/>
      <c r="AY146" s="12"/>
      <c r="AZ146" s="12"/>
      <c r="BA146" s="12"/>
      <c r="BB146" s="12"/>
      <c r="BC146" s="12"/>
      <c r="BD146" s="12"/>
      <c r="BE146" s="12"/>
      <c r="BF146" s="12"/>
      <c r="BG146" s="12"/>
      <c r="BH146" s="12"/>
      <c r="BI146" s="12"/>
      <c r="BJ146" s="12"/>
      <c r="BK146" s="12"/>
      <c r="BL146" s="12"/>
      <c r="BM146" s="12"/>
      <c r="BN146" s="12"/>
      <c r="BO146" s="12"/>
      <c r="BP146" s="12"/>
      <c r="BQ146" s="12"/>
      <c r="BR146" s="12"/>
      <c r="BT146" s="48"/>
    </row>
    <row r="147" spans="2:72" hidden="1" outlineLevel="1">
      <c r="B147" s="68" t="s">
        <v>570</v>
      </c>
      <c r="P147" s="44"/>
      <c r="Q147" s="44"/>
      <c r="R147" s="26"/>
      <c r="BE147" s="24"/>
      <c r="BF147" s="24"/>
      <c r="BG147" s="24"/>
      <c r="BH147" s="24"/>
      <c r="BI147" s="24"/>
      <c r="BJ147" s="24"/>
      <c r="BK147" s="24"/>
      <c r="BL147" s="24"/>
      <c r="BM147" s="24"/>
      <c r="BN147" s="24"/>
      <c r="BO147" s="48"/>
      <c r="BP147" s="48"/>
      <c r="BQ147" s="48"/>
      <c r="BR147" s="48"/>
    </row>
    <row r="148" spans="2:72" hidden="1" outlineLevel="1">
      <c r="B148" s="385" t="s">
        <v>117</v>
      </c>
      <c r="F148" s="69"/>
      <c r="G148" s="69"/>
      <c r="H148" s="69"/>
      <c r="I148" s="69"/>
      <c r="J148" s="69"/>
      <c r="K148" s="69"/>
      <c r="L148" s="69"/>
      <c r="M148" s="69"/>
      <c r="N148" s="69"/>
      <c r="O148" s="69"/>
      <c r="P148" s="69"/>
      <c r="Q148" s="34">
        <f>SUM(BK148:BN148)</f>
        <v>211.7</v>
      </c>
      <c r="R148" s="348"/>
      <c r="S148" s="348"/>
      <c r="T148" s="348"/>
      <c r="U148" s="348"/>
      <c r="V148" s="69"/>
      <c r="W148" s="69"/>
      <c r="X148" s="69"/>
      <c r="Y148" s="69"/>
      <c r="Z148" s="69"/>
      <c r="AA148" s="69"/>
      <c r="AB148" s="69"/>
      <c r="AC148" s="69"/>
      <c r="AD148" s="69"/>
      <c r="AE148" s="69"/>
      <c r="AF148" s="69"/>
      <c r="AG148" s="69"/>
      <c r="AH148" s="69"/>
      <c r="AI148" s="69"/>
      <c r="AJ148" s="69"/>
      <c r="AK148" s="69"/>
      <c r="AL148" s="69"/>
      <c r="AM148" s="69"/>
      <c r="AN148" s="69"/>
      <c r="AO148" s="69"/>
      <c r="AP148" s="69"/>
      <c r="AQ148" s="69"/>
      <c r="AR148" s="69"/>
      <c r="AS148" s="69"/>
      <c r="AT148" s="69"/>
      <c r="AU148" s="69"/>
      <c r="AV148" s="69"/>
      <c r="AW148" s="69"/>
      <c r="AX148" s="69"/>
      <c r="AY148" s="69"/>
      <c r="AZ148" s="69"/>
      <c r="BA148" s="69"/>
      <c r="BB148" s="69"/>
      <c r="BC148" s="69"/>
      <c r="BD148" s="69"/>
      <c r="BE148" s="69"/>
      <c r="BF148" s="69"/>
      <c r="BG148" s="69"/>
      <c r="BH148" s="69"/>
      <c r="BI148" s="69"/>
      <c r="BJ148" s="348">
        <f>+BJ125</f>
        <v>0</v>
      </c>
      <c r="BK148" s="348">
        <f>+BK125</f>
        <v>46.6</v>
      </c>
      <c r="BL148" s="348">
        <f t="shared" ref="BL148:BN148" si="121">+BL125</f>
        <v>42</v>
      </c>
      <c r="BM148" s="348">
        <f t="shared" si="121"/>
        <v>45.7</v>
      </c>
      <c r="BN148" s="348">
        <f t="shared" si="121"/>
        <v>77.399999999999977</v>
      </c>
      <c r="BO148" s="348"/>
      <c r="BP148" s="348"/>
      <c r="BQ148" s="348"/>
      <c r="BR148" s="348"/>
    </row>
    <row r="149" spans="2:72" hidden="1" outlineLevel="1">
      <c r="B149" s="385" t="s">
        <v>317</v>
      </c>
      <c r="F149" s="69"/>
      <c r="G149" s="69"/>
      <c r="H149" s="69"/>
      <c r="I149" s="69"/>
      <c r="J149" s="69"/>
      <c r="K149" s="69"/>
      <c r="L149" s="69"/>
      <c r="M149" s="69"/>
      <c r="N149" s="69"/>
      <c r="O149" s="69"/>
      <c r="P149" s="69"/>
      <c r="Q149" s="36">
        <f>SUM(BK149:BN149)</f>
        <v>112</v>
      </c>
      <c r="R149" s="40"/>
      <c r="S149" s="40"/>
      <c r="T149" s="40"/>
      <c r="U149" s="40"/>
      <c r="V149" s="69"/>
      <c r="W149" s="69"/>
      <c r="X149" s="69"/>
      <c r="Y149" s="69"/>
      <c r="Z149" s="69"/>
      <c r="AA149" s="69"/>
      <c r="AB149" s="69"/>
      <c r="AC149" s="69"/>
      <c r="AD149" s="69"/>
      <c r="AE149" s="69"/>
      <c r="AF149" s="69"/>
      <c r="AG149" s="69"/>
      <c r="AH149" s="69"/>
      <c r="AI149" s="69"/>
      <c r="AJ149" s="69"/>
      <c r="AK149" s="69"/>
      <c r="AL149" s="69"/>
      <c r="AM149" s="69"/>
      <c r="AN149" s="69"/>
      <c r="AO149" s="69"/>
      <c r="AP149" s="69"/>
      <c r="AQ149" s="69"/>
      <c r="AR149" s="69"/>
      <c r="AS149" s="69"/>
      <c r="AT149" s="69"/>
      <c r="AU149" s="69"/>
      <c r="AV149" s="69"/>
      <c r="AW149" s="69"/>
      <c r="AX149" s="69"/>
      <c r="AY149" s="69"/>
      <c r="AZ149" s="69"/>
      <c r="BA149" s="69"/>
      <c r="BB149" s="69"/>
      <c r="BC149" s="69"/>
      <c r="BD149" s="69"/>
      <c r="BE149" s="69"/>
      <c r="BF149" s="69"/>
      <c r="BG149" s="69"/>
      <c r="BH149" s="69"/>
      <c r="BI149" s="69"/>
      <c r="BJ149" s="40">
        <v>28</v>
      </c>
      <c r="BK149" s="40">
        <v>28</v>
      </c>
      <c r="BL149" s="40">
        <v>28</v>
      </c>
      <c r="BM149" s="40">
        <v>28</v>
      </c>
      <c r="BN149" s="40">
        <v>28</v>
      </c>
      <c r="BO149" s="40"/>
      <c r="BP149" s="40"/>
      <c r="BQ149" s="40"/>
      <c r="BR149" s="40"/>
    </row>
    <row r="150" spans="2:72" hidden="1" outlineLevel="1">
      <c r="B150" s="385" t="s">
        <v>319</v>
      </c>
      <c r="F150" s="69"/>
      <c r="G150" s="69"/>
      <c r="H150" s="69"/>
      <c r="I150" s="69"/>
      <c r="J150" s="69"/>
      <c r="K150" s="69"/>
      <c r="L150" s="69"/>
      <c r="M150" s="69"/>
      <c r="N150" s="69"/>
      <c r="O150" s="69"/>
      <c r="P150" s="69"/>
      <c r="Q150" s="36">
        <f>SUM(BK150:BN150)</f>
        <v>-356</v>
      </c>
      <c r="R150" s="40"/>
      <c r="S150" s="40"/>
      <c r="T150" s="34"/>
      <c r="U150" s="34"/>
      <c r="V150" s="69"/>
      <c r="W150" s="69"/>
      <c r="X150" s="69"/>
      <c r="Y150" s="69"/>
      <c r="Z150" s="69"/>
      <c r="AA150" s="69"/>
      <c r="AB150" s="69"/>
      <c r="AC150" s="69"/>
      <c r="AD150" s="69"/>
      <c r="AE150" s="69"/>
      <c r="AF150" s="69"/>
      <c r="AG150" s="69"/>
      <c r="AH150" s="69"/>
      <c r="AI150" s="69"/>
      <c r="AJ150" s="69"/>
      <c r="AK150" s="69"/>
      <c r="AL150" s="69"/>
      <c r="AM150" s="69"/>
      <c r="AN150" s="69"/>
      <c r="AO150" s="69"/>
      <c r="AP150" s="69"/>
      <c r="AQ150" s="69"/>
      <c r="AR150" s="69"/>
      <c r="AS150" s="69"/>
      <c r="AT150" s="69"/>
      <c r="AU150" s="69"/>
      <c r="AV150" s="69"/>
      <c r="AW150" s="69"/>
      <c r="AX150" s="69"/>
      <c r="AY150" s="69"/>
      <c r="AZ150" s="69"/>
      <c r="BA150" s="69"/>
      <c r="BB150" s="69"/>
      <c r="BC150" s="69"/>
      <c r="BD150" s="69"/>
      <c r="BE150" s="69"/>
      <c r="BF150" s="69"/>
      <c r="BG150" s="69"/>
      <c r="BH150" s="69"/>
      <c r="BI150" s="69"/>
      <c r="BJ150" s="40">
        <v>-89</v>
      </c>
      <c r="BK150" s="40">
        <v>-89</v>
      </c>
      <c r="BL150" s="40">
        <v>-89</v>
      </c>
      <c r="BM150" s="40">
        <v>-89</v>
      </c>
      <c r="BN150" s="40">
        <v>-89</v>
      </c>
      <c r="BO150" s="40"/>
      <c r="BP150" s="40"/>
      <c r="BQ150" s="40"/>
      <c r="BR150" s="40"/>
    </row>
    <row r="151" spans="2:72" hidden="1" outlineLevel="1">
      <c r="B151" s="385" t="s">
        <v>320</v>
      </c>
      <c r="F151" s="69"/>
      <c r="G151" s="365"/>
      <c r="H151" s="365"/>
      <c r="I151" s="365"/>
      <c r="J151" s="365"/>
      <c r="K151" s="365"/>
      <c r="L151" s="365"/>
      <c r="M151" s="366"/>
      <c r="N151" s="366"/>
      <c r="O151" s="366"/>
      <c r="P151" s="366"/>
      <c r="Q151" s="36">
        <f>SUM(BK151:BN151)</f>
        <v>20</v>
      </c>
      <c r="R151" s="349"/>
      <c r="S151" s="349"/>
      <c r="T151" s="349"/>
      <c r="U151" s="349"/>
      <c r="V151" s="69"/>
      <c r="W151" s="69"/>
      <c r="X151" s="69"/>
      <c r="Y151" s="69"/>
      <c r="Z151" s="69"/>
      <c r="AA151" s="69"/>
      <c r="AB151" s="69"/>
      <c r="AC151" s="69"/>
      <c r="AD151" s="69"/>
      <c r="AE151" s="69"/>
      <c r="AF151" s="69"/>
      <c r="AG151" s="69"/>
      <c r="AH151" s="69"/>
      <c r="AI151" s="69"/>
      <c r="AJ151" s="69"/>
      <c r="AK151" s="69"/>
      <c r="AL151" s="69"/>
      <c r="AM151" s="69"/>
      <c r="AN151" s="69"/>
      <c r="AO151" s="69"/>
      <c r="AP151" s="69"/>
      <c r="AQ151" s="69"/>
      <c r="AR151" s="69"/>
      <c r="AS151" s="69"/>
      <c r="AT151" s="69"/>
      <c r="AU151" s="69"/>
      <c r="AV151" s="69"/>
      <c r="AW151" s="69"/>
      <c r="AX151" s="69"/>
      <c r="AY151" s="69"/>
      <c r="AZ151" s="69"/>
      <c r="BA151" s="69"/>
      <c r="BB151" s="69"/>
      <c r="BC151" s="69"/>
      <c r="BD151" s="69"/>
      <c r="BE151" s="69"/>
      <c r="BF151" s="69"/>
      <c r="BG151" s="69"/>
      <c r="BH151" s="69"/>
      <c r="BI151" s="69"/>
      <c r="BJ151" s="40">
        <v>5</v>
      </c>
      <c r="BK151" s="40">
        <v>5</v>
      </c>
      <c r="BL151" s="40">
        <v>5</v>
      </c>
      <c r="BM151" s="40">
        <v>5</v>
      </c>
      <c r="BN151" s="40">
        <v>5</v>
      </c>
      <c r="BO151" s="40"/>
      <c r="BP151" s="40"/>
      <c r="BQ151" s="40"/>
      <c r="BR151" s="40"/>
    </row>
    <row r="152" spans="2:72" hidden="1" outlineLevel="1">
      <c r="B152" s="385" t="s">
        <v>18</v>
      </c>
      <c r="F152" s="69"/>
      <c r="G152" s="365"/>
      <c r="H152" s="365"/>
      <c r="I152" s="365"/>
      <c r="J152" s="365"/>
      <c r="K152" s="365"/>
      <c r="L152" s="365"/>
      <c r="M152" s="366"/>
      <c r="N152" s="366"/>
      <c r="O152" s="366"/>
      <c r="P152" s="366"/>
      <c r="Q152" s="36"/>
      <c r="R152" s="349"/>
      <c r="S152" s="349"/>
      <c r="T152" s="349"/>
      <c r="U152" s="349"/>
      <c r="V152" s="69"/>
      <c r="W152" s="69"/>
      <c r="X152" s="69"/>
      <c r="Y152" s="69"/>
      <c r="Z152" s="69"/>
      <c r="AA152" s="69"/>
      <c r="AB152" s="69"/>
      <c r="AC152" s="69"/>
      <c r="AD152" s="69"/>
      <c r="AE152" s="69"/>
      <c r="AF152" s="69"/>
      <c r="AG152" s="69"/>
      <c r="AH152" s="69"/>
      <c r="AI152" s="69"/>
      <c r="AJ152" s="69"/>
      <c r="AK152" s="69"/>
      <c r="AL152" s="69"/>
      <c r="AM152" s="69"/>
      <c r="AN152" s="69"/>
      <c r="AO152" s="69"/>
      <c r="AP152" s="69"/>
      <c r="AQ152" s="69"/>
      <c r="AR152" s="69"/>
      <c r="AS152" s="69"/>
      <c r="AT152" s="69"/>
      <c r="AU152" s="69"/>
      <c r="AV152" s="69"/>
      <c r="AW152" s="69"/>
      <c r="AX152" s="69"/>
      <c r="AY152" s="69"/>
      <c r="AZ152" s="69"/>
      <c r="BA152" s="69"/>
      <c r="BB152" s="69"/>
      <c r="BC152" s="69"/>
      <c r="BD152" s="69"/>
      <c r="BE152" s="69"/>
      <c r="BF152" s="69"/>
      <c r="BG152" s="69"/>
      <c r="BH152" s="69"/>
      <c r="BI152" s="69"/>
      <c r="BJ152" s="40"/>
      <c r="BK152" s="40"/>
      <c r="BL152" s="40"/>
      <c r="BM152" s="40"/>
      <c r="BN152" s="40"/>
      <c r="BO152" s="40"/>
      <c r="BP152" s="40"/>
      <c r="BQ152" s="40"/>
      <c r="BR152" s="40"/>
    </row>
    <row r="153" spans="2:72" hidden="1" outlineLevel="1">
      <c r="B153" s="192" t="s">
        <v>380</v>
      </c>
      <c r="F153" s="69"/>
      <c r="G153" s="39"/>
      <c r="H153" s="39"/>
      <c r="I153" s="39"/>
      <c r="J153" s="39"/>
      <c r="K153" s="39"/>
      <c r="L153" s="39"/>
      <c r="M153" s="39"/>
      <c r="N153" s="39"/>
      <c r="O153" s="39"/>
      <c r="P153" s="39"/>
      <c r="Q153" s="39">
        <f>SUM(Q148:Q151)</f>
        <v>-12.300000000000011</v>
      </c>
      <c r="R153" s="39"/>
      <c r="S153" s="39"/>
      <c r="T153" s="39"/>
      <c r="U153" s="39"/>
      <c r="V153" s="69"/>
      <c r="W153" s="39"/>
      <c r="X153" s="39"/>
      <c r="Y153" s="39"/>
      <c r="Z153" s="39"/>
      <c r="AA153" s="39"/>
      <c r="AB153" s="39"/>
      <c r="AC153" s="39"/>
      <c r="AD153" s="39"/>
      <c r="AE153" s="39"/>
      <c r="AF153" s="39"/>
      <c r="AG153" s="39"/>
      <c r="AH153" s="39"/>
      <c r="AI153" s="39"/>
      <c r="AJ153" s="39"/>
      <c r="AK153" s="39"/>
      <c r="AL153" s="39"/>
      <c r="AM153" s="39"/>
      <c r="AN153" s="39"/>
      <c r="AO153" s="39"/>
      <c r="AP153" s="39"/>
      <c r="AQ153" s="39"/>
      <c r="AR153" s="39"/>
      <c r="AS153" s="39"/>
      <c r="AT153" s="39"/>
      <c r="AU153" s="39"/>
      <c r="AV153" s="39"/>
      <c r="AW153" s="39"/>
      <c r="AX153" s="39"/>
      <c r="AY153" s="39"/>
      <c r="AZ153" s="39"/>
      <c r="BA153" s="39"/>
      <c r="BB153" s="39"/>
      <c r="BC153" s="39"/>
      <c r="BD153" s="39"/>
      <c r="BE153" s="39"/>
      <c r="BF153" s="39"/>
      <c r="BG153" s="39"/>
      <c r="BH153" s="39"/>
      <c r="BI153" s="39"/>
      <c r="BJ153" s="39">
        <f>SUM(BJ148:BJ152)</f>
        <v>-56</v>
      </c>
      <c r="BK153" s="39">
        <f>SUM(BK148:BK152)</f>
        <v>-9.4000000000000057</v>
      </c>
      <c r="BL153" s="39">
        <f t="shared" ref="BL153:BN153" si="122">SUM(BL148:BL152)</f>
        <v>-14</v>
      </c>
      <c r="BM153" s="39">
        <f t="shared" si="122"/>
        <v>-10.299999999999997</v>
      </c>
      <c r="BN153" s="39">
        <f t="shared" si="122"/>
        <v>21.399999999999977</v>
      </c>
      <c r="BO153" s="52"/>
      <c r="BP153" s="52"/>
      <c r="BQ153" s="52"/>
      <c r="BR153" s="52"/>
    </row>
    <row r="154" spans="2:72" hidden="1" outlineLevel="1">
      <c r="B154" s="364" t="s">
        <v>122</v>
      </c>
      <c r="F154" s="69"/>
      <c r="G154" s="365"/>
      <c r="H154" s="365"/>
      <c r="I154" s="365"/>
      <c r="J154" s="365"/>
      <c r="K154" s="365"/>
      <c r="L154" s="365"/>
      <c r="M154" s="366"/>
      <c r="N154" s="366"/>
      <c r="O154" s="366"/>
      <c r="P154" s="366"/>
      <c r="Q154" s="366">
        <f>Q153-(Q116-P116)</f>
        <v>14.899999999999988</v>
      </c>
      <c r="R154" s="366"/>
      <c r="S154" s="366"/>
      <c r="T154" s="366"/>
      <c r="U154" s="366"/>
      <c r="V154" s="69"/>
      <c r="W154" s="69"/>
      <c r="X154" s="69"/>
      <c r="Y154" s="69"/>
      <c r="Z154" s="69"/>
      <c r="AA154" s="69"/>
      <c r="AB154" s="69"/>
      <c r="AC154" s="69"/>
      <c r="AD154" s="69"/>
      <c r="AE154" s="69"/>
      <c r="AF154" s="69"/>
      <c r="AG154" s="69"/>
      <c r="AH154" s="69"/>
      <c r="AI154" s="69"/>
      <c r="AJ154" s="69"/>
      <c r="AK154" s="69"/>
      <c r="AL154" s="69"/>
      <c r="AM154" s="69"/>
      <c r="AN154" s="69"/>
      <c r="AO154" s="69"/>
      <c r="AP154" s="69"/>
      <c r="AQ154" s="69"/>
      <c r="AR154" s="69"/>
      <c r="AS154" s="69"/>
      <c r="AT154" s="69"/>
      <c r="AU154" s="69"/>
      <c r="AV154" s="69"/>
      <c r="AW154" s="69"/>
      <c r="AX154" s="69"/>
      <c r="AY154" s="69"/>
      <c r="AZ154" s="69"/>
      <c r="BA154" s="69"/>
      <c r="BB154" s="69"/>
      <c r="BC154" s="69"/>
      <c r="BD154" s="69"/>
      <c r="BE154" s="69"/>
      <c r="BF154" s="69"/>
      <c r="BG154" s="69"/>
      <c r="BH154" s="69"/>
      <c r="BI154" s="69"/>
      <c r="BJ154" s="366">
        <f>BJ153-(BJ116-BF116)</f>
        <v>-43.1</v>
      </c>
      <c r="BK154" s="366">
        <f>BK153-(BK116-BG116)</f>
        <v>0</v>
      </c>
      <c r="BL154" s="366">
        <f>BL153-(BL116-BH116)</f>
        <v>-5.9</v>
      </c>
      <c r="BM154" s="366">
        <f>BM153-(BM116-BI116)</f>
        <v>1.7000000000000028</v>
      </c>
      <c r="BN154" s="366">
        <f>BN153-(BN116-BJ116)</f>
        <v>19.099999999999977</v>
      </c>
      <c r="BO154" s="366"/>
      <c r="BP154" s="366"/>
      <c r="BQ154" s="366"/>
      <c r="BR154" s="366"/>
    </row>
    <row r="155" spans="2:72" hidden="1" outlineLevel="1">
      <c r="B155" s="54"/>
      <c r="F155" s="69"/>
      <c r="G155" s="69"/>
      <c r="H155" s="69"/>
      <c r="I155" s="69"/>
      <c r="J155" s="69"/>
      <c r="K155" s="69"/>
      <c r="L155" s="69"/>
      <c r="M155" s="69"/>
      <c r="N155" s="69"/>
      <c r="O155" s="69"/>
      <c r="P155" s="69"/>
      <c r="Q155" s="69"/>
      <c r="R155" s="69"/>
      <c r="S155" s="69"/>
      <c r="T155" s="69"/>
      <c r="U155" s="69"/>
      <c r="V155" s="69"/>
      <c r="W155" s="69"/>
      <c r="X155" s="69"/>
      <c r="Y155" s="69"/>
      <c r="Z155" s="69"/>
      <c r="AA155" s="69"/>
      <c r="AB155" s="69"/>
      <c r="AC155" s="69"/>
      <c r="AD155" s="69"/>
      <c r="AE155" s="69"/>
      <c r="AF155" s="69"/>
      <c r="AG155" s="69"/>
      <c r="AH155" s="69"/>
      <c r="AI155" s="69"/>
      <c r="AJ155" s="69"/>
      <c r="AK155" s="69"/>
      <c r="AL155" s="69"/>
      <c r="AM155" s="69"/>
      <c r="AN155" s="69"/>
      <c r="AO155" s="69"/>
      <c r="AP155" s="69"/>
      <c r="AQ155" s="69"/>
      <c r="AR155" s="69"/>
      <c r="AS155" s="69"/>
      <c r="AT155" s="69"/>
      <c r="AU155" s="69"/>
      <c r="AV155" s="69"/>
      <c r="AW155" s="69"/>
      <c r="AX155" s="69"/>
      <c r="AY155" s="69"/>
      <c r="AZ155" s="69"/>
      <c r="BA155" s="69"/>
      <c r="BB155" s="69"/>
      <c r="BC155" s="69"/>
      <c r="BD155" s="69"/>
      <c r="BE155" s="69"/>
      <c r="BF155" s="69"/>
      <c r="BG155" s="69"/>
      <c r="BH155" s="69"/>
      <c r="BI155" s="69"/>
      <c r="BJ155" s="69"/>
      <c r="BK155" s="69"/>
      <c r="BL155" s="69"/>
      <c r="BM155" s="69"/>
      <c r="BN155" s="69"/>
      <c r="BO155" s="69"/>
      <c r="BP155" s="69"/>
      <c r="BQ155" s="69"/>
      <c r="BR155" s="69"/>
    </row>
    <row r="156" spans="2:72" hidden="1" outlineLevel="1">
      <c r="B156" s="68" t="s">
        <v>569</v>
      </c>
      <c r="P156" s="44"/>
      <c r="Q156" s="26"/>
      <c r="BJ156" s="84"/>
      <c r="BK156" s="84"/>
      <c r="BL156" s="84"/>
      <c r="BM156" s="84"/>
      <c r="BN156" s="84"/>
      <c r="BO156" s="64"/>
      <c r="BP156" s="64"/>
      <c r="BQ156" s="64"/>
      <c r="BR156" s="64"/>
    </row>
    <row r="157" spans="2:72" hidden="1" outlineLevel="1">
      <c r="B157" s="385" t="s">
        <v>117</v>
      </c>
      <c r="M157" s="48"/>
      <c r="N157" s="48"/>
      <c r="O157" s="48"/>
      <c r="P157" s="48"/>
      <c r="Q157" s="377">
        <f>Q148/P$116</f>
        <v>13.746753246753245</v>
      </c>
      <c r="R157" s="377"/>
      <c r="S157" s="377"/>
      <c r="T157" s="377"/>
      <c r="U157" s="377"/>
      <c r="V157" s="48"/>
      <c r="W157" s="48"/>
      <c r="X157" s="48"/>
      <c r="Y157" s="48"/>
      <c r="Z157" s="48"/>
      <c r="AA157" s="48"/>
      <c r="AB157" s="48"/>
      <c r="AC157" s="48"/>
      <c r="AD157" s="48"/>
      <c r="AE157" s="48"/>
      <c r="AF157" s="48"/>
      <c r="AG157" s="48"/>
      <c r="AH157" s="48"/>
      <c r="AI157" s="48"/>
      <c r="AJ157" s="48"/>
      <c r="AK157" s="48"/>
      <c r="AL157" s="48"/>
      <c r="AM157" s="48"/>
      <c r="AN157" s="64"/>
      <c r="AO157" s="64"/>
      <c r="AP157" s="64"/>
      <c r="AQ157" s="64"/>
      <c r="AR157" s="64"/>
      <c r="AS157" s="64"/>
      <c r="AT157" s="64"/>
      <c r="AU157" s="64"/>
      <c r="AV157" s="64"/>
      <c r="AW157" s="64"/>
      <c r="AX157" s="64"/>
      <c r="AY157" s="64"/>
      <c r="AZ157" s="64"/>
      <c r="BA157" s="64"/>
      <c r="BB157" s="64"/>
      <c r="BC157" s="64"/>
      <c r="BD157" s="64"/>
      <c r="BE157" s="64"/>
      <c r="BF157" s="64"/>
      <c r="BG157" s="64"/>
      <c r="BH157" s="64"/>
      <c r="BI157" s="64"/>
      <c r="BJ157" s="377">
        <f t="shared" ref="BJ157:BK160" si="123">IFERROR(BJ148/BF$116,"NA")</f>
        <v>0</v>
      </c>
      <c r="BK157" s="377">
        <f t="shared" si="123"/>
        <v>5.6829268292682933</v>
      </c>
      <c r="BL157" s="377" t="str">
        <f t="shared" ref="BL157:BL160" si="124">IFERROR(BL148/BH$116,"NA")</f>
        <v>NA</v>
      </c>
      <c r="BM157" s="377">
        <f t="shared" ref="BM157:BM160" si="125">IFERROR(BM148/BI$116,"NA")</f>
        <v>4.4368932038834954</v>
      </c>
      <c r="BN157" s="377">
        <f t="shared" ref="BN157:BN160" si="126">IFERROR(BN148/BJ$116,"NA")</f>
        <v>-24.967741935483861</v>
      </c>
      <c r="BO157" s="377"/>
      <c r="BP157" s="377"/>
      <c r="BQ157" s="377"/>
      <c r="BR157" s="377"/>
    </row>
    <row r="158" spans="2:72" hidden="1" outlineLevel="1">
      <c r="B158" s="385" t="s">
        <v>317</v>
      </c>
      <c r="M158" s="48"/>
      <c r="N158" s="48"/>
      <c r="O158" s="48"/>
      <c r="P158" s="48"/>
      <c r="Q158" s="377">
        <f>Q149/P$116</f>
        <v>7.2727272727272725</v>
      </c>
      <c r="R158" s="377"/>
      <c r="S158" s="377"/>
      <c r="T158" s="377"/>
      <c r="U158" s="377"/>
      <c r="V158" s="48"/>
      <c r="W158" s="48"/>
      <c r="X158" s="48"/>
      <c r="Y158" s="48"/>
      <c r="Z158" s="48"/>
      <c r="AA158" s="48"/>
      <c r="AB158" s="48"/>
      <c r="AC158" s="48"/>
      <c r="AD158" s="48"/>
      <c r="AE158" s="48"/>
      <c r="AF158" s="48"/>
      <c r="AG158" s="48"/>
      <c r="AH158" s="48"/>
      <c r="AI158" s="48"/>
      <c r="AJ158" s="48"/>
      <c r="AK158" s="48"/>
      <c r="AL158" s="48"/>
      <c r="AM158" s="48"/>
      <c r="AN158" s="64"/>
      <c r="AO158" s="64"/>
      <c r="AP158" s="64"/>
      <c r="AQ158" s="64"/>
      <c r="AR158" s="64"/>
      <c r="AS158" s="64"/>
      <c r="AT158" s="64"/>
      <c r="AU158" s="64"/>
      <c r="AV158" s="64"/>
      <c r="AW158" s="64"/>
      <c r="AX158" s="64"/>
      <c r="AY158" s="64"/>
      <c r="AZ158" s="64"/>
      <c r="BA158" s="64"/>
      <c r="BB158" s="64"/>
      <c r="BC158" s="64"/>
      <c r="BD158" s="64"/>
      <c r="BE158" s="64"/>
      <c r="BF158" s="64"/>
      <c r="BG158" s="64"/>
      <c r="BH158" s="64"/>
      <c r="BI158" s="64"/>
      <c r="BJ158" s="377">
        <f t="shared" si="123"/>
        <v>2.8571428571428568</v>
      </c>
      <c r="BK158" s="377">
        <f t="shared" si="123"/>
        <v>3.4146341463414638</v>
      </c>
      <c r="BL158" s="377" t="str">
        <f t="shared" si="124"/>
        <v>NA</v>
      </c>
      <c r="BM158" s="377">
        <f t="shared" si="125"/>
        <v>2.7184466019417473</v>
      </c>
      <c r="BN158" s="377">
        <f t="shared" si="126"/>
        <v>-9.0322580645161281</v>
      </c>
      <c r="BO158" s="377"/>
      <c r="BP158" s="377"/>
      <c r="BQ158" s="377"/>
      <c r="BR158" s="377"/>
    </row>
    <row r="159" spans="2:72" hidden="1" outlineLevel="1">
      <c r="B159" s="385" t="s">
        <v>319</v>
      </c>
      <c r="M159" s="48"/>
      <c r="N159" s="48"/>
      <c r="O159" s="48"/>
      <c r="P159" s="48"/>
      <c r="Q159" s="377">
        <f>Q150/P$116</f>
        <v>-23.116883116883116</v>
      </c>
      <c r="R159" s="377"/>
      <c r="S159" s="377"/>
      <c r="T159" s="377"/>
      <c r="U159" s="377"/>
      <c r="V159" s="48"/>
      <c r="W159" s="48"/>
      <c r="X159" s="48"/>
      <c r="Y159" s="48"/>
      <c r="Z159" s="48"/>
      <c r="AA159" s="48"/>
      <c r="AB159" s="48"/>
      <c r="AC159" s="48"/>
      <c r="AD159" s="48"/>
      <c r="AE159" s="48"/>
      <c r="AF159" s="48"/>
      <c r="AG159" s="48"/>
      <c r="AH159" s="48"/>
      <c r="AI159" s="48"/>
      <c r="AJ159" s="48"/>
      <c r="AK159" s="48"/>
      <c r="AL159" s="48"/>
      <c r="AM159" s="48"/>
      <c r="AN159" s="64"/>
      <c r="AO159" s="64"/>
      <c r="AP159" s="64"/>
      <c r="AQ159" s="64"/>
      <c r="AR159" s="64"/>
      <c r="AS159" s="64"/>
      <c r="AT159" s="64"/>
      <c r="AU159" s="64"/>
      <c r="AV159" s="64"/>
      <c r="AW159" s="64"/>
      <c r="AX159" s="64"/>
      <c r="AY159" s="64"/>
      <c r="AZ159" s="64"/>
      <c r="BA159" s="64"/>
      <c r="BB159" s="64"/>
      <c r="BC159" s="64"/>
      <c r="BD159" s="64"/>
      <c r="BE159" s="64"/>
      <c r="BF159" s="64"/>
      <c r="BG159" s="64"/>
      <c r="BH159" s="64"/>
      <c r="BI159" s="64"/>
      <c r="BJ159" s="377">
        <f t="shared" si="123"/>
        <v>-9.0816326530612237</v>
      </c>
      <c r="BK159" s="377">
        <f t="shared" si="123"/>
        <v>-10.853658536585368</v>
      </c>
      <c r="BL159" s="377" t="str">
        <f t="shared" si="124"/>
        <v>NA</v>
      </c>
      <c r="BM159" s="377">
        <f t="shared" si="125"/>
        <v>-8.640776699029125</v>
      </c>
      <c r="BN159" s="377">
        <f t="shared" si="126"/>
        <v>28.709677419354836</v>
      </c>
      <c r="BO159" s="377"/>
      <c r="BP159" s="377"/>
      <c r="BQ159" s="377"/>
      <c r="BR159" s="377"/>
    </row>
    <row r="160" spans="2:72" hidden="1" outlineLevel="1">
      <c r="B160" s="385" t="s">
        <v>320</v>
      </c>
      <c r="M160" s="48"/>
      <c r="N160" s="48"/>
      <c r="O160" s="48"/>
      <c r="P160" s="48"/>
      <c r="Q160" s="377">
        <f>Q151/P$116</f>
        <v>1.2987012987012987</v>
      </c>
      <c r="R160" s="377"/>
      <c r="S160" s="377"/>
      <c r="T160" s="377"/>
      <c r="U160" s="377"/>
      <c r="V160" s="48"/>
      <c r="W160" s="48"/>
      <c r="X160" s="48"/>
      <c r="Y160" s="48"/>
      <c r="Z160" s="48"/>
      <c r="AA160" s="48"/>
      <c r="AB160" s="48"/>
      <c r="AC160" s="48"/>
      <c r="AD160" s="48"/>
      <c r="AE160" s="48"/>
      <c r="AF160" s="48"/>
      <c r="AG160" s="48"/>
      <c r="AH160" s="48"/>
      <c r="AI160" s="48"/>
      <c r="AJ160" s="48"/>
      <c r="AK160" s="48"/>
      <c r="AL160" s="48"/>
      <c r="AM160" s="48"/>
      <c r="AN160" s="64"/>
      <c r="AO160" s="64"/>
      <c r="AP160" s="64"/>
      <c r="AQ160" s="64"/>
      <c r="AR160" s="64"/>
      <c r="AS160" s="64"/>
      <c r="AT160" s="64"/>
      <c r="AU160" s="64"/>
      <c r="AV160" s="64"/>
      <c r="AW160" s="64"/>
      <c r="AX160" s="64"/>
      <c r="AY160" s="64"/>
      <c r="AZ160" s="64"/>
      <c r="BA160" s="64"/>
      <c r="BB160" s="64"/>
      <c r="BC160" s="64"/>
      <c r="BD160" s="64"/>
      <c r="BE160" s="64"/>
      <c r="BF160" s="64"/>
      <c r="BG160" s="64"/>
      <c r="BH160" s="64"/>
      <c r="BI160" s="64"/>
      <c r="BJ160" s="377">
        <f t="shared" si="123"/>
        <v>0.51020408163265307</v>
      </c>
      <c r="BK160" s="377">
        <f t="shared" si="123"/>
        <v>0.60975609756097571</v>
      </c>
      <c r="BL160" s="377" t="str">
        <f t="shared" si="124"/>
        <v>NA</v>
      </c>
      <c r="BM160" s="377">
        <f t="shared" si="125"/>
        <v>0.48543689320388345</v>
      </c>
      <c r="BN160" s="377">
        <f t="shared" si="126"/>
        <v>-1.6129032258064515</v>
      </c>
      <c r="BO160" s="377"/>
      <c r="BP160" s="377"/>
      <c r="BQ160" s="377"/>
      <c r="BR160" s="377"/>
    </row>
    <row r="161" spans="2:74" hidden="1" outlineLevel="1">
      <c r="B161" s="385" t="s">
        <v>188</v>
      </c>
      <c r="G161" s="71"/>
      <c r="H161" s="71"/>
      <c r="I161" s="72"/>
      <c r="J161" s="72"/>
      <c r="K161" s="72"/>
      <c r="L161" s="72"/>
      <c r="M161" s="72"/>
      <c r="N161" s="72"/>
      <c r="O161" s="381"/>
      <c r="P161" s="381"/>
      <c r="Q161" s="381">
        <f>Q153/P$116</f>
        <v>-0.79870129870129947</v>
      </c>
      <c r="R161" s="381"/>
      <c r="S161" s="381"/>
      <c r="T161" s="381"/>
      <c r="U161" s="381"/>
      <c r="V161" s="280"/>
      <c r="W161" s="381"/>
      <c r="X161" s="381"/>
      <c r="Y161" s="381"/>
      <c r="Z161" s="381"/>
      <c r="AA161" s="381"/>
      <c r="AB161" s="381"/>
      <c r="AC161" s="381"/>
      <c r="AD161" s="381"/>
      <c r="AE161" s="381"/>
      <c r="AF161" s="381"/>
      <c r="AG161" s="381"/>
      <c r="AH161" s="381"/>
      <c r="AI161" s="381"/>
      <c r="AJ161" s="381"/>
      <c r="AK161" s="381"/>
      <c r="AL161" s="381"/>
      <c r="AM161" s="381"/>
      <c r="AN161" s="381"/>
      <c r="AO161" s="381"/>
      <c r="AP161" s="381"/>
      <c r="AQ161" s="381"/>
      <c r="AR161" s="381"/>
      <c r="AS161" s="381"/>
      <c r="AT161" s="381"/>
      <c r="AU161" s="381"/>
      <c r="AV161" s="381"/>
      <c r="AW161" s="381"/>
      <c r="AX161" s="381"/>
      <c r="AY161" s="381"/>
      <c r="AZ161" s="381"/>
      <c r="BA161" s="381"/>
      <c r="BB161" s="381"/>
      <c r="BC161" s="381"/>
      <c r="BD161" s="381"/>
      <c r="BE161" s="381"/>
      <c r="BF161" s="381"/>
      <c r="BG161" s="381"/>
      <c r="BH161" s="381"/>
      <c r="BI161" s="381"/>
      <c r="BJ161" s="387">
        <f>IFERROR(BJ153/BF$116,"NA")</f>
        <v>-5.7142857142857135</v>
      </c>
      <c r="BK161" s="387">
        <f>IFERROR(BK153/BG$116,"NA")</f>
        <v>-1.1463414634146349</v>
      </c>
      <c r="BL161" s="387" t="str">
        <f t="shared" ref="BL161:BN161" si="127">IFERROR(BL153/BH$116,"NA")</f>
        <v>NA</v>
      </c>
      <c r="BM161" s="387">
        <f t="shared" si="127"/>
        <v>-0.99999999999999967</v>
      </c>
      <c r="BN161" s="387">
        <f t="shared" si="127"/>
        <v>-6.903225806451605</v>
      </c>
      <c r="BO161" s="437"/>
      <c r="BP161" s="437"/>
      <c r="BQ161" s="437"/>
      <c r="BR161" s="437"/>
      <c r="BT161" s="48"/>
    </row>
    <row r="162" spans="2:74" hidden="1" outlineLevel="1">
      <c r="B162" s="54"/>
      <c r="G162" s="7"/>
      <c r="H162" s="7"/>
      <c r="I162" s="12"/>
      <c r="J162" s="12"/>
      <c r="K162" s="12"/>
      <c r="L162" s="12"/>
      <c r="M162" s="12"/>
      <c r="N162" s="12"/>
      <c r="O162" s="12"/>
      <c r="P162" s="12"/>
      <c r="Q162" s="12"/>
      <c r="R162" s="12"/>
      <c r="S162" s="12"/>
      <c r="T162" s="12"/>
      <c r="U162" s="12"/>
      <c r="V162" s="73"/>
      <c r="W162" s="75"/>
      <c r="X162" s="75"/>
      <c r="Y162" s="75"/>
      <c r="Z162" s="75"/>
      <c r="AA162" s="75"/>
      <c r="AB162" s="75"/>
      <c r="AC162" s="75"/>
      <c r="AD162" s="75"/>
      <c r="AE162" s="75"/>
      <c r="AF162" s="75"/>
      <c r="AG162" s="75"/>
      <c r="AH162" s="75"/>
      <c r="AI162" s="75"/>
      <c r="AJ162" s="75"/>
      <c r="AK162" s="75"/>
      <c r="AL162" s="75"/>
      <c r="AM162" s="75"/>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388"/>
      <c r="BK162" s="388"/>
      <c r="BL162" s="388"/>
      <c r="BM162" s="388"/>
      <c r="BN162" s="388"/>
      <c r="BO162" s="12"/>
      <c r="BP162" s="12"/>
      <c r="BQ162" s="12"/>
      <c r="BR162" s="12"/>
      <c r="BT162" s="48"/>
    </row>
    <row r="163" spans="2:74" collapsed="1">
      <c r="B163" s="54"/>
      <c r="G163" s="7"/>
      <c r="H163" s="7"/>
      <c r="I163" s="12"/>
      <c r="J163" s="12"/>
      <c r="K163" s="12"/>
      <c r="L163" s="12"/>
      <c r="M163" s="12"/>
      <c r="N163" s="12"/>
      <c r="O163" s="12"/>
      <c r="P163" s="12"/>
      <c r="Q163" s="12"/>
      <c r="R163" s="12"/>
      <c r="S163" s="12"/>
      <c r="T163" s="12"/>
      <c r="U163" s="12"/>
      <c r="V163" s="73"/>
      <c r="W163" s="75"/>
      <c r="X163" s="75"/>
      <c r="Y163" s="75"/>
      <c r="Z163" s="75"/>
      <c r="AA163" s="75"/>
      <c r="AB163" s="75"/>
      <c r="AC163" s="75"/>
      <c r="AD163" s="75"/>
      <c r="AE163" s="75"/>
      <c r="AF163" s="75"/>
      <c r="AG163" s="75"/>
      <c r="AH163" s="75"/>
      <c r="AI163" s="75"/>
      <c r="AJ163" s="75"/>
      <c r="AK163" s="75"/>
      <c r="AL163" s="75"/>
      <c r="AM163" s="75"/>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388"/>
      <c r="BK163" s="388"/>
      <c r="BL163" s="388"/>
      <c r="BM163" s="388"/>
      <c r="BN163" s="388"/>
      <c r="BO163" s="12"/>
      <c r="BP163" s="12"/>
      <c r="BQ163" s="12"/>
      <c r="BR163" s="12"/>
      <c r="BT163" s="48"/>
    </row>
    <row r="164" spans="2:74">
      <c r="B164" s="68" t="s">
        <v>678</v>
      </c>
      <c r="G164" s="7"/>
      <c r="H164" s="7"/>
      <c r="I164" s="12"/>
      <c r="J164" s="12"/>
      <c r="K164" s="12"/>
      <c r="L164" s="12"/>
      <c r="M164" s="12"/>
      <c r="N164" s="12"/>
      <c r="O164" s="12"/>
      <c r="P164" s="12"/>
      <c r="Q164" s="12"/>
      <c r="R164" s="12"/>
      <c r="S164" s="12"/>
      <c r="T164" s="12"/>
      <c r="U164" s="12"/>
      <c r="V164" s="73"/>
      <c r="W164" s="75"/>
      <c r="X164" s="75"/>
      <c r="Y164" s="75"/>
      <c r="Z164" s="75"/>
      <c r="AA164" s="75"/>
      <c r="AB164" s="75"/>
      <c r="AC164" s="75"/>
      <c r="AD164" s="75"/>
      <c r="AE164" s="75"/>
      <c r="AF164" s="75"/>
      <c r="AG164" s="75"/>
      <c r="AH164" s="75"/>
      <c r="AI164" s="75"/>
      <c r="AJ164" s="75"/>
      <c r="AK164" s="75"/>
      <c r="AL164" s="75"/>
      <c r="AM164" s="75"/>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c r="BK164" s="12"/>
      <c r="BL164" s="388"/>
      <c r="BM164" s="388"/>
      <c r="BN164" s="12"/>
      <c r="BO164" s="12"/>
      <c r="BP164" s="12"/>
      <c r="BQ164" s="12"/>
      <c r="BR164" s="12"/>
      <c r="BT164" s="48"/>
    </row>
    <row r="165" spans="2:74">
      <c r="B165" s="5" t="s">
        <v>700</v>
      </c>
      <c r="G165" s="7"/>
      <c r="H165" s="7"/>
      <c r="I165" s="12"/>
      <c r="J165" s="12"/>
      <c r="K165" s="12"/>
      <c r="L165" s="12"/>
      <c r="M165" s="22">
        <v>2596.1825751771926</v>
      </c>
      <c r="N165" s="22">
        <v>2430.3963685756585</v>
      </c>
      <c r="O165" s="22">
        <v>2180.0547090503665</v>
      </c>
      <c r="P165" s="22">
        <v>1770.3763982497792</v>
      </c>
      <c r="Q165" s="22">
        <v>2124.542039044944</v>
      </c>
      <c r="R165" s="23">
        <f>AVERAGE(BO165:BR165)</f>
        <v>2936.7290162121981</v>
      </c>
      <c r="S165" s="26">
        <f>R165*(1+S166)</f>
        <v>3024.830886698564</v>
      </c>
      <c r="T165" s="26">
        <f>S165*(1+T166)</f>
        <v>3115.5758132995211</v>
      </c>
      <c r="U165" s="26">
        <f>T165*(1+U166)</f>
        <v>3209.043087698507</v>
      </c>
      <c r="V165" s="73"/>
      <c r="W165" s="75"/>
      <c r="X165" s="75"/>
      <c r="Y165" s="75"/>
      <c r="Z165" s="75"/>
      <c r="AA165" s="75"/>
      <c r="AB165" s="75"/>
      <c r="AC165" s="75"/>
      <c r="AD165" s="75"/>
      <c r="AE165" s="75"/>
      <c r="AF165" s="75"/>
      <c r="AG165" s="75"/>
      <c r="AH165" s="75"/>
      <c r="AI165" s="75"/>
      <c r="AJ165" s="75"/>
      <c r="AK165" s="75"/>
      <c r="AL165" s="75"/>
      <c r="AM165" s="75"/>
      <c r="AN165" s="12"/>
      <c r="AO165" s="12"/>
      <c r="AP165" s="12"/>
      <c r="AQ165" s="12"/>
      <c r="AR165" s="12"/>
      <c r="AS165" s="12"/>
      <c r="AT165" s="12"/>
      <c r="AU165" s="22">
        <v>2609.3072484513782</v>
      </c>
      <c r="AV165" s="22">
        <v>2634.7306769445336</v>
      </c>
      <c r="AW165" s="22">
        <v>2641.4153763931054</v>
      </c>
      <c r="AX165" s="22">
        <v>2509.5801088605399</v>
      </c>
      <c r="AY165" s="22">
        <v>2437.6147604871767</v>
      </c>
      <c r="AZ165" s="22">
        <v>2455.5103081018483</v>
      </c>
      <c r="BA165" s="22">
        <v>2458.542511859046</v>
      </c>
      <c r="BB165" s="22">
        <v>2371.0594365603001</v>
      </c>
      <c r="BC165" s="22">
        <v>2320.765708767547</v>
      </c>
      <c r="BD165" s="22">
        <v>2037.9315514327304</v>
      </c>
      <c r="BE165" s="22">
        <v>2200.7880332187096</v>
      </c>
      <c r="BF165" s="22">
        <v>2158.2280584473124</v>
      </c>
      <c r="BG165" s="22">
        <v>1846.8119449698577</v>
      </c>
      <c r="BH165" s="22">
        <v>1726.184709419633</v>
      </c>
      <c r="BI165" s="22">
        <v>1753.6021928496007</v>
      </c>
      <c r="BJ165" s="22">
        <v>1755.1411344341141</v>
      </c>
      <c r="BK165" s="22">
        <v>1685.6873844107006</v>
      </c>
      <c r="BL165" s="22">
        <v>1983.6895470149136</v>
      </c>
      <c r="BM165" s="22">
        <v>2391.2735648161861</v>
      </c>
      <c r="BN165" s="22">
        <v>2431.1152739366021</v>
      </c>
      <c r="BO165" s="22">
        <v>2597.1024448841476</v>
      </c>
      <c r="BP165" s="22">
        <v>3143.2936960955867</v>
      </c>
      <c r="BQ165" s="331">
        <f>BP165*(1+BQ167)</f>
        <v>3048.9948852127191</v>
      </c>
      <c r="BR165" s="331">
        <f>BQ165*(1+BR167)</f>
        <v>2957.5250386563375</v>
      </c>
      <c r="BS165" s="26"/>
      <c r="BT165" s="26"/>
      <c r="BU165" s="26"/>
      <c r="BV165" s="26"/>
    </row>
    <row r="166" spans="2:74">
      <c r="B166" s="54" t="s">
        <v>566</v>
      </c>
      <c r="G166" s="7"/>
      <c r="H166" s="7"/>
      <c r="I166" s="12"/>
      <c r="J166" s="12"/>
      <c r="K166" s="12"/>
      <c r="L166" s="12"/>
      <c r="M166" s="12"/>
      <c r="N166" s="63">
        <f>+N165/M165-1</f>
        <v>-6.385768404220149E-2</v>
      </c>
      <c r="O166" s="63">
        <f t="shared" ref="O166" si="128">+O165/N165-1</f>
        <v>-0.10300445752887855</v>
      </c>
      <c r="P166" s="63">
        <f t="shared" ref="P166" si="129">+P165/O165-1</f>
        <v>-0.18792111459397431</v>
      </c>
      <c r="Q166" s="63">
        <f t="shared" ref="Q166" si="130">+Q165/P165-1</f>
        <v>0.20005104064045276</v>
      </c>
      <c r="R166" s="63">
        <f t="shared" ref="R166" si="131">+R165/Q165-1</f>
        <v>0.38228802360265868</v>
      </c>
      <c r="S166" s="64">
        <v>0.03</v>
      </c>
      <c r="T166" s="64">
        <v>0.03</v>
      </c>
      <c r="U166" s="64">
        <v>0.03</v>
      </c>
      <c r="V166" s="73"/>
      <c r="W166" s="75"/>
      <c r="X166" s="75"/>
      <c r="Y166" s="75"/>
      <c r="Z166" s="75"/>
      <c r="AA166" s="75"/>
      <c r="AB166" s="75"/>
      <c r="AC166" s="75"/>
      <c r="AD166" s="75"/>
      <c r="AE166" s="75"/>
      <c r="AF166" s="75"/>
      <c r="AG166" s="75"/>
      <c r="AH166" s="75"/>
      <c r="AI166" s="75"/>
      <c r="AJ166" s="75"/>
      <c r="AK166" s="75"/>
      <c r="AL166" s="75"/>
      <c r="AM166" s="75"/>
      <c r="AN166" s="12"/>
      <c r="AO166" s="12"/>
      <c r="AP166" s="12"/>
      <c r="AQ166" s="12"/>
      <c r="AR166" s="12"/>
      <c r="AS166" s="12"/>
      <c r="AT166" s="12"/>
      <c r="AU166" s="63"/>
      <c r="AV166" s="63"/>
      <c r="AW166" s="63"/>
      <c r="AX166" s="63"/>
      <c r="AY166" s="63">
        <f t="shared" ref="AY166" si="132">+AY165/AU165-1</f>
        <v>-6.5800027216457835E-2</v>
      </c>
      <c r="AZ166" s="63">
        <f t="shared" ref="AZ166" si="133">+AZ165/AV165-1</f>
        <v>-6.8022272792802152E-2</v>
      </c>
      <c r="BA166" s="63">
        <f t="shared" ref="BA166" si="134">+BA165/AW165-1</f>
        <v>-6.9232906784912784E-2</v>
      </c>
      <c r="BB166" s="63">
        <f t="shared" ref="BB166" si="135">+BB165/AX165-1</f>
        <v>-5.5196752560783713E-2</v>
      </c>
      <c r="BC166" s="63">
        <f t="shared" ref="BC166" si="136">+BC165/AY165-1</f>
        <v>-4.7935815623415534E-2</v>
      </c>
      <c r="BD166" s="63">
        <f t="shared" ref="BD166" si="137">+BD165/AZ165-1</f>
        <v>-0.1700578308677162</v>
      </c>
      <c r="BE166" s="63">
        <f t="shared" ref="BE166" si="138">+BE165/BA165-1</f>
        <v>-0.10484035862590524</v>
      </c>
      <c r="BF166" s="63">
        <f t="shared" ref="BF166" si="139">+BF165/BB165-1</f>
        <v>-8.9762143804266059E-2</v>
      </c>
      <c r="BG166" s="63">
        <f t="shared" ref="BG166" si="140">+BG165/BC165-1</f>
        <v>-0.20422301226149386</v>
      </c>
      <c r="BH166" s="63">
        <f t="shared" ref="BH166" si="141">+BH165/BD165-1</f>
        <v>-0.15297218485769526</v>
      </c>
      <c r="BI166" s="63">
        <f t="shared" ref="BI166" si="142">+BI165/BE165-1</f>
        <v>-0.20319350778870238</v>
      </c>
      <c r="BJ166" s="63">
        <f t="shared" ref="BJ166" si="143">+BJ165/BF165-1</f>
        <v>-0.1867675301669417</v>
      </c>
      <c r="BK166" s="63">
        <f t="shared" ref="BK166" si="144">+BK165/BG165-1</f>
        <v>-8.7244703500001908E-2</v>
      </c>
      <c r="BL166" s="63">
        <f t="shared" ref="BL166" si="145">+BL165/BH165-1</f>
        <v>0.14917571462086299</v>
      </c>
      <c r="BM166" s="63">
        <f t="shared" ref="BM166" si="146">+BM165/BI165-1</f>
        <v>0.36363513604551922</v>
      </c>
      <c r="BN166" s="63">
        <f t="shared" ref="BN166" si="147">+BN165/BJ165-1</f>
        <v>0.38513947752722055</v>
      </c>
      <c r="BO166" s="63">
        <f>+BO165/BK165-1</f>
        <v>0.54067857949359244</v>
      </c>
      <c r="BP166" s="63">
        <f>+BP165/BL165-1</f>
        <v>0.58456937015455024</v>
      </c>
      <c r="BQ166" s="63">
        <f t="shared" ref="BQ166:BR166" si="148">+BQ165/BM165-1</f>
        <v>0.27505063831836862</v>
      </c>
      <c r="BR166" s="63">
        <f t="shared" si="148"/>
        <v>0.21653015402570452</v>
      </c>
    </row>
    <row r="167" spans="2:74">
      <c r="B167" s="54" t="s">
        <v>567</v>
      </c>
      <c r="G167" s="7"/>
      <c r="H167" s="7"/>
      <c r="I167" s="12"/>
      <c r="J167" s="12"/>
      <c r="K167" s="12"/>
      <c r="L167" s="12"/>
      <c r="M167" s="12"/>
      <c r="N167" s="12"/>
      <c r="O167" s="12"/>
      <c r="P167" s="12"/>
      <c r="Q167" s="12"/>
      <c r="R167" s="12"/>
      <c r="S167" s="12"/>
      <c r="T167" s="12"/>
      <c r="U167" s="12"/>
      <c r="V167" s="73"/>
      <c r="W167" s="75"/>
      <c r="X167" s="75"/>
      <c r="Y167" s="75"/>
      <c r="Z167" s="75"/>
      <c r="AA167" s="75"/>
      <c r="AB167" s="75"/>
      <c r="AC167" s="75"/>
      <c r="AD167" s="75"/>
      <c r="AE167" s="75"/>
      <c r="AF167" s="75"/>
      <c r="AG167" s="75"/>
      <c r="AH167" s="75"/>
      <c r="AI167" s="75"/>
      <c r="AJ167" s="75"/>
      <c r="AK167" s="75"/>
      <c r="AL167" s="75"/>
      <c r="AM167" s="75"/>
      <c r="AN167" s="12"/>
      <c r="AO167" s="12"/>
      <c r="AP167" s="12"/>
      <c r="AQ167" s="12"/>
      <c r="AR167" s="12"/>
      <c r="AS167" s="12"/>
      <c r="AT167" s="12"/>
      <c r="AU167" s="63"/>
      <c r="AV167" s="63">
        <f t="shared" ref="AV167" si="149">+AV165/AU165-1</f>
        <v>9.7433633038976897E-3</v>
      </c>
      <c r="AW167" s="63">
        <f t="shared" ref="AW167" si="150">+AW165/AV165-1</f>
        <v>2.5371471577975147E-3</v>
      </c>
      <c r="AX167" s="63">
        <f t="shared" ref="AX167" si="151">+AX165/AW165-1</f>
        <v>-4.9910842766649033E-2</v>
      </c>
      <c r="AY167" s="63">
        <f t="shared" ref="AY167" si="152">+AY165/AX165-1</f>
        <v>-2.8676250707947548E-2</v>
      </c>
      <c r="AZ167" s="63">
        <f t="shared" ref="AZ167" si="153">+AZ165/AY165-1</f>
        <v>7.3414174810357835E-3</v>
      </c>
      <c r="BA167" s="63">
        <f t="shared" ref="BA167" si="154">+BA165/AZ165-1</f>
        <v>1.2348568634361623E-3</v>
      </c>
      <c r="BB167" s="63">
        <f t="shared" ref="BB167" si="155">+BB165/BA165-1</f>
        <v>-3.5583307946379539E-2</v>
      </c>
      <c r="BC167" s="63">
        <f t="shared" ref="BC167" si="156">+BC165/BB165-1</f>
        <v>-2.1211500233715874E-2</v>
      </c>
      <c r="BD167" s="63">
        <f t="shared" ref="BD167" si="157">+BD165/BC165-1</f>
        <v>-0.12187105155264333</v>
      </c>
      <c r="BE167" s="63">
        <f t="shared" ref="BE167" si="158">+BE165/BD165-1</f>
        <v>7.9912635766145268E-2</v>
      </c>
      <c r="BF167" s="63">
        <f t="shared" ref="BF167" si="159">+BF165/BE165-1</f>
        <v>-1.9338516081056745E-2</v>
      </c>
      <c r="BG167" s="63">
        <f t="shared" ref="BG167" si="160">+BG165/BF165-1</f>
        <v>-0.14429249599391081</v>
      </c>
      <c r="BH167" s="63">
        <f t="shared" ref="BH167" si="161">+BH165/BG165-1</f>
        <v>-6.53164692153827E-2</v>
      </c>
      <c r="BI167" s="63">
        <f t="shared" ref="BI167" si="162">+BI165/BH165-1</f>
        <v>1.5883284842203027E-2</v>
      </c>
      <c r="BJ167" s="63">
        <f t="shared" ref="BJ167" si="163">+BJ165/BI165-1</f>
        <v>8.7758876602039848E-4</v>
      </c>
      <c r="BK167" s="63">
        <f t="shared" ref="BK167" si="164">+BK165/BJ165-1</f>
        <v>-3.9571604049839837E-2</v>
      </c>
      <c r="BL167" s="63">
        <f t="shared" ref="BL167" si="165">+BL165/BK165-1</f>
        <v>0.17678376510386684</v>
      </c>
      <c r="BM167" s="63">
        <f t="shared" ref="BM167" si="166">+BM165/BL165-1</f>
        <v>0.20546764407495677</v>
      </c>
      <c r="BN167" s="63">
        <f t="shared" ref="BN167" si="167">+BN165/BM165-1</f>
        <v>1.6661292838520803E-2</v>
      </c>
      <c r="BO167" s="63">
        <f t="shared" ref="BO167:BP167" si="168">+BO165/BN165-1</f>
        <v>6.8276141706258731E-2</v>
      </c>
      <c r="BP167" s="63">
        <f t="shared" si="168"/>
        <v>0.21030793463205244</v>
      </c>
      <c r="BQ167" s="64">
        <v>-0.03</v>
      </c>
      <c r="BR167" s="64">
        <v>-0.03</v>
      </c>
      <c r="BT167" s="48"/>
    </row>
    <row r="168" spans="2:74">
      <c r="B168" s="54" t="s">
        <v>684</v>
      </c>
      <c r="G168" s="7"/>
      <c r="H168" s="7"/>
      <c r="I168" s="12"/>
      <c r="J168" s="12"/>
      <c r="K168" s="12"/>
      <c r="L168" s="12"/>
      <c r="M168" s="12"/>
      <c r="N168" s="504">
        <f>N165/$N165</f>
        <v>1</v>
      </c>
      <c r="O168" s="504">
        <f t="shared" ref="O168:U168" si="169">O165/$N165</f>
        <v>0.89699554247112145</v>
      </c>
      <c r="P168" s="504">
        <f t="shared" si="169"/>
        <v>0.72843114034412171</v>
      </c>
      <c r="Q168" s="504">
        <f t="shared" si="169"/>
        <v>0.87415454800487491</v>
      </c>
      <c r="R168" s="504">
        <f t="shared" si="169"/>
        <v>1.2083333624849339</v>
      </c>
      <c r="S168" s="504">
        <f t="shared" si="169"/>
        <v>1.2445833633594818</v>
      </c>
      <c r="T168" s="504">
        <f t="shared" si="169"/>
        <v>1.2819208642602664</v>
      </c>
      <c r="U168" s="504">
        <f t="shared" si="169"/>
        <v>1.3203784901880744</v>
      </c>
      <c r="V168" s="73"/>
      <c r="W168" s="75"/>
      <c r="X168" s="75"/>
      <c r="Y168" s="75"/>
      <c r="Z168" s="75"/>
      <c r="AA168" s="75"/>
      <c r="AB168" s="75"/>
      <c r="AC168" s="75"/>
      <c r="AD168" s="75"/>
      <c r="AE168" s="75"/>
      <c r="AF168" s="75"/>
      <c r="AG168" s="75"/>
      <c r="AH168" s="75"/>
      <c r="AI168" s="75"/>
      <c r="AJ168" s="75"/>
      <c r="AK168" s="75"/>
      <c r="AL168" s="75"/>
      <c r="AM168" s="75"/>
      <c r="AN168" s="12"/>
      <c r="AO168" s="12"/>
      <c r="AP168" s="12"/>
      <c r="AQ168" s="12"/>
      <c r="AR168" s="12"/>
      <c r="AS168" s="12"/>
      <c r="AT168" s="12"/>
      <c r="AU168" s="63"/>
      <c r="AV168" s="375">
        <f>AV165/$AV165</f>
        <v>1</v>
      </c>
      <c r="AW168" s="375">
        <f t="shared" ref="AW168:BR168" si="170">AW165/$AV165</f>
        <v>1.0025371471577975</v>
      </c>
      <c r="AX168" s="375">
        <f t="shared" si="170"/>
        <v>0.95249967323827978</v>
      </c>
      <c r="AY168" s="375">
        <f t="shared" si="170"/>
        <v>0.92518555380926071</v>
      </c>
      <c r="AZ168" s="375">
        <f t="shared" si="170"/>
        <v>0.93197772720719785</v>
      </c>
      <c r="BA168" s="375">
        <f t="shared" si="170"/>
        <v>0.93312858630020934</v>
      </c>
      <c r="BB168" s="375">
        <f t="shared" si="170"/>
        <v>0.89992478446031909</v>
      </c>
      <c r="BC168" s="375">
        <f t="shared" si="170"/>
        <v>0.88083602968441232</v>
      </c>
      <c r="BD168" s="375">
        <f t="shared" si="170"/>
        <v>0.7734876165013177</v>
      </c>
      <c r="BE168" s="375">
        <f t="shared" si="170"/>
        <v>0.83529905066841137</v>
      </c>
      <c r="BF168" s="375">
        <f t="shared" si="170"/>
        <v>0.81914560654456881</v>
      </c>
      <c r="BG168" s="375">
        <f t="shared" si="170"/>
        <v>0.70094904239380695</v>
      </c>
      <c r="BH168" s="375">
        <f t="shared" si="170"/>
        <v>0.65516552584473997</v>
      </c>
      <c r="BI168" s="375">
        <f t="shared" si="170"/>
        <v>0.66557170651052378</v>
      </c>
      <c r="BJ168" s="375">
        <f t="shared" si="170"/>
        <v>0.6661558047631384</v>
      </c>
      <c r="BK168" s="375">
        <f t="shared" si="170"/>
        <v>0.63979495102154904</v>
      </c>
      <c r="BL168" s="375">
        <f>BL165/$AV165</f>
        <v>0.75290031135758262</v>
      </c>
      <c r="BM168" s="375">
        <f t="shared" si="170"/>
        <v>0.90759696455552641</v>
      </c>
      <c r="BN168" s="375">
        <f t="shared" si="170"/>
        <v>0.92271870336133865</v>
      </c>
      <c r="BO168" s="375">
        <f t="shared" si="170"/>
        <v>0.98571837630705272</v>
      </c>
      <c r="BP168" s="375">
        <f t="shared" ref="BP168" si="171">BP165/$AV165</f>
        <v>1.1930227721570494</v>
      </c>
      <c r="BQ168" s="375">
        <f t="shared" si="170"/>
        <v>1.1572320889923378</v>
      </c>
      <c r="BR168" s="375">
        <f t="shared" si="170"/>
        <v>1.1225151263225677</v>
      </c>
      <c r="BT168" s="48"/>
    </row>
    <row r="169" spans="2:74">
      <c r="B169" s="54"/>
      <c r="G169" s="7"/>
      <c r="H169" s="7"/>
      <c r="I169" s="12"/>
      <c r="J169" s="12"/>
      <c r="K169" s="12"/>
      <c r="L169" s="12"/>
      <c r="N169" s="12"/>
      <c r="O169" s="12"/>
      <c r="P169" s="12"/>
      <c r="Q169" s="12"/>
      <c r="R169" s="12"/>
      <c r="S169" s="12"/>
      <c r="T169" s="12"/>
      <c r="U169" s="12"/>
      <c r="V169" s="73"/>
      <c r="W169" s="75"/>
      <c r="X169" s="75"/>
      <c r="Y169" s="75"/>
      <c r="Z169" s="75"/>
      <c r="AA169" s="75"/>
      <c r="AB169" s="75"/>
      <c r="AC169" s="75"/>
      <c r="AD169" s="75"/>
      <c r="AE169" s="75"/>
      <c r="AF169" s="75"/>
      <c r="AG169" s="75"/>
      <c r="AH169" s="75"/>
      <c r="AI169" s="75"/>
      <c r="AJ169" s="75"/>
      <c r="AK169" s="75"/>
      <c r="AL169" s="75"/>
      <c r="AM169" s="75"/>
      <c r="AN169" s="12"/>
      <c r="AO169" s="12"/>
      <c r="AP169" s="12"/>
      <c r="AQ169" s="12"/>
      <c r="AR169" s="12"/>
      <c r="AS169" s="12"/>
      <c r="AT169" s="12"/>
      <c r="BP169" s="12"/>
      <c r="BQ169" s="12"/>
      <c r="BR169" s="12"/>
      <c r="BT169" s="48"/>
    </row>
    <row r="170" spans="2:74">
      <c r="B170" s="5" t="s">
        <v>696</v>
      </c>
      <c r="G170" s="7"/>
      <c r="H170" s="7"/>
      <c r="I170" s="12"/>
      <c r="J170" s="12"/>
      <c r="K170" s="12"/>
      <c r="L170" s="12"/>
      <c r="M170" s="450" t="s">
        <v>128</v>
      </c>
      <c r="N170" s="450" t="s">
        <v>128</v>
      </c>
      <c r="O170" s="450">
        <v>1.2349999999999997</v>
      </c>
      <c r="P170" s="450">
        <v>1.1551149425287324</v>
      </c>
      <c r="Q170" s="450">
        <v>1.1919540229885064</v>
      </c>
      <c r="R170" s="451">
        <f>AVERAGE(BO170:BR170)</f>
        <v>1.5066706060606059</v>
      </c>
      <c r="S170" s="44">
        <f>R170*(1+S171)</f>
        <v>1.5518707242424241</v>
      </c>
      <c r="T170" s="44">
        <f>S170*(1+T171)</f>
        <v>1.5984268459696969</v>
      </c>
      <c r="U170" s="44">
        <f>T170*(1+U171)</f>
        <v>1.6463796513487878</v>
      </c>
      <c r="V170" s="73"/>
      <c r="W170" s="75"/>
      <c r="X170" s="75"/>
      <c r="Y170" s="75"/>
      <c r="Z170" s="75"/>
      <c r="AA170" s="75"/>
      <c r="AB170" s="75"/>
      <c r="AC170" s="75"/>
      <c r="AD170" s="75"/>
      <c r="AE170" s="75"/>
      <c r="AF170" s="75"/>
      <c r="AG170" s="75"/>
      <c r="AH170" s="75"/>
      <c r="AI170" s="75"/>
      <c r="AJ170" s="75"/>
      <c r="AK170" s="75"/>
      <c r="AL170" s="75"/>
      <c r="AM170" s="75"/>
      <c r="AN170" s="12"/>
      <c r="AO170" s="12"/>
      <c r="AP170" s="12"/>
      <c r="AQ170" s="12"/>
      <c r="AR170" s="12"/>
      <c r="AS170" s="12"/>
      <c r="AT170" s="12"/>
      <c r="BF170" s="308">
        <v>1.2349999999999997</v>
      </c>
      <c r="BG170" s="308">
        <v>1.1782307692307674</v>
      </c>
      <c r="BH170" s="308">
        <v>1.1599999999999981</v>
      </c>
      <c r="BI170" s="308">
        <v>1.152615384615383</v>
      </c>
      <c r="BJ170" s="308">
        <v>1.1300000000000001</v>
      </c>
      <c r="BK170" s="308">
        <v>1.116666666666668</v>
      </c>
      <c r="BL170" s="308">
        <v>1.194603174603174</v>
      </c>
      <c r="BM170" s="308">
        <v>1.2199999999999993</v>
      </c>
      <c r="BN170" s="308">
        <v>1.2366666666666659</v>
      </c>
      <c r="BO170" s="308">
        <v>1.369242424242423</v>
      </c>
      <c r="BP170" s="308">
        <v>1.6000000000000003</v>
      </c>
      <c r="BQ170" s="535">
        <f>BP170*(1+BQ172)</f>
        <v>1.5520000000000003</v>
      </c>
      <c r="BR170" s="535">
        <f>BQ170*(1+BR172)</f>
        <v>1.5054400000000001</v>
      </c>
      <c r="BS170" s="44"/>
      <c r="BT170" s="48"/>
    </row>
    <row r="171" spans="2:74">
      <c r="B171" s="54" t="s">
        <v>566</v>
      </c>
      <c r="G171" s="7"/>
      <c r="H171" s="7"/>
      <c r="I171" s="12"/>
      <c r="J171" s="12"/>
      <c r="K171" s="12"/>
      <c r="L171" s="12"/>
      <c r="N171" s="12"/>
      <c r="O171" s="12"/>
      <c r="P171" s="63"/>
      <c r="Q171" s="63">
        <f t="shared" ref="Q171:R171" si="172">+Q170/P170-1</f>
        <v>3.1892133937015288E-2</v>
      </c>
      <c r="R171" s="63">
        <f t="shared" si="172"/>
        <v>0.26403416323310158</v>
      </c>
      <c r="S171" s="64">
        <v>0.03</v>
      </c>
      <c r="T171" s="64">
        <v>0.03</v>
      </c>
      <c r="U171" s="64">
        <v>0.03</v>
      </c>
      <c r="V171" s="73"/>
      <c r="W171" s="75"/>
      <c r="X171" s="75"/>
      <c r="Y171" s="75"/>
      <c r="Z171" s="75"/>
      <c r="AA171" s="75"/>
      <c r="AB171" s="75"/>
      <c r="AC171" s="75"/>
      <c r="AD171" s="75"/>
      <c r="AE171" s="75"/>
      <c r="AF171" s="75"/>
      <c r="AG171" s="75"/>
      <c r="AH171" s="75"/>
      <c r="AI171" s="75"/>
      <c r="AJ171" s="75"/>
      <c r="AK171" s="75"/>
      <c r="AL171" s="75"/>
      <c r="AM171" s="75"/>
      <c r="AN171" s="12"/>
      <c r="AO171" s="12"/>
      <c r="AP171" s="12"/>
      <c r="AQ171" s="12"/>
      <c r="AR171" s="12"/>
      <c r="AS171" s="12"/>
      <c r="AT171" s="12"/>
      <c r="BJ171" s="63">
        <f t="shared" ref="BJ171:BK171" si="173">+BJ170/BF170-1</f>
        <v>-8.5020242914979449E-2</v>
      </c>
      <c r="BK171" s="63">
        <f t="shared" si="173"/>
        <v>-5.2251311179297044E-2</v>
      </c>
      <c r="BL171" s="63">
        <f t="shared" ref="BL171" si="174">+BL170/BH170-1</f>
        <v>2.9830322933772413E-2</v>
      </c>
      <c r="BM171" s="63">
        <f t="shared" ref="BM171" si="175">+BM170/BI170-1</f>
        <v>5.8462359850508072E-2</v>
      </c>
      <c r="BN171" s="63">
        <f t="shared" ref="BN171" si="176">+BN170/BJ170-1</f>
        <v>9.4395280235987533E-2</v>
      </c>
      <c r="BO171" s="63">
        <f>+BO170/BK170-1</f>
        <v>0.22618724559022807</v>
      </c>
      <c r="BP171" s="63">
        <f>+BP170/BL170-1</f>
        <v>0.33935689609354336</v>
      </c>
      <c r="BQ171" s="63">
        <f t="shared" ref="BQ171" si="177">+BQ170/BM170-1</f>
        <v>0.27213114754098444</v>
      </c>
      <c r="BR171" s="63">
        <f t="shared" ref="BR171" si="178">+BR170/BN170-1</f>
        <v>0.21733692722372044</v>
      </c>
      <c r="BT171" s="48"/>
    </row>
    <row r="172" spans="2:74">
      <c r="B172" s="54" t="s">
        <v>567</v>
      </c>
      <c r="G172" s="7"/>
      <c r="H172" s="7"/>
      <c r="I172" s="12"/>
      <c r="J172" s="12"/>
      <c r="K172" s="12"/>
      <c r="L172" s="12"/>
      <c r="N172" s="12"/>
      <c r="O172" s="12"/>
      <c r="P172" s="12"/>
      <c r="Q172" s="12"/>
      <c r="R172" s="12"/>
      <c r="S172" s="12"/>
      <c r="T172" s="12"/>
      <c r="U172" s="12"/>
      <c r="V172" s="73"/>
      <c r="W172" s="75"/>
      <c r="X172" s="75"/>
      <c r="Y172" s="75"/>
      <c r="Z172" s="75"/>
      <c r="AA172" s="75"/>
      <c r="AB172" s="75"/>
      <c r="AC172" s="75"/>
      <c r="AD172" s="75"/>
      <c r="AE172" s="75"/>
      <c r="AF172" s="75"/>
      <c r="AG172" s="75"/>
      <c r="AH172" s="75"/>
      <c r="AI172" s="75"/>
      <c r="AJ172" s="75"/>
      <c r="AK172" s="75"/>
      <c r="AL172" s="75"/>
      <c r="AM172" s="75"/>
      <c r="AN172" s="12"/>
      <c r="AO172" s="12"/>
      <c r="AP172" s="12"/>
      <c r="AQ172" s="12"/>
      <c r="AR172" s="12"/>
      <c r="AS172" s="12"/>
      <c r="AT172" s="12"/>
      <c r="BJ172" s="63">
        <f t="shared" ref="BJ172:BK172" si="179">+BJ170/BI170-1</f>
        <v>-1.962092899092216E-2</v>
      </c>
      <c r="BK172" s="63">
        <f t="shared" si="179"/>
        <v>-1.179941002949747E-2</v>
      </c>
      <c r="BL172" s="63">
        <f t="shared" ref="BL172" si="180">+BL170/BK170-1</f>
        <v>6.979388770433359E-2</v>
      </c>
      <c r="BM172" s="63">
        <f t="shared" ref="BM172" si="181">+BM170/BL170-1</f>
        <v>2.1259633271325962E-2</v>
      </c>
      <c r="BN172" s="63">
        <f t="shared" ref="BN172" si="182">+BN170/BM170-1</f>
        <v>1.3661202185792254E-2</v>
      </c>
      <c r="BO172" s="63">
        <f t="shared" ref="BO172:BP172" si="183">+BO170/BN170-1</f>
        <v>0.10720411663807861</v>
      </c>
      <c r="BP172" s="63">
        <f t="shared" si="183"/>
        <v>0.16852937921876854</v>
      </c>
      <c r="BQ172" s="64">
        <v>-0.03</v>
      </c>
      <c r="BR172" s="64">
        <v>-0.03</v>
      </c>
      <c r="BT172" s="48"/>
    </row>
    <row r="173" spans="2:74">
      <c r="B173" s="54" t="s">
        <v>684</v>
      </c>
      <c r="G173" s="7"/>
      <c r="H173" s="7"/>
      <c r="I173" s="12"/>
      <c r="J173" s="12"/>
      <c r="K173" s="12"/>
      <c r="L173" s="12"/>
      <c r="N173" s="12"/>
      <c r="O173" s="12"/>
      <c r="P173" s="12"/>
      <c r="Q173" s="12"/>
      <c r="R173" s="12"/>
      <c r="S173" s="12"/>
      <c r="T173" s="12"/>
      <c r="U173" s="12"/>
      <c r="V173" s="73"/>
      <c r="W173" s="75"/>
      <c r="X173" s="75"/>
      <c r="Y173" s="75"/>
      <c r="Z173" s="75"/>
      <c r="AA173" s="75"/>
      <c r="AB173" s="75"/>
      <c r="AC173" s="75"/>
      <c r="AD173" s="75"/>
      <c r="AE173" s="75"/>
      <c r="AF173" s="75"/>
      <c r="AG173" s="75"/>
      <c r="AH173" s="75"/>
      <c r="AI173" s="75"/>
      <c r="AJ173" s="75"/>
      <c r="AK173" s="75"/>
      <c r="AL173" s="75"/>
      <c r="AM173" s="75"/>
      <c r="AN173" s="12"/>
      <c r="AO173" s="12"/>
      <c r="AP173" s="12"/>
      <c r="AQ173" s="12"/>
      <c r="AR173" s="12"/>
      <c r="AS173" s="12"/>
      <c r="AT173" s="12"/>
      <c r="BK173" s="375"/>
      <c r="BL173" s="375"/>
      <c r="BM173" s="375"/>
      <c r="BN173" s="375"/>
      <c r="BO173" s="375"/>
      <c r="BP173" s="375"/>
      <c r="BQ173" s="12"/>
      <c r="BR173" s="12"/>
      <c r="BT173" s="48"/>
    </row>
    <row r="174" spans="2:74">
      <c r="B174" s="54"/>
      <c r="G174" s="7"/>
      <c r="H174" s="7"/>
      <c r="I174" s="12"/>
      <c r="J174" s="12"/>
      <c r="K174" s="12"/>
      <c r="L174" s="12"/>
      <c r="N174" s="12"/>
      <c r="O174" s="12"/>
      <c r="P174" s="12"/>
      <c r="Q174" s="12"/>
      <c r="R174" s="12"/>
      <c r="S174" s="12"/>
      <c r="T174" s="12"/>
      <c r="U174" s="12"/>
      <c r="V174" s="73"/>
      <c r="W174" s="75"/>
      <c r="X174" s="75"/>
      <c r="Y174" s="75"/>
      <c r="Z174" s="75"/>
      <c r="AA174" s="75"/>
      <c r="AB174" s="75"/>
      <c r="AC174" s="75"/>
      <c r="AD174" s="75"/>
      <c r="AE174" s="75"/>
      <c r="AF174" s="75"/>
      <c r="AG174" s="75"/>
      <c r="AH174" s="75"/>
      <c r="AI174" s="75"/>
      <c r="AJ174" s="75"/>
      <c r="AK174" s="75"/>
      <c r="AL174" s="75"/>
      <c r="AM174" s="75"/>
      <c r="AN174" s="12"/>
      <c r="AO174" s="12"/>
      <c r="AP174" s="12"/>
      <c r="AQ174" s="12"/>
      <c r="AR174" s="12"/>
      <c r="AS174" s="12"/>
      <c r="AT174" s="12"/>
      <c r="BQ174" s="12"/>
      <c r="BR174" s="12"/>
      <c r="BT174" s="48"/>
    </row>
    <row r="175" spans="2:74">
      <c r="B175" s="5" t="s">
        <v>697</v>
      </c>
      <c r="G175" s="7"/>
      <c r="H175" s="7"/>
      <c r="I175" s="12"/>
      <c r="J175" s="12"/>
      <c r="K175" s="12"/>
      <c r="L175" s="12"/>
      <c r="M175" s="22">
        <v>2269.6447172349776</v>
      </c>
      <c r="N175" s="22">
        <v>2221.6269239209673</v>
      </c>
      <c r="O175" s="22">
        <v>1953.4709869112612</v>
      </c>
      <c r="P175" s="22">
        <v>1795.5864212499839</v>
      </c>
      <c r="Q175" s="22">
        <v>1943.1903218122322</v>
      </c>
      <c r="R175" s="23">
        <f>AVERAGE(BO175:BR175)</f>
        <v>2327.4899331429265</v>
      </c>
      <c r="S175" s="26">
        <f>R175*(1+S176)</f>
        <v>2397.3146311372143</v>
      </c>
      <c r="T175" s="26">
        <f>S175*(1+T176)</f>
        <v>2469.2340700713307</v>
      </c>
      <c r="U175" s="26">
        <f>T175*(1+U176)</f>
        <v>2543.3110921734706</v>
      </c>
      <c r="V175" s="73"/>
      <c r="W175" s="75"/>
      <c r="X175" s="75"/>
      <c r="Y175" s="75"/>
      <c r="Z175" s="75"/>
      <c r="AA175" s="75"/>
      <c r="AB175" s="75"/>
      <c r="AC175" s="75"/>
      <c r="AD175" s="75"/>
      <c r="AE175" s="75"/>
      <c r="AF175" s="75"/>
      <c r="AG175" s="75"/>
      <c r="AH175" s="75"/>
      <c r="AI175" s="75"/>
      <c r="AJ175" s="75"/>
      <c r="AK175" s="75"/>
      <c r="AL175" s="75"/>
      <c r="AM175" s="75"/>
      <c r="AN175" s="12"/>
      <c r="AO175" s="12"/>
      <c r="AP175" s="12"/>
      <c r="AQ175" s="12"/>
      <c r="AR175" s="12"/>
      <c r="AS175" s="12"/>
      <c r="AT175" s="12"/>
      <c r="AU175" s="22">
        <v>2160.5728808833069</v>
      </c>
      <c r="AV175" s="22">
        <v>2257.9910546951673</v>
      </c>
      <c r="AW175" s="22">
        <v>2288.9440793278959</v>
      </c>
      <c r="AX175" s="22">
        <v>2299.4791881132196</v>
      </c>
      <c r="AY175" s="22">
        <v>2236.2379764039924</v>
      </c>
      <c r="AZ175" s="22">
        <v>2267.4255038638807</v>
      </c>
      <c r="BA175" s="22">
        <v>2247.4211327243356</v>
      </c>
      <c r="BB175" s="22">
        <v>2137.50483632543</v>
      </c>
      <c r="BC175" s="22">
        <v>2066.2127068970954</v>
      </c>
      <c r="BD175" s="22">
        <v>1833.3666459833448</v>
      </c>
      <c r="BE175" s="22">
        <v>1986.6118865184637</v>
      </c>
      <c r="BF175" s="22">
        <v>1925.3350891609848</v>
      </c>
      <c r="BG175" s="22">
        <v>1741.8586854372913</v>
      </c>
      <c r="BH175" s="22">
        <v>1767.0349052874669</v>
      </c>
      <c r="BI175" s="22">
        <v>1828.9572454835902</v>
      </c>
      <c r="BJ175" s="22">
        <v>1843.7538120106603</v>
      </c>
      <c r="BK175" s="22">
        <v>1779.4837412875611</v>
      </c>
      <c r="BL175" s="22">
        <v>1846.1343692489747</v>
      </c>
      <c r="BM175" s="22">
        <v>2019.8744031111305</v>
      </c>
      <c r="BN175" s="22">
        <v>2122.8571393938464</v>
      </c>
      <c r="BO175" s="22">
        <v>2206.6268158608154</v>
      </c>
      <c r="BP175" s="22">
        <v>2440.2531576869324</v>
      </c>
      <c r="BQ175" s="331">
        <f>BP175*(1+BQ177)</f>
        <v>2367.0455629563244</v>
      </c>
      <c r="BR175" s="331">
        <f>BQ175*(1+BR177)</f>
        <v>2296.0341960676346</v>
      </c>
      <c r="BS175" s="44"/>
      <c r="BT175" s="48"/>
    </row>
    <row r="176" spans="2:74">
      <c r="B176" s="54" t="s">
        <v>566</v>
      </c>
      <c r="G176" s="7"/>
      <c r="H176" s="7"/>
      <c r="I176" s="12"/>
      <c r="J176" s="12"/>
      <c r="K176" s="12"/>
      <c r="L176" s="12"/>
      <c r="M176" s="12"/>
      <c r="N176" s="63">
        <f>+N175/M175-1</f>
        <v>-2.1156524168464808E-2</v>
      </c>
      <c r="O176" s="63">
        <f t="shared" ref="O176" si="184">+O175/N175-1</f>
        <v>-0.12070250595290566</v>
      </c>
      <c r="P176" s="63">
        <f t="shared" ref="P176" si="185">+P175/O175-1</f>
        <v>-8.0822580278459677E-2</v>
      </c>
      <c r="Q176" s="63">
        <f t="shared" ref="Q176" si="186">+Q175/P175-1</f>
        <v>8.2203729553431915E-2</v>
      </c>
      <c r="R176" s="63">
        <f t="shared" ref="R176" si="187">+R175/Q175-1</f>
        <v>0.1977673555785795</v>
      </c>
      <c r="S176" s="64">
        <v>0.03</v>
      </c>
      <c r="T176" s="64">
        <v>0.03</v>
      </c>
      <c r="U176" s="64">
        <v>0.03</v>
      </c>
      <c r="V176" s="73"/>
      <c r="W176" s="75"/>
      <c r="X176" s="75"/>
      <c r="Y176" s="75"/>
      <c r="Z176" s="75"/>
      <c r="AA176" s="75"/>
      <c r="AB176" s="75"/>
      <c r="AC176" s="75"/>
      <c r="AD176" s="75"/>
      <c r="AE176" s="75"/>
      <c r="AF176" s="75"/>
      <c r="AG176" s="75"/>
      <c r="AH176" s="75"/>
      <c r="AI176" s="75"/>
      <c r="AJ176" s="75"/>
      <c r="AK176" s="75"/>
      <c r="AL176" s="75"/>
      <c r="AM176" s="75"/>
      <c r="AN176" s="12"/>
      <c r="AO176" s="12"/>
      <c r="AP176" s="12"/>
      <c r="AQ176" s="12"/>
      <c r="AR176" s="12"/>
      <c r="AS176" s="12"/>
      <c r="AT176" s="12"/>
      <c r="AU176" s="12"/>
      <c r="AV176" s="63"/>
      <c r="AW176" s="63"/>
      <c r="AX176" s="63"/>
      <c r="AY176" s="63">
        <f t="shared" ref="AY176" si="188">+AY175/AU175-1</f>
        <v>3.502084849354925E-2</v>
      </c>
      <c r="AZ176" s="63">
        <f t="shared" ref="AZ176" si="189">+AZ175/AV175-1</f>
        <v>4.1782491339350525E-3</v>
      </c>
      <c r="BA176" s="63">
        <f t="shared" ref="BA176" si="190">+BA175/AW175-1</f>
        <v>-1.8140655762875935E-2</v>
      </c>
      <c r="BB176" s="63">
        <f t="shared" ref="BB176" si="191">+BB175/AX175-1</f>
        <v>-7.043958154746055E-2</v>
      </c>
      <c r="BC176" s="63">
        <f t="shared" ref="BC176" si="192">+BC175/AY175-1</f>
        <v>-7.6031831719586496E-2</v>
      </c>
      <c r="BD176" s="63">
        <f t="shared" ref="BD176" si="193">+BD175/AZ175-1</f>
        <v>-0.19143246697228367</v>
      </c>
      <c r="BE176" s="63">
        <f t="shared" ref="BE176" si="194">+BE175/BA175-1</f>
        <v>-0.11604823075135795</v>
      </c>
      <c r="BF176" s="63">
        <f t="shared" ref="BF176" si="195">+BF175/BB175-1</f>
        <v>-9.9260475840225348E-2</v>
      </c>
      <c r="BG176" s="63">
        <f t="shared" ref="BG176" si="196">+BG175/BC175-1</f>
        <v>-0.15697997615497095</v>
      </c>
      <c r="BH176" s="63">
        <f t="shared" ref="BH176" si="197">+BH175/BD175-1</f>
        <v>-3.6180292055166152E-2</v>
      </c>
      <c r="BI176" s="63">
        <f t="shared" ref="BI176" si="198">+BI175/BE175-1</f>
        <v>-7.9358551161778812E-2</v>
      </c>
      <c r="BJ176" s="63">
        <f t="shared" ref="BJ176" si="199">+BJ175/BF175-1</f>
        <v>-4.2372508354312277E-2</v>
      </c>
      <c r="BK176" s="63">
        <f t="shared" ref="BK176" si="200">+BK175/BG175-1</f>
        <v>2.1600521422795005E-2</v>
      </c>
      <c r="BL176" s="63">
        <f t="shared" ref="BL176" si="201">+BL175/BH175-1</f>
        <v>4.4763951025992732E-2</v>
      </c>
      <c r="BM176" s="63">
        <f t="shared" ref="BM176" si="202">+BM175/BI175-1</f>
        <v>0.10438579584021945</v>
      </c>
      <c r="BN176" s="63">
        <f t="shared" ref="BN176" si="203">+BN175/BJ175-1</f>
        <v>0.15137776289059812</v>
      </c>
      <c r="BO176" s="63">
        <f>+BO175/BK175-1</f>
        <v>0.24003763825579627</v>
      </c>
      <c r="BP176" s="63">
        <f>+BP175/BL175-1</f>
        <v>0.32181773891119891</v>
      </c>
      <c r="BQ176" s="63">
        <f t="shared" ref="BQ176:BR176" si="204">+BQ175/BM175-1</f>
        <v>0.17187759759243448</v>
      </c>
      <c r="BR176" s="63">
        <f t="shared" si="204"/>
        <v>8.1577348498937052E-2</v>
      </c>
      <c r="BT176" s="48"/>
    </row>
    <row r="177" spans="2:74">
      <c r="B177" s="54" t="s">
        <v>567</v>
      </c>
      <c r="G177" s="7"/>
      <c r="H177" s="7"/>
      <c r="I177" s="12"/>
      <c r="J177" s="12"/>
      <c r="K177" s="12"/>
      <c r="L177" s="12"/>
      <c r="M177" s="12"/>
      <c r="N177" s="12"/>
      <c r="O177" s="12"/>
      <c r="P177" s="12"/>
      <c r="Q177" s="12"/>
      <c r="R177" s="12"/>
      <c r="S177" s="12"/>
      <c r="T177" s="12"/>
      <c r="U177" s="12"/>
      <c r="V177" s="73"/>
      <c r="W177" s="75"/>
      <c r="X177" s="75"/>
      <c r="Y177" s="75"/>
      <c r="Z177" s="75"/>
      <c r="AA177" s="75"/>
      <c r="AB177" s="75"/>
      <c r="AC177" s="75"/>
      <c r="AD177" s="75"/>
      <c r="AE177" s="75"/>
      <c r="AF177" s="75"/>
      <c r="AG177" s="75"/>
      <c r="AH177" s="75"/>
      <c r="AI177" s="75"/>
      <c r="AJ177" s="75"/>
      <c r="AK177" s="75"/>
      <c r="AL177" s="75"/>
      <c r="AM177" s="75"/>
      <c r="AN177" s="12"/>
      <c r="AO177" s="12"/>
      <c r="AP177" s="12"/>
      <c r="AQ177" s="12"/>
      <c r="AR177" s="12"/>
      <c r="AS177" s="12"/>
      <c r="AT177" s="12"/>
      <c r="AU177" s="12"/>
      <c r="AV177" s="63">
        <f t="shared" ref="AV177" si="205">+AV175/AU175-1</f>
        <v>4.508904775849687E-2</v>
      </c>
      <c r="AW177" s="63">
        <f t="shared" ref="AW177" si="206">+AW175/AV175-1</f>
        <v>1.3708214019876763E-2</v>
      </c>
      <c r="AX177" s="63">
        <f t="shared" ref="AX177" si="207">+AX175/AW175-1</f>
        <v>4.6026064509261388E-3</v>
      </c>
      <c r="AY177" s="63">
        <f t="shared" ref="AY177" si="208">+AY175/AX175-1</f>
        <v>-2.7502406647619271E-2</v>
      </c>
      <c r="AZ177" s="63">
        <f t="shared" ref="AZ177" si="209">+AZ175/AY175-1</f>
        <v>1.394642600160112E-2</v>
      </c>
      <c r="BA177" s="63">
        <f t="shared" ref="BA177" si="210">+BA175/AZ175-1</f>
        <v>-8.8225042478600191E-3</v>
      </c>
      <c r="BB177" s="63">
        <f t="shared" ref="BB177" si="211">+BB175/BA175-1</f>
        <v>-4.8907743545894555E-2</v>
      </c>
      <c r="BC177" s="63">
        <f t="shared" ref="BC177" si="212">+BC175/BB175-1</f>
        <v>-3.3352967542703893E-2</v>
      </c>
      <c r="BD177" s="63">
        <f t="shared" ref="BD177" si="213">+BD175/BC175-1</f>
        <v>-0.11269220256777135</v>
      </c>
      <c r="BE177" s="63">
        <f t="shared" ref="BE177" si="214">+BE175/BD175-1</f>
        <v>8.3586794202271664E-2</v>
      </c>
      <c r="BF177" s="63">
        <f t="shared" ref="BF177" si="215">+BF175/BE175-1</f>
        <v>-3.0844876029039847E-2</v>
      </c>
      <c r="BG177" s="63">
        <f t="shared" ref="BG177" si="216">+BG175/BF175-1</f>
        <v>-9.5295829155457867E-2</v>
      </c>
      <c r="BH177" s="63">
        <f t="shared" ref="BH177" si="217">+BH175/BG175-1</f>
        <v>1.445365233165008E-2</v>
      </c>
      <c r="BI177" s="63">
        <f t="shared" ref="BI177" si="218">+BI175/BH175-1</f>
        <v>3.5043076970824982E-2</v>
      </c>
      <c r="BJ177" s="63">
        <f t="shared" ref="BJ177" si="219">+BJ175/BI175-1</f>
        <v>8.0901653461875611E-3</v>
      </c>
      <c r="BK177" s="63">
        <f t="shared" ref="BK177" si="220">+BK175/BJ175-1</f>
        <v>-3.4858271372472993E-2</v>
      </c>
      <c r="BL177" s="63">
        <f t="shared" ref="BL177" si="221">+BL175/BK175-1</f>
        <v>3.7455036207966641E-2</v>
      </c>
      <c r="BM177" s="63">
        <f t="shared" ref="BM177" si="222">+BM175/BL175-1</f>
        <v>9.4110177870116107E-2</v>
      </c>
      <c r="BN177" s="63">
        <f t="shared" ref="BN177" si="223">+BN175/BM175-1</f>
        <v>5.0984722675873284E-2</v>
      </c>
      <c r="BO177" s="63">
        <f t="shared" ref="BO177:BP177" si="224">+BO175/BN175-1</f>
        <v>3.9460816704268931E-2</v>
      </c>
      <c r="BP177" s="63">
        <f t="shared" si="224"/>
        <v>0.1058748765975539</v>
      </c>
      <c r="BQ177" s="64">
        <v>-0.03</v>
      </c>
      <c r="BR177" s="64">
        <v>-0.03</v>
      </c>
      <c r="BT177" s="48"/>
    </row>
    <row r="178" spans="2:74">
      <c r="B178" s="54" t="s">
        <v>685</v>
      </c>
      <c r="G178" s="7"/>
      <c r="H178" s="7"/>
      <c r="I178" s="12"/>
      <c r="J178" s="12"/>
      <c r="K178" s="12"/>
      <c r="L178" s="12"/>
      <c r="M178" s="12"/>
      <c r="N178" s="504">
        <f>N175/$N175</f>
        <v>1</v>
      </c>
      <c r="O178" s="504">
        <f t="shared" ref="O178:U178" si="225">O175/$N175</f>
        <v>0.87929749404709434</v>
      </c>
      <c r="P178" s="504">
        <f t="shared" si="225"/>
        <v>0.80823040174582461</v>
      </c>
      <c r="Q178" s="504">
        <f t="shared" si="225"/>
        <v>0.87466995510779999</v>
      </c>
      <c r="R178" s="504">
        <f t="shared" si="225"/>
        <v>1.0476511191335045</v>
      </c>
      <c r="S178" s="504">
        <f t="shared" si="225"/>
        <v>1.0790806527075096</v>
      </c>
      <c r="T178" s="504">
        <f t="shared" si="225"/>
        <v>1.111453072288735</v>
      </c>
      <c r="U178" s="504">
        <f t="shared" si="225"/>
        <v>1.144796664457397</v>
      </c>
      <c r="V178" s="73"/>
      <c r="W178" s="75"/>
      <c r="X178" s="75"/>
      <c r="Y178" s="75"/>
      <c r="Z178" s="75"/>
      <c r="AA178" s="75"/>
      <c r="AB178" s="75"/>
      <c r="AC178" s="75"/>
      <c r="AD178" s="75"/>
      <c r="AE178" s="75"/>
      <c r="AF178" s="75"/>
      <c r="AG178" s="75"/>
      <c r="AH178" s="75"/>
      <c r="AI178" s="75"/>
      <c r="AJ178" s="75"/>
      <c r="AK178" s="75"/>
      <c r="AL178" s="75"/>
      <c r="AM178" s="75"/>
      <c r="AN178" s="12"/>
      <c r="AO178" s="12"/>
      <c r="AP178" s="12"/>
      <c r="AQ178" s="12"/>
      <c r="AR178" s="12"/>
      <c r="AS178" s="12"/>
      <c r="AT178" s="12"/>
      <c r="AU178" s="12"/>
      <c r="AV178" s="375">
        <f>AV175/$AV175</f>
        <v>1</v>
      </c>
      <c r="AW178" s="375">
        <f t="shared" ref="AW178:BR178" si="226">AW175/$AV175</f>
        <v>1.0137082140198768</v>
      </c>
      <c r="AX178" s="375">
        <f t="shared" si="226"/>
        <v>1.0183739139850814</v>
      </c>
      <c r="AY178" s="375">
        <f t="shared" si="226"/>
        <v>0.99036618048333602</v>
      </c>
      <c r="AZ178" s="375">
        <f t="shared" si="226"/>
        <v>1.0041782491339351</v>
      </c>
      <c r="BA178" s="375">
        <f t="shared" si="226"/>
        <v>0.99531888226534238</v>
      </c>
      <c r="BB178" s="375">
        <f t="shared" si="226"/>
        <v>0.9466400816251227</v>
      </c>
      <c r="BC178" s="375">
        <f t="shared" si="226"/>
        <v>0.91506682570805742</v>
      </c>
      <c r="BD178" s="375">
        <f t="shared" si="226"/>
        <v>0.81194592962231749</v>
      </c>
      <c r="BE178" s="375">
        <f t="shared" si="226"/>
        <v>0.87981388694503027</v>
      </c>
      <c r="BF178" s="375">
        <f t="shared" si="226"/>
        <v>0.85267613667358322</v>
      </c>
      <c r="BG178" s="375">
        <f t="shared" si="226"/>
        <v>0.77141965722820161</v>
      </c>
      <c r="BH178" s="375">
        <f t="shared" si="226"/>
        <v>0.78256948875557863</v>
      </c>
      <c r="BI178" s="375">
        <f t="shared" si="226"/>
        <v>0.80999313158505959</v>
      </c>
      <c r="BJ178" s="375">
        <f t="shared" si="226"/>
        <v>0.81654610994885901</v>
      </c>
      <c r="BK178" s="375">
        <f t="shared" si="226"/>
        <v>0.78808272406012447</v>
      </c>
      <c r="BL178" s="375">
        <f t="shared" si="226"/>
        <v>0.81760039102466953</v>
      </c>
      <c r="BM178" s="375">
        <f t="shared" si="226"/>
        <v>0.89454490925067776</v>
      </c>
      <c r="BN178" s="375">
        <f t="shared" si="226"/>
        <v>0.94015303336993772</v>
      </c>
      <c r="BO178" s="375">
        <f t="shared" si="226"/>
        <v>0.97725223989371113</v>
      </c>
      <c r="BP178" s="375">
        <f t="shared" ref="BP178" si="227">BP175/$AV175</f>
        <v>1.0807187001971408</v>
      </c>
      <c r="BQ178" s="375">
        <f t="shared" si="226"/>
        <v>1.0482971391912266</v>
      </c>
      <c r="BR178" s="375">
        <f t="shared" si="226"/>
        <v>1.0168482250154898</v>
      </c>
      <c r="BT178" s="48"/>
    </row>
    <row r="179" spans="2:74">
      <c r="B179" s="54"/>
      <c r="G179" s="7"/>
      <c r="H179" s="7"/>
      <c r="I179" s="12"/>
      <c r="J179" s="12"/>
      <c r="K179" s="12"/>
      <c r="L179" s="12"/>
      <c r="M179" s="12"/>
      <c r="N179" s="12"/>
      <c r="O179" s="12"/>
      <c r="P179" s="69"/>
      <c r="Q179" s="12"/>
      <c r="R179" s="12"/>
      <c r="S179" s="12"/>
      <c r="T179" s="12"/>
      <c r="U179" s="12"/>
      <c r="V179" s="73"/>
      <c r="W179" s="75"/>
      <c r="X179" s="75"/>
      <c r="Y179" s="75"/>
      <c r="Z179" s="75"/>
      <c r="AA179" s="75"/>
      <c r="AB179" s="75"/>
      <c r="AC179" s="75"/>
      <c r="AD179" s="75"/>
      <c r="AE179" s="75"/>
      <c r="AF179" s="75"/>
      <c r="AG179" s="75"/>
      <c r="AH179" s="75"/>
      <c r="AI179" s="75"/>
      <c r="AJ179" s="75"/>
      <c r="AK179" s="75"/>
      <c r="AL179" s="75"/>
      <c r="AM179" s="75"/>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c r="BK179" s="388"/>
      <c r="BL179" s="388"/>
      <c r="BM179" s="12"/>
      <c r="BN179" s="12"/>
      <c r="BO179" s="12"/>
      <c r="BP179" s="12"/>
      <c r="BQ179" s="12"/>
      <c r="BR179" s="12"/>
      <c r="BT179" s="48"/>
    </row>
    <row r="180" spans="2:74">
      <c r="B180" s="68" t="s">
        <v>568</v>
      </c>
      <c r="F180" s="69"/>
      <c r="G180" s="69"/>
      <c r="H180" s="69"/>
      <c r="I180" s="69"/>
      <c r="J180" s="69"/>
      <c r="K180" s="69"/>
      <c r="L180" s="69"/>
      <c r="M180" s="69"/>
      <c r="N180" s="69"/>
      <c r="O180" s="69"/>
      <c r="P180" s="69"/>
      <c r="Q180" s="69"/>
      <c r="R180" s="69"/>
      <c r="S180" s="69"/>
      <c r="T180" s="69"/>
      <c r="U180" s="69"/>
      <c r="V180" s="69"/>
      <c r="W180" s="69"/>
      <c r="X180" s="69"/>
      <c r="Y180" s="69"/>
      <c r="Z180" s="69"/>
      <c r="AA180" s="69"/>
      <c r="AB180" s="69"/>
      <c r="AC180" s="69"/>
      <c r="AD180" s="69"/>
      <c r="AE180" s="69"/>
      <c r="AF180" s="69"/>
      <c r="AG180" s="69"/>
      <c r="AH180" s="69"/>
      <c r="AI180" s="69"/>
      <c r="AJ180" s="69"/>
      <c r="AK180" s="69"/>
      <c r="AL180" s="69"/>
      <c r="AM180" s="69"/>
      <c r="AN180" s="69"/>
      <c r="AO180" s="69"/>
      <c r="AP180" s="69"/>
      <c r="AQ180" s="69"/>
      <c r="AR180" s="69"/>
      <c r="AS180" s="69"/>
      <c r="AT180" s="69"/>
      <c r="AU180" s="69"/>
      <c r="AV180" s="69"/>
      <c r="AW180" s="69"/>
      <c r="AX180" s="69"/>
      <c r="AY180" s="69"/>
      <c r="AZ180" s="69"/>
      <c r="BA180" s="69"/>
      <c r="BB180" s="69"/>
      <c r="BC180" s="69"/>
      <c r="BD180" s="69"/>
      <c r="BE180" s="69"/>
      <c r="BF180" s="69"/>
      <c r="BG180" s="69"/>
      <c r="BH180" s="69"/>
      <c r="BI180" s="69"/>
      <c r="BJ180" s="69"/>
      <c r="BK180" s="63"/>
      <c r="BL180" s="63"/>
      <c r="BM180" s="63"/>
      <c r="BN180" s="63"/>
      <c r="BO180" s="63"/>
      <c r="BP180" s="63"/>
      <c r="BQ180" s="63"/>
      <c r="BR180" s="63"/>
    </row>
    <row r="181" spans="2:74">
      <c r="B181" s="5" t="s">
        <v>694</v>
      </c>
      <c r="F181" s="69"/>
      <c r="G181" s="384"/>
      <c r="H181" s="384"/>
      <c r="I181" s="384"/>
      <c r="J181" s="384"/>
      <c r="K181" s="384"/>
      <c r="L181" s="384"/>
      <c r="M181" s="22">
        <v>60.559523809523796</v>
      </c>
      <c r="N181" s="22">
        <v>60.907738095238095</v>
      </c>
      <c r="O181" s="22">
        <v>32.245077838827832</v>
      </c>
      <c r="P181" s="22">
        <v>29.681204006410262</v>
      </c>
      <c r="Q181" s="22">
        <v>39.260302026098898</v>
      </c>
      <c r="R181" s="22">
        <v>41.051625343406592</v>
      </c>
      <c r="S181" s="25">
        <f>+R181</f>
        <v>41.051625343406592</v>
      </c>
      <c r="T181" s="25">
        <f>+S181*1.03</f>
        <v>42.283174103708788</v>
      </c>
      <c r="U181" s="25">
        <f>+T181*1.03</f>
        <v>43.551669326820054</v>
      </c>
      <c r="V181" s="69"/>
      <c r="W181" s="384"/>
      <c r="X181" s="384"/>
      <c r="Y181" s="384"/>
      <c r="Z181" s="384"/>
      <c r="AA181" s="384"/>
      <c r="AB181" s="384"/>
      <c r="AC181" s="384"/>
      <c r="AD181" s="384"/>
      <c r="AE181" s="384"/>
      <c r="AF181" s="384"/>
      <c r="AG181" s="384"/>
      <c r="AH181" s="384"/>
      <c r="AI181" s="440">
        <v>48.85531135531135</v>
      </c>
      <c r="AJ181" s="440">
        <v>45.558608058608058</v>
      </c>
      <c r="AK181" s="440">
        <v>39.46886446886446</v>
      </c>
      <c r="AL181" s="440">
        <v>44.757326007326</v>
      </c>
      <c r="AM181" s="440">
        <v>57.600732600732606</v>
      </c>
      <c r="AN181" s="440">
        <v>55.723443223443212</v>
      </c>
      <c r="AO181" s="440">
        <v>54.166666666666664</v>
      </c>
      <c r="AP181" s="440">
        <v>43.406593406593402</v>
      </c>
      <c r="AQ181" s="440">
        <v>55.540293040293051</v>
      </c>
      <c r="AR181" s="440">
        <v>56.959706959706956</v>
      </c>
      <c r="AS181" s="440">
        <v>59.981684981684978</v>
      </c>
      <c r="AT181" s="440">
        <v>65.155677655677664</v>
      </c>
      <c r="AU181" s="440">
        <v>67.07875457875457</v>
      </c>
      <c r="AV181" s="440">
        <v>60.668498168498161</v>
      </c>
      <c r="AW181" s="440">
        <v>57.875457875457883</v>
      </c>
      <c r="AX181" s="440">
        <v>59.317765567765569</v>
      </c>
      <c r="AY181" s="440">
        <v>68.131868131868117</v>
      </c>
      <c r="AZ181" s="440">
        <v>63.415750915750912</v>
      </c>
      <c r="BA181" s="440">
        <v>68.841575091575095</v>
      </c>
      <c r="BB181" s="440">
        <v>52.380952380952387</v>
      </c>
      <c r="BC181" s="440">
        <v>28.708791208791208</v>
      </c>
      <c r="BD181" s="440">
        <v>35.164835164835154</v>
      </c>
      <c r="BE181" s="440">
        <v>35.989010989010985</v>
      </c>
      <c r="BF181" s="440">
        <v>30.128205128205128</v>
      </c>
      <c r="BG181" s="440">
        <v>26.259157509157511</v>
      </c>
      <c r="BH181" s="440">
        <v>28.663003663003657</v>
      </c>
      <c r="BI181" s="440">
        <v>31.616300366300372</v>
      </c>
      <c r="BJ181" s="440">
        <v>31.456043956043956</v>
      </c>
      <c r="BK181" s="440">
        <v>42.582417582417584</v>
      </c>
      <c r="BL181" s="440">
        <v>37.019230769230774</v>
      </c>
      <c r="BM181" s="440">
        <v>35.027472527472518</v>
      </c>
      <c r="BN181" s="440">
        <v>40.979853479853475</v>
      </c>
      <c r="BO181" s="440">
        <v>42.994505494505496</v>
      </c>
      <c r="BP181" s="440">
        <v>40.750915750915745</v>
      </c>
      <c r="BQ181" s="440">
        <v>41.117216117216124</v>
      </c>
      <c r="BR181" s="440">
        <v>40.430402930402934</v>
      </c>
      <c r="BS181" s="77"/>
      <c r="BT181" s="77"/>
      <c r="BU181" s="77"/>
      <c r="BV181" s="77"/>
    </row>
    <row r="182" spans="2:74">
      <c r="B182" s="54" t="s">
        <v>566</v>
      </c>
      <c r="F182" s="69"/>
      <c r="G182" s="384"/>
      <c r="H182" s="63"/>
      <c r="I182" s="63"/>
      <c r="J182" s="63"/>
      <c r="K182" s="63"/>
      <c r="L182" s="63"/>
      <c r="M182" s="63"/>
      <c r="N182" s="63">
        <f>+N181/M181-1</f>
        <v>5.7499508551210887E-3</v>
      </c>
      <c r="O182" s="63">
        <f t="shared" ref="O182:U182" si="228">+O181/N181-1</f>
        <v>-0.47059144129752495</v>
      </c>
      <c r="P182" s="63">
        <f t="shared" si="228"/>
        <v>-7.9512099342191278E-2</v>
      </c>
      <c r="Q182" s="63">
        <f t="shared" si="228"/>
        <v>0.32273279809066491</v>
      </c>
      <c r="R182" s="63">
        <f t="shared" si="228"/>
        <v>4.5626834865327481E-2</v>
      </c>
      <c r="S182" s="63">
        <f t="shared" si="228"/>
        <v>0</v>
      </c>
      <c r="T182" s="63">
        <f t="shared" si="228"/>
        <v>3.0000000000000027E-2</v>
      </c>
      <c r="U182" s="63">
        <f t="shared" si="228"/>
        <v>3.0000000000000027E-2</v>
      </c>
      <c r="V182" s="69"/>
      <c r="W182" s="384"/>
      <c r="X182" s="384"/>
      <c r="Y182" s="384"/>
      <c r="Z182" s="384"/>
      <c r="AA182" s="63"/>
      <c r="AB182" s="63"/>
      <c r="AC182" s="63"/>
      <c r="AD182" s="63"/>
      <c r="AE182" s="63"/>
      <c r="AF182" s="63"/>
      <c r="AG182" s="63"/>
      <c r="AH182" s="63"/>
      <c r="AI182" s="63"/>
      <c r="AJ182" s="63"/>
      <c r="AK182" s="63"/>
      <c r="AL182" s="63"/>
      <c r="AM182" s="63">
        <f t="shared" ref="AM182:BN182" si="229">+AM181/AI181-1</f>
        <v>0.17900656044985963</v>
      </c>
      <c r="AN182" s="63">
        <f t="shared" si="229"/>
        <v>0.22311557788944691</v>
      </c>
      <c r="AO182" s="63">
        <f t="shared" si="229"/>
        <v>0.37238979118329496</v>
      </c>
      <c r="AP182" s="63">
        <f t="shared" si="229"/>
        <v>-3.0179028132992336E-2</v>
      </c>
      <c r="AQ182" s="63">
        <f t="shared" si="229"/>
        <v>-3.5771065182829798E-2</v>
      </c>
      <c r="AR182" s="63">
        <f t="shared" si="229"/>
        <v>2.2185702547247388E-2</v>
      </c>
      <c r="AS182" s="63">
        <f t="shared" si="229"/>
        <v>0.10735418427726118</v>
      </c>
      <c r="AT182" s="63">
        <f t="shared" si="229"/>
        <v>0.50105485232067548</v>
      </c>
      <c r="AU182" s="63">
        <f t="shared" si="229"/>
        <v>0.20774938169826829</v>
      </c>
      <c r="AV182" s="63">
        <f t="shared" si="229"/>
        <v>6.5112540192926005E-2</v>
      </c>
      <c r="AW182" s="63">
        <f t="shared" si="229"/>
        <v>-3.5114503816793707E-2</v>
      </c>
      <c r="AX182" s="63">
        <f t="shared" si="229"/>
        <v>-8.9599437807449167E-2</v>
      </c>
      <c r="AY182" s="63">
        <f t="shared" si="229"/>
        <v>1.5699658703071551E-2</v>
      </c>
      <c r="AZ182" s="63">
        <f t="shared" si="229"/>
        <v>4.5283018867924518E-2</v>
      </c>
      <c r="BA182" s="63">
        <f t="shared" si="229"/>
        <v>0.18947784810126578</v>
      </c>
      <c r="BB182" s="63">
        <f t="shared" si="229"/>
        <v>-0.11694326514859121</v>
      </c>
      <c r="BC182" s="63">
        <f t="shared" si="229"/>
        <v>-0.5786290322580645</v>
      </c>
      <c r="BD182" s="63">
        <f t="shared" si="229"/>
        <v>-0.44548736462093874</v>
      </c>
      <c r="BE182" s="63">
        <f t="shared" si="229"/>
        <v>-0.47721982041902233</v>
      </c>
      <c r="BF182" s="63">
        <f t="shared" si="229"/>
        <v>-0.4248251748251749</v>
      </c>
      <c r="BG182" s="63">
        <f t="shared" si="229"/>
        <v>-8.5326953748006251E-2</v>
      </c>
      <c r="BH182" s="63">
        <f t="shared" si="229"/>
        <v>-0.18489583333333326</v>
      </c>
      <c r="BI182" s="63">
        <f t="shared" si="229"/>
        <v>-0.12150127226463081</v>
      </c>
      <c r="BJ182" s="63">
        <f t="shared" si="229"/>
        <v>4.407294832826758E-2</v>
      </c>
      <c r="BK182" s="63">
        <f t="shared" si="229"/>
        <v>0.62162162162162149</v>
      </c>
      <c r="BL182" s="63">
        <f t="shared" si="229"/>
        <v>0.29153354632587902</v>
      </c>
      <c r="BM182" s="63">
        <f t="shared" si="229"/>
        <v>0.10789283128167937</v>
      </c>
      <c r="BN182" s="63">
        <f t="shared" si="229"/>
        <v>0.30276564774381343</v>
      </c>
      <c r="BO182" s="63">
        <f>+BO181/BK181-1</f>
        <v>9.6774193548387899E-3</v>
      </c>
      <c r="BP182" s="63">
        <f>+BP181/BL181-1</f>
        <v>0.10080395794681474</v>
      </c>
      <c r="BQ182" s="63">
        <f>+BQ181/BM181-1</f>
        <v>0.17385620915032729</v>
      </c>
      <c r="BR182" s="63">
        <f>+BR181/BN181-1</f>
        <v>-1.3407821229050043E-2</v>
      </c>
      <c r="BS182" s="77"/>
      <c r="BT182" s="77"/>
      <c r="BU182" s="77"/>
      <c r="BV182" s="77"/>
    </row>
    <row r="183" spans="2:74">
      <c r="B183" s="54" t="s">
        <v>567</v>
      </c>
      <c r="F183" s="69"/>
      <c r="G183" s="384"/>
      <c r="H183" s="63"/>
      <c r="I183" s="63"/>
      <c r="J183" s="63"/>
      <c r="K183" s="63"/>
      <c r="L183" s="63"/>
      <c r="M183" s="63"/>
      <c r="N183" s="63"/>
      <c r="O183" s="63"/>
      <c r="P183" s="63"/>
      <c r="Q183" s="63"/>
      <c r="R183" s="63"/>
      <c r="S183" s="63"/>
      <c r="T183" s="63"/>
      <c r="U183" s="63"/>
      <c r="V183" s="69"/>
      <c r="W183" s="384"/>
      <c r="X183" s="63"/>
      <c r="Y183" s="63"/>
      <c r="Z183" s="63"/>
      <c r="AA183" s="63"/>
      <c r="AB183" s="63"/>
      <c r="AC183" s="63"/>
      <c r="AD183" s="63"/>
      <c r="AE183" s="63"/>
      <c r="AF183" s="63"/>
      <c r="AG183" s="63"/>
      <c r="AH183" s="63"/>
      <c r="AI183" s="63"/>
      <c r="AJ183" s="63">
        <f t="shared" ref="AJ183:BJ183" si="230">+AJ181/AI181-1</f>
        <v>-6.7478912839737504E-2</v>
      </c>
      <c r="AK183" s="63">
        <f t="shared" si="230"/>
        <v>-0.13366834170854291</v>
      </c>
      <c r="AL183" s="63">
        <f t="shared" si="230"/>
        <v>0.13399071925754069</v>
      </c>
      <c r="AM183" s="63">
        <f t="shared" si="230"/>
        <v>0.28695652173913078</v>
      </c>
      <c r="AN183" s="63">
        <f t="shared" si="230"/>
        <v>-3.2591414944356356E-2</v>
      </c>
      <c r="AO183" s="63">
        <f t="shared" si="230"/>
        <v>-2.7937551355792789E-2</v>
      </c>
      <c r="AP183" s="63">
        <f t="shared" si="230"/>
        <v>-0.19864750633981409</v>
      </c>
      <c r="AQ183" s="63">
        <f t="shared" si="230"/>
        <v>0.27953586497890326</v>
      </c>
      <c r="AR183" s="63">
        <f t="shared" si="230"/>
        <v>2.555647155812002E-2</v>
      </c>
      <c r="AS183" s="63">
        <f t="shared" si="230"/>
        <v>5.3054662379421247E-2</v>
      </c>
      <c r="AT183" s="63">
        <f t="shared" si="230"/>
        <v>8.6259541984732957E-2</v>
      </c>
      <c r="AU183" s="63">
        <f t="shared" si="230"/>
        <v>2.9515108924806466E-2</v>
      </c>
      <c r="AV183" s="63">
        <f t="shared" si="230"/>
        <v>-9.5563139931740593E-2</v>
      </c>
      <c r="AW183" s="63">
        <f t="shared" si="230"/>
        <v>-4.6037735849056349E-2</v>
      </c>
      <c r="AX183" s="63">
        <f t="shared" si="230"/>
        <v>2.4920886075949333E-2</v>
      </c>
      <c r="AY183" s="63">
        <f t="shared" si="230"/>
        <v>0.14859127749903478</v>
      </c>
      <c r="AZ183" s="63">
        <f t="shared" si="230"/>
        <v>-6.9220430107526765E-2</v>
      </c>
      <c r="BA183" s="63">
        <f t="shared" si="230"/>
        <v>8.5559566787003716E-2</v>
      </c>
      <c r="BB183" s="63">
        <f t="shared" si="230"/>
        <v>-0.23910874625872958</v>
      </c>
      <c r="BC183" s="63">
        <f t="shared" si="230"/>
        <v>-0.45192307692307698</v>
      </c>
      <c r="BD183" s="63">
        <f t="shared" si="230"/>
        <v>0.22488038277511935</v>
      </c>
      <c r="BE183" s="63">
        <f t="shared" si="230"/>
        <v>2.3437500000000222E-2</v>
      </c>
      <c r="BF183" s="63">
        <f t="shared" si="230"/>
        <v>-0.1628498727735368</v>
      </c>
      <c r="BG183" s="63">
        <f t="shared" si="230"/>
        <v>-0.12841945288753798</v>
      </c>
      <c r="BH183" s="63">
        <f t="shared" si="230"/>
        <v>9.1543156059284758E-2</v>
      </c>
      <c r="BI183" s="63">
        <f t="shared" si="230"/>
        <v>0.10303514376996858</v>
      </c>
      <c r="BJ183" s="63">
        <f t="shared" si="230"/>
        <v>-5.0687907313542446E-3</v>
      </c>
      <c r="BK183" s="63">
        <f t="shared" ref="BK183:BR183" si="231">+BK181/BJ181-1</f>
        <v>0.35371179039301315</v>
      </c>
      <c r="BL183" s="63">
        <f t="shared" si="231"/>
        <v>-0.13064516129032255</v>
      </c>
      <c r="BM183" s="63">
        <f t="shared" si="231"/>
        <v>-5.3803339517625615E-2</v>
      </c>
      <c r="BN183" s="63">
        <f t="shared" si="231"/>
        <v>0.16993464052287588</v>
      </c>
      <c r="BO183" s="63">
        <f t="shared" si="231"/>
        <v>4.9162011173184528E-2</v>
      </c>
      <c r="BP183" s="63">
        <f t="shared" si="231"/>
        <v>-5.2183173588924547E-2</v>
      </c>
      <c r="BQ183" s="63">
        <f t="shared" si="231"/>
        <v>8.9887640449441975E-3</v>
      </c>
      <c r="BR183" s="63">
        <f t="shared" si="231"/>
        <v>-1.6703786191536785E-2</v>
      </c>
      <c r="BS183" s="77"/>
      <c r="BT183" s="77"/>
      <c r="BU183" s="77"/>
      <c r="BV183" s="77"/>
    </row>
    <row r="184" spans="2:74">
      <c r="B184" s="54" t="s">
        <v>686</v>
      </c>
      <c r="G184" s="7"/>
      <c r="H184" s="7"/>
      <c r="I184" s="12"/>
      <c r="J184" s="12"/>
      <c r="K184" s="12"/>
      <c r="L184" s="12"/>
      <c r="M184" s="12"/>
      <c r="N184" s="375">
        <f>N181/$N181</f>
        <v>1</v>
      </c>
      <c r="O184" s="375">
        <f t="shared" ref="O184:U184" si="232">O181/$N181</f>
        <v>0.52940855870247505</v>
      </c>
      <c r="P184" s="375">
        <f t="shared" si="232"/>
        <v>0.48731417279031752</v>
      </c>
      <c r="Q184" s="375">
        <f t="shared" si="232"/>
        <v>0.64458643932417448</v>
      </c>
      <c r="R184" s="375">
        <f t="shared" si="232"/>
        <v>0.67399687834764788</v>
      </c>
      <c r="S184" s="375">
        <f t="shared" si="232"/>
        <v>0.67399687834764788</v>
      </c>
      <c r="T184" s="375">
        <f t="shared" si="232"/>
        <v>0.69421678469807735</v>
      </c>
      <c r="U184" s="375">
        <f t="shared" si="232"/>
        <v>0.71504328823901975</v>
      </c>
      <c r="V184" s="73"/>
      <c r="W184" s="75"/>
      <c r="X184" s="75"/>
      <c r="Y184" s="75"/>
      <c r="Z184" s="75"/>
      <c r="AA184" s="75"/>
      <c r="AB184" s="75"/>
      <c r="AC184" s="75"/>
      <c r="AD184" s="75"/>
      <c r="AE184" s="75"/>
      <c r="AF184" s="75"/>
      <c r="AG184" s="75"/>
      <c r="AH184" s="75"/>
      <c r="AI184" s="75"/>
      <c r="AJ184" s="75"/>
      <c r="AK184" s="75"/>
      <c r="AL184" s="75"/>
      <c r="AM184" s="75"/>
      <c r="AN184" s="12"/>
      <c r="AO184" s="12"/>
      <c r="AP184" s="12"/>
      <c r="AQ184" s="12"/>
      <c r="AR184" s="12"/>
      <c r="AS184" s="12"/>
      <c r="AT184" s="12"/>
      <c r="AU184" s="63"/>
      <c r="AV184" s="375">
        <f>AV181/$AV181</f>
        <v>1</v>
      </c>
      <c r="AW184" s="375">
        <f t="shared" ref="AW184:BR184" si="233">AW181/$AV181</f>
        <v>0.95396226415094365</v>
      </c>
      <c r="AX184" s="375">
        <f t="shared" si="233"/>
        <v>0.97773584905660393</v>
      </c>
      <c r="AY184" s="375">
        <f t="shared" si="233"/>
        <v>1.1230188679245281</v>
      </c>
      <c r="AZ184" s="375">
        <f t="shared" si="233"/>
        <v>1.0452830188679245</v>
      </c>
      <c r="BA184" s="375">
        <f t="shared" si="233"/>
        <v>1.1347169811320756</v>
      </c>
      <c r="BB184" s="375">
        <f t="shared" si="233"/>
        <v>0.8633962264150945</v>
      </c>
      <c r="BC184" s="375">
        <f t="shared" si="233"/>
        <v>0.47320754716981139</v>
      </c>
      <c r="BD184" s="375">
        <f t="shared" si="233"/>
        <v>0.57962264150943388</v>
      </c>
      <c r="BE184" s="375">
        <f t="shared" si="233"/>
        <v>0.59320754716981139</v>
      </c>
      <c r="BF184" s="375">
        <f t="shared" si="233"/>
        <v>0.49660377358490571</v>
      </c>
      <c r="BG184" s="375">
        <f t="shared" si="233"/>
        <v>0.43283018867924539</v>
      </c>
      <c r="BH184" s="375">
        <f t="shared" si="233"/>
        <v>0.47245283018867923</v>
      </c>
      <c r="BI184" s="375">
        <f t="shared" si="233"/>
        <v>0.52113207547169826</v>
      </c>
      <c r="BJ184" s="375">
        <f t="shared" si="233"/>
        <v>0.51849056603773591</v>
      </c>
      <c r="BK184" s="375">
        <f t="shared" si="233"/>
        <v>0.70188679245283025</v>
      </c>
      <c r="BL184" s="375">
        <f t="shared" si="233"/>
        <v>0.61018867924528319</v>
      </c>
      <c r="BM184" s="375">
        <f t="shared" si="233"/>
        <v>0.57735849056603761</v>
      </c>
      <c r="BN184" s="375">
        <f t="shared" si="233"/>
        <v>0.67547169811320751</v>
      </c>
      <c r="BO184" s="375">
        <f t="shared" si="233"/>
        <v>0.70867924528301895</v>
      </c>
      <c r="BP184" s="375">
        <f t="shared" si="233"/>
        <v>0.67169811320754713</v>
      </c>
      <c r="BQ184" s="375">
        <f t="shared" si="233"/>
        <v>0.677735849056604</v>
      </c>
      <c r="BR184" s="375">
        <f t="shared" si="233"/>
        <v>0.66641509433962276</v>
      </c>
      <c r="BT184" s="48"/>
    </row>
    <row r="185" spans="2:74">
      <c r="B185" s="54"/>
      <c r="F185" s="69"/>
      <c r="G185" s="384"/>
      <c r="H185" s="63"/>
      <c r="I185" s="63"/>
      <c r="J185" s="63"/>
      <c r="K185" s="63"/>
      <c r="L185" s="63"/>
      <c r="M185" s="63"/>
      <c r="N185" s="63"/>
      <c r="O185" s="63"/>
      <c r="P185" s="63"/>
      <c r="Q185" s="63"/>
      <c r="R185" s="63"/>
      <c r="S185" s="63"/>
      <c r="T185" s="63"/>
      <c r="U185" s="63"/>
      <c r="V185" s="69"/>
      <c r="W185" s="384"/>
      <c r="X185" s="384"/>
      <c r="Y185" s="384"/>
      <c r="Z185" s="384"/>
      <c r="AA185" s="63"/>
      <c r="AB185" s="63"/>
      <c r="AC185" s="63"/>
      <c r="AD185" s="63"/>
      <c r="AE185" s="63"/>
      <c r="AF185" s="63"/>
      <c r="AG185" s="63"/>
      <c r="AH185" s="63"/>
      <c r="AI185" s="63"/>
      <c r="AJ185" s="63"/>
      <c r="AK185" s="63"/>
      <c r="AL185" s="63"/>
      <c r="AM185" s="63"/>
      <c r="AN185" s="63"/>
      <c r="AO185" s="63"/>
      <c r="AP185" s="63"/>
      <c r="AQ185" s="63"/>
      <c r="AR185" s="63"/>
      <c r="AS185" s="63"/>
      <c r="AT185" s="63"/>
      <c r="AU185" s="63"/>
      <c r="AV185" s="63"/>
      <c r="AW185" s="63"/>
      <c r="AX185" s="63"/>
      <c r="AY185" s="63"/>
      <c r="AZ185" s="63"/>
      <c r="BA185" s="63"/>
      <c r="BB185" s="63"/>
      <c r="BC185" s="63"/>
      <c r="BD185" s="63"/>
      <c r="BE185" s="63"/>
      <c r="BF185" s="63"/>
      <c r="BG185" s="63"/>
      <c r="BH185" s="63"/>
      <c r="BI185" s="63"/>
      <c r="BJ185" s="63"/>
      <c r="BK185" s="63"/>
      <c r="BL185" s="63"/>
      <c r="BM185" s="63"/>
      <c r="BN185" s="63"/>
      <c r="BO185" s="63"/>
      <c r="BP185" s="63"/>
      <c r="BQ185" s="63"/>
      <c r="BR185" s="63"/>
      <c r="BS185" s="77"/>
      <c r="BT185" s="77"/>
      <c r="BU185" s="77"/>
      <c r="BV185" s="77"/>
    </row>
    <row r="186" spans="2:74">
      <c r="B186" s="5" t="s">
        <v>695</v>
      </c>
      <c r="F186" s="69"/>
      <c r="G186" s="384"/>
      <c r="H186" s="384"/>
      <c r="I186" s="384"/>
      <c r="J186" s="384"/>
      <c r="K186" s="384"/>
      <c r="L186" s="384"/>
      <c r="M186" s="22">
        <v>68.708333333333329</v>
      </c>
      <c r="N186" s="22">
        <v>70.916666666666671</v>
      </c>
      <c r="O186" s="22">
        <v>38.958333333333336</v>
      </c>
      <c r="P186" s="22">
        <v>34.416666666666664</v>
      </c>
      <c r="Q186" s="22">
        <v>44.708333333333336</v>
      </c>
      <c r="R186" s="22">
        <v>44.708333333333336</v>
      </c>
      <c r="S186" s="25">
        <f>+R186</f>
        <v>44.708333333333336</v>
      </c>
      <c r="T186" s="25">
        <f>+S186*1.03</f>
        <v>46.049583333333338</v>
      </c>
      <c r="U186" s="25">
        <f>+T186*1.03</f>
        <v>47.431070833333337</v>
      </c>
      <c r="V186" s="69"/>
      <c r="W186" s="440"/>
      <c r="X186" s="440"/>
      <c r="Y186" s="440"/>
      <c r="Z186" s="440"/>
      <c r="AA186" s="440"/>
      <c r="AB186" s="440"/>
      <c r="AC186" s="440"/>
      <c r="AD186" s="440"/>
      <c r="AE186" s="440"/>
      <c r="AF186" s="440"/>
      <c r="AG186" s="440"/>
      <c r="AH186" s="440"/>
      <c r="AI186" s="440">
        <v>63</v>
      </c>
      <c r="AJ186" s="440">
        <v>64.833333333333329</v>
      </c>
      <c r="AK186" s="440">
        <v>57.666666666666664</v>
      </c>
      <c r="AL186" s="440">
        <v>58.833333333333336</v>
      </c>
      <c r="AM186" s="440">
        <v>75.833333333333329</v>
      </c>
      <c r="AN186" s="440">
        <v>88.833333333333329</v>
      </c>
      <c r="AO186" s="440">
        <v>78</v>
      </c>
      <c r="AP186" s="440">
        <v>59.333333333333336</v>
      </c>
      <c r="AQ186" s="440">
        <v>68.666666666666671</v>
      </c>
      <c r="AR186" s="440">
        <v>65.666666666666671</v>
      </c>
      <c r="AS186" s="440">
        <v>51.333333333333336</v>
      </c>
      <c r="AT186" s="440">
        <v>56</v>
      </c>
      <c r="AU186" s="440">
        <v>75</v>
      </c>
      <c r="AV186" s="440">
        <v>63.333333333333336</v>
      </c>
      <c r="AW186" s="440">
        <v>68.333333333333329</v>
      </c>
      <c r="AX186" s="440">
        <v>68.166666666666671</v>
      </c>
      <c r="AY186" s="440">
        <v>73.333333333333329</v>
      </c>
      <c r="AZ186" s="440">
        <v>69.666666666666671</v>
      </c>
      <c r="BA186" s="440">
        <v>70.833333333333329</v>
      </c>
      <c r="BB186" s="440">
        <v>69.833333333333329</v>
      </c>
      <c r="BC186" s="440">
        <v>49.666666666666664</v>
      </c>
      <c r="BD186" s="440">
        <v>41.666666666666664</v>
      </c>
      <c r="BE186" s="440">
        <v>33.166666666666664</v>
      </c>
      <c r="BF186" s="440">
        <v>31.333333333333332</v>
      </c>
      <c r="BG186" s="440">
        <v>31</v>
      </c>
      <c r="BH186" s="440">
        <v>32.666666666666664</v>
      </c>
      <c r="BI186" s="440">
        <v>37.833333333333336</v>
      </c>
      <c r="BJ186" s="440">
        <v>36.166666666666664</v>
      </c>
      <c r="BK186" s="440">
        <v>47.166666666666664</v>
      </c>
      <c r="BL186" s="440">
        <v>41</v>
      </c>
      <c r="BM186" s="440">
        <v>41.666666666666664</v>
      </c>
      <c r="BN186" s="440">
        <v>49</v>
      </c>
      <c r="BO186" s="440">
        <v>53</v>
      </c>
      <c r="BP186" s="440">
        <v>44.333333333333336</v>
      </c>
      <c r="BQ186" s="440">
        <v>40.333333333333336</v>
      </c>
      <c r="BR186" s="440">
        <v>41.166666666666664</v>
      </c>
      <c r="BS186" s="77"/>
      <c r="BT186" s="77"/>
      <c r="BU186" s="77"/>
      <c r="BV186" s="77"/>
    </row>
    <row r="187" spans="2:74">
      <c r="B187" s="54" t="s">
        <v>566</v>
      </c>
      <c r="H187" s="63"/>
      <c r="I187" s="63"/>
      <c r="J187" s="63"/>
      <c r="K187" s="63"/>
      <c r="L187" s="63"/>
      <c r="M187" s="63"/>
      <c r="N187" s="63">
        <f t="shared" ref="N187:U187" si="234">+N186/M186-1</f>
        <v>3.2140691328077731E-2</v>
      </c>
      <c r="O187" s="63">
        <f t="shared" si="234"/>
        <v>-0.45064629847238546</v>
      </c>
      <c r="P187" s="63">
        <f t="shared" si="234"/>
        <v>-0.11657754010695198</v>
      </c>
      <c r="Q187" s="63">
        <f t="shared" si="234"/>
        <v>0.29903147699757882</v>
      </c>
      <c r="R187" s="63">
        <f t="shared" si="234"/>
        <v>0</v>
      </c>
      <c r="S187" s="63">
        <f t="shared" si="234"/>
        <v>0</v>
      </c>
      <c r="T187" s="63">
        <f t="shared" si="234"/>
        <v>3.0000000000000027E-2</v>
      </c>
      <c r="U187" s="63">
        <f t="shared" si="234"/>
        <v>3.0000000000000027E-2</v>
      </c>
      <c r="AA187" s="63"/>
      <c r="AB187" s="63"/>
      <c r="AC187" s="63"/>
      <c r="AD187" s="63"/>
      <c r="AE187" s="63"/>
      <c r="AF187" s="63"/>
      <c r="AG187" s="63"/>
      <c r="AH187" s="63"/>
      <c r="AI187" s="63"/>
      <c r="AJ187" s="63"/>
      <c r="AK187" s="63"/>
      <c r="AL187" s="63"/>
      <c r="AM187" s="63">
        <f t="shared" ref="AM187:BN187" si="235">+AM186/AI186-1</f>
        <v>0.20370370370370372</v>
      </c>
      <c r="AN187" s="63">
        <f t="shared" si="235"/>
        <v>0.37017994858611836</v>
      </c>
      <c r="AO187" s="63">
        <f t="shared" si="235"/>
        <v>0.35260115606936426</v>
      </c>
      <c r="AP187" s="63">
        <f t="shared" si="235"/>
        <v>8.4985835694051381E-3</v>
      </c>
      <c r="AQ187" s="63">
        <f t="shared" si="235"/>
        <v>-9.4505494505494392E-2</v>
      </c>
      <c r="AR187" s="63">
        <f t="shared" si="235"/>
        <v>-0.26078799249530948</v>
      </c>
      <c r="AS187" s="63">
        <f t="shared" si="235"/>
        <v>-0.34188034188034189</v>
      </c>
      <c r="AT187" s="63">
        <f t="shared" si="235"/>
        <v>-5.6179775280898903E-2</v>
      </c>
      <c r="AU187" s="63"/>
      <c r="AV187" s="63"/>
      <c r="AW187" s="63"/>
      <c r="AX187" s="63"/>
      <c r="AY187" s="63">
        <f t="shared" si="235"/>
        <v>-2.2222222222222254E-2</v>
      </c>
      <c r="AZ187" s="63">
        <f t="shared" si="235"/>
        <v>0.10000000000000009</v>
      </c>
      <c r="BA187" s="63">
        <f t="shared" si="235"/>
        <v>3.6585365853658569E-2</v>
      </c>
      <c r="BB187" s="63">
        <f t="shared" si="235"/>
        <v>2.4449877750611027E-2</v>
      </c>
      <c r="BC187" s="63">
        <f t="shared" si="235"/>
        <v>-0.32272727272727275</v>
      </c>
      <c r="BD187" s="63">
        <f t="shared" si="235"/>
        <v>-0.40191387559808622</v>
      </c>
      <c r="BE187" s="63">
        <f t="shared" si="235"/>
        <v>-0.53176470588235292</v>
      </c>
      <c r="BF187" s="63">
        <f t="shared" si="235"/>
        <v>-0.55131264916467781</v>
      </c>
      <c r="BG187" s="63">
        <f t="shared" si="235"/>
        <v>-0.37583892617449666</v>
      </c>
      <c r="BH187" s="63">
        <f t="shared" si="235"/>
        <v>-0.21599999999999997</v>
      </c>
      <c r="BI187" s="63">
        <f t="shared" si="235"/>
        <v>0.14070351758793986</v>
      </c>
      <c r="BJ187" s="63">
        <f t="shared" si="235"/>
        <v>0.1542553191489362</v>
      </c>
      <c r="BK187" s="63">
        <f t="shared" si="235"/>
        <v>0.521505376344086</v>
      </c>
      <c r="BL187" s="63">
        <f t="shared" si="235"/>
        <v>0.2551020408163267</v>
      </c>
      <c r="BM187" s="63">
        <f t="shared" si="235"/>
        <v>0.1013215859030836</v>
      </c>
      <c r="BN187" s="63">
        <f t="shared" si="235"/>
        <v>0.35483870967741948</v>
      </c>
      <c r="BO187" s="63">
        <f>+BO186/BK186-1</f>
        <v>0.12367491166077738</v>
      </c>
      <c r="BP187" s="63">
        <f>+BP186/BL186-1</f>
        <v>8.1300813008130079E-2</v>
      </c>
      <c r="BQ187" s="63">
        <f>+BQ186/BM186-1</f>
        <v>-3.1999999999999917E-2</v>
      </c>
      <c r="BR187" s="63">
        <f>+BR186/BN186-1</f>
        <v>-0.15986394557823136</v>
      </c>
    </row>
    <row r="188" spans="2:74">
      <c r="B188" s="54" t="s">
        <v>567</v>
      </c>
      <c r="X188" s="63"/>
      <c r="Y188" s="63"/>
      <c r="Z188" s="63"/>
      <c r="AA188" s="63"/>
      <c r="AB188" s="63"/>
      <c r="AC188" s="63"/>
      <c r="AD188" s="63"/>
      <c r="AE188" s="63"/>
      <c r="AF188" s="63"/>
      <c r="AG188" s="63"/>
      <c r="AH188" s="63"/>
      <c r="AI188" s="63"/>
      <c r="AJ188" s="63">
        <f t="shared" ref="AJ188:BJ188" si="236">+AJ186/AI186-1</f>
        <v>2.9100529100529071E-2</v>
      </c>
      <c r="AK188" s="63">
        <f t="shared" si="236"/>
        <v>-0.11053984575835474</v>
      </c>
      <c r="AL188" s="63">
        <f t="shared" si="236"/>
        <v>2.0231213872832443E-2</v>
      </c>
      <c r="AM188" s="63">
        <f t="shared" si="236"/>
        <v>0.28895184135977314</v>
      </c>
      <c r="AN188" s="63">
        <f t="shared" si="236"/>
        <v>0.17142857142857149</v>
      </c>
      <c r="AO188" s="63">
        <f t="shared" si="236"/>
        <v>-0.12195121951219512</v>
      </c>
      <c r="AP188" s="63">
        <f t="shared" si="236"/>
        <v>-0.23931623931623924</v>
      </c>
      <c r="AQ188" s="63">
        <f t="shared" si="236"/>
        <v>0.15730337078651679</v>
      </c>
      <c r="AR188" s="63">
        <f t="shared" si="236"/>
        <v>-4.3689320388349495E-2</v>
      </c>
      <c r="AS188" s="63">
        <f t="shared" si="236"/>
        <v>-0.21827411167512689</v>
      </c>
      <c r="AT188" s="63">
        <f t="shared" si="236"/>
        <v>9.0909090909090828E-2</v>
      </c>
      <c r="AU188" s="63"/>
      <c r="AV188" s="63">
        <f t="shared" si="236"/>
        <v>-0.15555555555555556</v>
      </c>
      <c r="AW188" s="63">
        <f t="shared" si="236"/>
        <v>7.8947368421052433E-2</v>
      </c>
      <c r="AX188" s="63">
        <f t="shared" si="236"/>
        <v>-2.4390243902437936E-3</v>
      </c>
      <c r="AY188" s="63">
        <f t="shared" si="236"/>
        <v>7.5794621026894715E-2</v>
      </c>
      <c r="AZ188" s="63">
        <f t="shared" si="236"/>
        <v>-4.9999999999999822E-2</v>
      </c>
      <c r="BA188" s="63">
        <f t="shared" si="236"/>
        <v>1.6746411483253398E-2</v>
      </c>
      <c r="BB188" s="63">
        <f t="shared" si="236"/>
        <v>-1.4117647058823568E-2</v>
      </c>
      <c r="BC188" s="63">
        <f t="shared" si="236"/>
        <v>-0.28878281622911695</v>
      </c>
      <c r="BD188" s="63">
        <f t="shared" si="236"/>
        <v>-0.16107382550335569</v>
      </c>
      <c r="BE188" s="63">
        <f t="shared" si="236"/>
        <v>-0.20399999999999996</v>
      </c>
      <c r="BF188" s="63">
        <f t="shared" si="236"/>
        <v>-5.5276381909547756E-2</v>
      </c>
      <c r="BG188" s="63">
        <f t="shared" si="236"/>
        <v>-1.0638297872340385E-2</v>
      </c>
      <c r="BH188" s="63">
        <f t="shared" si="236"/>
        <v>5.3763440860215006E-2</v>
      </c>
      <c r="BI188" s="63">
        <f t="shared" si="236"/>
        <v>0.15816326530612268</v>
      </c>
      <c r="BJ188" s="63">
        <f t="shared" si="236"/>
        <v>-4.4052863436123468E-2</v>
      </c>
      <c r="BK188" s="63">
        <f t="shared" ref="BK188:BR188" si="237">+BK186/BJ186-1</f>
        <v>0.30414746543778803</v>
      </c>
      <c r="BL188" s="63">
        <f t="shared" si="237"/>
        <v>-0.13074204946996459</v>
      </c>
      <c r="BM188" s="63">
        <f t="shared" si="237"/>
        <v>1.6260162601625883E-2</v>
      </c>
      <c r="BN188" s="63">
        <f t="shared" si="237"/>
        <v>0.17600000000000016</v>
      </c>
      <c r="BO188" s="63">
        <f t="shared" si="237"/>
        <v>8.163265306122458E-2</v>
      </c>
      <c r="BP188" s="63">
        <f t="shared" si="237"/>
        <v>-0.16352201257861632</v>
      </c>
      <c r="BQ188" s="63">
        <f t="shared" si="237"/>
        <v>-9.0225563909774431E-2</v>
      </c>
      <c r="BR188" s="63">
        <f t="shared" si="237"/>
        <v>2.0661157024793209E-2</v>
      </c>
    </row>
    <row r="189" spans="2:74">
      <c r="B189" s="54" t="s">
        <v>687</v>
      </c>
      <c r="G189" s="7"/>
      <c r="H189" s="7"/>
      <c r="I189" s="12"/>
      <c r="J189" s="12"/>
      <c r="K189" s="12"/>
      <c r="L189" s="12"/>
      <c r="M189" s="12"/>
      <c r="N189" s="375">
        <f>N186/$N186</f>
        <v>1</v>
      </c>
      <c r="O189" s="375">
        <f t="shared" ref="O189:U189" si="238">O186/$N186</f>
        <v>0.54935370152761454</v>
      </c>
      <c r="P189" s="375">
        <f t="shared" si="238"/>
        <v>0.48531139835487658</v>
      </c>
      <c r="Q189" s="375">
        <f t="shared" si="238"/>
        <v>0.63043478260869568</v>
      </c>
      <c r="R189" s="375">
        <f t="shared" si="238"/>
        <v>0.63043478260869568</v>
      </c>
      <c r="S189" s="375">
        <f t="shared" si="238"/>
        <v>0.63043478260869568</v>
      </c>
      <c r="T189" s="375">
        <f t="shared" si="238"/>
        <v>0.64934782608695651</v>
      </c>
      <c r="U189" s="375">
        <f t="shared" si="238"/>
        <v>0.66882826086956526</v>
      </c>
      <c r="V189" s="73"/>
      <c r="W189" s="75"/>
      <c r="X189" s="75"/>
      <c r="Y189" s="75"/>
      <c r="Z189" s="75"/>
      <c r="AA189" s="75"/>
      <c r="AB189" s="75"/>
      <c r="AC189" s="75"/>
      <c r="AD189" s="75"/>
      <c r="AE189" s="75"/>
      <c r="AF189" s="75"/>
      <c r="AG189" s="75"/>
      <c r="AH189" s="75"/>
      <c r="AI189" s="75"/>
      <c r="AJ189" s="75"/>
      <c r="AK189" s="75"/>
      <c r="AL189" s="75"/>
      <c r="AM189" s="75"/>
      <c r="AN189" s="12"/>
      <c r="AO189" s="12"/>
      <c r="AP189" s="12"/>
      <c r="AQ189" s="12"/>
      <c r="AR189" s="12"/>
      <c r="AS189" s="12"/>
      <c r="AT189" s="12"/>
      <c r="AU189" s="63"/>
      <c r="AV189" s="375">
        <f>AV186/$AV186</f>
        <v>1</v>
      </c>
      <c r="AW189" s="375">
        <f t="shared" ref="AW189:BR189" si="239">AW186/$AV186</f>
        <v>1.0789473684210524</v>
      </c>
      <c r="AX189" s="375">
        <f t="shared" si="239"/>
        <v>1.0763157894736843</v>
      </c>
      <c r="AY189" s="375">
        <f t="shared" si="239"/>
        <v>1.1578947368421051</v>
      </c>
      <c r="AZ189" s="375">
        <f t="shared" si="239"/>
        <v>1.1000000000000001</v>
      </c>
      <c r="BA189" s="375">
        <f t="shared" si="239"/>
        <v>1.1184210526315788</v>
      </c>
      <c r="BB189" s="375">
        <f t="shared" si="239"/>
        <v>1.1026315789473684</v>
      </c>
      <c r="BC189" s="375">
        <f t="shared" si="239"/>
        <v>0.78421052631578936</v>
      </c>
      <c r="BD189" s="375">
        <f t="shared" si="239"/>
        <v>0.6578947368421052</v>
      </c>
      <c r="BE189" s="375">
        <f t="shared" si="239"/>
        <v>0.52368421052631575</v>
      </c>
      <c r="BF189" s="375">
        <f t="shared" si="239"/>
        <v>0.49473684210526314</v>
      </c>
      <c r="BG189" s="375">
        <f t="shared" si="239"/>
        <v>0.48947368421052628</v>
      </c>
      <c r="BH189" s="375">
        <f t="shared" si="239"/>
        <v>0.51578947368421046</v>
      </c>
      <c r="BI189" s="375">
        <f t="shared" si="239"/>
        <v>0.59736842105263155</v>
      </c>
      <c r="BJ189" s="375">
        <f t="shared" si="239"/>
        <v>0.57105263157894726</v>
      </c>
      <c r="BK189" s="375">
        <f t="shared" si="239"/>
        <v>0.74473684210526314</v>
      </c>
      <c r="BL189" s="375">
        <f t="shared" si="239"/>
        <v>0.64736842105263159</v>
      </c>
      <c r="BM189" s="375">
        <f t="shared" si="239"/>
        <v>0.6578947368421052</v>
      </c>
      <c r="BN189" s="375">
        <f t="shared" si="239"/>
        <v>0.77368421052631575</v>
      </c>
      <c r="BO189" s="375">
        <f t="shared" si="239"/>
        <v>0.83684210526315783</v>
      </c>
      <c r="BP189" s="375">
        <f t="shared" si="239"/>
        <v>0.70000000000000007</v>
      </c>
      <c r="BQ189" s="375">
        <f t="shared" si="239"/>
        <v>0.63684210526315788</v>
      </c>
      <c r="BR189" s="375">
        <f t="shared" si="239"/>
        <v>0.64999999999999991</v>
      </c>
      <c r="BT189" s="48"/>
    </row>
    <row r="190" spans="2:74">
      <c r="B190" s="54"/>
      <c r="X190" s="63"/>
      <c r="Y190" s="63"/>
      <c r="Z190" s="63"/>
      <c r="AA190" s="63"/>
      <c r="AB190" s="63"/>
      <c r="AC190" s="63"/>
      <c r="AD190" s="63"/>
      <c r="AE190" s="63"/>
      <c r="AF190" s="63"/>
      <c r="AG190" s="63"/>
      <c r="AH190" s="63"/>
      <c r="AI190" s="63"/>
      <c r="AJ190" s="63"/>
      <c r="AK190" s="63"/>
      <c r="AL190" s="63"/>
      <c r="AM190" s="63"/>
      <c r="AN190" s="63"/>
      <c r="AO190" s="63"/>
      <c r="AP190" s="63"/>
      <c r="AQ190" s="63"/>
      <c r="AR190" s="63"/>
      <c r="AS190" s="63"/>
      <c r="AT190" s="63"/>
      <c r="AU190" s="63"/>
      <c r="AV190" s="63"/>
      <c r="AW190" s="63"/>
      <c r="AX190" s="63"/>
      <c r="AY190" s="63"/>
      <c r="AZ190" s="63"/>
      <c r="BA190" s="63"/>
      <c r="BB190" s="63"/>
      <c r="BC190" s="63"/>
      <c r="BD190" s="63"/>
      <c r="BE190" s="63"/>
      <c r="BF190" s="63"/>
      <c r="BG190" s="63"/>
      <c r="BH190" s="63"/>
      <c r="BI190" s="63"/>
      <c r="BJ190" s="63"/>
      <c r="BK190" s="63"/>
      <c r="BL190" s="63"/>
      <c r="BM190" s="63"/>
      <c r="BN190" s="63"/>
      <c r="BO190" s="63"/>
      <c r="BP190" s="63"/>
      <c r="BQ190" s="63"/>
      <c r="BR190" s="63"/>
    </row>
    <row r="191" spans="2:74">
      <c r="B191" s="5" t="s">
        <v>571</v>
      </c>
      <c r="H191" s="48"/>
      <c r="I191" s="48"/>
      <c r="J191" s="48"/>
      <c r="K191" s="48"/>
      <c r="L191" s="48"/>
      <c r="M191" s="48"/>
      <c r="N191" s="48">
        <f t="shared" ref="N191:U191" si="240">AVERAGE(N182,N187)</f>
        <v>1.894532109159941E-2</v>
      </c>
      <c r="O191" s="48">
        <f t="shared" si="240"/>
        <v>-0.46061886988495521</v>
      </c>
      <c r="P191" s="48">
        <f t="shared" si="240"/>
        <v>-9.804481972457163E-2</v>
      </c>
      <c r="Q191" s="48">
        <f t="shared" si="240"/>
        <v>0.31088213754412186</v>
      </c>
      <c r="R191" s="48">
        <f t="shared" si="240"/>
        <v>2.2813417432663741E-2</v>
      </c>
      <c r="S191" s="48">
        <f t="shared" si="240"/>
        <v>0</v>
      </c>
      <c r="T191" s="48">
        <f t="shared" si="240"/>
        <v>3.0000000000000027E-2</v>
      </c>
      <c r="U191" s="48">
        <f t="shared" si="240"/>
        <v>3.0000000000000027E-2</v>
      </c>
      <c r="W191" s="48"/>
      <c r="X191" s="48"/>
      <c r="Y191" s="48"/>
      <c r="Z191" s="48"/>
      <c r="AA191" s="48"/>
      <c r="AB191" s="48"/>
      <c r="AC191" s="48"/>
      <c r="AD191" s="48"/>
      <c r="AE191" s="48"/>
      <c r="AF191" s="48"/>
      <c r="AG191" s="48"/>
      <c r="AH191" s="48"/>
      <c r="AI191" s="48"/>
      <c r="AJ191" s="48"/>
      <c r="AK191" s="48"/>
      <c r="AL191" s="48"/>
      <c r="AM191" s="48">
        <f t="shared" ref="AM191:BR191" si="241">AVERAGE(AM182,AM187)</f>
        <v>0.19135513207678168</v>
      </c>
      <c r="AN191" s="48">
        <f t="shared" si="241"/>
        <v>0.29664776323778264</v>
      </c>
      <c r="AO191" s="48">
        <f t="shared" si="241"/>
        <v>0.36249547362632961</v>
      </c>
      <c r="AP191" s="48">
        <f t="shared" si="241"/>
        <v>-1.0840222281793599E-2</v>
      </c>
      <c r="AQ191" s="48">
        <f t="shared" si="241"/>
        <v>-6.5138279844162095E-2</v>
      </c>
      <c r="AR191" s="48">
        <f t="shared" si="241"/>
        <v>-0.11930114497403105</v>
      </c>
      <c r="AS191" s="48">
        <f t="shared" si="241"/>
        <v>-0.11726307880154035</v>
      </c>
      <c r="AT191" s="48">
        <f t="shared" si="241"/>
        <v>0.22243753851988829</v>
      </c>
      <c r="AU191" s="48">
        <f t="shared" si="241"/>
        <v>0.20774938169826829</v>
      </c>
      <c r="AV191" s="48">
        <f t="shared" si="241"/>
        <v>6.5112540192926005E-2</v>
      </c>
      <c r="AW191" s="48">
        <f t="shared" si="241"/>
        <v>-3.5114503816793707E-2</v>
      </c>
      <c r="AX191" s="48">
        <f t="shared" si="241"/>
        <v>-8.9599437807449167E-2</v>
      </c>
      <c r="AY191" s="48">
        <f t="shared" si="241"/>
        <v>-3.2612817595753518E-3</v>
      </c>
      <c r="AZ191" s="48">
        <f t="shared" si="241"/>
        <v>7.2641509433962304E-2</v>
      </c>
      <c r="BA191" s="48">
        <f t="shared" si="241"/>
        <v>0.11303160697746217</v>
      </c>
      <c r="BB191" s="48">
        <f t="shared" si="241"/>
        <v>-4.6246693698990093E-2</v>
      </c>
      <c r="BC191" s="48">
        <f t="shared" si="241"/>
        <v>-0.45067815249266863</v>
      </c>
      <c r="BD191" s="48">
        <f t="shared" si="241"/>
        <v>-0.42370062010951248</v>
      </c>
      <c r="BE191" s="48">
        <f t="shared" si="241"/>
        <v>-0.50449226315068763</v>
      </c>
      <c r="BF191" s="48">
        <f t="shared" si="241"/>
        <v>-0.48806891199492636</v>
      </c>
      <c r="BG191" s="48">
        <f t="shared" si="241"/>
        <v>-0.23058293996125145</v>
      </c>
      <c r="BH191" s="48">
        <f t="shared" si="241"/>
        <v>-0.20044791666666661</v>
      </c>
      <c r="BI191" s="48">
        <f t="shared" si="241"/>
        <v>9.6011226616545264E-3</v>
      </c>
      <c r="BJ191" s="48">
        <f t="shared" si="241"/>
        <v>9.916413373860189E-2</v>
      </c>
      <c r="BK191" s="48">
        <f t="shared" si="241"/>
        <v>0.57156349898285375</v>
      </c>
      <c r="BL191" s="48">
        <f t="shared" si="241"/>
        <v>0.27331779357110286</v>
      </c>
      <c r="BM191" s="48">
        <f t="shared" si="241"/>
        <v>0.10460720859238148</v>
      </c>
      <c r="BN191" s="48">
        <f t="shared" si="241"/>
        <v>0.32880217871061646</v>
      </c>
      <c r="BO191" s="48">
        <f t="shared" si="241"/>
        <v>6.6676165507808083E-2</v>
      </c>
      <c r="BP191" s="48">
        <f t="shared" si="241"/>
        <v>9.1052385477472408E-2</v>
      </c>
      <c r="BQ191" s="48">
        <f t="shared" si="241"/>
        <v>7.0928104575163686E-2</v>
      </c>
      <c r="BR191" s="48">
        <f t="shared" si="241"/>
        <v>-8.6635883403640701E-2</v>
      </c>
    </row>
    <row r="192" spans="2:74">
      <c r="B192" s="5" t="s">
        <v>572</v>
      </c>
      <c r="H192" s="48"/>
      <c r="I192" s="48"/>
      <c r="J192" s="48"/>
      <c r="K192" s="48"/>
      <c r="L192" s="48"/>
      <c r="M192" s="48"/>
      <c r="N192" s="48"/>
      <c r="O192" s="48"/>
      <c r="P192" s="48"/>
      <c r="Q192" s="48"/>
      <c r="R192" s="48"/>
      <c r="S192" s="48"/>
      <c r="T192" s="48"/>
      <c r="U192" s="48"/>
      <c r="X192" s="48"/>
      <c r="Y192" s="48"/>
      <c r="Z192" s="48"/>
      <c r="AA192" s="48"/>
      <c r="AB192" s="48"/>
      <c r="AC192" s="48"/>
      <c r="AD192" s="48"/>
      <c r="AE192" s="48"/>
      <c r="AF192" s="48"/>
      <c r="AG192" s="48"/>
      <c r="AH192" s="48"/>
      <c r="AI192" s="48"/>
      <c r="AJ192" s="48">
        <f>AVERAGE(AJ183,AJ188)</f>
        <v>-1.9189191869604216E-2</v>
      </c>
      <c r="AK192" s="48">
        <f>AVERAGE(AK183,AK188)</f>
        <v>-0.12210409373344883</v>
      </c>
      <c r="AL192" s="48">
        <f>AVERAGE(AL183,AL188)</f>
        <v>7.7110966565186567E-2</v>
      </c>
      <c r="AM192" s="48">
        <f t="shared" ref="AM192:BR192" si="242">AVERAGE(AM183,AM188)</f>
        <v>0.28795418154945196</v>
      </c>
      <c r="AN192" s="48">
        <f t="shared" si="242"/>
        <v>6.9418578242107565E-2</v>
      </c>
      <c r="AO192" s="48">
        <f t="shared" si="242"/>
        <v>-7.4944385433993954E-2</v>
      </c>
      <c r="AP192" s="48">
        <f t="shared" si="242"/>
        <v>-0.21898187282802667</v>
      </c>
      <c r="AQ192" s="48">
        <f t="shared" si="242"/>
        <v>0.21841961788271003</v>
      </c>
      <c r="AR192" s="48">
        <f t="shared" si="242"/>
        <v>-9.0664244151147377E-3</v>
      </c>
      <c r="AS192" s="48">
        <f t="shared" si="242"/>
        <v>-8.2609724647852822E-2</v>
      </c>
      <c r="AT192" s="48">
        <f t="shared" si="242"/>
        <v>8.8584316446911893E-2</v>
      </c>
      <c r="AU192" s="48">
        <f t="shared" si="242"/>
        <v>2.9515108924806466E-2</v>
      </c>
      <c r="AV192" s="48">
        <f t="shared" si="242"/>
        <v>-0.12555934774364808</v>
      </c>
      <c r="AW192" s="48">
        <f t="shared" si="242"/>
        <v>1.6454816285998042E-2</v>
      </c>
      <c r="AX192" s="48">
        <f t="shared" si="242"/>
        <v>1.124093084285277E-2</v>
      </c>
      <c r="AY192" s="48">
        <f t="shared" si="242"/>
        <v>0.11219294926296475</v>
      </c>
      <c r="AZ192" s="48">
        <f t="shared" si="242"/>
        <v>-5.9610215053763294E-2</v>
      </c>
      <c r="BA192" s="48">
        <f t="shared" si="242"/>
        <v>5.1152989135128557E-2</v>
      </c>
      <c r="BB192" s="48">
        <f t="shared" si="242"/>
        <v>-0.12661319665877657</v>
      </c>
      <c r="BC192" s="48">
        <f t="shared" si="242"/>
        <v>-0.37035294657609696</v>
      </c>
      <c r="BD192" s="48">
        <f t="shared" si="242"/>
        <v>3.1903278635881827E-2</v>
      </c>
      <c r="BE192" s="48">
        <f t="shared" si="242"/>
        <v>-9.0281249999999869E-2</v>
      </c>
      <c r="BF192" s="48">
        <f t="shared" si="242"/>
        <v>-0.10906312734154228</v>
      </c>
      <c r="BG192" s="48">
        <f t="shared" si="242"/>
        <v>-6.9528875379939181E-2</v>
      </c>
      <c r="BH192" s="48">
        <f t="shared" si="242"/>
        <v>7.2653298459749882E-2</v>
      </c>
      <c r="BI192" s="48">
        <f t="shared" si="242"/>
        <v>0.13059920453804563</v>
      </c>
      <c r="BJ192" s="48">
        <f t="shared" si="242"/>
        <v>-2.4560827083738856E-2</v>
      </c>
      <c r="BK192" s="48">
        <f t="shared" si="242"/>
        <v>0.32892962791540059</v>
      </c>
      <c r="BL192" s="48">
        <f t="shared" si="242"/>
        <v>-0.13069360538014357</v>
      </c>
      <c r="BM192" s="48">
        <f t="shared" si="242"/>
        <v>-1.8771588457999866E-2</v>
      </c>
      <c r="BN192" s="48">
        <f t="shared" si="242"/>
        <v>0.17296732026143802</v>
      </c>
      <c r="BO192" s="48">
        <f t="shared" si="242"/>
        <v>6.5397332117204554E-2</v>
      </c>
      <c r="BP192" s="48">
        <f t="shared" si="242"/>
        <v>-0.10785259308377043</v>
      </c>
      <c r="BQ192" s="48">
        <f t="shared" si="242"/>
        <v>-4.0618399932415117E-2</v>
      </c>
      <c r="BR192" s="48">
        <f t="shared" si="242"/>
        <v>1.978685416628212E-3</v>
      </c>
    </row>
    <row r="193" spans="1:72">
      <c r="B193" s="54"/>
      <c r="BK193" s="63"/>
      <c r="BL193" s="63"/>
    </row>
    <row r="194" spans="1:72">
      <c r="A194" s="5" t="s">
        <v>150</v>
      </c>
      <c r="B194" s="33" t="s">
        <v>256</v>
      </c>
      <c r="C194" s="28"/>
      <c r="D194" s="28"/>
      <c r="E194" s="28"/>
      <c r="F194" s="28"/>
      <c r="G194" s="28"/>
      <c r="H194" s="28"/>
      <c r="I194" s="28"/>
      <c r="J194" s="28"/>
      <c r="K194" s="28"/>
      <c r="L194" s="28"/>
      <c r="M194" s="28"/>
      <c r="N194" s="28"/>
      <c r="O194" s="28"/>
      <c r="P194" s="28"/>
      <c r="Q194" s="28"/>
      <c r="R194" s="28"/>
      <c r="S194" s="28"/>
      <c r="T194" s="28"/>
      <c r="U194" s="28"/>
      <c r="V194" s="28"/>
      <c r="W194" s="33"/>
      <c r="X194" s="33"/>
      <c r="Y194" s="33"/>
      <c r="Z194" s="33"/>
      <c r="AA194" s="33"/>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row>
    <row r="195" spans="1:72" s="51" customFormat="1">
      <c r="B195" s="38" t="s">
        <v>195</v>
      </c>
      <c r="F195" s="52"/>
      <c r="G195" s="52">
        <f>SUM(W195:Z195)</f>
        <v>431.7</v>
      </c>
      <c r="H195" s="52">
        <f>SUM(AA195:AD195)</f>
        <v>489.1</v>
      </c>
      <c r="I195" s="52">
        <f>SUM(AE195:AH195)</f>
        <v>567.70000000000005</v>
      </c>
      <c r="J195" s="52">
        <f>SUM(AI195:AL195)</f>
        <v>549.30000000000007</v>
      </c>
      <c r="K195" s="52">
        <f>SUM(AM195:AP195)</f>
        <v>572</v>
      </c>
      <c r="L195" s="52">
        <f>SUM(AQ195:AT195)</f>
        <v>617.6</v>
      </c>
      <c r="M195" s="52">
        <f>SUM(AU195:AX195)</f>
        <v>777.6</v>
      </c>
      <c r="N195" s="52">
        <f>SUM(AY195:BB195)</f>
        <v>738.40000000000009</v>
      </c>
      <c r="O195" s="52">
        <f>SUM(BC195:BF195)</f>
        <v>711.40000000000009</v>
      </c>
      <c r="P195" s="52">
        <f>SUM(BG195:BJ195)</f>
        <v>729.3</v>
      </c>
      <c r="Q195" s="52">
        <f>SUM(BK195:BN195)</f>
        <v>681.19999999999993</v>
      </c>
      <c r="R195" s="52">
        <f>SUM(BO195:BR195)</f>
        <v>715.56800000000021</v>
      </c>
      <c r="S195" s="52">
        <f>R195*(1+S196)</f>
        <v>740.61288000000013</v>
      </c>
      <c r="T195" s="52">
        <f>S195*(1+T196)</f>
        <v>766.53433080000002</v>
      </c>
      <c r="U195" s="52">
        <f>T195*(1+U196)</f>
        <v>793.36303237799996</v>
      </c>
      <c r="W195" s="53">
        <v>100.2</v>
      </c>
      <c r="X195" s="53">
        <v>99.8</v>
      </c>
      <c r="Y195" s="53">
        <v>129</v>
      </c>
      <c r="Z195" s="53">
        <v>102.7</v>
      </c>
      <c r="AA195" s="53">
        <v>110.8</v>
      </c>
      <c r="AB195" s="53">
        <v>116.1</v>
      </c>
      <c r="AC195" s="53">
        <v>140.80000000000001</v>
      </c>
      <c r="AD195" s="53">
        <v>121.4</v>
      </c>
      <c r="AE195" s="53">
        <v>132.9</v>
      </c>
      <c r="AF195" s="53">
        <v>140.6</v>
      </c>
      <c r="AG195" s="53">
        <v>168.2</v>
      </c>
      <c r="AH195" s="53">
        <v>126</v>
      </c>
      <c r="AI195" s="53">
        <v>131.4</v>
      </c>
      <c r="AJ195" s="53">
        <v>147.69999999999999</v>
      </c>
      <c r="AK195" s="53">
        <v>157.5</v>
      </c>
      <c r="AL195" s="53">
        <v>112.7</v>
      </c>
      <c r="AM195" s="53">
        <v>136.6</v>
      </c>
      <c r="AN195" s="53">
        <v>148.80000000000001</v>
      </c>
      <c r="AO195" s="53">
        <v>164.1</v>
      </c>
      <c r="AP195" s="53">
        <v>122.5</v>
      </c>
      <c r="AQ195" s="53">
        <v>147.5</v>
      </c>
      <c r="AR195" s="53">
        <v>145.5</v>
      </c>
      <c r="AS195" s="53">
        <v>168.8</v>
      </c>
      <c r="AT195" s="53">
        <v>155.80000000000001</v>
      </c>
      <c r="AU195" s="53">
        <v>188</v>
      </c>
      <c r="AV195" s="53">
        <v>198.1</v>
      </c>
      <c r="AW195" s="53">
        <v>213.1</v>
      </c>
      <c r="AX195" s="53">
        <v>178.4</v>
      </c>
      <c r="AY195" s="53">
        <v>200.6</v>
      </c>
      <c r="AZ195" s="53">
        <v>181</v>
      </c>
      <c r="BA195" s="53">
        <v>209.6</v>
      </c>
      <c r="BB195" s="53">
        <v>147.19999999999999</v>
      </c>
      <c r="BC195" s="53">
        <v>178.7</v>
      </c>
      <c r="BD195" s="53">
        <v>194.2</v>
      </c>
      <c r="BE195" s="53">
        <v>181.8</v>
      </c>
      <c r="BF195" s="53">
        <v>156.69999999999999</v>
      </c>
      <c r="BG195" s="53">
        <v>183.7</v>
      </c>
      <c r="BH195" s="53">
        <v>181</v>
      </c>
      <c r="BI195" s="53">
        <v>203.2</v>
      </c>
      <c r="BJ195" s="53">
        <v>161.4</v>
      </c>
      <c r="BK195" s="53">
        <v>162.6</v>
      </c>
      <c r="BL195" s="53">
        <v>169.4</v>
      </c>
      <c r="BM195" s="53">
        <v>183.8</v>
      </c>
      <c r="BN195" s="53">
        <v>165.4</v>
      </c>
      <c r="BO195" s="52">
        <f>BK195*(1+BO196)</f>
        <v>165.852</v>
      </c>
      <c r="BP195" s="52">
        <f>BL195*(1+BP196)</f>
        <v>179.56400000000002</v>
      </c>
      <c r="BQ195" s="52">
        <f>BM195*(1+BQ196)</f>
        <v>194.82800000000003</v>
      </c>
      <c r="BR195" s="52">
        <f>BN195*(1+BR196)</f>
        <v>175.32400000000001</v>
      </c>
      <c r="BT195" s="34"/>
    </row>
    <row r="196" spans="1:72">
      <c r="B196" s="54" t="s">
        <v>141</v>
      </c>
      <c r="G196" s="55"/>
      <c r="H196" s="63">
        <f t="shared" ref="H196:R196" si="243">H195/G195-1</f>
        <v>0.13296270558258061</v>
      </c>
      <c r="I196" s="63">
        <f t="shared" si="243"/>
        <v>0.16070333265180947</v>
      </c>
      <c r="J196" s="63">
        <f t="shared" si="243"/>
        <v>-3.2411484939228408E-2</v>
      </c>
      <c r="K196" s="63">
        <f t="shared" si="243"/>
        <v>4.132532313853976E-2</v>
      </c>
      <c r="L196" s="63">
        <f t="shared" si="243"/>
        <v>7.9720279720279841E-2</v>
      </c>
      <c r="M196" s="63">
        <f t="shared" si="243"/>
        <v>0.2590673575129534</v>
      </c>
      <c r="N196" s="63">
        <f t="shared" si="243"/>
        <v>-5.0411522633744821E-2</v>
      </c>
      <c r="O196" s="63">
        <f t="shared" si="243"/>
        <v>-3.6565547128927456E-2</v>
      </c>
      <c r="P196" s="63">
        <f t="shared" si="243"/>
        <v>2.5161653078436652E-2</v>
      </c>
      <c r="Q196" s="63">
        <f t="shared" si="243"/>
        <v>-6.5953654188948385E-2</v>
      </c>
      <c r="R196" s="63">
        <f t="shared" si="243"/>
        <v>5.0452143276571215E-2</v>
      </c>
      <c r="S196" s="376">
        <f>+S224</f>
        <v>3.5000000000000003E-2</v>
      </c>
      <c r="T196" s="376">
        <f>+T224</f>
        <v>3.5000000000000003E-2</v>
      </c>
      <c r="U196" s="376">
        <f>+U224</f>
        <v>3.5000000000000003E-2</v>
      </c>
      <c r="V196" s="48"/>
      <c r="W196" s="48"/>
      <c r="X196" s="48"/>
      <c r="Y196" s="48"/>
      <c r="Z196" s="63"/>
      <c r="AA196" s="63">
        <f t="shared" ref="AA196:BF196" si="244">AA195/W195-1</f>
        <v>0.10578842315369252</v>
      </c>
      <c r="AB196" s="63">
        <f t="shared" si="244"/>
        <v>0.16332665330661311</v>
      </c>
      <c r="AC196" s="63">
        <f t="shared" si="244"/>
        <v>9.1472868217054248E-2</v>
      </c>
      <c r="AD196" s="63">
        <f t="shared" si="244"/>
        <v>0.18208373904576436</v>
      </c>
      <c r="AE196" s="63">
        <f t="shared" si="244"/>
        <v>0.19945848375451281</v>
      </c>
      <c r="AF196" s="63">
        <f t="shared" si="244"/>
        <v>0.21102497846683899</v>
      </c>
      <c r="AG196" s="63">
        <f t="shared" si="244"/>
        <v>0.19460227272727249</v>
      </c>
      <c r="AH196" s="63">
        <f t="shared" si="244"/>
        <v>3.7891268533772671E-2</v>
      </c>
      <c r="AI196" s="63">
        <f t="shared" si="244"/>
        <v>-1.1286681715575675E-2</v>
      </c>
      <c r="AJ196" s="63">
        <f t="shared" si="244"/>
        <v>5.0497866287339876E-2</v>
      </c>
      <c r="AK196" s="63">
        <f t="shared" si="244"/>
        <v>-6.3614744351961905E-2</v>
      </c>
      <c r="AL196" s="63">
        <f t="shared" si="244"/>
        <v>-0.10555555555555551</v>
      </c>
      <c r="AM196" s="63">
        <f t="shared" si="244"/>
        <v>3.9573820395738091E-2</v>
      </c>
      <c r="AN196" s="63">
        <f t="shared" si="244"/>
        <v>7.4475287745432439E-3</v>
      </c>
      <c r="AO196" s="63">
        <f t="shared" si="244"/>
        <v>4.1904761904761889E-2</v>
      </c>
      <c r="AP196" s="63">
        <f t="shared" si="244"/>
        <v>8.6956521739130377E-2</v>
      </c>
      <c r="AQ196" s="63">
        <f>AQ195/AM195-1</f>
        <v>7.9795021961932777E-2</v>
      </c>
      <c r="AR196" s="63">
        <f>AR195/AN195-1</f>
        <v>-2.2177419354838745E-2</v>
      </c>
      <c r="AS196" s="63">
        <f>AS195/AO195-1</f>
        <v>2.864107251675807E-2</v>
      </c>
      <c r="AT196" s="63">
        <f>AT195/AP195-1</f>
        <v>0.2718367346938777</v>
      </c>
      <c r="AU196" s="63">
        <f t="shared" si="244"/>
        <v>0.27457627118644057</v>
      </c>
      <c r="AV196" s="63">
        <f t="shared" si="244"/>
        <v>0.36151202749140898</v>
      </c>
      <c r="AW196" s="63">
        <f t="shared" si="244"/>
        <v>0.26244075829383884</v>
      </c>
      <c r="AX196" s="63">
        <f t="shared" si="244"/>
        <v>0.1450577663671373</v>
      </c>
      <c r="AY196" s="63">
        <f t="shared" si="244"/>
        <v>6.702127659574475E-2</v>
      </c>
      <c r="AZ196" s="63">
        <f t="shared" si="244"/>
        <v>-8.6320040383644603E-2</v>
      </c>
      <c r="BA196" s="63">
        <f t="shared" si="244"/>
        <v>-1.6424213984045033E-2</v>
      </c>
      <c r="BB196" s="63">
        <f t="shared" si="244"/>
        <v>-0.17488789237668168</v>
      </c>
      <c r="BC196" s="63">
        <f t="shared" si="244"/>
        <v>-0.10917248255234302</v>
      </c>
      <c r="BD196" s="63">
        <f t="shared" si="244"/>
        <v>7.2928176795580058E-2</v>
      </c>
      <c r="BE196" s="63">
        <f t="shared" si="244"/>
        <v>-0.13263358778625944</v>
      </c>
      <c r="BF196" s="63">
        <f t="shared" si="244"/>
        <v>6.4538043478260976E-2</v>
      </c>
      <c r="BG196" s="63">
        <f t="shared" ref="BG196:BN196" si="245">BG195/BC195-1</f>
        <v>2.7979854504756485E-2</v>
      </c>
      <c r="BH196" s="63">
        <f t="shared" si="245"/>
        <v>-6.7971163748712593E-2</v>
      </c>
      <c r="BI196" s="63">
        <f t="shared" si="245"/>
        <v>0.11771177117711762</v>
      </c>
      <c r="BJ196" s="63">
        <f t="shared" si="245"/>
        <v>2.9993618379068332E-2</v>
      </c>
      <c r="BK196" s="63">
        <f t="shared" si="245"/>
        <v>-0.11486118671747414</v>
      </c>
      <c r="BL196" s="63">
        <f t="shared" si="245"/>
        <v>-6.4088397790055263E-2</v>
      </c>
      <c r="BM196" s="63">
        <f t="shared" si="245"/>
        <v>-9.5472440944881831E-2</v>
      </c>
      <c r="BN196" s="63">
        <f t="shared" si="245"/>
        <v>2.4783147459727317E-2</v>
      </c>
      <c r="BO196" s="376">
        <f>BO224</f>
        <v>2.0000000000000004E-2</v>
      </c>
      <c r="BP196" s="376">
        <f>BP224</f>
        <v>6.0000000000000005E-2</v>
      </c>
      <c r="BQ196" s="376">
        <f>BQ224</f>
        <v>6.0000000000000005E-2</v>
      </c>
      <c r="BR196" s="376">
        <f>BR224</f>
        <v>6.0000000000000005E-2</v>
      </c>
    </row>
    <row r="197" spans="1:72">
      <c r="B197" s="43"/>
      <c r="H197" s="57"/>
      <c r="I197" s="57"/>
      <c r="J197" s="57"/>
      <c r="K197" s="57"/>
      <c r="L197" s="57"/>
      <c r="M197" s="57"/>
      <c r="N197" s="57"/>
      <c r="O197" s="57"/>
      <c r="P197" s="57"/>
      <c r="R197" s="34"/>
      <c r="Y197" s="63"/>
      <c r="AC197" s="63"/>
      <c r="AG197" s="63"/>
      <c r="AO197" s="63"/>
      <c r="AS197" s="63"/>
      <c r="AW197" s="63"/>
      <c r="BA197" s="63"/>
      <c r="BE197" s="63"/>
      <c r="BG197" s="87"/>
      <c r="BH197" s="87"/>
      <c r="BI197" s="63"/>
      <c r="BJ197" s="57"/>
      <c r="BK197" s="58"/>
      <c r="BL197" s="58"/>
      <c r="BM197" s="63"/>
      <c r="BN197" s="57"/>
      <c r="BO197" s="57"/>
      <c r="BP197" s="57"/>
      <c r="BQ197" s="63"/>
      <c r="BR197" s="57"/>
    </row>
    <row r="198" spans="1:72" s="51" customFormat="1">
      <c r="B198" s="192" t="s">
        <v>97</v>
      </c>
      <c r="F198" s="52"/>
      <c r="G198" s="52"/>
      <c r="H198" s="52"/>
      <c r="I198" s="52"/>
      <c r="J198" s="52"/>
      <c r="K198" s="52"/>
      <c r="L198" s="52"/>
      <c r="M198" s="52"/>
      <c r="N198" s="52"/>
      <c r="O198" s="52"/>
      <c r="P198" s="90">
        <f>SUM(BG198:BJ198)</f>
        <v>139.4</v>
      </c>
      <c r="Q198" s="90">
        <f>SUM(BK198:BN198)</f>
        <v>91.9</v>
      </c>
      <c r="R198" s="52">
        <f>SUM(BO198:BR198)</f>
        <v>95.772420000000011</v>
      </c>
      <c r="S198" s="90">
        <f t="shared" ref="S198:U198" si="246">+S199*S195</f>
        <v>99.124454700000001</v>
      </c>
      <c r="T198" s="90">
        <f t="shared" si="246"/>
        <v>102.59381061449999</v>
      </c>
      <c r="U198" s="90">
        <f t="shared" si="246"/>
        <v>106.18459398600749</v>
      </c>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90"/>
      <c r="AZ198" s="90"/>
      <c r="BA198" s="90"/>
      <c r="BB198" s="90"/>
      <c r="BC198" s="90"/>
      <c r="BD198" s="90"/>
      <c r="BE198" s="90">
        <f t="shared" ref="BE198:BN198" si="247">BE202+BE205</f>
        <v>34.5</v>
      </c>
      <c r="BF198" s="90">
        <f t="shared" si="247"/>
        <v>26.700000000000003</v>
      </c>
      <c r="BG198" s="90">
        <f t="shared" si="247"/>
        <v>33.299999999999997</v>
      </c>
      <c r="BH198" s="90">
        <f t="shared" si="247"/>
        <v>35.700000000000003</v>
      </c>
      <c r="BI198" s="90">
        <f t="shared" si="247"/>
        <v>40.700000000000003</v>
      </c>
      <c r="BJ198" s="90">
        <f t="shared" si="247"/>
        <v>29.7</v>
      </c>
      <c r="BK198" s="90">
        <f t="shared" si="247"/>
        <v>30</v>
      </c>
      <c r="BL198" s="90">
        <f t="shared" si="247"/>
        <v>23.5</v>
      </c>
      <c r="BM198" s="90">
        <f t="shared" si="247"/>
        <v>22</v>
      </c>
      <c r="BN198" s="90">
        <f t="shared" si="247"/>
        <v>16.399999999999999</v>
      </c>
      <c r="BO198" s="90">
        <f t="shared" ref="BO198:BR198" si="248">+BO199*BO195</f>
        <v>21.560760000000002</v>
      </c>
      <c r="BP198" s="90">
        <f t="shared" si="248"/>
        <v>24.241140000000005</v>
      </c>
      <c r="BQ198" s="90">
        <f t="shared" si="248"/>
        <v>26.301780000000004</v>
      </c>
      <c r="BR198" s="90">
        <f t="shared" si="248"/>
        <v>23.668740000000003</v>
      </c>
      <c r="BT198" s="34"/>
    </row>
    <row r="199" spans="1:72" s="51" customFormat="1">
      <c r="B199" s="54" t="s">
        <v>189</v>
      </c>
      <c r="F199" s="52"/>
      <c r="G199" s="52"/>
      <c r="H199" s="52"/>
      <c r="I199" s="52"/>
      <c r="J199" s="52"/>
      <c r="K199" s="52"/>
      <c r="L199" s="52"/>
      <c r="M199" s="52"/>
      <c r="N199" s="52"/>
      <c r="O199" s="52"/>
      <c r="P199" s="63">
        <f t="shared" ref="P199:R199" si="249">+P198/P195</f>
        <v>0.19114219114219116</v>
      </c>
      <c r="Q199" s="63">
        <f t="shared" si="249"/>
        <v>0.13490898414562538</v>
      </c>
      <c r="R199" s="63">
        <f t="shared" si="249"/>
        <v>0.13384111642778881</v>
      </c>
      <c r="S199" s="64">
        <f>+R199</f>
        <v>0.13384111642778881</v>
      </c>
      <c r="T199" s="64">
        <f t="shared" ref="T199:U199" si="250">+S199</f>
        <v>0.13384111642778881</v>
      </c>
      <c r="U199" s="64">
        <f t="shared" si="250"/>
        <v>0.13384111642778881</v>
      </c>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90"/>
      <c r="AZ199" s="90"/>
      <c r="BA199" s="90"/>
      <c r="BB199" s="90"/>
      <c r="BC199" s="90"/>
      <c r="BD199" s="90"/>
      <c r="BE199" s="63">
        <f t="shared" ref="BE199:BN199" si="251">+BE198/BE195</f>
        <v>0.18976897689768976</v>
      </c>
      <c r="BF199" s="63">
        <f t="shared" si="251"/>
        <v>0.17038927887683475</v>
      </c>
      <c r="BG199" s="63">
        <f t="shared" si="251"/>
        <v>0.18127381600435491</v>
      </c>
      <c r="BH199" s="63">
        <f t="shared" si="251"/>
        <v>0.1972375690607735</v>
      </c>
      <c r="BI199" s="63">
        <f t="shared" si="251"/>
        <v>0.20029527559055121</v>
      </c>
      <c r="BJ199" s="63">
        <f t="shared" si="251"/>
        <v>0.18401486988847582</v>
      </c>
      <c r="BK199" s="63">
        <f t="shared" si="251"/>
        <v>0.18450184501845018</v>
      </c>
      <c r="BL199" s="63">
        <f t="shared" si="251"/>
        <v>0.13872491145218419</v>
      </c>
      <c r="BM199" s="63">
        <f t="shared" si="251"/>
        <v>0.11969532100108814</v>
      </c>
      <c r="BN199" s="63">
        <f t="shared" si="251"/>
        <v>9.915356711003627E-2</v>
      </c>
      <c r="BO199" s="64">
        <v>0.13</v>
      </c>
      <c r="BP199" s="64">
        <v>0.13500000000000001</v>
      </c>
      <c r="BQ199" s="64">
        <v>0.13500000000000001</v>
      </c>
      <c r="BR199" s="64">
        <v>0.13500000000000001</v>
      </c>
      <c r="BT199" s="34"/>
    </row>
    <row r="200" spans="1:72">
      <c r="B200" s="54" t="s">
        <v>141</v>
      </c>
      <c r="C200" s="7"/>
      <c r="D200" s="7"/>
      <c r="E200" s="7"/>
      <c r="F200" s="7"/>
      <c r="G200" s="55"/>
      <c r="H200" s="55"/>
      <c r="I200" s="55"/>
      <c r="J200" s="55"/>
      <c r="K200" s="55"/>
      <c r="L200" s="55"/>
      <c r="M200" s="63"/>
      <c r="N200" s="63"/>
      <c r="O200" s="63"/>
      <c r="P200" s="63"/>
      <c r="Q200" s="63">
        <f>Q198/P198-1</f>
        <v>-0.34074605451936868</v>
      </c>
      <c r="R200" s="63">
        <f>R198/Q198-1</f>
        <v>4.2137323177366737E-2</v>
      </c>
      <c r="S200" s="63">
        <f>S198/R198-1</f>
        <v>3.499999999999992E-2</v>
      </c>
      <c r="T200" s="63">
        <f>T198/S198-1</f>
        <v>3.499999999999992E-2</v>
      </c>
      <c r="U200" s="63">
        <f>U198/T198-1</f>
        <v>3.499999999999992E-2</v>
      </c>
      <c r="V200" s="57"/>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5"/>
      <c r="AU200" s="63"/>
      <c r="AV200" s="63"/>
      <c r="AW200" s="63"/>
      <c r="AX200" s="63"/>
      <c r="AY200" s="63"/>
      <c r="AZ200" s="63"/>
      <c r="BA200" s="63"/>
      <c r="BB200" s="63"/>
      <c r="BC200" s="63"/>
      <c r="BD200" s="63"/>
      <c r="BE200" s="63"/>
      <c r="BF200" s="63"/>
      <c r="BG200" s="63"/>
      <c r="BH200" s="63"/>
      <c r="BI200" s="63">
        <f t="shared" ref="BI200:BN200" si="252">BI198/BE198-1</f>
        <v>0.17971014492753623</v>
      </c>
      <c r="BJ200" s="63">
        <f t="shared" si="252"/>
        <v>0.11235955056179758</v>
      </c>
      <c r="BK200" s="63">
        <f t="shared" si="252"/>
        <v>-9.9099099099098975E-2</v>
      </c>
      <c r="BL200" s="63">
        <f t="shared" si="252"/>
        <v>-0.34173669467787116</v>
      </c>
      <c r="BM200" s="63">
        <f t="shared" si="252"/>
        <v>-0.45945945945945954</v>
      </c>
      <c r="BN200" s="63">
        <f t="shared" si="252"/>
        <v>-0.44781144781144788</v>
      </c>
      <c r="BO200" s="63">
        <f>BO198/BK198-1</f>
        <v>-0.28130799999999989</v>
      </c>
      <c r="BP200" s="63">
        <f>BP198/BL198-1</f>
        <v>3.1537872340425821E-2</v>
      </c>
      <c r="BQ200" s="63">
        <f>BQ198/BM198-1</f>
        <v>0.19553545454545485</v>
      </c>
      <c r="BR200" s="63">
        <f>BR198/BN198-1</f>
        <v>0.44321585365853688</v>
      </c>
    </row>
    <row r="201" spans="1:72">
      <c r="B201" s="43"/>
      <c r="C201" s="7"/>
      <c r="D201" s="7"/>
      <c r="E201" s="7"/>
      <c r="F201" s="7"/>
      <c r="G201" s="57"/>
      <c r="H201" s="57"/>
      <c r="I201" s="57"/>
      <c r="J201" s="57"/>
      <c r="K201" s="57"/>
      <c r="L201" s="57"/>
      <c r="M201" s="57"/>
      <c r="N201" s="57"/>
      <c r="O201" s="57"/>
      <c r="P201" s="14"/>
      <c r="Q201" s="57"/>
      <c r="R201" s="57"/>
      <c r="S201" s="57"/>
      <c r="T201" s="57"/>
      <c r="U201" s="57"/>
      <c r="V201" s="57"/>
      <c r="W201" s="57"/>
      <c r="X201" s="57"/>
      <c r="Y201" s="57"/>
      <c r="Z201" s="57"/>
      <c r="AA201" s="58"/>
      <c r="AB201" s="58"/>
      <c r="AC201" s="58"/>
      <c r="AD201" s="58"/>
      <c r="AE201" s="58"/>
      <c r="AF201" s="58"/>
      <c r="AG201" s="58"/>
      <c r="AH201" s="58"/>
      <c r="AI201" s="58"/>
      <c r="AJ201" s="58"/>
      <c r="AK201" s="58"/>
      <c r="AL201" s="58"/>
      <c r="AM201" s="58"/>
      <c r="AN201" s="58"/>
      <c r="AO201" s="58"/>
      <c r="AP201" s="58"/>
      <c r="AQ201" s="58"/>
      <c r="AR201" s="58"/>
      <c r="AS201" s="58"/>
      <c r="AT201" s="58"/>
      <c r="AU201" s="58"/>
      <c r="AV201" s="58"/>
      <c r="AW201" s="58"/>
      <c r="AX201" s="58"/>
      <c r="AY201" s="58"/>
      <c r="AZ201" s="58"/>
      <c r="BA201" s="58"/>
      <c r="BB201" s="58"/>
      <c r="BC201" s="58"/>
      <c r="BD201" s="58"/>
      <c r="BE201" s="58"/>
      <c r="BF201" s="57"/>
      <c r="BG201" s="65"/>
      <c r="BH201" s="65"/>
      <c r="BI201" s="65"/>
      <c r="BJ201" s="65"/>
      <c r="BK201" s="90"/>
      <c r="BL201" s="90"/>
      <c r="BM201" s="90"/>
      <c r="BN201" s="65"/>
      <c r="BO201" s="65"/>
      <c r="BP201" s="65"/>
      <c r="BQ201" s="65"/>
      <c r="BR201" s="65"/>
      <c r="BS201" s="65"/>
    </row>
    <row r="202" spans="1:72" s="51" customFormat="1">
      <c r="B202" s="103" t="s">
        <v>107</v>
      </c>
      <c r="F202" s="52"/>
      <c r="G202" s="52"/>
      <c r="H202" s="52"/>
      <c r="I202" s="52"/>
      <c r="J202" s="52"/>
      <c r="K202" s="52"/>
      <c r="L202" s="52"/>
      <c r="M202" s="52"/>
      <c r="N202" s="52"/>
      <c r="O202" s="52"/>
      <c r="P202" s="51">
        <f>SUM(BG202:BJ202)</f>
        <v>18.5</v>
      </c>
      <c r="Q202" s="51">
        <f>SUM(BK202:BN202)</f>
        <v>19.5</v>
      </c>
      <c r="R202" s="51">
        <f>SUM(BO202:BR202)</f>
        <v>20</v>
      </c>
      <c r="S202" s="51">
        <f>S195*S203</f>
        <v>20.7</v>
      </c>
      <c r="T202" s="51">
        <f>T195*T203</f>
        <v>21.424499999999995</v>
      </c>
      <c r="U202" s="51">
        <f>U195*U203</f>
        <v>22.174357499999992</v>
      </c>
      <c r="W202" s="53"/>
      <c r="X202" s="53"/>
      <c r="Y202" s="53"/>
      <c r="Z202" s="53"/>
      <c r="AA202" s="53"/>
      <c r="AB202" s="53"/>
      <c r="AC202" s="53"/>
      <c r="AD202" s="53"/>
      <c r="AE202" s="53"/>
      <c r="AF202" s="53"/>
      <c r="AG202" s="53"/>
      <c r="AH202" s="53"/>
      <c r="AI202" s="53"/>
      <c r="AJ202" s="53"/>
      <c r="AK202" s="53"/>
      <c r="AL202" s="53"/>
      <c r="AM202" s="53"/>
      <c r="AN202" s="53"/>
      <c r="AO202" s="53"/>
      <c r="AP202" s="53"/>
      <c r="AQ202" s="53"/>
      <c r="AR202" s="53"/>
      <c r="AS202" s="53"/>
      <c r="AT202" s="53"/>
      <c r="AU202" s="53"/>
      <c r="AV202" s="53"/>
      <c r="AW202" s="53"/>
      <c r="AX202" s="53"/>
      <c r="AY202" s="53"/>
      <c r="AZ202" s="53"/>
      <c r="BA202" s="53"/>
      <c r="BB202" s="53"/>
      <c r="BC202" s="53"/>
      <c r="BD202" s="53"/>
      <c r="BE202" s="105">
        <v>4.4000000000000004</v>
      </c>
      <c r="BF202" s="105">
        <v>4.9000000000000004</v>
      </c>
      <c r="BG202" s="105">
        <v>4.5999999999999996</v>
      </c>
      <c r="BH202" s="105">
        <v>4.5</v>
      </c>
      <c r="BI202" s="105">
        <v>4.7</v>
      </c>
      <c r="BJ202" s="105">
        <f>18.5-SUM(BG202:BI202)</f>
        <v>4.6999999999999993</v>
      </c>
      <c r="BK202" s="105">
        <v>4.9000000000000004</v>
      </c>
      <c r="BL202" s="105">
        <v>4.5</v>
      </c>
      <c r="BM202" s="105">
        <v>4.8</v>
      </c>
      <c r="BN202" s="105">
        <v>5.3</v>
      </c>
      <c r="BO202" s="51">
        <f>BO195*BO203</f>
        <v>5</v>
      </c>
      <c r="BP202" s="51">
        <f>BP195*BP203</f>
        <v>5</v>
      </c>
      <c r="BQ202" s="51">
        <f>BQ195*BQ203</f>
        <v>5</v>
      </c>
      <c r="BR202" s="51">
        <f>BR195*BR203</f>
        <v>5</v>
      </c>
      <c r="BT202" s="34"/>
    </row>
    <row r="203" spans="1:72" s="378" customFormat="1">
      <c r="B203" s="54" t="s">
        <v>551</v>
      </c>
      <c r="F203" s="365"/>
      <c r="G203" s="365"/>
      <c r="H203" s="365"/>
      <c r="I203" s="365"/>
      <c r="J203" s="365"/>
      <c r="K203" s="365"/>
      <c r="L203" s="365"/>
      <c r="M203" s="365"/>
      <c r="N203" s="365"/>
      <c r="O203" s="365"/>
      <c r="P203" s="124">
        <f>P202/P195</f>
        <v>2.5366790072672427E-2</v>
      </c>
      <c r="Q203" s="124">
        <f>Q202/Q195</f>
        <v>2.8625954198473285E-2</v>
      </c>
      <c r="R203" s="124">
        <f>R202/R195</f>
        <v>2.7949824475102289E-2</v>
      </c>
      <c r="S203" s="125">
        <f>+R203</f>
        <v>2.7949824475102289E-2</v>
      </c>
      <c r="T203" s="125">
        <f>+S203</f>
        <v>2.7949824475102289E-2</v>
      </c>
      <c r="U203" s="125">
        <f>+T203</f>
        <v>2.7949824475102289E-2</v>
      </c>
      <c r="W203" s="379"/>
      <c r="X203" s="379"/>
      <c r="Y203" s="379"/>
      <c r="Z203" s="379"/>
      <c r="AA203" s="379"/>
      <c r="AB203" s="379"/>
      <c r="AC203" s="379"/>
      <c r="AD203" s="379"/>
      <c r="AE203" s="379"/>
      <c r="AF203" s="379"/>
      <c r="AG203" s="379"/>
      <c r="AH203" s="379"/>
      <c r="AI203" s="379"/>
      <c r="AJ203" s="379"/>
      <c r="AK203" s="379"/>
      <c r="AL203" s="379"/>
      <c r="AM203" s="379"/>
      <c r="AN203" s="379"/>
      <c r="AO203" s="379"/>
      <c r="AP203" s="379"/>
      <c r="AQ203" s="379"/>
      <c r="AR203" s="379"/>
      <c r="AS203" s="379"/>
      <c r="AT203" s="379"/>
      <c r="AU203" s="379"/>
      <c r="AV203" s="379"/>
      <c r="AW203" s="379"/>
      <c r="AX203" s="379"/>
      <c r="AY203" s="379"/>
      <c r="AZ203" s="379"/>
      <c r="BA203" s="379"/>
      <c r="BB203" s="379"/>
      <c r="BC203" s="379"/>
      <c r="BD203" s="379"/>
      <c r="BE203" s="124">
        <f t="shared" ref="BE203:BN203" si="253">BE202/BE195</f>
        <v>2.4202420242024202E-2</v>
      </c>
      <c r="BF203" s="124">
        <f t="shared" si="253"/>
        <v>3.1269942565411622E-2</v>
      </c>
      <c r="BG203" s="124">
        <f t="shared" si="253"/>
        <v>2.5040827436037017E-2</v>
      </c>
      <c r="BH203" s="124">
        <f t="shared" si="253"/>
        <v>2.4861878453038673E-2</v>
      </c>
      <c r="BI203" s="124">
        <f t="shared" si="253"/>
        <v>2.312992125984252E-2</v>
      </c>
      <c r="BJ203" s="124">
        <f t="shared" si="253"/>
        <v>2.9120198265179673E-2</v>
      </c>
      <c r="BK203" s="124">
        <f t="shared" si="253"/>
        <v>3.0135301353013535E-2</v>
      </c>
      <c r="BL203" s="124">
        <f t="shared" si="253"/>
        <v>2.6564344746162927E-2</v>
      </c>
      <c r="BM203" s="124">
        <f t="shared" si="253"/>
        <v>2.6115342763873773E-2</v>
      </c>
      <c r="BN203" s="124">
        <f t="shared" si="253"/>
        <v>3.2043530834340993E-2</v>
      </c>
      <c r="BO203" s="125">
        <f>5/BO195</f>
        <v>3.0147360297132383E-2</v>
      </c>
      <c r="BP203" s="125">
        <f t="shared" ref="BP203:BR203" si="254">5/BP195</f>
        <v>2.784522510079971E-2</v>
      </c>
      <c r="BQ203" s="125">
        <f t="shared" si="254"/>
        <v>2.5663662307265894E-2</v>
      </c>
      <c r="BR203" s="125">
        <f t="shared" si="254"/>
        <v>2.8518628368050008E-2</v>
      </c>
      <c r="BT203" s="367"/>
    </row>
    <row r="204" spans="1:72" s="51" customFormat="1">
      <c r="B204" s="54"/>
      <c r="F204" s="52"/>
      <c r="G204" s="52"/>
      <c r="H204" s="52"/>
      <c r="I204" s="52"/>
      <c r="J204" s="52"/>
      <c r="K204" s="52"/>
      <c r="L204" s="52"/>
      <c r="M204" s="52"/>
      <c r="N204" s="52"/>
      <c r="O204" s="52"/>
      <c r="R204" s="363"/>
      <c r="S204" s="363"/>
      <c r="T204" s="363"/>
      <c r="U204" s="363"/>
      <c r="W204" s="53"/>
      <c r="X204" s="53"/>
      <c r="Y204" s="53"/>
      <c r="Z204" s="53"/>
      <c r="AA204" s="53"/>
      <c r="AB204" s="53"/>
      <c r="AC204" s="53"/>
      <c r="AD204" s="53"/>
      <c r="AE204" s="53"/>
      <c r="AF204" s="53"/>
      <c r="AG204" s="53"/>
      <c r="AH204" s="53"/>
      <c r="AI204" s="53"/>
      <c r="AJ204" s="53"/>
      <c r="AK204" s="53"/>
      <c r="AL204" s="53"/>
      <c r="AM204" s="53"/>
      <c r="AN204" s="53"/>
      <c r="AO204" s="53"/>
      <c r="AP204" s="53"/>
      <c r="AQ204" s="53"/>
      <c r="AR204" s="53"/>
      <c r="AS204" s="53"/>
      <c r="AT204" s="53"/>
      <c r="AU204" s="53"/>
      <c r="AV204" s="53"/>
      <c r="AW204" s="53"/>
      <c r="AX204" s="53"/>
      <c r="AY204" s="53"/>
      <c r="AZ204" s="53"/>
      <c r="BA204" s="53"/>
      <c r="BB204" s="53"/>
      <c r="BC204" s="53"/>
      <c r="BD204" s="53"/>
      <c r="BE204" s="105"/>
      <c r="BF204" s="105"/>
      <c r="BG204" s="105"/>
      <c r="BH204" s="105"/>
      <c r="BI204" s="105"/>
      <c r="BJ204" s="105"/>
      <c r="BK204" s="105"/>
      <c r="BL204" s="105"/>
      <c r="BT204" s="34"/>
    </row>
    <row r="205" spans="1:72" s="34" customFormat="1">
      <c r="B205" s="38" t="s">
        <v>29</v>
      </c>
      <c r="C205" s="51"/>
      <c r="D205" s="51"/>
      <c r="E205" s="51"/>
      <c r="F205" s="51"/>
      <c r="G205" s="39">
        <f>SUM(W205:Z205)</f>
        <v>26.4</v>
      </c>
      <c r="H205" s="39">
        <f>SUM(AA205:AD205)</f>
        <v>32.6</v>
      </c>
      <c r="I205" s="39">
        <f>SUM(AE205:AH205)</f>
        <v>68.599999999999994</v>
      </c>
      <c r="J205" s="39">
        <f>SUM(AI205:AL205)</f>
        <v>63.000000000000007</v>
      </c>
      <c r="K205" s="39">
        <f>SUM(AM205:AP205)</f>
        <v>37.9</v>
      </c>
      <c r="L205" s="39">
        <f>SUM(AQ205:AT205)</f>
        <v>55.2</v>
      </c>
      <c r="M205" s="52">
        <f>SUM(AU205:AX205)</f>
        <v>143.20000000000002</v>
      </c>
      <c r="N205" s="52">
        <f>SUM(AY205:BB205)</f>
        <v>127.30000000000001</v>
      </c>
      <c r="O205" s="52">
        <f>SUM(BC205:BF205)</f>
        <v>115.60000000000001</v>
      </c>
      <c r="P205" s="52">
        <f>SUM(BG205:BJ205)</f>
        <v>120.9</v>
      </c>
      <c r="Q205" s="52">
        <f>SUM(BK205:BN205)</f>
        <v>72.399999999999991</v>
      </c>
      <c r="R205" s="52">
        <f>SUM(BO205:BR205)</f>
        <v>75.772420000000011</v>
      </c>
      <c r="S205" s="52">
        <f t="shared" ref="S205:U205" si="255">+S198-S202</f>
        <v>78.424454699999998</v>
      </c>
      <c r="T205" s="52">
        <f t="shared" si="255"/>
        <v>81.169310614499992</v>
      </c>
      <c r="U205" s="52">
        <f t="shared" si="255"/>
        <v>84.0102364860075</v>
      </c>
      <c r="V205" s="51"/>
      <c r="W205" s="53">
        <v>8.1</v>
      </c>
      <c r="X205" s="53">
        <v>5.6</v>
      </c>
      <c r="Y205" s="53">
        <v>10</v>
      </c>
      <c r="Z205" s="53">
        <v>2.7</v>
      </c>
      <c r="AA205" s="53">
        <v>10</v>
      </c>
      <c r="AB205" s="53">
        <v>9.5</v>
      </c>
      <c r="AC205" s="53">
        <v>9.8000000000000007</v>
      </c>
      <c r="AD205" s="53">
        <v>3.3</v>
      </c>
      <c r="AE205" s="53">
        <v>17</v>
      </c>
      <c r="AF205" s="53">
        <v>19.100000000000001</v>
      </c>
      <c r="AG205" s="53">
        <v>23</v>
      </c>
      <c r="AH205" s="53">
        <v>9.5</v>
      </c>
      <c r="AI205" s="53">
        <v>19.5</v>
      </c>
      <c r="AJ205" s="53">
        <v>21.1</v>
      </c>
      <c r="AK205" s="53">
        <v>18.8</v>
      </c>
      <c r="AL205" s="53">
        <v>3.6</v>
      </c>
      <c r="AM205" s="53">
        <v>12.5</v>
      </c>
      <c r="AN205" s="53">
        <v>11.8</v>
      </c>
      <c r="AO205" s="53">
        <v>13.1</v>
      </c>
      <c r="AP205" s="53">
        <v>0.5</v>
      </c>
      <c r="AQ205" s="53">
        <v>10.8</v>
      </c>
      <c r="AR205" s="53">
        <v>11.9</v>
      </c>
      <c r="AS205" s="53">
        <v>16</v>
      </c>
      <c r="AT205" s="53">
        <v>16.5</v>
      </c>
      <c r="AU205" s="53">
        <v>31.3</v>
      </c>
      <c r="AV205" s="53">
        <v>37.1</v>
      </c>
      <c r="AW205" s="53">
        <v>40.700000000000003</v>
      </c>
      <c r="AX205" s="53">
        <v>34.1</v>
      </c>
      <c r="AY205" s="53">
        <v>38.299999999999997</v>
      </c>
      <c r="AZ205" s="53">
        <v>33.1</v>
      </c>
      <c r="BA205" s="53">
        <v>38.5</v>
      </c>
      <c r="BB205" s="53">
        <v>17.399999999999999</v>
      </c>
      <c r="BC205" s="53">
        <v>29.8</v>
      </c>
      <c r="BD205" s="53">
        <v>33.9</v>
      </c>
      <c r="BE205" s="53">
        <v>30.1</v>
      </c>
      <c r="BF205" s="53">
        <v>21.8</v>
      </c>
      <c r="BG205" s="53">
        <v>28.7</v>
      </c>
      <c r="BH205" s="53">
        <v>31.2</v>
      </c>
      <c r="BI205" s="53">
        <v>36</v>
      </c>
      <c r="BJ205" s="53">
        <v>25</v>
      </c>
      <c r="BK205" s="53">
        <v>25.1</v>
      </c>
      <c r="BL205" s="53">
        <v>19</v>
      </c>
      <c r="BM205" s="53">
        <v>17.2</v>
      </c>
      <c r="BN205" s="53">
        <v>11.1</v>
      </c>
      <c r="BO205" s="52">
        <f t="shared" ref="BO205:BR205" si="256">+BO198-BO202</f>
        <v>16.560760000000002</v>
      </c>
      <c r="BP205" s="52">
        <f t="shared" si="256"/>
        <v>19.241140000000005</v>
      </c>
      <c r="BQ205" s="52">
        <f t="shared" si="256"/>
        <v>21.301780000000004</v>
      </c>
      <c r="BR205" s="52">
        <f t="shared" si="256"/>
        <v>18.668740000000003</v>
      </c>
    </row>
    <row r="206" spans="1:72">
      <c r="B206" s="54" t="s">
        <v>189</v>
      </c>
      <c r="C206" s="7"/>
      <c r="D206" s="7"/>
      <c r="E206" s="7"/>
      <c r="F206" s="7"/>
      <c r="G206" s="55">
        <f t="shared" ref="G206:U206" si="257">+G205/G195</f>
        <v>6.1153578874218205E-2</v>
      </c>
      <c r="H206" s="55">
        <f t="shared" si="257"/>
        <v>6.6653036188918421E-2</v>
      </c>
      <c r="I206" s="55">
        <f t="shared" si="257"/>
        <v>0.12083847102342785</v>
      </c>
      <c r="J206" s="55">
        <f t="shared" si="257"/>
        <v>0.11469142545057345</v>
      </c>
      <c r="K206" s="55">
        <f t="shared" si="257"/>
        <v>6.6258741258741261E-2</v>
      </c>
      <c r="L206" s="55">
        <f t="shared" si="257"/>
        <v>8.937823834196891E-2</v>
      </c>
      <c r="M206" s="63">
        <f t="shared" si="257"/>
        <v>0.18415637860082307</v>
      </c>
      <c r="N206" s="63">
        <f t="shared" si="257"/>
        <v>0.17239978331527628</v>
      </c>
      <c r="O206" s="63">
        <f t="shared" si="257"/>
        <v>0.16249648580264267</v>
      </c>
      <c r="P206" s="63">
        <f t="shared" si="257"/>
        <v>0.16577540106951874</v>
      </c>
      <c r="Q206" s="63">
        <f t="shared" si="257"/>
        <v>0.10628302994715208</v>
      </c>
      <c r="R206" s="63">
        <f t="shared" si="257"/>
        <v>0.10589129195268653</v>
      </c>
      <c r="S206" s="63">
        <f t="shared" si="257"/>
        <v>0.10589129195268651</v>
      </c>
      <c r="T206" s="63">
        <f t="shared" si="257"/>
        <v>0.10589129195268653</v>
      </c>
      <c r="U206" s="63">
        <f t="shared" si="257"/>
        <v>0.10589129195268654</v>
      </c>
      <c r="V206" s="57"/>
      <c r="W206" s="55">
        <f t="shared" ref="W206:BN206" si="258">+W205/W195</f>
        <v>8.0838323353293412E-2</v>
      </c>
      <c r="X206" s="55">
        <f t="shared" si="258"/>
        <v>5.6112224448897796E-2</v>
      </c>
      <c r="Y206" s="55">
        <f t="shared" si="258"/>
        <v>7.7519379844961239E-2</v>
      </c>
      <c r="Z206" s="55">
        <f t="shared" si="258"/>
        <v>2.6290165530671861E-2</v>
      </c>
      <c r="AA206" s="55">
        <f t="shared" si="258"/>
        <v>9.0252707581227443E-2</v>
      </c>
      <c r="AB206" s="55">
        <f t="shared" si="258"/>
        <v>8.1826012058570208E-2</v>
      </c>
      <c r="AC206" s="55">
        <f t="shared" si="258"/>
        <v>6.9602272727272721E-2</v>
      </c>
      <c r="AD206" s="55">
        <f t="shared" si="258"/>
        <v>2.7182866556836899E-2</v>
      </c>
      <c r="AE206" s="55">
        <f t="shared" si="258"/>
        <v>0.12791572610985702</v>
      </c>
      <c r="AF206" s="55">
        <f t="shared" si="258"/>
        <v>0.13584637268847796</v>
      </c>
      <c r="AG206" s="55">
        <f t="shared" si="258"/>
        <v>0.13674197384066589</v>
      </c>
      <c r="AH206" s="55">
        <f t="shared" si="258"/>
        <v>7.5396825396825393E-2</v>
      </c>
      <c r="AI206" s="55">
        <f t="shared" si="258"/>
        <v>0.14840182648401826</v>
      </c>
      <c r="AJ206" s="55">
        <f t="shared" si="258"/>
        <v>0.14285714285714288</v>
      </c>
      <c r="AK206" s="55">
        <f t="shared" si="258"/>
        <v>0.11936507936507937</v>
      </c>
      <c r="AL206" s="55">
        <f t="shared" si="258"/>
        <v>3.1943212067435667E-2</v>
      </c>
      <c r="AM206" s="55">
        <f t="shared" si="258"/>
        <v>9.1508052708638363E-2</v>
      </c>
      <c r="AN206" s="55">
        <f t="shared" si="258"/>
        <v>7.9301075268817203E-2</v>
      </c>
      <c r="AO206" s="55">
        <f t="shared" si="258"/>
        <v>7.9829372333942716E-2</v>
      </c>
      <c r="AP206" s="55">
        <f t="shared" si="258"/>
        <v>4.0816326530612249E-3</v>
      </c>
      <c r="AQ206" s="55">
        <f t="shared" si="258"/>
        <v>7.3220338983050859E-2</v>
      </c>
      <c r="AR206" s="55">
        <f t="shared" si="258"/>
        <v>8.1786941580756015E-2</v>
      </c>
      <c r="AS206" s="55">
        <f t="shared" si="258"/>
        <v>9.4786729857819899E-2</v>
      </c>
      <c r="AT206" s="55">
        <f t="shared" si="258"/>
        <v>0.10590500641848523</v>
      </c>
      <c r="AU206" s="63">
        <f t="shared" si="258"/>
        <v>0.16648936170212766</v>
      </c>
      <c r="AV206" s="63">
        <f t="shared" si="258"/>
        <v>0.18727915194346292</v>
      </c>
      <c r="AW206" s="63">
        <f t="shared" si="258"/>
        <v>0.19099014547160958</v>
      </c>
      <c r="AX206" s="63">
        <f t="shared" si="258"/>
        <v>0.19114349775784753</v>
      </c>
      <c r="AY206" s="63">
        <f t="shared" si="258"/>
        <v>0.19092721834496509</v>
      </c>
      <c r="AZ206" s="63">
        <f t="shared" si="258"/>
        <v>0.1828729281767956</v>
      </c>
      <c r="BA206" s="63">
        <f t="shared" si="258"/>
        <v>0.18368320610687022</v>
      </c>
      <c r="BB206" s="63">
        <f t="shared" si="258"/>
        <v>0.11820652173913043</v>
      </c>
      <c r="BC206" s="63">
        <f t="shared" si="258"/>
        <v>0.1667599328483492</v>
      </c>
      <c r="BD206" s="63">
        <f t="shared" si="258"/>
        <v>0.17456230690010299</v>
      </c>
      <c r="BE206" s="63">
        <f t="shared" si="258"/>
        <v>0.16556655665566555</v>
      </c>
      <c r="BF206" s="63">
        <f t="shared" si="258"/>
        <v>0.13911933631142312</v>
      </c>
      <c r="BG206" s="63">
        <f t="shared" si="258"/>
        <v>0.15623298856831791</v>
      </c>
      <c r="BH206" s="63">
        <f t="shared" si="258"/>
        <v>0.17237569060773481</v>
      </c>
      <c r="BI206" s="63">
        <f t="shared" si="258"/>
        <v>0.17716535433070868</v>
      </c>
      <c r="BJ206" s="63">
        <f t="shared" si="258"/>
        <v>0.15489467162329615</v>
      </c>
      <c r="BK206" s="63">
        <f t="shared" si="258"/>
        <v>0.15436654366543667</v>
      </c>
      <c r="BL206" s="63">
        <f t="shared" si="258"/>
        <v>0.11216056670602124</v>
      </c>
      <c r="BM206" s="63">
        <f t="shared" si="258"/>
        <v>9.3579978237214353E-2</v>
      </c>
      <c r="BN206" s="63">
        <f t="shared" si="258"/>
        <v>6.7110036275695284E-2</v>
      </c>
      <c r="BO206" s="63">
        <f t="shared" ref="BO206:BR206" si="259">+BO205/BO195</f>
        <v>9.9852639702867632E-2</v>
      </c>
      <c r="BP206" s="63">
        <f t="shared" si="259"/>
        <v>0.10715477489920031</v>
      </c>
      <c r="BQ206" s="63">
        <f t="shared" si="259"/>
        <v>0.10933633769273411</v>
      </c>
      <c r="BR206" s="63">
        <f t="shared" si="259"/>
        <v>0.10648137163195</v>
      </c>
    </row>
    <row r="207" spans="1:72">
      <c r="B207" s="54" t="s">
        <v>141</v>
      </c>
      <c r="C207" s="7"/>
      <c r="D207" s="7"/>
      <c r="E207" s="7"/>
      <c r="F207" s="7"/>
      <c r="G207" s="55"/>
      <c r="H207" s="55">
        <f>H205/G205-1</f>
        <v>0.23484848484848486</v>
      </c>
      <c r="I207" s="55">
        <f>I205/H205-1</f>
        <v>1.1042944785276072</v>
      </c>
      <c r="J207" s="55">
        <f t="shared" ref="J207:U207" si="260">J205/I205-1</f>
        <v>-8.1632653061224358E-2</v>
      </c>
      <c r="K207" s="55">
        <f t="shared" si="260"/>
        <v>-0.39841269841269855</v>
      </c>
      <c r="L207" s="55">
        <f t="shared" si="260"/>
        <v>0.45646437994722966</v>
      </c>
      <c r="M207" s="63">
        <f t="shared" si="260"/>
        <v>1.5942028985507246</v>
      </c>
      <c r="N207" s="63">
        <f t="shared" si="260"/>
        <v>-0.11103351955307261</v>
      </c>
      <c r="O207" s="63">
        <f t="shared" si="260"/>
        <v>-9.1908876669285156E-2</v>
      </c>
      <c r="P207" s="63">
        <f t="shared" si="260"/>
        <v>4.5847750865051884E-2</v>
      </c>
      <c r="Q207" s="63">
        <f t="shared" si="260"/>
        <v>-0.40115798180314322</v>
      </c>
      <c r="R207" s="63">
        <f t="shared" si="260"/>
        <v>4.6580386740331825E-2</v>
      </c>
      <c r="S207" s="63">
        <f t="shared" si="260"/>
        <v>3.499999999999992E-2</v>
      </c>
      <c r="T207" s="63">
        <f t="shared" si="260"/>
        <v>3.499999999999992E-2</v>
      </c>
      <c r="U207" s="63">
        <f t="shared" si="260"/>
        <v>3.5000000000000142E-2</v>
      </c>
      <c r="V207" s="57"/>
      <c r="W207" s="55"/>
      <c r="X207" s="55"/>
      <c r="Y207" s="55"/>
      <c r="Z207" s="55"/>
      <c r="AA207" s="55">
        <f t="shared" ref="AA207:BF207" si="261">AA205/W205-1</f>
        <v>0.23456790123456805</v>
      </c>
      <c r="AB207" s="55">
        <f t="shared" si="261"/>
        <v>0.69642857142857162</v>
      </c>
      <c r="AC207" s="55">
        <f t="shared" si="261"/>
        <v>-1.9999999999999907E-2</v>
      </c>
      <c r="AD207" s="55">
        <f t="shared" si="261"/>
        <v>0.2222222222222221</v>
      </c>
      <c r="AE207" s="55">
        <f t="shared" si="261"/>
        <v>0.7</v>
      </c>
      <c r="AF207" s="55">
        <f t="shared" si="261"/>
        <v>1.0105263157894737</v>
      </c>
      <c r="AG207" s="55">
        <f t="shared" si="261"/>
        <v>1.3469387755102038</v>
      </c>
      <c r="AH207" s="55">
        <f t="shared" si="261"/>
        <v>1.8787878787878789</v>
      </c>
      <c r="AI207" s="55">
        <f t="shared" si="261"/>
        <v>0.14705882352941169</v>
      </c>
      <c r="AJ207" s="55">
        <f t="shared" si="261"/>
        <v>0.10471204188481664</v>
      </c>
      <c r="AK207" s="55">
        <f t="shared" si="261"/>
        <v>-0.18260869565217386</v>
      </c>
      <c r="AL207" s="55">
        <f t="shared" si="261"/>
        <v>-0.6210526315789473</v>
      </c>
      <c r="AM207" s="55">
        <f t="shared" si="261"/>
        <v>-0.35897435897435892</v>
      </c>
      <c r="AN207" s="55">
        <f t="shared" si="261"/>
        <v>-0.44075829383886256</v>
      </c>
      <c r="AO207" s="55">
        <f t="shared" si="261"/>
        <v>-0.30319148936170215</v>
      </c>
      <c r="AP207" s="55">
        <f t="shared" si="261"/>
        <v>-0.86111111111111116</v>
      </c>
      <c r="AQ207" s="55">
        <f>AQ205/AM205-1</f>
        <v>-0.1359999999999999</v>
      </c>
      <c r="AR207" s="55">
        <f>AR205/AN205-1</f>
        <v>8.4745762711864181E-3</v>
      </c>
      <c r="AS207" s="55">
        <f>AS205/AO205-1</f>
        <v>0.22137404580152675</v>
      </c>
      <c r="AT207" s="55">
        <f>AT205/AP205-1</f>
        <v>32</v>
      </c>
      <c r="AU207" s="63">
        <f t="shared" si="261"/>
        <v>1.8981481481481479</v>
      </c>
      <c r="AV207" s="63">
        <f t="shared" si="261"/>
        <v>2.1176470588235294</v>
      </c>
      <c r="AW207" s="63">
        <f t="shared" si="261"/>
        <v>1.5437500000000002</v>
      </c>
      <c r="AX207" s="63">
        <f t="shared" si="261"/>
        <v>1.0666666666666669</v>
      </c>
      <c r="AY207" s="63">
        <f t="shared" si="261"/>
        <v>0.22364217252396146</v>
      </c>
      <c r="AZ207" s="63">
        <f t="shared" si="261"/>
        <v>-0.10781671159029649</v>
      </c>
      <c r="BA207" s="63">
        <f t="shared" si="261"/>
        <v>-5.4054054054054168E-2</v>
      </c>
      <c r="BB207" s="63">
        <f t="shared" si="261"/>
        <v>-0.48973607038123168</v>
      </c>
      <c r="BC207" s="63">
        <f t="shared" si="261"/>
        <v>-0.22193211488250641</v>
      </c>
      <c r="BD207" s="63">
        <f t="shared" si="261"/>
        <v>2.4169184290030232E-2</v>
      </c>
      <c r="BE207" s="63">
        <f t="shared" si="261"/>
        <v>-0.21818181818181814</v>
      </c>
      <c r="BF207" s="63">
        <f t="shared" si="261"/>
        <v>0.25287356321839094</v>
      </c>
      <c r="BG207" s="63">
        <f t="shared" ref="BG207:BN207" si="262">BG205/BC205-1</f>
        <v>-3.6912751677852351E-2</v>
      </c>
      <c r="BH207" s="63">
        <f t="shared" si="262"/>
        <v>-7.9646017699115057E-2</v>
      </c>
      <c r="BI207" s="63">
        <f t="shared" si="262"/>
        <v>0.19601328903654469</v>
      </c>
      <c r="BJ207" s="63">
        <f t="shared" si="262"/>
        <v>0.14678899082568808</v>
      </c>
      <c r="BK207" s="63">
        <f t="shared" si="262"/>
        <v>-0.12543554006968638</v>
      </c>
      <c r="BL207" s="63">
        <f t="shared" si="262"/>
        <v>-0.39102564102564097</v>
      </c>
      <c r="BM207" s="63">
        <f t="shared" si="262"/>
        <v>-0.52222222222222225</v>
      </c>
      <c r="BN207" s="63">
        <f t="shared" si="262"/>
        <v>-0.55600000000000005</v>
      </c>
      <c r="BO207" s="63">
        <f>BO205/BK205-1</f>
        <v>-0.34020876494023899</v>
      </c>
      <c r="BP207" s="63">
        <f>BP205/BL205-1</f>
        <v>1.269157894736872E-2</v>
      </c>
      <c r="BQ207" s="63">
        <f>BQ205/BM205-1</f>
        <v>0.23847558139534919</v>
      </c>
      <c r="BR207" s="63">
        <f>BR205/BN205-1</f>
        <v>0.68186846846846882</v>
      </c>
    </row>
    <row r="208" spans="1:72" s="7" customFormat="1">
      <c r="B208" s="43"/>
      <c r="G208" s="57"/>
      <c r="H208" s="57"/>
      <c r="I208" s="57"/>
      <c r="J208" s="57"/>
      <c r="K208" s="57"/>
      <c r="L208" s="57"/>
      <c r="M208" s="57"/>
      <c r="N208" s="57"/>
      <c r="O208" s="57"/>
      <c r="P208" s="14"/>
      <c r="Q208" s="57"/>
      <c r="R208" s="57"/>
      <c r="S208" s="57"/>
      <c r="T208" s="57"/>
      <c r="U208" s="57"/>
      <c r="V208" s="57"/>
      <c r="W208" s="57"/>
      <c r="X208" s="57"/>
      <c r="Y208" s="57"/>
      <c r="Z208" s="57"/>
      <c r="AA208" s="58"/>
      <c r="AB208" s="58"/>
      <c r="AC208" s="58"/>
      <c r="AD208" s="58"/>
      <c r="AE208" s="58"/>
      <c r="AF208" s="58"/>
      <c r="AG208" s="58"/>
      <c r="AH208" s="58"/>
      <c r="AI208" s="58"/>
      <c r="AJ208" s="58"/>
      <c r="AK208" s="58"/>
      <c r="AL208" s="58"/>
      <c r="AM208" s="58"/>
      <c r="AN208" s="58"/>
      <c r="AO208" s="58"/>
      <c r="AP208" s="58"/>
      <c r="AQ208" s="58"/>
      <c r="AR208" s="58"/>
      <c r="AS208" s="58"/>
      <c r="AT208" s="58"/>
      <c r="AU208" s="58"/>
      <c r="AV208" s="58"/>
      <c r="AW208" s="58"/>
      <c r="AX208" s="58"/>
      <c r="AY208" s="58"/>
      <c r="AZ208" s="58"/>
      <c r="BA208" s="58"/>
      <c r="BB208" s="58"/>
      <c r="BC208" s="58"/>
      <c r="BD208" s="65"/>
      <c r="BE208" s="65"/>
      <c r="BF208" s="65"/>
      <c r="BG208" s="65"/>
      <c r="BH208" s="65"/>
      <c r="BI208" s="65"/>
      <c r="BJ208" s="65"/>
      <c r="BK208" s="63"/>
      <c r="BL208" s="63"/>
      <c r="BM208" s="63"/>
      <c r="BN208" s="63"/>
      <c r="BO208" s="63"/>
      <c r="BP208" s="63"/>
      <c r="BQ208" s="63"/>
      <c r="BR208" s="63"/>
    </row>
    <row r="209" spans="2:72" ht="12.75" customHeight="1">
      <c r="B209" s="68" t="s">
        <v>316</v>
      </c>
      <c r="P209" s="44"/>
      <c r="Q209" s="44"/>
      <c r="R209" s="26"/>
      <c r="BE209" s="24"/>
      <c r="BF209" s="34"/>
      <c r="BG209" s="34"/>
      <c r="BH209" s="34"/>
      <c r="BI209" s="34"/>
      <c r="BJ209" s="48"/>
      <c r="BK209" s="34"/>
      <c r="BL209" s="34"/>
      <c r="BM209" s="24"/>
      <c r="BN209" s="48"/>
      <c r="BO209" s="48"/>
      <c r="BP209" s="48"/>
      <c r="BQ209" s="48"/>
      <c r="BR209" s="48"/>
    </row>
    <row r="210" spans="2:72" ht="12.75" customHeight="1">
      <c r="B210" s="324" t="s">
        <v>324</v>
      </c>
      <c r="F210" s="69"/>
      <c r="G210" s="34"/>
      <c r="H210" s="34"/>
      <c r="I210" s="34"/>
      <c r="J210" s="34"/>
      <c r="K210" s="34"/>
      <c r="L210" s="34"/>
      <c r="M210" s="51">
        <f>SUM(AU210:AX210)</f>
        <v>172.5</v>
      </c>
      <c r="N210" s="51">
        <f>SUM(AY210:BB210)</f>
        <v>-61.8</v>
      </c>
      <c r="O210" s="51">
        <f>SUM(BC210:BF210)</f>
        <v>-26.2</v>
      </c>
      <c r="P210" s="51">
        <f>SUM(BG210:BJ210)</f>
        <v>19.7</v>
      </c>
      <c r="Q210" s="34">
        <f>SUM(BK210:BN210)</f>
        <v>-89.4</v>
      </c>
      <c r="R210" s="34">
        <f>SUM(BO210:BR210)</f>
        <v>0.30800000000000094</v>
      </c>
      <c r="S210" s="34">
        <f t="shared" ref="S210:T214" si="263">S219*R$195</f>
        <v>10.733520000000002</v>
      </c>
      <c r="T210" s="34">
        <f t="shared" si="263"/>
        <v>11.109193200000002</v>
      </c>
      <c r="U210" s="34">
        <f>U219*T$195</f>
        <v>11.498014961999999</v>
      </c>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00">
        <v>43.1</v>
      </c>
      <c r="AV210" s="300">
        <v>55.8</v>
      </c>
      <c r="AW210" s="300">
        <v>39.200000000000003</v>
      </c>
      <c r="AX210" s="300">
        <f>172.5-SUM(AU210:AW210)</f>
        <v>34.399999999999977</v>
      </c>
      <c r="AY210" s="300">
        <v>6.5</v>
      </c>
      <c r="AZ210" s="300">
        <v>-20.399999999999999</v>
      </c>
      <c r="BA210" s="300">
        <v>-9.3000000000000007</v>
      </c>
      <c r="BB210" s="300">
        <f>-61.8-SUM(AY210:BA210)</f>
        <v>-38.599999999999994</v>
      </c>
      <c r="BC210" s="300">
        <v>-23.1</v>
      </c>
      <c r="BD210" s="300">
        <v>6.1</v>
      </c>
      <c r="BE210" s="300">
        <v>-19.5</v>
      </c>
      <c r="BF210" s="300">
        <f>-26.2-SUM(BC210:BE210)</f>
        <v>10.3</v>
      </c>
      <c r="BG210" s="300">
        <v>11.8</v>
      </c>
      <c r="BH210" s="300">
        <v>-5.0999999999999996</v>
      </c>
      <c r="BI210" s="300">
        <v>15.4</v>
      </c>
      <c r="BJ210" s="300">
        <f>19.7-SUM(BG210:BI210)</f>
        <v>-2.4000000000000021</v>
      </c>
      <c r="BK210" s="300">
        <v>-28.7</v>
      </c>
      <c r="BL210" s="300">
        <v>-20.9</v>
      </c>
      <c r="BM210" s="300">
        <v>-30.2</v>
      </c>
      <c r="BN210" s="300">
        <f>-89.4-SUM(BK210:BM210)</f>
        <v>-9.6000000000000085</v>
      </c>
      <c r="BO210" s="318">
        <f t="shared" ref="BN210:BR214" si="264">BO219*BK$195</f>
        <v>-4.8779999999999992</v>
      </c>
      <c r="BP210" s="318">
        <f t="shared" si="264"/>
        <v>1.6940000000000002</v>
      </c>
      <c r="BQ210" s="318">
        <f t="shared" si="264"/>
        <v>1.8380000000000001</v>
      </c>
      <c r="BR210" s="318">
        <f t="shared" si="264"/>
        <v>1.6540000000000001</v>
      </c>
    </row>
    <row r="211" spans="2:72" ht="12.75" customHeight="1">
      <c r="B211" s="324" t="s">
        <v>325</v>
      </c>
      <c r="F211" s="69"/>
      <c r="G211" s="34"/>
      <c r="H211" s="34"/>
      <c r="I211" s="34"/>
      <c r="J211" s="34"/>
      <c r="K211" s="36"/>
      <c r="L211" s="36"/>
      <c r="M211" s="36">
        <f>SUM(AU211:AX211)</f>
        <v>-21.6</v>
      </c>
      <c r="N211" s="36">
        <f>SUM(AY211:BB211)</f>
        <v>0.7</v>
      </c>
      <c r="O211" s="36">
        <f>SUM(BC211:BF211)</f>
        <v>13.1</v>
      </c>
      <c r="P211" s="36">
        <f>SUM(BG211:BJ211)</f>
        <v>-2.6</v>
      </c>
      <c r="Q211" s="36">
        <f>SUM(BK211:BN211)</f>
        <v>41.399999999999991</v>
      </c>
      <c r="R211" s="36">
        <f>SUM(BO211:BR211)</f>
        <v>34.06</v>
      </c>
      <c r="S211" s="36">
        <f t="shared" si="263"/>
        <v>14.311360000000004</v>
      </c>
      <c r="T211" s="36">
        <f t="shared" si="263"/>
        <v>14.812257600000002</v>
      </c>
      <c r="U211" s="36">
        <f>U220*T$195</f>
        <v>15.330686616000001</v>
      </c>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40">
        <v>-5.4</v>
      </c>
      <c r="AV211" s="40">
        <v>-9</v>
      </c>
      <c r="AW211" s="40">
        <v>2.5</v>
      </c>
      <c r="AX211" s="40">
        <f>-21.6-SUM(AU211:AW211)</f>
        <v>-9.7000000000000011</v>
      </c>
      <c r="AY211" s="40">
        <v>0.5</v>
      </c>
      <c r="AZ211" s="40">
        <v>1.7</v>
      </c>
      <c r="BA211" s="40">
        <v>-0.5</v>
      </c>
      <c r="BB211" s="40">
        <f>0.7-SUM(AY211:BA211)</f>
        <v>-1.0000000000000002</v>
      </c>
      <c r="BC211" s="40">
        <v>2.8</v>
      </c>
      <c r="BD211" s="40">
        <v>5</v>
      </c>
      <c r="BE211" s="285">
        <f>(BE195-BA195)-SUM(BE210,BE212:BE214)</f>
        <v>-0.19999999999998508</v>
      </c>
      <c r="BF211" s="40">
        <f>13.1-SUM(BC211:BE211)</f>
        <v>5.4999999999999849</v>
      </c>
      <c r="BG211" s="40">
        <v>-4.9000000000000004</v>
      </c>
      <c r="BH211" s="40">
        <v>-5.9</v>
      </c>
      <c r="BI211" s="40">
        <v>5</v>
      </c>
      <c r="BJ211" s="40">
        <f>-2.6-SUM(BG211:BI211)</f>
        <v>3.2000000000000006</v>
      </c>
      <c r="BK211" s="40">
        <v>6.4</v>
      </c>
      <c r="BL211" s="40">
        <v>10.6</v>
      </c>
      <c r="BM211" s="40">
        <v>10.8</v>
      </c>
      <c r="BN211" s="40">
        <f>41.3-SUM(BK211:BM212)</f>
        <v>13.599999999999994</v>
      </c>
      <c r="BO211" s="285">
        <f t="shared" si="264"/>
        <v>8.1300000000000008</v>
      </c>
      <c r="BP211" s="285">
        <f t="shared" si="264"/>
        <v>8.4700000000000006</v>
      </c>
      <c r="BQ211" s="285">
        <f t="shared" si="264"/>
        <v>9.1900000000000013</v>
      </c>
      <c r="BR211" s="285">
        <f t="shared" si="264"/>
        <v>8.2700000000000014</v>
      </c>
    </row>
    <row r="212" spans="2:72" ht="12.75" customHeight="1">
      <c r="B212" s="324" t="s">
        <v>326</v>
      </c>
      <c r="F212" s="69"/>
      <c r="G212" s="34"/>
      <c r="H212" s="34"/>
      <c r="I212" s="34"/>
      <c r="J212" s="34"/>
      <c r="K212" s="36"/>
      <c r="L212" s="36"/>
      <c r="M212" s="36">
        <f>SUM(AU212:AX212)</f>
        <v>12.1</v>
      </c>
      <c r="N212" s="36">
        <f>SUM(AY212:BB212)</f>
        <v>7.7</v>
      </c>
      <c r="O212" s="36">
        <f>SUM(BC212:BF212)</f>
        <v>-12.7</v>
      </c>
      <c r="P212" s="36">
        <f>SUM(BG212:BJ212)</f>
        <v>1.2999999999999998</v>
      </c>
      <c r="Q212" s="36">
        <f ca="1">SUM(BK212:BN212)</f>
        <v>-9.9999999999995426E-2</v>
      </c>
      <c r="R212" s="36">
        <f>SUM(BO212:BR212)</f>
        <v>0</v>
      </c>
      <c r="S212" s="36">
        <f t="shared" si="263"/>
        <v>0</v>
      </c>
      <c r="T212" s="36">
        <f t="shared" si="263"/>
        <v>0</v>
      </c>
      <c r="U212" s="36">
        <f>U221*T$195</f>
        <v>0</v>
      </c>
      <c r="V212" s="36"/>
      <c r="W212" s="36"/>
      <c r="X212" s="36"/>
      <c r="Y212" s="36"/>
      <c r="Z212" s="36"/>
      <c r="AA212" s="36"/>
      <c r="AB212" s="36"/>
      <c r="AC212" s="36"/>
      <c r="AD212" s="36"/>
      <c r="AE212" s="36"/>
      <c r="AF212" s="36"/>
      <c r="AG212" s="36"/>
      <c r="AH212" s="36"/>
      <c r="AI212" s="36"/>
      <c r="AJ212" s="36"/>
      <c r="AK212" s="36"/>
      <c r="AL212" s="36"/>
      <c r="AM212" s="36"/>
      <c r="AN212" s="36"/>
      <c r="AO212" s="36"/>
      <c r="AP212" s="36"/>
      <c r="AQ212" s="36"/>
      <c r="AR212" s="36"/>
      <c r="AS212" s="36"/>
      <c r="AT212" s="36"/>
      <c r="AU212" s="40">
        <v>3.7</v>
      </c>
      <c r="AV212" s="40">
        <v>5.0999999999999996</v>
      </c>
      <c r="AW212" s="40">
        <v>4</v>
      </c>
      <c r="AX212" s="40">
        <f>12.1-SUM(AU212:AW212)</f>
        <v>-0.70000000000000107</v>
      </c>
      <c r="AY212" s="40">
        <v>1.3</v>
      </c>
      <c r="AZ212" s="40">
        <v>-1.2</v>
      </c>
      <c r="BA212" s="40">
        <v>3.8</v>
      </c>
      <c r="BB212" s="40">
        <f>7.7-SUM(AY212:BA212)</f>
        <v>3.8000000000000003</v>
      </c>
      <c r="BC212" s="40">
        <v>-1.5</v>
      </c>
      <c r="BD212" s="40">
        <v>1.5</v>
      </c>
      <c r="BE212" s="40">
        <v>-7.2</v>
      </c>
      <c r="BF212" s="40">
        <f>-12.7-SUM(BC212:BE212)</f>
        <v>-5.4999999999999991</v>
      </c>
      <c r="BG212" s="40">
        <v>-2.6</v>
      </c>
      <c r="BH212" s="40">
        <v>-1.9</v>
      </c>
      <c r="BI212" s="40">
        <v>1</v>
      </c>
      <c r="BJ212" s="40">
        <f>1.3-SUM(BG212:BI212)</f>
        <v>4.8</v>
      </c>
      <c r="BK212" s="40">
        <v>1.2</v>
      </c>
      <c r="BL212" s="285">
        <f>(BL195-BH195)-SUM(BL210:BL211)</f>
        <v>-1.2999999999999954</v>
      </c>
      <c r="BM212" s="40">
        <v>0</v>
      </c>
      <c r="BN212" s="40">
        <f t="shared" ca="1" si="264"/>
        <v>0</v>
      </c>
      <c r="BO212" s="285">
        <f t="shared" si="264"/>
        <v>0</v>
      </c>
      <c r="BP212" s="285">
        <f t="shared" si="264"/>
        <v>0</v>
      </c>
      <c r="BQ212" s="285">
        <f t="shared" si="264"/>
        <v>0</v>
      </c>
      <c r="BR212" s="285">
        <f t="shared" si="264"/>
        <v>0</v>
      </c>
    </row>
    <row r="213" spans="2:72" ht="12.75" customHeight="1">
      <c r="B213" s="324" t="s">
        <v>332</v>
      </c>
      <c r="F213" s="69"/>
      <c r="G213" s="34"/>
      <c r="H213" s="34"/>
      <c r="I213" s="34"/>
      <c r="J213" s="34"/>
      <c r="K213" s="36"/>
      <c r="L213" s="36"/>
      <c r="M213" s="36">
        <f>SUM(AU213:AX213)</f>
        <v>-3.7</v>
      </c>
      <c r="N213" s="36">
        <f>SUM(AY213:BB213)</f>
        <v>11.8</v>
      </c>
      <c r="O213" s="36">
        <f>SUM(BC213:BF213)</f>
        <v>0</v>
      </c>
      <c r="P213" s="36">
        <f>SUM(BG213:BJ213)</f>
        <v>0</v>
      </c>
      <c r="Q213" s="36">
        <f ca="1">SUM(BK213:BN213)</f>
        <v>0</v>
      </c>
      <c r="R213" s="36">
        <f>SUM(BO213:BR213)</f>
        <v>0</v>
      </c>
      <c r="S213" s="36">
        <f t="shared" si="263"/>
        <v>0</v>
      </c>
      <c r="T213" s="36">
        <f t="shared" si="263"/>
        <v>0</v>
      </c>
      <c r="U213" s="36">
        <f>U222*T$195</f>
        <v>0</v>
      </c>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40">
        <v>-1</v>
      </c>
      <c r="AV213" s="40">
        <v>0.7</v>
      </c>
      <c r="AW213" s="40">
        <v>-1.8</v>
      </c>
      <c r="AX213" s="40">
        <f>-3.7-SUM(AU213:AW213)</f>
        <v>-1.6</v>
      </c>
      <c r="AY213" s="40">
        <v>3.8</v>
      </c>
      <c r="AZ213" s="40">
        <v>2.4</v>
      </c>
      <c r="BA213" s="40">
        <v>1.7</v>
      </c>
      <c r="BB213" s="40">
        <f>11.8-SUM(AY213:BA213)</f>
        <v>3.9000000000000012</v>
      </c>
      <c r="BC213" s="40">
        <v>0.7</v>
      </c>
      <c r="BD213" s="40">
        <v>0</v>
      </c>
      <c r="BE213" s="40">
        <v>0</v>
      </c>
      <c r="BF213" s="40">
        <f>0-SUM(BC213:BE213)</f>
        <v>-0.7</v>
      </c>
      <c r="BG213" s="40">
        <v>0</v>
      </c>
      <c r="BH213" s="40">
        <v>0</v>
      </c>
      <c r="BI213" s="40">
        <v>0</v>
      </c>
      <c r="BJ213" s="40">
        <v>0</v>
      </c>
      <c r="BK213" s="40">
        <v>0</v>
      </c>
      <c r="BL213" s="40">
        <v>0</v>
      </c>
      <c r="BM213" s="40">
        <v>0</v>
      </c>
      <c r="BN213" s="40">
        <f t="shared" ca="1" si="264"/>
        <v>0</v>
      </c>
      <c r="BO213" s="285">
        <f t="shared" si="264"/>
        <v>0</v>
      </c>
      <c r="BP213" s="285">
        <f t="shared" si="264"/>
        <v>0</v>
      </c>
      <c r="BQ213" s="285">
        <f t="shared" si="264"/>
        <v>0</v>
      </c>
      <c r="BR213" s="285">
        <f t="shared" si="264"/>
        <v>0</v>
      </c>
    </row>
    <row r="214" spans="2:72" ht="12.75" customHeight="1">
      <c r="B214" s="324" t="s">
        <v>331</v>
      </c>
      <c r="F214" s="69"/>
      <c r="G214" s="34"/>
      <c r="H214" s="34"/>
      <c r="I214" s="34"/>
      <c r="J214" s="34"/>
      <c r="K214" s="36"/>
      <c r="L214" s="36"/>
      <c r="M214" s="36">
        <f>SUM(AU214:AX214)</f>
        <v>0.69999999999999574</v>
      </c>
      <c r="N214" s="36">
        <f>SUM(AY214:BB214)</f>
        <v>2.4</v>
      </c>
      <c r="O214" s="36">
        <f>SUM(BC214:BF214)</f>
        <v>-1.2</v>
      </c>
      <c r="P214" s="36">
        <f>SUM(BG214:BJ214)</f>
        <v>-0.5</v>
      </c>
      <c r="Q214" s="36">
        <f ca="1">SUM(BK214:BN214)</f>
        <v>0</v>
      </c>
      <c r="R214" s="36">
        <f>SUM(BO214:BR214)</f>
        <v>0</v>
      </c>
      <c r="S214" s="36">
        <f t="shared" si="263"/>
        <v>0</v>
      </c>
      <c r="T214" s="36">
        <f t="shared" si="263"/>
        <v>0</v>
      </c>
      <c r="U214" s="36">
        <f>U223*T$195</f>
        <v>0</v>
      </c>
      <c r="V214" s="36"/>
      <c r="W214" s="36"/>
      <c r="X214" s="36"/>
      <c r="Y214" s="36"/>
      <c r="Z214" s="36"/>
      <c r="AA214" s="36"/>
      <c r="AB214" s="36"/>
      <c r="AC214" s="36"/>
      <c r="AD214" s="36"/>
      <c r="AE214" s="36"/>
      <c r="AF214" s="36"/>
      <c r="AG214" s="36"/>
      <c r="AH214" s="36"/>
      <c r="AI214" s="36"/>
      <c r="AJ214" s="36"/>
      <c r="AK214" s="36"/>
      <c r="AL214" s="36"/>
      <c r="AM214" s="36"/>
      <c r="AN214" s="36"/>
      <c r="AO214" s="36"/>
      <c r="AP214" s="36"/>
      <c r="AQ214" s="36"/>
      <c r="AR214" s="36"/>
      <c r="AS214" s="36"/>
      <c r="AT214" s="36"/>
      <c r="AU214" s="285">
        <f>(AU$195-AQ$195)-SUM(AU210:AU213)</f>
        <v>9.9999999999994316E-2</v>
      </c>
      <c r="AV214" s="40">
        <v>0</v>
      </c>
      <c r="AW214" s="285">
        <f>(AW$195-AS$195)-SUM(AW210:AW213)</f>
        <v>0.39999999999997726</v>
      </c>
      <c r="AX214" s="285">
        <f>(AX$195-AT$195)-SUM(AX210:AX213)</f>
        <v>0.20000000000002416</v>
      </c>
      <c r="AY214" s="285">
        <f>(AY$195-AU$195)-SUM(AY210:AY213)</f>
        <v>0.49999999999999289</v>
      </c>
      <c r="AZ214" s="285">
        <f>(AZ$195-AV$195)-SUM(AZ210:AZ213)</f>
        <v>0.40000000000000568</v>
      </c>
      <c r="BA214" s="40">
        <v>0.8</v>
      </c>
      <c r="BB214" s="40">
        <f>2.4-SUM(AY214:BA214)</f>
        <v>0.70000000000000129</v>
      </c>
      <c r="BC214" s="40">
        <v>-0.8</v>
      </c>
      <c r="BD214" s="40">
        <v>0.6</v>
      </c>
      <c r="BE214" s="40">
        <v>-0.9</v>
      </c>
      <c r="BF214" s="40">
        <f>-1.2-SUM(BC214:BE214)</f>
        <v>-9.9999999999999867E-2</v>
      </c>
      <c r="BG214" s="40">
        <v>0.7</v>
      </c>
      <c r="BH214" s="36">
        <f>BH195-BD195-SUM(BH210:BH213)</f>
        <v>-0.29999999999998828</v>
      </c>
      <c r="BI214" s="40">
        <v>0</v>
      </c>
      <c r="BJ214" s="40">
        <f>-0.5-SUM(BG214:BI214)</f>
        <v>-0.90000000000001168</v>
      </c>
      <c r="BK214" s="40">
        <v>0</v>
      </c>
      <c r="BL214" s="40">
        <v>0</v>
      </c>
      <c r="BM214" s="40">
        <v>0</v>
      </c>
      <c r="BN214" s="40">
        <f t="shared" ca="1" si="264"/>
        <v>0</v>
      </c>
      <c r="BO214" s="285">
        <f t="shared" si="264"/>
        <v>0</v>
      </c>
      <c r="BP214" s="285">
        <f t="shared" si="264"/>
        <v>0</v>
      </c>
      <c r="BQ214" s="285">
        <f t="shared" si="264"/>
        <v>0</v>
      </c>
      <c r="BR214" s="285">
        <f t="shared" si="264"/>
        <v>0</v>
      </c>
    </row>
    <row r="215" spans="2:72" ht="12.75" customHeight="1">
      <c r="B215" s="184" t="s">
        <v>380</v>
      </c>
      <c r="F215" s="69"/>
      <c r="G215" s="60"/>
      <c r="H215" s="60"/>
      <c r="I215" s="60"/>
      <c r="J215" s="60"/>
      <c r="K215" s="60"/>
      <c r="L215" s="60"/>
      <c r="M215" s="60">
        <f t="shared" ref="M215:T215" si="265">SUM(M210:M214)</f>
        <v>160</v>
      </c>
      <c r="N215" s="60">
        <f t="shared" si="265"/>
        <v>-39.199999999999996</v>
      </c>
      <c r="O215" s="60">
        <f t="shared" si="265"/>
        <v>-26.999999999999996</v>
      </c>
      <c r="P215" s="60">
        <f t="shared" si="265"/>
        <v>17.899999999999999</v>
      </c>
      <c r="Q215" s="60">
        <f t="shared" ca="1" si="265"/>
        <v>-48.100000000000009</v>
      </c>
      <c r="R215" s="60">
        <f t="shared" si="265"/>
        <v>34.368000000000002</v>
      </c>
      <c r="S215" s="60">
        <f t="shared" si="265"/>
        <v>25.044880000000006</v>
      </c>
      <c r="T215" s="60">
        <f t="shared" si="265"/>
        <v>25.921450800000002</v>
      </c>
      <c r="U215" s="60">
        <f>SUM(U210:U214)</f>
        <v>26.828701578</v>
      </c>
      <c r="V215" s="34"/>
      <c r="W215" s="60"/>
      <c r="X215" s="60"/>
      <c r="Y215" s="60"/>
      <c r="Z215" s="60"/>
      <c r="AA215" s="60"/>
      <c r="AB215" s="60"/>
      <c r="AC215" s="60"/>
      <c r="AD215" s="60"/>
      <c r="AE215" s="60"/>
      <c r="AF215" s="60"/>
      <c r="AG215" s="60"/>
      <c r="AH215" s="60"/>
      <c r="AI215" s="60"/>
      <c r="AJ215" s="60"/>
      <c r="AK215" s="60"/>
      <c r="AL215" s="60"/>
      <c r="AM215" s="60"/>
      <c r="AN215" s="60"/>
      <c r="AO215" s="60"/>
      <c r="AP215" s="60"/>
      <c r="AQ215" s="60"/>
      <c r="AR215" s="60"/>
      <c r="AS215" s="60"/>
      <c r="AT215" s="60"/>
      <c r="AU215" s="60">
        <f t="shared" ref="AU215:BN215" si="266">SUM(AU210:AU214)</f>
        <v>40.5</v>
      </c>
      <c r="AV215" s="60">
        <f t="shared" si="266"/>
        <v>52.6</v>
      </c>
      <c r="AW215" s="60">
        <f t="shared" si="266"/>
        <v>44.299999999999983</v>
      </c>
      <c r="AX215" s="60">
        <f t="shared" si="266"/>
        <v>22.599999999999994</v>
      </c>
      <c r="AY215" s="60">
        <f t="shared" si="266"/>
        <v>12.599999999999994</v>
      </c>
      <c r="AZ215" s="60">
        <f t="shared" si="266"/>
        <v>-17.099999999999994</v>
      </c>
      <c r="BA215" s="60">
        <f t="shared" si="266"/>
        <v>-3.5000000000000009</v>
      </c>
      <c r="BB215" s="60">
        <f t="shared" si="266"/>
        <v>-31.199999999999992</v>
      </c>
      <c r="BC215" s="60">
        <f t="shared" si="266"/>
        <v>-21.900000000000002</v>
      </c>
      <c r="BD215" s="60">
        <f t="shared" si="266"/>
        <v>13.2</v>
      </c>
      <c r="BE215" s="60">
        <f>SUM(BE210:BE214)</f>
        <v>-27.799999999999983</v>
      </c>
      <c r="BF215" s="60">
        <f t="shared" si="266"/>
        <v>9.4999999999999876</v>
      </c>
      <c r="BG215" s="60">
        <f t="shared" si="266"/>
        <v>5.0000000000000009</v>
      </c>
      <c r="BH215" s="60">
        <f t="shared" si="266"/>
        <v>-13.199999999999989</v>
      </c>
      <c r="BI215" s="60">
        <f t="shared" si="266"/>
        <v>21.4</v>
      </c>
      <c r="BJ215" s="60">
        <f t="shared" si="266"/>
        <v>4.699999999999986</v>
      </c>
      <c r="BK215" s="60">
        <f t="shared" si="266"/>
        <v>-21.099999999999998</v>
      </c>
      <c r="BL215" s="60">
        <f t="shared" si="266"/>
        <v>-11.599999999999994</v>
      </c>
      <c r="BM215" s="60">
        <f t="shared" si="266"/>
        <v>-19.399999999999999</v>
      </c>
      <c r="BN215" s="60">
        <f t="shared" ca="1" si="266"/>
        <v>3.9999999999999858</v>
      </c>
      <c r="BO215" s="60">
        <f>SUM(BO210:BO214)</f>
        <v>3.2520000000000016</v>
      </c>
      <c r="BP215" s="60">
        <f>SUM(BP210:BP214)</f>
        <v>10.164000000000001</v>
      </c>
      <c r="BQ215" s="60">
        <f>SUM(BQ210:BQ214)</f>
        <v>11.028000000000002</v>
      </c>
      <c r="BR215" s="60">
        <f>SUM(BR210:BR214)</f>
        <v>9.9240000000000013</v>
      </c>
    </row>
    <row r="216" spans="2:72" s="73" customFormat="1" ht="12.75" customHeight="1">
      <c r="B216" s="364" t="s">
        <v>122</v>
      </c>
      <c r="F216" s="298"/>
      <c r="G216" s="365"/>
      <c r="H216" s="365"/>
      <c r="I216" s="365"/>
      <c r="J216" s="365"/>
      <c r="K216" s="365"/>
      <c r="L216" s="365"/>
      <c r="M216" s="366">
        <f t="shared" ref="M216:U216" si="267">M215-(M195-L195)</f>
        <v>0</v>
      </c>
      <c r="N216" s="366">
        <f t="shared" si="267"/>
        <v>-6.3948846218409017E-14</v>
      </c>
      <c r="O216" s="366">
        <f t="shared" si="267"/>
        <v>0</v>
      </c>
      <c r="P216" s="366">
        <f t="shared" si="267"/>
        <v>1.3500311979441904E-13</v>
      </c>
      <c r="Q216" s="366">
        <f t="shared" ca="1" si="267"/>
        <v>0</v>
      </c>
      <c r="R216" s="366">
        <f t="shared" si="267"/>
        <v>-2.7711166694643907E-13</v>
      </c>
      <c r="S216" s="366">
        <f t="shared" si="267"/>
        <v>8.5265128291212022E-14</v>
      </c>
      <c r="T216" s="366">
        <f t="shared" si="267"/>
        <v>1.1368683772161603E-13</v>
      </c>
      <c r="U216" s="366">
        <f t="shared" si="267"/>
        <v>6.3948846218409017E-14</v>
      </c>
      <c r="V216" s="367"/>
      <c r="W216" s="365"/>
      <c r="X216" s="365"/>
      <c r="Y216" s="365"/>
      <c r="Z216" s="365"/>
      <c r="AA216" s="365"/>
      <c r="AB216" s="365"/>
      <c r="AC216" s="365"/>
      <c r="AD216" s="365"/>
      <c r="AE216" s="365"/>
      <c r="AF216" s="365"/>
      <c r="AG216" s="365"/>
      <c r="AH216" s="365"/>
      <c r="AI216" s="365"/>
      <c r="AJ216" s="365"/>
      <c r="AK216" s="365"/>
      <c r="AL216" s="365"/>
      <c r="AM216" s="365"/>
      <c r="AN216" s="365"/>
      <c r="AO216" s="365"/>
      <c r="AP216" s="365"/>
      <c r="AQ216" s="365"/>
      <c r="AR216" s="365"/>
      <c r="AS216" s="365"/>
      <c r="AT216" s="365"/>
      <c r="AU216" s="366">
        <f t="shared" ref="AU216:BN216" si="268">AU215-(AU195-AQ195)</f>
        <v>0</v>
      </c>
      <c r="AV216" s="366">
        <f t="shared" si="268"/>
        <v>0</v>
      </c>
      <c r="AW216" s="366">
        <f t="shared" si="268"/>
        <v>0</v>
      </c>
      <c r="AX216" s="366">
        <f t="shared" si="268"/>
        <v>0</v>
      </c>
      <c r="AY216" s="366">
        <f t="shared" si="268"/>
        <v>0</v>
      </c>
      <c r="AZ216" s="366">
        <f t="shared" si="268"/>
        <v>0</v>
      </c>
      <c r="BA216" s="366">
        <f t="shared" si="268"/>
        <v>0</v>
      </c>
      <c r="BB216" s="366">
        <f t="shared" si="268"/>
        <v>0</v>
      </c>
      <c r="BC216" s="366">
        <f t="shared" si="268"/>
        <v>0</v>
      </c>
      <c r="BD216" s="366">
        <f t="shared" si="268"/>
        <v>0</v>
      </c>
      <c r="BE216" s="366">
        <f t="shared" si="268"/>
        <v>0</v>
      </c>
      <c r="BF216" s="366">
        <f t="shared" si="268"/>
        <v>0</v>
      </c>
      <c r="BG216" s="366">
        <f t="shared" si="268"/>
        <v>0</v>
      </c>
      <c r="BH216" s="366">
        <f t="shared" si="268"/>
        <v>0</v>
      </c>
      <c r="BI216" s="366">
        <f t="shared" si="268"/>
        <v>0</v>
      </c>
      <c r="BJ216" s="366">
        <f t="shared" si="268"/>
        <v>-3.1086244689504383E-14</v>
      </c>
      <c r="BK216" s="366">
        <f t="shared" si="268"/>
        <v>0</v>
      </c>
      <c r="BL216" s="366">
        <f t="shared" si="268"/>
        <v>0</v>
      </c>
      <c r="BM216" s="366">
        <f t="shared" si="268"/>
        <v>0</v>
      </c>
      <c r="BN216" s="366">
        <f t="shared" ca="1" si="268"/>
        <v>-1.4210854715202004E-14</v>
      </c>
      <c r="BO216" s="366">
        <f>BO215-(BO195-BK195)</f>
        <v>-7.9936057773011271E-15</v>
      </c>
      <c r="BP216" s="366">
        <f>BP215-(BP195-BL195)</f>
        <v>-1.4210854715202004E-14</v>
      </c>
      <c r="BQ216" s="366">
        <f>BQ215-(BQ195-BM195)</f>
        <v>-1.7763568394002505E-14</v>
      </c>
      <c r="BR216" s="366">
        <f>BR215-(BR195-BN195)</f>
        <v>0</v>
      </c>
    </row>
    <row r="217" spans="2:72" ht="12.75" customHeight="1">
      <c r="B217" s="68"/>
      <c r="P217" s="44"/>
      <c r="Q217" s="44"/>
      <c r="R217" s="26"/>
      <c r="BE217" s="24"/>
      <c r="BF217" s="24"/>
      <c r="BG217" s="24"/>
      <c r="BH217" s="24"/>
      <c r="BI217" s="24"/>
      <c r="BJ217" s="48"/>
      <c r="BK217" s="24"/>
      <c r="BL217" s="24"/>
      <c r="BM217" s="24"/>
      <c r="BN217" s="48"/>
      <c r="BO217" s="48"/>
      <c r="BP217" s="48"/>
      <c r="BQ217" s="48"/>
      <c r="BR217" s="48"/>
    </row>
    <row r="218" spans="2:72" ht="12.75" customHeight="1">
      <c r="B218" s="68" t="s">
        <v>330</v>
      </c>
      <c r="P218" s="44"/>
      <c r="BJ218" s="48"/>
      <c r="BK218" s="76"/>
      <c r="BL218" s="76"/>
      <c r="BM218" s="76"/>
      <c r="BN218" s="76"/>
      <c r="BO218" s="76"/>
      <c r="BP218" s="48"/>
      <c r="BQ218" s="48"/>
      <c r="BR218" s="48"/>
      <c r="BS218" s="48"/>
      <c r="BT218" s="48"/>
    </row>
    <row r="219" spans="2:72" ht="12.75" customHeight="1">
      <c r="B219" s="324" t="s">
        <v>324</v>
      </c>
      <c r="G219" s="48"/>
      <c r="H219" s="48"/>
      <c r="I219" s="48"/>
      <c r="J219" s="48"/>
      <c r="K219" s="48"/>
      <c r="L219" s="48"/>
      <c r="M219" s="370">
        <f t="shared" ref="M219:N224" si="269">M210/L$195</f>
        <v>0.27930699481865284</v>
      </c>
      <c r="N219" s="370">
        <f t="shared" si="269"/>
        <v>-7.9475308641975301E-2</v>
      </c>
      <c r="O219" s="370">
        <v>0.06</v>
      </c>
      <c r="P219" s="370">
        <f t="shared" ref="P219:R224" si="270">P210/O$195</f>
        <v>2.7691875175709865E-2</v>
      </c>
      <c r="Q219" s="370">
        <f t="shared" si="270"/>
        <v>-0.1225832990538873</v>
      </c>
      <c r="R219" s="370">
        <f t="shared" si="270"/>
        <v>4.5214327657075893E-4</v>
      </c>
      <c r="S219" s="371">
        <v>1.4999999999999999E-2</v>
      </c>
      <c r="T219" s="371">
        <v>1.4999999999999999E-2</v>
      </c>
      <c r="U219" s="371">
        <v>1.4999999999999999E-2</v>
      </c>
      <c r="V219" s="48"/>
      <c r="W219" s="48"/>
      <c r="X219" s="48"/>
      <c r="Y219" s="48"/>
      <c r="Z219" s="48"/>
      <c r="AA219" s="48"/>
      <c r="AB219" s="48"/>
      <c r="AC219" s="48"/>
      <c r="AD219" s="48"/>
      <c r="AE219" s="48"/>
      <c r="AF219" s="48"/>
      <c r="AG219" s="48"/>
      <c r="AH219" s="371"/>
      <c r="AI219" s="371"/>
      <c r="AJ219" s="371"/>
      <c r="AK219" s="371"/>
      <c r="AL219" s="371"/>
      <c r="AM219" s="371"/>
      <c r="AN219" s="371"/>
      <c r="AO219" s="371"/>
      <c r="AP219" s="371"/>
      <c r="AQ219" s="371"/>
      <c r="AR219" s="371"/>
      <c r="AS219" s="371"/>
      <c r="AT219" s="371"/>
      <c r="AU219" s="370">
        <f t="shared" ref="AU219:AU224" si="271">AU210/AQ$195</f>
        <v>0.29220338983050848</v>
      </c>
      <c r="AV219" s="370">
        <f t="shared" ref="AV219:BN223" si="272">AV210/AR$195</f>
        <v>0.38350515463917523</v>
      </c>
      <c r="AW219" s="370">
        <f t="shared" si="272"/>
        <v>0.23222748815165878</v>
      </c>
      <c r="AX219" s="370">
        <f t="shared" si="272"/>
        <v>0.22079589216944784</v>
      </c>
      <c r="AY219" s="370">
        <f t="shared" si="272"/>
        <v>3.4574468085106384E-2</v>
      </c>
      <c r="AZ219" s="370">
        <f t="shared" si="272"/>
        <v>-0.10297829379101464</v>
      </c>
      <c r="BA219" s="370">
        <f t="shared" si="272"/>
        <v>-4.3641482871891138E-2</v>
      </c>
      <c r="BB219" s="370">
        <f t="shared" si="272"/>
        <v>-0.21636771300448426</v>
      </c>
      <c r="BC219" s="370">
        <f t="shared" si="272"/>
        <v>-0.11515453639082752</v>
      </c>
      <c r="BD219" s="370">
        <f t="shared" si="272"/>
        <v>3.3701657458563537E-2</v>
      </c>
      <c r="BE219" s="370">
        <f t="shared" si="272"/>
        <v>-9.3034351145038177E-2</v>
      </c>
      <c r="BF219" s="370">
        <f t="shared" si="272"/>
        <v>6.9972826086956527E-2</v>
      </c>
      <c r="BG219" s="370">
        <f t="shared" si="272"/>
        <v>6.603245663122552E-2</v>
      </c>
      <c r="BH219" s="370">
        <f t="shared" si="272"/>
        <v>-2.6261585993820804E-2</v>
      </c>
      <c r="BI219" s="370">
        <f t="shared" si="272"/>
        <v>8.4708470847084702E-2</v>
      </c>
      <c r="BJ219" s="370">
        <f t="shared" si="272"/>
        <v>-1.5315890236119989E-2</v>
      </c>
      <c r="BK219" s="370">
        <f t="shared" si="272"/>
        <v>-0.15623298856831791</v>
      </c>
      <c r="BL219" s="370">
        <f>BL210/BH$195</f>
        <v>-0.11546961325966849</v>
      </c>
      <c r="BM219" s="370">
        <f>BM210/BI$195</f>
        <v>-0.1486220472440945</v>
      </c>
      <c r="BN219" s="370">
        <f>BN210/BJ$195</f>
        <v>-5.9479553903345778E-2</v>
      </c>
      <c r="BO219" s="371">
        <v>-0.03</v>
      </c>
      <c r="BP219" s="371">
        <v>0.01</v>
      </c>
      <c r="BQ219" s="371">
        <v>0.01</v>
      </c>
      <c r="BR219" s="371">
        <v>0.01</v>
      </c>
    </row>
    <row r="220" spans="2:72" ht="12.75" customHeight="1">
      <c r="B220" s="324" t="s">
        <v>325</v>
      </c>
      <c r="G220" s="48"/>
      <c r="H220" s="48"/>
      <c r="I220" s="48"/>
      <c r="J220" s="48"/>
      <c r="K220" s="48"/>
      <c r="L220" s="48"/>
      <c r="M220" s="370">
        <f t="shared" si="269"/>
        <v>-3.4974093264248704E-2</v>
      </c>
      <c r="N220" s="370">
        <f t="shared" si="269"/>
        <v>9.0020576131687234E-4</v>
      </c>
      <c r="O220" s="370">
        <f>O211/N$195</f>
        <v>1.774106175514626E-2</v>
      </c>
      <c r="P220" s="370">
        <f t="shared" si="270"/>
        <v>-3.6547652516165305E-3</v>
      </c>
      <c r="Q220" s="370">
        <f t="shared" si="270"/>
        <v>5.6766762649115579E-2</v>
      </c>
      <c r="R220" s="370">
        <f t="shared" si="270"/>
        <v>5.000000000000001E-2</v>
      </c>
      <c r="S220" s="371">
        <v>0.02</v>
      </c>
      <c r="T220" s="371">
        <v>0.02</v>
      </c>
      <c r="U220" s="371">
        <v>0.02</v>
      </c>
      <c r="V220" s="48"/>
      <c r="W220" s="48"/>
      <c r="X220" s="48"/>
      <c r="Y220" s="48"/>
      <c r="Z220" s="48"/>
      <c r="AA220" s="48"/>
      <c r="AB220" s="48"/>
      <c r="AC220" s="48"/>
      <c r="AD220" s="48"/>
      <c r="AE220" s="48"/>
      <c r="AF220" s="48"/>
      <c r="AG220" s="48"/>
      <c r="AH220" s="371"/>
      <c r="AI220" s="371"/>
      <c r="AJ220" s="371"/>
      <c r="AK220" s="371"/>
      <c r="AL220" s="371"/>
      <c r="AM220" s="371"/>
      <c r="AN220" s="371"/>
      <c r="AO220" s="371"/>
      <c r="AP220" s="371"/>
      <c r="AQ220" s="371"/>
      <c r="AR220" s="371"/>
      <c r="AS220" s="371"/>
      <c r="AT220" s="371"/>
      <c r="AU220" s="370">
        <f t="shared" si="271"/>
        <v>-3.6610169491525429E-2</v>
      </c>
      <c r="AV220" s="370">
        <f t="shared" si="272"/>
        <v>-6.1855670103092786E-2</v>
      </c>
      <c r="AW220" s="370">
        <f t="shared" si="272"/>
        <v>1.4810426540284359E-2</v>
      </c>
      <c r="AX220" s="370">
        <f t="shared" si="272"/>
        <v>-6.2259306803594351E-2</v>
      </c>
      <c r="AY220" s="370">
        <f t="shared" si="272"/>
        <v>2.6595744680851063E-3</v>
      </c>
      <c r="AZ220" s="370">
        <f t="shared" si="272"/>
        <v>8.581524482584554E-3</v>
      </c>
      <c r="BA220" s="370">
        <f t="shared" si="272"/>
        <v>-2.346316283435007E-3</v>
      </c>
      <c r="BB220" s="370">
        <f t="shared" si="272"/>
        <v>-5.6053811659192839E-3</v>
      </c>
      <c r="BC220" s="370">
        <f t="shared" si="272"/>
        <v>1.3958125623130608E-2</v>
      </c>
      <c r="BD220" s="370">
        <f t="shared" si="272"/>
        <v>2.7624309392265192E-2</v>
      </c>
      <c r="BE220" s="370">
        <f t="shared" si="272"/>
        <v>-9.5419847328237159E-4</v>
      </c>
      <c r="BF220" s="370">
        <f t="shared" si="272"/>
        <v>3.7364130434782511E-2</v>
      </c>
      <c r="BG220" s="370">
        <f t="shared" si="272"/>
        <v>-2.7420257414661448E-2</v>
      </c>
      <c r="BH220" s="370">
        <f t="shared" si="272"/>
        <v>-3.0381050463439755E-2</v>
      </c>
      <c r="BI220" s="370">
        <f t="shared" si="272"/>
        <v>2.75027502750275E-2</v>
      </c>
      <c r="BJ220" s="370">
        <f t="shared" si="272"/>
        <v>2.0421186981493304E-2</v>
      </c>
      <c r="BK220" s="370">
        <f t="shared" si="272"/>
        <v>3.483941208492107E-2</v>
      </c>
      <c r="BL220" s="370">
        <f t="shared" si="272"/>
        <v>5.856353591160221E-2</v>
      </c>
      <c r="BM220" s="370">
        <f t="shared" si="272"/>
        <v>5.3149606299212608E-2</v>
      </c>
      <c r="BN220" s="370">
        <f t="shared" si="272"/>
        <v>8.4262701363073067E-2</v>
      </c>
      <c r="BO220" s="371">
        <v>0.05</v>
      </c>
      <c r="BP220" s="371">
        <v>0.05</v>
      </c>
      <c r="BQ220" s="371">
        <v>0.05</v>
      </c>
      <c r="BR220" s="371">
        <v>0.05</v>
      </c>
    </row>
    <row r="221" spans="2:72" ht="12.75" customHeight="1">
      <c r="B221" s="324" t="s">
        <v>326</v>
      </c>
      <c r="G221" s="48"/>
      <c r="H221" s="48"/>
      <c r="I221" s="48"/>
      <c r="J221" s="48"/>
      <c r="K221" s="48"/>
      <c r="L221" s="48"/>
      <c r="M221" s="370">
        <f t="shared" si="269"/>
        <v>1.9591968911917099E-2</v>
      </c>
      <c r="N221" s="370">
        <f t="shared" si="269"/>
        <v>9.9022633744855967E-3</v>
      </c>
      <c r="O221" s="370">
        <f>O212/N$195</f>
        <v>-1.7199349945828817E-2</v>
      </c>
      <c r="P221" s="370">
        <f t="shared" si="270"/>
        <v>1.8273826258082648E-3</v>
      </c>
      <c r="Q221" s="370">
        <f t="shared" ca="1" si="270"/>
        <v>-1.3711778417660144E-4</v>
      </c>
      <c r="R221" s="370">
        <f t="shared" si="270"/>
        <v>0</v>
      </c>
      <c r="S221" s="371">
        <v>0</v>
      </c>
      <c r="T221" s="371">
        <v>0</v>
      </c>
      <c r="U221" s="371">
        <v>0</v>
      </c>
      <c r="V221" s="48"/>
      <c r="W221" s="48"/>
      <c r="X221" s="48"/>
      <c r="Y221" s="48"/>
      <c r="Z221" s="48"/>
      <c r="AA221" s="48"/>
      <c r="AB221" s="48"/>
      <c r="AC221" s="48"/>
      <c r="AD221" s="48"/>
      <c r="AE221" s="48"/>
      <c r="AF221" s="48"/>
      <c r="AG221" s="48"/>
      <c r="AH221" s="371"/>
      <c r="AI221" s="371"/>
      <c r="AJ221" s="371"/>
      <c r="AK221" s="371"/>
      <c r="AL221" s="371"/>
      <c r="AM221" s="371"/>
      <c r="AN221" s="371"/>
      <c r="AO221" s="371"/>
      <c r="AP221" s="371"/>
      <c r="AQ221" s="371"/>
      <c r="AR221" s="371"/>
      <c r="AS221" s="371"/>
      <c r="AT221" s="371"/>
      <c r="AU221" s="370">
        <f t="shared" si="271"/>
        <v>2.5084745762711864E-2</v>
      </c>
      <c r="AV221" s="370">
        <f t="shared" si="272"/>
        <v>3.5051546391752578E-2</v>
      </c>
      <c r="AW221" s="370">
        <f t="shared" si="272"/>
        <v>2.3696682464454975E-2</v>
      </c>
      <c r="AX221" s="370">
        <f t="shared" si="272"/>
        <v>-4.4929396662387738E-3</v>
      </c>
      <c r="AY221" s="370">
        <f t="shared" si="272"/>
        <v>6.914893617021277E-3</v>
      </c>
      <c r="AZ221" s="370">
        <f t="shared" si="272"/>
        <v>-6.0575466935890963E-3</v>
      </c>
      <c r="BA221" s="370">
        <f t="shared" si="272"/>
        <v>1.7832003754106054E-2</v>
      </c>
      <c r="BB221" s="370">
        <f t="shared" si="272"/>
        <v>2.1300448430493276E-2</v>
      </c>
      <c r="BC221" s="370">
        <f t="shared" si="272"/>
        <v>-7.4775672981056834E-3</v>
      </c>
      <c r="BD221" s="370">
        <f t="shared" si="272"/>
        <v>8.2872928176795577E-3</v>
      </c>
      <c r="BE221" s="370">
        <f t="shared" si="272"/>
        <v>-3.4351145038167941E-2</v>
      </c>
      <c r="BF221" s="370">
        <f t="shared" si="272"/>
        <v>-3.7364130434782608E-2</v>
      </c>
      <c r="BG221" s="370">
        <f t="shared" si="272"/>
        <v>-1.4549524342473421E-2</v>
      </c>
      <c r="BH221" s="370">
        <f t="shared" si="272"/>
        <v>-9.7837281153450046E-3</v>
      </c>
      <c r="BI221" s="370">
        <f t="shared" si="272"/>
        <v>5.5005500550055E-3</v>
      </c>
      <c r="BJ221" s="370">
        <f t="shared" si="272"/>
        <v>3.0631780472239949E-2</v>
      </c>
      <c r="BK221" s="370">
        <f t="shared" si="272"/>
        <v>6.5323897659226998E-3</v>
      </c>
      <c r="BL221" s="370">
        <f t="shared" si="272"/>
        <v>-7.1823204419889245E-3</v>
      </c>
      <c r="BM221" s="370">
        <f t="shared" si="272"/>
        <v>0</v>
      </c>
      <c r="BN221" s="370">
        <f t="shared" ca="1" si="272"/>
        <v>0</v>
      </c>
      <c r="BO221" s="371">
        <v>0</v>
      </c>
      <c r="BP221" s="371">
        <v>0</v>
      </c>
      <c r="BQ221" s="371">
        <v>0</v>
      </c>
      <c r="BR221" s="371">
        <v>0</v>
      </c>
    </row>
    <row r="222" spans="2:72" ht="12.75" customHeight="1">
      <c r="B222" s="324" t="s">
        <v>332</v>
      </c>
      <c r="G222" s="48"/>
      <c r="H222" s="48"/>
      <c r="I222" s="48"/>
      <c r="J222" s="48"/>
      <c r="K222" s="48"/>
      <c r="L222" s="48"/>
      <c r="M222" s="370">
        <f t="shared" si="269"/>
        <v>-5.9909326424870471E-3</v>
      </c>
      <c r="N222" s="370">
        <f t="shared" si="269"/>
        <v>1.5174897119341564E-2</v>
      </c>
      <c r="O222" s="370">
        <f>O213/N$195</f>
        <v>0</v>
      </c>
      <c r="P222" s="370">
        <f t="shared" si="270"/>
        <v>0</v>
      </c>
      <c r="Q222" s="370">
        <f t="shared" ca="1" si="270"/>
        <v>0</v>
      </c>
      <c r="R222" s="370">
        <f t="shared" si="270"/>
        <v>0</v>
      </c>
      <c r="S222" s="371">
        <v>0</v>
      </c>
      <c r="T222" s="371">
        <v>0</v>
      </c>
      <c r="U222" s="371">
        <v>0</v>
      </c>
      <c r="V222" s="48"/>
      <c r="W222" s="48"/>
      <c r="X222" s="48"/>
      <c r="Y222" s="48"/>
      <c r="Z222" s="48"/>
      <c r="AA222" s="48"/>
      <c r="AB222" s="48"/>
      <c r="AC222" s="48"/>
      <c r="AD222" s="48"/>
      <c r="AE222" s="48"/>
      <c r="AF222" s="48"/>
      <c r="AG222" s="48"/>
      <c r="AH222" s="371"/>
      <c r="AI222" s="371"/>
      <c r="AJ222" s="371"/>
      <c r="AK222" s="371"/>
      <c r="AL222" s="371"/>
      <c r="AM222" s="371"/>
      <c r="AN222" s="371"/>
      <c r="AO222" s="371"/>
      <c r="AP222" s="371"/>
      <c r="AQ222" s="371"/>
      <c r="AR222" s="371"/>
      <c r="AS222" s="371"/>
      <c r="AT222" s="371"/>
      <c r="AU222" s="370">
        <f t="shared" si="271"/>
        <v>-6.7796610169491523E-3</v>
      </c>
      <c r="AV222" s="370">
        <f t="shared" si="272"/>
        <v>4.8109965635738825E-3</v>
      </c>
      <c r="AW222" s="370">
        <f t="shared" si="272"/>
        <v>-1.0663507109004738E-2</v>
      </c>
      <c r="AX222" s="370">
        <f t="shared" si="272"/>
        <v>-1.0269576379974325E-2</v>
      </c>
      <c r="AY222" s="370">
        <f t="shared" si="272"/>
        <v>2.0212765957446806E-2</v>
      </c>
      <c r="AZ222" s="370">
        <f t="shared" si="272"/>
        <v>1.2115093387178193E-2</v>
      </c>
      <c r="BA222" s="370">
        <f t="shared" si="272"/>
        <v>7.9774753636790239E-3</v>
      </c>
      <c r="BB222" s="370">
        <f t="shared" si="272"/>
        <v>2.1860986547085209E-2</v>
      </c>
      <c r="BC222" s="370">
        <f t="shared" si="272"/>
        <v>3.489531405782652E-3</v>
      </c>
      <c r="BD222" s="370">
        <f t="shared" si="272"/>
        <v>0</v>
      </c>
      <c r="BE222" s="370">
        <f t="shared" si="272"/>
        <v>0</v>
      </c>
      <c r="BF222" s="370">
        <f t="shared" si="272"/>
        <v>-4.755434782608696E-3</v>
      </c>
      <c r="BG222" s="370">
        <f t="shared" si="272"/>
        <v>0</v>
      </c>
      <c r="BH222" s="370">
        <f t="shared" si="272"/>
        <v>0</v>
      </c>
      <c r="BI222" s="370">
        <f t="shared" si="272"/>
        <v>0</v>
      </c>
      <c r="BJ222" s="370">
        <f t="shared" si="272"/>
        <v>0</v>
      </c>
      <c r="BK222" s="370">
        <f t="shared" si="272"/>
        <v>0</v>
      </c>
      <c r="BL222" s="370">
        <f t="shared" si="272"/>
        <v>0</v>
      </c>
      <c r="BM222" s="370">
        <f t="shared" si="272"/>
        <v>0</v>
      </c>
      <c r="BN222" s="370">
        <f t="shared" ca="1" si="272"/>
        <v>0</v>
      </c>
      <c r="BO222" s="371">
        <v>0</v>
      </c>
      <c r="BP222" s="371">
        <v>0</v>
      </c>
      <c r="BQ222" s="371">
        <v>0</v>
      </c>
      <c r="BR222" s="371">
        <v>0</v>
      </c>
    </row>
    <row r="223" spans="2:72" ht="12.75" customHeight="1">
      <c r="B223" s="324" t="s">
        <v>331</v>
      </c>
      <c r="G223" s="48"/>
      <c r="H223" s="48"/>
      <c r="I223" s="48"/>
      <c r="J223" s="48"/>
      <c r="K223" s="48"/>
      <c r="L223" s="48"/>
      <c r="M223" s="370">
        <f t="shared" si="269"/>
        <v>1.133419689119164E-3</v>
      </c>
      <c r="N223" s="370">
        <f t="shared" si="269"/>
        <v>3.0864197530864196E-3</v>
      </c>
      <c r="O223" s="370">
        <f>O214/N$195</f>
        <v>-1.6251354279523292E-3</v>
      </c>
      <c r="P223" s="370">
        <f t="shared" si="270"/>
        <v>-7.0283947146471733E-4</v>
      </c>
      <c r="Q223" s="370">
        <f t="shared" ca="1" si="270"/>
        <v>0</v>
      </c>
      <c r="R223" s="370">
        <f t="shared" si="270"/>
        <v>0</v>
      </c>
      <c r="S223" s="371">
        <v>0</v>
      </c>
      <c r="T223" s="371">
        <v>0</v>
      </c>
      <c r="U223" s="371">
        <v>0</v>
      </c>
      <c r="V223" s="48"/>
      <c r="W223" s="48"/>
      <c r="X223" s="48"/>
      <c r="Y223" s="48"/>
      <c r="Z223" s="48"/>
      <c r="AA223" s="48"/>
      <c r="AB223" s="48"/>
      <c r="AC223" s="48"/>
      <c r="AD223" s="48"/>
      <c r="AE223" s="48"/>
      <c r="AF223" s="48"/>
      <c r="AG223" s="48"/>
      <c r="AH223" s="371"/>
      <c r="AI223" s="371"/>
      <c r="AJ223" s="371"/>
      <c r="AK223" s="371"/>
      <c r="AL223" s="371"/>
      <c r="AM223" s="371"/>
      <c r="AN223" s="371"/>
      <c r="AO223" s="371"/>
      <c r="AP223" s="371"/>
      <c r="AQ223" s="371"/>
      <c r="AR223" s="371"/>
      <c r="AS223" s="371"/>
      <c r="AT223" s="371"/>
      <c r="AU223" s="370">
        <f t="shared" si="271"/>
        <v>6.779661016948767E-4</v>
      </c>
      <c r="AV223" s="370">
        <f t="shared" si="272"/>
        <v>0</v>
      </c>
      <c r="AW223" s="370">
        <f t="shared" si="272"/>
        <v>2.3696682464453629E-3</v>
      </c>
      <c r="AX223" s="370">
        <f t="shared" si="272"/>
        <v>1.2836970474969457E-3</v>
      </c>
      <c r="AY223" s="370">
        <f t="shared" si="272"/>
        <v>2.6595744680850686E-3</v>
      </c>
      <c r="AZ223" s="370">
        <f t="shared" si="272"/>
        <v>2.0191822311963941E-3</v>
      </c>
      <c r="BA223" s="370">
        <f t="shared" si="272"/>
        <v>3.7541060534960115E-3</v>
      </c>
      <c r="BB223" s="370">
        <f t="shared" si="272"/>
        <v>3.9237668161435047E-3</v>
      </c>
      <c r="BC223" s="370">
        <f t="shared" si="272"/>
        <v>-3.9880358923230315E-3</v>
      </c>
      <c r="BD223" s="370">
        <f t="shared" si="272"/>
        <v>3.3149171270718232E-3</v>
      </c>
      <c r="BE223" s="370">
        <f t="shared" si="272"/>
        <v>-4.2938931297709926E-3</v>
      </c>
      <c r="BF223" s="370">
        <f t="shared" si="272"/>
        <v>-6.7934782608695564E-4</v>
      </c>
      <c r="BG223" s="370">
        <f t="shared" si="272"/>
        <v>3.9171796306659203E-3</v>
      </c>
      <c r="BH223" s="370">
        <f t="shared" si="272"/>
        <v>-1.5447991761070457E-3</v>
      </c>
      <c r="BI223" s="370">
        <f t="shared" si="272"/>
        <v>0</v>
      </c>
      <c r="BJ223" s="370">
        <f t="shared" si="272"/>
        <v>-5.7434588385450657E-3</v>
      </c>
      <c r="BK223" s="370">
        <f t="shared" si="272"/>
        <v>0</v>
      </c>
      <c r="BL223" s="370">
        <f t="shared" si="272"/>
        <v>0</v>
      </c>
      <c r="BM223" s="370">
        <f t="shared" si="272"/>
        <v>0</v>
      </c>
      <c r="BN223" s="370">
        <f t="shared" ca="1" si="272"/>
        <v>0</v>
      </c>
      <c r="BO223" s="371">
        <v>0</v>
      </c>
      <c r="BP223" s="371">
        <v>0</v>
      </c>
      <c r="BQ223" s="371">
        <v>0</v>
      </c>
      <c r="BR223" s="371">
        <v>0</v>
      </c>
    </row>
    <row r="224" spans="2:72" ht="12.75" customHeight="1">
      <c r="B224" s="360" t="s">
        <v>188</v>
      </c>
      <c r="G224" s="281">
        <f t="shared" ref="G224:L224" si="273">+G196</f>
        <v>0</v>
      </c>
      <c r="H224" s="281">
        <f t="shared" si="273"/>
        <v>0.13296270558258061</v>
      </c>
      <c r="I224" s="281">
        <f t="shared" si="273"/>
        <v>0.16070333265180947</v>
      </c>
      <c r="J224" s="281">
        <f t="shared" si="273"/>
        <v>-3.2411484939228408E-2</v>
      </c>
      <c r="K224" s="281">
        <f t="shared" si="273"/>
        <v>4.132532313853976E-2</v>
      </c>
      <c r="L224" s="281">
        <f t="shared" si="273"/>
        <v>7.9720279720279841E-2</v>
      </c>
      <c r="M224" s="281">
        <f t="shared" si="269"/>
        <v>0.25906735751295334</v>
      </c>
      <c r="N224" s="281">
        <f t="shared" si="269"/>
        <v>-5.0411522633744849E-2</v>
      </c>
      <c r="O224" s="281">
        <f>O215/N$195</f>
        <v>-3.65655471289274E-2</v>
      </c>
      <c r="P224" s="281">
        <f t="shared" si="270"/>
        <v>2.5161653078436881E-2</v>
      </c>
      <c r="Q224" s="281">
        <f t="shared" ca="1" si="270"/>
        <v>-6.5953654188948316E-2</v>
      </c>
      <c r="R224" s="281">
        <f t="shared" si="270"/>
        <v>5.0452143276570764E-2</v>
      </c>
      <c r="S224" s="281">
        <f>SUM(S219:S223)</f>
        <v>3.5000000000000003E-2</v>
      </c>
      <c r="T224" s="281">
        <f>SUM(T219:T223)</f>
        <v>3.5000000000000003E-2</v>
      </c>
      <c r="U224" s="281">
        <f>SUM(U219:U223)</f>
        <v>3.5000000000000003E-2</v>
      </c>
      <c r="V224" s="48"/>
      <c r="W224" s="281"/>
      <c r="X224" s="281"/>
      <c r="Y224" s="281"/>
      <c r="Z224" s="281"/>
      <c r="AA224" s="281"/>
      <c r="AB224" s="281"/>
      <c r="AC224" s="281"/>
      <c r="AD224" s="281"/>
      <c r="AE224" s="281"/>
      <c r="AF224" s="281"/>
      <c r="AG224" s="281"/>
      <c r="AH224" s="281"/>
      <c r="AI224" s="281"/>
      <c r="AJ224" s="281"/>
      <c r="AK224" s="281"/>
      <c r="AL224" s="281"/>
      <c r="AM224" s="281"/>
      <c r="AN224" s="281"/>
      <c r="AO224" s="281"/>
      <c r="AP224" s="281"/>
      <c r="AQ224" s="281"/>
      <c r="AR224" s="281"/>
      <c r="AS224" s="281"/>
      <c r="AT224" s="281"/>
      <c r="AU224" s="281">
        <f t="shared" si="271"/>
        <v>0.27457627118644068</v>
      </c>
      <c r="AV224" s="281">
        <f t="shared" ref="AV224:BL224" si="274">AV215/AR$195</f>
        <v>0.36151202749140893</v>
      </c>
      <c r="AW224" s="281">
        <f t="shared" si="274"/>
        <v>0.26244075829383873</v>
      </c>
      <c r="AX224" s="281">
        <f t="shared" si="274"/>
        <v>0.1450577663671373</v>
      </c>
      <c r="AY224" s="281">
        <f t="shared" si="274"/>
        <v>6.7021276595744653E-2</v>
      </c>
      <c r="AZ224" s="281">
        <f t="shared" si="274"/>
        <v>-8.6320040383644603E-2</v>
      </c>
      <c r="BA224" s="281">
        <f t="shared" si="274"/>
        <v>-1.6424213984045054E-2</v>
      </c>
      <c r="BB224" s="281">
        <f t="shared" si="274"/>
        <v>-0.17488789237668156</v>
      </c>
      <c r="BC224" s="281">
        <f t="shared" si="274"/>
        <v>-0.10917248255234298</v>
      </c>
      <c r="BD224" s="281">
        <f t="shared" si="274"/>
        <v>7.2928176795580113E-2</v>
      </c>
      <c r="BE224" s="281">
        <f t="shared" si="274"/>
        <v>-0.13263358778625947</v>
      </c>
      <c r="BF224" s="281">
        <f t="shared" si="274"/>
        <v>6.4538043478260795E-2</v>
      </c>
      <c r="BG224" s="281">
        <f t="shared" si="274"/>
        <v>2.7979854504756582E-2</v>
      </c>
      <c r="BH224" s="281">
        <f t="shared" si="274"/>
        <v>-6.7971163748712607E-2</v>
      </c>
      <c r="BI224" s="281">
        <f t="shared" si="274"/>
        <v>0.1177117711771177</v>
      </c>
      <c r="BJ224" s="281">
        <f t="shared" si="274"/>
        <v>2.9993618379068197E-2</v>
      </c>
      <c r="BK224" s="281">
        <f t="shared" si="274"/>
        <v>-0.11486118671747414</v>
      </c>
      <c r="BL224" s="281">
        <f t="shared" si="274"/>
        <v>-6.4088397790055221E-2</v>
      </c>
      <c r="BM224" s="281">
        <f t="shared" ref="BM224:BR224" si="275">SUM(BM219:BM223)</f>
        <v>-9.5472440944881887E-2</v>
      </c>
      <c r="BN224" s="281">
        <f t="shared" ca="1" si="275"/>
        <v>2.4783147459727289E-2</v>
      </c>
      <c r="BO224" s="281">
        <f t="shared" si="275"/>
        <v>2.0000000000000004E-2</v>
      </c>
      <c r="BP224" s="281">
        <f t="shared" si="275"/>
        <v>6.0000000000000005E-2</v>
      </c>
      <c r="BQ224" s="281">
        <f t="shared" si="275"/>
        <v>6.0000000000000005E-2</v>
      </c>
      <c r="BR224" s="281">
        <f t="shared" si="275"/>
        <v>6.0000000000000005E-2</v>
      </c>
      <c r="BT224" s="48"/>
    </row>
    <row r="225" spans="1:73" ht="12.75" customHeight="1">
      <c r="M225" s="48"/>
      <c r="N225" s="48"/>
      <c r="O225" s="48"/>
      <c r="P225" s="48"/>
      <c r="Q225" s="48"/>
      <c r="BJ225" s="17"/>
      <c r="BK225" s="17"/>
      <c r="BL225" s="17"/>
      <c r="BM225" s="17"/>
      <c r="BN225" s="17"/>
      <c r="BO225" s="17"/>
      <c r="BP225" s="17"/>
      <c r="BQ225" s="17"/>
      <c r="BR225" s="17"/>
    </row>
    <row r="226" spans="1:73" ht="12.75" customHeight="1">
      <c r="B226" s="68" t="s">
        <v>556</v>
      </c>
      <c r="F226" s="269" t="s">
        <v>561</v>
      </c>
      <c r="O226" s="88"/>
    </row>
    <row r="227" spans="1:73" ht="12.75" customHeight="1">
      <c r="B227" s="368" t="s">
        <v>557</v>
      </c>
      <c r="F227" s="383">
        <f>CORREL(AA228:BL228,AA$196:BL$196)</f>
        <v>0.35834663016679713</v>
      </c>
      <c r="G227" s="272">
        <f>SUM(W227:Z227)</f>
        <v>11.177335000000001</v>
      </c>
      <c r="H227" s="272">
        <f>SUM(AA227:AD227)</f>
        <v>12.709023</v>
      </c>
      <c r="I227" s="272">
        <f>SUM(AE227:AH227)</f>
        <v>14.033823999999999</v>
      </c>
      <c r="J227" s="272">
        <f>SUM(AI227:AL227)</f>
        <v>14.409616</v>
      </c>
      <c r="K227" s="272">
        <f>SUM(AM227:AP227)</f>
        <v>16.454951000000001</v>
      </c>
      <c r="L227" s="272">
        <f>SUM(AQ227:AT227)</f>
        <v>19.592303000000001</v>
      </c>
      <c r="M227" s="272">
        <f>SUM(AU227:AX227)</f>
        <v>21.093273</v>
      </c>
      <c r="N227" s="272">
        <f>SUM(AY227:BB227)</f>
        <v>20.968547000000001</v>
      </c>
      <c r="O227" s="272">
        <f>SUM(BC227:BF227)</f>
        <v>23.141970000000001</v>
      </c>
      <c r="P227" s="272">
        <f>SUM(BG227:BJ227)</f>
        <v>27.538673000000003</v>
      </c>
      <c r="Q227" s="44"/>
      <c r="R227" s="26"/>
      <c r="W227" s="369">
        <v>2.7853680000000001</v>
      </c>
      <c r="X227" s="369">
        <v>2.4362650000000001</v>
      </c>
      <c r="Y227" s="369">
        <v>2.6201310000000002</v>
      </c>
      <c r="Z227" s="369">
        <v>3.3355709999999998</v>
      </c>
      <c r="AA227" s="369">
        <v>3.0045489999999999</v>
      </c>
      <c r="AB227" s="369">
        <v>2.6470349999999998</v>
      </c>
      <c r="AC227" s="369">
        <v>2.8210989999999998</v>
      </c>
      <c r="AD227" s="369">
        <v>4.2363400000000002</v>
      </c>
      <c r="AE227" s="369">
        <v>3.8180589999999999</v>
      </c>
      <c r="AF227" s="369">
        <v>3.2172269999999998</v>
      </c>
      <c r="AG227" s="369">
        <v>3.1341489999999999</v>
      </c>
      <c r="AH227" s="369">
        <v>3.8643890000000001</v>
      </c>
      <c r="AI227" s="369">
        <v>3.6625399999999999</v>
      </c>
      <c r="AJ227" s="369">
        <v>3.256513</v>
      </c>
      <c r="AK227" s="369">
        <v>3.304964</v>
      </c>
      <c r="AL227" s="369">
        <v>4.1855989999999998</v>
      </c>
      <c r="AM227" s="369">
        <v>4.2465729999999997</v>
      </c>
      <c r="AN227" s="369">
        <v>3.7505299999999999</v>
      </c>
      <c r="AO227" s="369">
        <v>3.720834</v>
      </c>
      <c r="AP227" s="369">
        <v>4.7370140000000003</v>
      </c>
      <c r="AQ227" s="369">
        <v>4.8550849999999999</v>
      </c>
      <c r="AR227" s="369">
        <v>4.0462290000000003</v>
      </c>
      <c r="AS227" s="369">
        <v>4.2862730000000004</v>
      </c>
      <c r="AT227" s="369">
        <v>6.4047159999999996</v>
      </c>
      <c r="AU227" s="369">
        <v>7.01424</v>
      </c>
      <c r="AV227" s="369">
        <v>4.4317010000000003</v>
      </c>
      <c r="AW227" s="369">
        <v>4.1045619999999996</v>
      </c>
      <c r="AX227" s="369">
        <v>5.54277</v>
      </c>
      <c r="AY227" s="369">
        <v>6.2360600000000002</v>
      </c>
      <c r="AZ227" s="369">
        <v>4.6111800000000001</v>
      </c>
      <c r="BA227" s="369">
        <v>4.404757</v>
      </c>
      <c r="BB227" s="369">
        <v>5.7165499999999998</v>
      </c>
      <c r="BC227" s="369">
        <v>5.6448660000000004</v>
      </c>
      <c r="BD227" s="369">
        <v>4.821377</v>
      </c>
      <c r="BE227" s="369">
        <v>5.1413440000000001</v>
      </c>
      <c r="BF227" s="369">
        <v>7.5343830000000001</v>
      </c>
      <c r="BG227" s="369">
        <v>7.6821409999999997</v>
      </c>
      <c r="BH227" s="369">
        <v>6.1473500000000003</v>
      </c>
      <c r="BI227" s="369">
        <v>6.0432030000000001</v>
      </c>
      <c r="BJ227" s="369">
        <v>7.6659790000000001</v>
      </c>
      <c r="BK227" s="369">
        <v>6.711093</v>
      </c>
      <c r="BL227" s="369">
        <v>5.8900090000000001</v>
      </c>
      <c r="BM227" s="369">
        <v>5.6347959999999997</v>
      </c>
      <c r="BN227" s="369"/>
      <c r="BO227" s="48"/>
      <c r="BP227" s="48"/>
      <c r="BQ227" s="48"/>
      <c r="BR227" s="48"/>
    </row>
    <row r="228" spans="1:73" s="73" customFormat="1" ht="12.75" customHeight="1">
      <c r="B228" s="54" t="s">
        <v>141</v>
      </c>
      <c r="F228" s="280"/>
      <c r="H228" s="288">
        <f t="shared" ref="H228:P228" si="276">H227/G227-1</f>
        <v>0.13703516983252251</v>
      </c>
      <c r="I228" s="288">
        <f t="shared" si="276"/>
        <v>0.1042409790272627</v>
      </c>
      <c r="J228" s="288">
        <f t="shared" si="276"/>
        <v>2.6777591054298666E-2</v>
      </c>
      <c r="K228" s="288">
        <f t="shared" si="276"/>
        <v>0.14194236681949057</v>
      </c>
      <c r="L228" s="288">
        <f>L227/K227-1</f>
        <v>0.1906631019442111</v>
      </c>
      <c r="M228" s="288">
        <f t="shared" si="276"/>
        <v>7.6610187174014133E-2</v>
      </c>
      <c r="N228" s="288">
        <f t="shared" si="276"/>
        <v>-5.9130700105194389E-3</v>
      </c>
      <c r="O228" s="288">
        <f t="shared" si="276"/>
        <v>0.10365157871930752</v>
      </c>
      <c r="P228" s="288">
        <f t="shared" si="276"/>
        <v>0.18998827671110119</v>
      </c>
      <c r="Q228" s="372"/>
      <c r="R228" s="288"/>
      <c r="W228" s="288"/>
      <c r="X228" s="288"/>
      <c r="Y228" s="288"/>
      <c r="Z228" s="288"/>
      <c r="AA228" s="288">
        <f t="shared" ref="AA228:BM228" si="277">AA227/W227-1</f>
        <v>7.8690140764164695E-2</v>
      </c>
      <c r="AB228" s="288">
        <f t="shared" si="277"/>
        <v>8.6513577135492126E-2</v>
      </c>
      <c r="AC228" s="288">
        <f t="shared" si="277"/>
        <v>7.670150843602852E-2</v>
      </c>
      <c r="AD228" s="288">
        <f t="shared" si="277"/>
        <v>0.27004941582715536</v>
      </c>
      <c r="AE228" s="288">
        <f t="shared" si="277"/>
        <v>0.27075943843818151</v>
      </c>
      <c r="AF228" s="288">
        <f t="shared" si="277"/>
        <v>0.21540780533691484</v>
      </c>
      <c r="AG228" s="288">
        <f t="shared" si="277"/>
        <v>0.11096739249491061</v>
      </c>
      <c r="AH228" s="288">
        <f t="shared" si="277"/>
        <v>-8.7800082146381131E-2</v>
      </c>
      <c r="AI228" s="288">
        <f t="shared" si="277"/>
        <v>-4.0732476894673408E-2</v>
      </c>
      <c r="AJ228" s="288">
        <f t="shared" si="277"/>
        <v>1.2211137106582726E-2</v>
      </c>
      <c r="AK228" s="288">
        <f t="shared" si="277"/>
        <v>5.4501237816070747E-2</v>
      </c>
      <c r="AL228" s="288">
        <f t="shared" si="277"/>
        <v>8.3120514006224555E-2</v>
      </c>
      <c r="AM228" s="288">
        <f t="shared" si="277"/>
        <v>0.15946119359788558</v>
      </c>
      <c r="AN228" s="288">
        <f t="shared" si="277"/>
        <v>0.15170122152130205</v>
      </c>
      <c r="AO228" s="288">
        <f t="shared" si="277"/>
        <v>0.12583193039319029</v>
      </c>
      <c r="AP228" s="288">
        <f t="shared" si="277"/>
        <v>0.13174100051151583</v>
      </c>
      <c r="AQ228" s="288">
        <f t="shared" si="277"/>
        <v>0.14329484033360562</v>
      </c>
      <c r="AR228" s="288">
        <f t="shared" si="277"/>
        <v>7.8841923674787484E-2</v>
      </c>
      <c r="AS228" s="288">
        <f t="shared" si="277"/>
        <v>0.15196566146191959</v>
      </c>
      <c r="AT228" s="288">
        <f t="shared" si="277"/>
        <v>0.3520576464414078</v>
      </c>
      <c r="AU228" s="288">
        <f t="shared" si="277"/>
        <v>0.44472032930422434</v>
      </c>
      <c r="AV228" s="288">
        <f t="shared" si="277"/>
        <v>9.5266975744576099E-2</v>
      </c>
      <c r="AW228" s="288">
        <f t="shared" si="277"/>
        <v>-4.23937066071155E-2</v>
      </c>
      <c r="AX228" s="288">
        <f t="shared" si="277"/>
        <v>-0.1345798939406524</v>
      </c>
      <c r="AY228" s="288">
        <f t="shared" si="277"/>
        <v>-0.11094288190880264</v>
      </c>
      <c r="AZ228" s="288">
        <f t="shared" si="277"/>
        <v>4.049889647338567E-2</v>
      </c>
      <c r="BA228" s="288">
        <f t="shared" si="277"/>
        <v>7.3136914486856552E-2</v>
      </c>
      <c r="BB228" s="288">
        <f t="shared" si="277"/>
        <v>3.135255476954657E-2</v>
      </c>
      <c r="BC228" s="288">
        <f t="shared" si="277"/>
        <v>-9.4802487468048646E-2</v>
      </c>
      <c r="BD228" s="288">
        <f t="shared" si="277"/>
        <v>4.5584210549143522E-2</v>
      </c>
      <c r="BE228" s="288">
        <f t="shared" si="277"/>
        <v>0.16722534296443592</v>
      </c>
      <c r="BF228" s="288">
        <f t="shared" si="277"/>
        <v>0.3179947695725569</v>
      </c>
      <c r="BG228" s="288">
        <f t="shared" si="277"/>
        <v>0.36090759284631369</v>
      </c>
      <c r="BH228" s="288">
        <f t="shared" si="277"/>
        <v>0.27501956391296511</v>
      </c>
      <c r="BI228" s="288">
        <f t="shared" si="277"/>
        <v>0.17541308264920619</v>
      </c>
      <c r="BJ228" s="288">
        <f t="shared" si="277"/>
        <v>1.7466061919071629E-2</v>
      </c>
      <c r="BK228" s="288">
        <f t="shared" si="277"/>
        <v>-0.12640330345407613</v>
      </c>
      <c r="BL228" s="288">
        <f t="shared" si="277"/>
        <v>-4.186210318267225E-2</v>
      </c>
      <c r="BM228" s="288">
        <f t="shared" si="277"/>
        <v>-6.758121479619339E-2</v>
      </c>
      <c r="BN228" s="288"/>
      <c r="BO228" s="280"/>
      <c r="BP228" s="280"/>
      <c r="BQ228" s="280"/>
      <c r="BR228" s="280"/>
    </row>
    <row r="229" spans="1:73" ht="12.75" customHeight="1">
      <c r="B229" s="54"/>
      <c r="F229" s="48"/>
      <c r="H229" s="17"/>
      <c r="I229" s="17"/>
      <c r="J229" s="17"/>
      <c r="K229" s="17"/>
      <c r="L229" s="17"/>
      <c r="M229" s="17"/>
      <c r="N229" s="17"/>
      <c r="O229" s="17"/>
      <c r="P229" s="17"/>
      <c r="Q229" s="44"/>
      <c r="R229" s="17"/>
      <c r="W229" s="17"/>
      <c r="X229" s="17"/>
      <c r="Y229" s="17"/>
      <c r="Z229" s="17"/>
      <c r="AA229" s="17"/>
      <c r="AB229" s="17"/>
      <c r="AC229" s="17"/>
      <c r="AD229" s="17"/>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17"/>
      <c r="BK229" s="17"/>
      <c r="BL229" s="17"/>
      <c r="BM229" s="17"/>
      <c r="BN229" s="48"/>
      <c r="BO229" s="48"/>
      <c r="BP229" s="48"/>
      <c r="BQ229" s="48"/>
      <c r="BR229" s="48"/>
    </row>
    <row r="230" spans="1:73" ht="12.75" customHeight="1">
      <c r="B230" s="368" t="s">
        <v>558</v>
      </c>
      <c r="F230" s="383">
        <f>CORREL(AE231:BL231,AE$196:BL$196)</f>
        <v>0.41180256508155233</v>
      </c>
      <c r="G230" s="272"/>
      <c r="H230" s="272">
        <f>SUM(AA230:AD230)</f>
        <v>8.9939640000000001</v>
      </c>
      <c r="I230" s="272">
        <f>SUM(AE230:AH230)</f>
        <v>9.5341310000000004</v>
      </c>
      <c r="J230" s="272">
        <f>SUM(AI230:AL230)</f>
        <v>9.4361820000000005</v>
      </c>
      <c r="K230" s="272">
        <f>SUM(AM230:AP230)</f>
        <v>10.791275000000001</v>
      </c>
      <c r="L230" s="272">
        <f>SUM(AQ230:AT230)</f>
        <v>13.780284999999999</v>
      </c>
      <c r="M230" s="272">
        <f>SUM(AU230:AX230)</f>
        <v>14.796871999999999</v>
      </c>
      <c r="N230" s="272">
        <f>SUM(AY230:BB230)</f>
        <v>13.090382999999999</v>
      </c>
      <c r="O230" s="272">
        <f>SUM(BC230:BF230)</f>
        <v>14.244239999999998</v>
      </c>
      <c r="P230" s="272">
        <f>SUM(BG230:BJ230)</f>
        <v>15.771596000000001</v>
      </c>
      <c r="Q230" s="44"/>
      <c r="R230" s="17"/>
      <c r="W230" s="17"/>
      <c r="X230" s="17"/>
      <c r="Y230" s="17"/>
      <c r="Z230" s="17"/>
      <c r="AA230" s="369">
        <v>2.1194489999999999</v>
      </c>
      <c r="AB230" s="369">
        <v>1.7555799999999999</v>
      </c>
      <c r="AC230" s="369">
        <v>1.8771150000000001</v>
      </c>
      <c r="AD230" s="369">
        <v>3.2418200000000001</v>
      </c>
      <c r="AE230" s="369">
        <v>2.701139</v>
      </c>
      <c r="AF230" s="369">
        <v>2.082265</v>
      </c>
      <c r="AG230" s="369">
        <v>2.0161769999999999</v>
      </c>
      <c r="AH230" s="369">
        <v>2.73455</v>
      </c>
      <c r="AI230" s="369">
        <v>2.4247529999999999</v>
      </c>
      <c r="AJ230" s="369">
        <v>1.960626</v>
      </c>
      <c r="AK230" s="369">
        <v>2.1174059999999999</v>
      </c>
      <c r="AL230" s="369">
        <v>2.9333969999999998</v>
      </c>
      <c r="AM230" s="369">
        <v>2.7394419999999999</v>
      </c>
      <c r="AN230" s="369">
        <v>2.2202709999999999</v>
      </c>
      <c r="AO230" s="369">
        <v>2.3744610000000002</v>
      </c>
      <c r="AP230" s="369">
        <v>3.4571010000000002</v>
      </c>
      <c r="AQ230" s="369">
        <v>3.3763359999999998</v>
      </c>
      <c r="AR230" s="369">
        <v>2.618509</v>
      </c>
      <c r="AS230" s="369">
        <v>2.9035380000000002</v>
      </c>
      <c r="AT230" s="369">
        <v>4.8819020000000002</v>
      </c>
      <c r="AU230" s="369">
        <v>4.9261929999999996</v>
      </c>
      <c r="AV230" s="369">
        <v>3.0317129999999999</v>
      </c>
      <c r="AW230" s="369">
        <v>2.9065189999999999</v>
      </c>
      <c r="AX230" s="369">
        <v>3.9324469999999998</v>
      </c>
      <c r="AY230" s="369">
        <v>3.459225</v>
      </c>
      <c r="AZ230" s="369">
        <v>2.6719520000000001</v>
      </c>
      <c r="BA230" s="369">
        <v>2.8301970000000001</v>
      </c>
      <c r="BB230" s="369">
        <v>4.1290089999999999</v>
      </c>
      <c r="BC230" s="369">
        <v>3.5210889999999999</v>
      </c>
      <c r="BD230" s="369">
        <v>2.7932299999999999</v>
      </c>
      <c r="BE230" s="369">
        <v>3.0504319999999998</v>
      </c>
      <c r="BF230" s="369">
        <v>4.8794890000000004</v>
      </c>
      <c r="BG230" s="369">
        <v>4.1397909999999998</v>
      </c>
      <c r="BH230" s="369">
        <v>3.1798250000000001</v>
      </c>
      <c r="BI230" s="369">
        <v>3.5796809999999999</v>
      </c>
      <c r="BJ230" s="369">
        <v>4.8722989999999999</v>
      </c>
      <c r="BK230" s="369">
        <v>3.6935020000000001</v>
      </c>
      <c r="BL230" s="369">
        <v>3.116282</v>
      </c>
      <c r="BM230" s="369">
        <v>2.9476119999999999</v>
      </c>
      <c r="BN230" s="369"/>
      <c r="BO230" s="369"/>
      <c r="BP230" s="369"/>
      <c r="BQ230" s="369"/>
      <c r="BR230" s="369"/>
      <c r="BS230" s="369"/>
      <c r="BT230" s="369"/>
      <c r="BU230" s="369"/>
    </row>
    <row r="231" spans="1:73" s="73" customFormat="1" ht="12.75" customHeight="1">
      <c r="B231" s="54" t="s">
        <v>141</v>
      </c>
      <c r="F231" s="280"/>
      <c r="H231" s="288"/>
      <c r="I231" s="288">
        <f t="shared" ref="I231:P231" si="278">I230/H230-1</f>
        <v>6.0058835014238365E-2</v>
      </c>
      <c r="J231" s="288">
        <f t="shared" si="278"/>
        <v>-1.0273511031052562E-2</v>
      </c>
      <c r="K231" s="288">
        <f t="shared" si="278"/>
        <v>0.14360606864089731</v>
      </c>
      <c r="L231" s="288">
        <f t="shared" si="278"/>
        <v>0.27698395231332706</v>
      </c>
      <c r="M231" s="288">
        <f t="shared" si="278"/>
        <v>7.3771115764296624E-2</v>
      </c>
      <c r="N231" s="288">
        <f t="shared" si="278"/>
        <v>-0.11532768547298378</v>
      </c>
      <c r="O231" s="288">
        <f t="shared" si="278"/>
        <v>8.8145396509788698E-2</v>
      </c>
      <c r="P231" s="288">
        <f t="shared" si="278"/>
        <v>0.10722621915946395</v>
      </c>
      <c r="Q231" s="372"/>
      <c r="R231" s="288"/>
      <c r="W231" s="373"/>
      <c r="X231" s="373"/>
      <c r="Y231" s="373"/>
      <c r="Z231" s="373"/>
      <c r="AA231" s="288"/>
      <c r="AB231" s="288"/>
      <c r="AC231" s="288"/>
      <c r="AD231" s="288"/>
      <c r="AE231" s="288">
        <f t="shared" ref="AE231:BM231" si="279">AE230/AA230-1</f>
        <v>0.27445340746580826</v>
      </c>
      <c r="AF231" s="288">
        <f t="shared" si="279"/>
        <v>0.18608380136479119</v>
      </c>
      <c r="AG231" s="288">
        <f t="shared" si="279"/>
        <v>7.408283456261322E-2</v>
      </c>
      <c r="AH231" s="288">
        <f t="shared" si="279"/>
        <v>-0.15647691728720292</v>
      </c>
      <c r="AI231" s="288">
        <f t="shared" si="279"/>
        <v>-0.10232202045137251</v>
      </c>
      <c r="AJ231" s="288">
        <f t="shared" si="279"/>
        <v>-5.8416676071489482E-2</v>
      </c>
      <c r="AK231" s="288">
        <f t="shared" si="279"/>
        <v>5.0208389441998458E-2</v>
      </c>
      <c r="AL231" s="288">
        <f t="shared" si="279"/>
        <v>7.2716534713206826E-2</v>
      </c>
      <c r="AM231" s="288">
        <f t="shared" si="279"/>
        <v>0.12978187881404835</v>
      </c>
      <c r="AN231" s="288">
        <f t="shared" si="279"/>
        <v>0.13242964236932475</v>
      </c>
      <c r="AO231" s="288">
        <f t="shared" si="279"/>
        <v>0.12140090280276916</v>
      </c>
      <c r="AP231" s="288">
        <f t="shared" si="279"/>
        <v>0.17853157959867016</v>
      </c>
      <c r="AQ231" s="288">
        <f t="shared" si="279"/>
        <v>0.23249041228104117</v>
      </c>
      <c r="AR231" s="288">
        <f t="shared" si="279"/>
        <v>0.17936459107919722</v>
      </c>
      <c r="AS231" s="288">
        <f t="shared" si="279"/>
        <v>0.2228198315322929</v>
      </c>
      <c r="AT231" s="288">
        <f t="shared" si="279"/>
        <v>0.41213751059052073</v>
      </c>
      <c r="AU231" s="288">
        <f t="shared" si="279"/>
        <v>0.45903517896323121</v>
      </c>
      <c r="AV231" s="288">
        <f t="shared" si="279"/>
        <v>0.15780125254486421</v>
      </c>
      <c r="AW231" s="288">
        <f t="shared" si="279"/>
        <v>1.0266784867287715E-3</v>
      </c>
      <c r="AX231" s="288">
        <f t="shared" si="279"/>
        <v>-0.19448464963041057</v>
      </c>
      <c r="AY231" s="288">
        <f t="shared" si="279"/>
        <v>-0.2977893882760988</v>
      </c>
      <c r="AZ231" s="288">
        <f t="shared" si="279"/>
        <v>-0.11866591593597409</v>
      </c>
      <c r="BA231" s="288">
        <f t="shared" si="279"/>
        <v>-2.6258902831875486E-2</v>
      </c>
      <c r="BB231" s="288">
        <f t="shared" si="279"/>
        <v>4.9984653321456074E-2</v>
      </c>
      <c r="BC231" s="288">
        <f t="shared" si="279"/>
        <v>1.788377454487633E-2</v>
      </c>
      <c r="BD231" s="288">
        <f t="shared" si="279"/>
        <v>4.5389288430331076E-2</v>
      </c>
      <c r="BE231" s="288">
        <f t="shared" si="279"/>
        <v>7.7816137887221082E-2</v>
      </c>
      <c r="BF231" s="288">
        <f t="shared" si="279"/>
        <v>0.18175789880816451</v>
      </c>
      <c r="BG231" s="288">
        <f t="shared" si="279"/>
        <v>0.17571325234891821</v>
      </c>
      <c r="BH231" s="288">
        <f t="shared" si="279"/>
        <v>0.1384042846453748</v>
      </c>
      <c r="BI231" s="288">
        <f t="shared" si="279"/>
        <v>0.17349968791305637</v>
      </c>
      <c r="BJ231" s="288">
        <f t="shared" si="279"/>
        <v>-1.4735149520780366E-3</v>
      </c>
      <c r="BK231" s="288">
        <f t="shared" si="279"/>
        <v>-0.10780471767777644</v>
      </c>
      <c r="BL231" s="288">
        <f t="shared" si="279"/>
        <v>-1.9983175174734469E-2</v>
      </c>
      <c r="BM231" s="288">
        <f t="shared" si="279"/>
        <v>-0.17657132018188215</v>
      </c>
      <c r="BN231" s="280"/>
      <c r="BO231" s="280"/>
      <c r="BP231" s="280"/>
      <c r="BQ231" s="280"/>
      <c r="BR231" s="280"/>
    </row>
    <row r="232" spans="1:73" ht="12.75" customHeight="1">
      <c r="B232" s="54"/>
      <c r="F232" s="48"/>
      <c r="H232" s="17"/>
      <c r="I232" s="17"/>
      <c r="J232" s="17"/>
      <c r="K232" s="17"/>
      <c r="L232" s="17"/>
      <c r="M232" s="17"/>
      <c r="N232" s="17"/>
      <c r="O232" s="17"/>
      <c r="P232" s="17"/>
      <c r="Q232" s="44"/>
      <c r="R232" s="17"/>
      <c r="W232" s="17"/>
      <c r="X232" s="17"/>
      <c r="Y232" s="17"/>
      <c r="Z232" s="17"/>
      <c r="AA232" s="17"/>
      <c r="AB232" s="17"/>
      <c r="AC232" s="17"/>
      <c r="AD232" s="17"/>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17"/>
      <c r="BK232" s="17"/>
      <c r="BL232" s="17"/>
      <c r="BM232" s="17"/>
      <c r="BN232" s="48"/>
      <c r="BO232" s="48"/>
      <c r="BP232" s="48"/>
      <c r="BQ232" s="48"/>
      <c r="BR232" s="48"/>
    </row>
    <row r="233" spans="1:73" ht="12.75" customHeight="1">
      <c r="B233" s="368" t="s">
        <v>560</v>
      </c>
      <c r="F233" s="383">
        <f>CORREL(H234:O234,H$196:O$196)</f>
        <v>0.80910485894011053</v>
      </c>
      <c r="G233" s="263">
        <v>6.6</v>
      </c>
      <c r="H233" s="263">
        <v>6.8</v>
      </c>
      <c r="I233" s="263">
        <v>9.3000000000000007</v>
      </c>
      <c r="J233" s="263">
        <v>8.6</v>
      </c>
      <c r="K233" s="263">
        <v>8.1999999999999993</v>
      </c>
      <c r="L233" s="263">
        <v>10.1</v>
      </c>
      <c r="M233" s="40">
        <v>13.5</v>
      </c>
      <c r="N233" s="40">
        <v>13.9</v>
      </c>
      <c r="O233" s="40">
        <v>12.9</v>
      </c>
      <c r="P233" s="17"/>
      <c r="Q233" s="44"/>
      <c r="R233" s="17"/>
      <c r="W233" s="17"/>
      <c r="X233" s="17"/>
      <c r="Y233" s="17"/>
      <c r="Z233" s="17"/>
      <c r="AA233" s="17"/>
      <c r="AB233" s="17"/>
      <c r="AC233" s="17"/>
      <c r="AD233" s="17"/>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17"/>
      <c r="BK233" s="17"/>
      <c r="BL233" s="17"/>
      <c r="BM233" s="17"/>
      <c r="BN233" s="48"/>
      <c r="BO233" s="48"/>
      <c r="BP233" s="48"/>
      <c r="BQ233" s="48"/>
      <c r="BR233" s="48"/>
    </row>
    <row r="234" spans="1:73" s="73" customFormat="1" ht="12.75" customHeight="1">
      <c r="B234" s="54" t="s">
        <v>141</v>
      </c>
      <c r="F234" s="280"/>
      <c r="G234" s="374"/>
      <c r="H234" s="288">
        <f t="shared" ref="H234:O234" si="280">H233/G233-1</f>
        <v>3.0303030303030276E-2</v>
      </c>
      <c r="I234" s="288">
        <f t="shared" si="280"/>
        <v>0.36764705882352966</v>
      </c>
      <c r="J234" s="288">
        <f t="shared" si="280"/>
        <v>-7.526881720430123E-2</v>
      </c>
      <c r="K234" s="288">
        <f t="shared" si="280"/>
        <v>-4.6511627906976827E-2</v>
      </c>
      <c r="L234" s="288">
        <f t="shared" si="280"/>
        <v>0.23170731707317072</v>
      </c>
      <c r="M234" s="288">
        <f t="shared" si="280"/>
        <v>0.33663366336633671</v>
      </c>
      <c r="N234" s="288">
        <f t="shared" si="280"/>
        <v>2.9629629629629672E-2</v>
      </c>
      <c r="O234" s="288">
        <f t="shared" si="280"/>
        <v>-7.1942446043165464E-2</v>
      </c>
      <c r="P234" s="288"/>
      <c r="Q234" s="372"/>
      <c r="R234" s="288"/>
      <c r="W234" s="288"/>
      <c r="X234" s="288"/>
      <c r="Y234" s="288"/>
      <c r="Z234" s="288"/>
      <c r="AA234" s="288"/>
      <c r="AB234" s="288"/>
      <c r="AC234" s="288"/>
      <c r="AD234" s="288"/>
      <c r="AE234" s="288"/>
      <c r="AF234" s="288"/>
      <c r="AG234" s="288"/>
      <c r="AH234" s="288"/>
      <c r="AI234" s="288"/>
      <c r="AJ234" s="288"/>
      <c r="AK234" s="288"/>
      <c r="AL234" s="288"/>
      <c r="AM234" s="288"/>
      <c r="AN234" s="288"/>
      <c r="AO234" s="288"/>
      <c r="AP234" s="288"/>
      <c r="AQ234" s="288"/>
      <c r="AR234" s="288"/>
      <c r="AS234" s="288"/>
      <c r="AT234" s="288"/>
      <c r="AU234" s="288"/>
      <c r="AV234" s="288"/>
      <c r="AW234" s="288"/>
      <c r="AX234" s="288"/>
      <c r="AY234" s="288"/>
      <c r="AZ234" s="288"/>
      <c r="BA234" s="288"/>
      <c r="BB234" s="288"/>
      <c r="BC234" s="288"/>
      <c r="BD234" s="288"/>
      <c r="BE234" s="288"/>
      <c r="BF234" s="288"/>
      <c r="BG234" s="288"/>
      <c r="BH234" s="288"/>
      <c r="BI234" s="288"/>
      <c r="BJ234" s="288"/>
      <c r="BK234" s="288"/>
      <c r="BL234" s="288"/>
      <c r="BM234" s="288"/>
      <c r="BN234" s="280"/>
      <c r="BO234" s="280"/>
      <c r="BP234" s="280"/>
      <c r="BQ234" s="280"/>
      <c r="BR234" s="280"/>
    </row>
    <row r="235" spans="1:73" ht="12.75" customHeight="1">
      <c r="B235" s="54"/>
      <c r="F235" s="48"/>
      <c r="H235" s="17"/>
      <c r="I235" s="17"/>
      <c r="J235" s="17"/>
      <c r="K235" s="17"/>
      <c r="L235" s="17"/>
      <c r="M235" s="17"/>
      <c r="N235" s="17"/>
      <c r="O235" s="17"/>
      <c r="P235" s="17"/>
      <c r="Q235" s="44"/>
      <c r="R235" s="17"/>
      <c r="W235" s="17"/>
      <c r="X235" s="17"/>
      <c r="Y235" s="17"/>
      <c r="Z235" s="17"/>
      <c r="AA235" s="17"/>
      <c r="AB235" s="17"/>
      <c r="AC235" s="17"/>
      <c r="AD235" s="17"/>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17"/>
      <c r="BK235" s="17"/>
      <c r="BL235" s="17"/>
      <c r="BM235" s="17"/>
      <c r="BN235" s="48"/>
      <c r="BO235" s="48"/>
      <c r="BP235" s="48"/>
      <c r="BQ235" s="48"/>
      <c r="BR235" s="48"/>
    </row>
    <row r="236" spans="1:73" ht="12.75" customHeight="1">
      <c r="B236" s="368" t="s">
        <v>559</v>
      </c>
      <c r="F236" s="383">
        <f>CORREL(H237:P237,H$196:P$196)</f>
        <v>0.61240611493294572</v>
      </c>
      <c r="G236" s="25">
        <v>9678.2000000000007</v>
      </c>
      <c r="H236" s="25">
        <v>10608.2</v>
      </c>
      <c r="I236" s="25">
        <v>11672</v>
      </c>
      <c r="J236" s="25">
        <v>11777.2</v>
      </c>
      <c r="K236" s="25">
        <v>13196</v>
      </c>
      <c r="L236" s="25">
        <v>14050.9</v>
      </c>
      <c r="M236" s="25">
        <v>14973.1</v>
      </c>
      <c r="N236" s="25">
        <v>13381.5</v>
      </c>
      <c r="O236" s="25">
        <v>13630.3</v>
      </c>
      <c r="P236" s="25">
        <v>14301.3</v>
      </c>
      <c r="Q236" s="25">
        <v>13334.4</v>
      </c>
      <c r="R236" s="25">
        <v>13796.8</v>
      </c>
      <c r="S236" s="25">
        <v>14290.5</v>
      </c>
      <c r="T236" s="25">
        <v>14796.7</v>
      </c>
      <c r="U236" s="25">
        <v>15301.3</v>
      </c>
      <c r="W236" s="17"/>
      <c r="X236" s="17"/>
      <c r="Y236" s="17"/>
      <c r="Z236" s="17"/>
      <c r="AA236" s="17"/>
      <c r="AB236" s="17"/>
      <c r="AC236" s="17"/>
      <c r="AD236" s="17"/>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17"/>
      <c r="BK236" s="17"/>
      <c r="BL236" s="17"/>
      <c r="BM236" s="17"/>
      <c r="BN236" s="48"/>
      <c r="BO236" s="48"/>
      <c r="BP236" s="48"/>
      <c r="BQ236" s="48"/>
      <c r="BR236" s="48"/>
    </row>
    <row r="237" spans="1:73" s="73" customFormat="1" ht="12.75" customHeight="1">
      <c r="B237" s="54" t="s">
        <v>141</v>
      </c>
      <c r="H237" s="288">
        <f t="shared" ref="H237:U237" si="281">H236/G236-1</f>
        <v>9.60922485586162E-2</v>
      </c>
      <c r="I237" s="288">
        <f t="shared" si="281"/>
        <v>0.10028091476405043</v>
      </c>
      <c r="J237" s="288">
        <f t="shared" si="281"/>
        <v>9.0130226182316697E-3</v>
      </c>
      <c r="K237" s="288">
        <f t="shared" si="281"/>
        <v>0.12047006079543521</v>
      </c>
      <c r="L237" s="288">
        <f t="shared" si="281"/>
        <v>6.4784783267656909E-2</v>
      </c>
      <c r="M237" s="288">
        <f t="shared" si="281"/>
        <v>6.5632806439445135E-2</v>
      </c>
      <c r="N237" s="288">
        <f t="shared" si="281"/>
        <v>-0.10629729314570802</v>
      </c>
      <c r="O237" s="288">
        <f t="shared" si="281"/>
        <v>1.8592833389380781E-2</v>
      </c>
      <c r="P237" s="288">
        <f t="shared" si="281"/>
        <v>4.9228556964997061E-2</v>
      </c>
      <c r="Q237" s="288">
        <f t="shared" si="281"/>
        <v>-6.7609238320991749E-2</v>
      </c>
      <c r="R237" s="288">
        <f t="shared" si="281"/>
        <v>3.467722582193411E-2</v>
      </c>
      <c r="S237" s="288">
        <f t="shared" si="281"/>
        <v>3.5783659979125693E-2</v>
      </c>
      <c r="T237" s="288">
        <f t="shared" si="281"/>
        <v>3.5422133585248927E-2</v>
      </c>
      <c r="U237" s="288">
        <f t="shared" si="281"/>
        <v>3.4102198463170641E-2</v>
      </c>
      <c r="W237" s="288"/>
      <c r="X237" s="288"/>
      <c r="Y237" s="288"/>
      <c r="Z237" s="288"/>
      <c r="AA237" s="288"/>
      <c r="AB237" s="288"/>
      <c r="AC237" s="288"/>
      <c r="AD237" s="288"/>
      <c r="AE237" s="288"/>
      <c r="AF237" s="288"/>
      <c r="AG237" s="288"/>
      <c r="AH237" s="288"/>
      <c r="AI237" s="288"/>
      <c r="AJ237" s="288"/>
      <c r="AK237" s="288"/>
      <c r="AL237" s="288"/>
      <c r="AM237" s="288"/>
      <c r="AN237" s="288"/>
      <c r="AO237" s="288"/>
      <c r="AP237" s="288"/>
      <c r="AQ237" s="288"/>
      <c r="AR237" s="288"/>
      <c r="AS237" s="288"/>
      <c r="AT237" s="288"/>
      <c r="AU237" s="288"/>
      <c r="AV237" s="288"/>
      <c r="AW237" s="288"/>
      <c r="AX237" s="288"/>
      <c r="AY237" s="288"/>
      <c r="AZ237" s="288"/>
      <c r="BA237" s="288"/>
      <c r="BB237" s="288"/>
      <c r="BC237" s="288"/>
      <c r="BD237" s="288"/>
      <c r="BE237" s="288"/>
      <c r="BF237" s="288"/>
      <c r="BG237" s="288"/>
      <c r="BH237" s="288"/>
      <c r="BI237" s="288"/>
      <c r="BJ237" s="288"/>
      <c r="BK237" s="288"/>
      <c r="BL237" s="288"/>
      <c r="BM237" s="288"/>
      <c r="BN237" s="280"/>
      <c r="BO237" s="280"/>
      <c r="BP237" s="280"/>
      <c r="BQ237" s="280"/>
      <c r="BR237" s="280"/>
    </row>
    <row r="238" spans="1:73" ht="12.75" customHeight="1">
      <c r="B238" s="54"/>
      <c r="H238" s="17"/>
      <c r="I238" s="17"/>
      <c r="J238" s="17"/>
      <c r="K238" s="17"/>
      <c r="L238" s="17"/>
      <c r="M238" s="17"/>
      <c r="N238" s="17"/>
      <c r="O238" s="17"/>
      <c r="P238" s="17"/>
      <c r="Q238" s="44"/>
      <c r="R238" s="17"/>
      <c r="W238" s="17"/>
      <c r="X238" s="17"/>
      <c r="Y238" s="17"/>
      <c r="Z238" s="17"/>
      <c r="AA238" s="17"/>
      <c r="AB238" s="17"/>
      <c r="AC238" s="17"/>
      <c r="AD238" s="17"/>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17"/>
      <c r="BK238" s="17"/>
      <c r="BL238" s="48"/>
      <c r="BM238" s="48"/>
      <c r="BN238" s="48"/>
      <c r="BO238" s="48"/>
      <c r="BP238" s="48"/>
      <c r="BQ238" s="48"/>
      <c r="BR238" s="48"/>
    </row>
    <row r="239" spans="1:73" ht="12.75" customHeight="1">
      <c r="A239" s="5" t="s">
        <v>150</v>
      </c>
      <c r="B239" s="33" t="s">
        <v>532</v>
      </c>
      <c r="C239" s="28"/>
      <c r="D239" s="28"/>
      <c r="E239" s="28"/>
      <c r="F239" s="28"/>
      <c r="G239" s="28"/>
      <c r="H239" s="28"/>
      <c r="I239" s="28"/>
      <c r="J239" s="28"/>
      <c r="K239" s="28"/>
      <c r="L239" s="28"/>
      <c r="M239" s="28"/>
      <c r="N239" s="28"/>
      <c r="O239" s="28"/>
      <c r="P239" s="28"/>
      <c r="Q239" s="28"/>
      <c r="R239" s="28"/>
      <c r="S239" s="28"/>
      <c r="T239" s="28"/>
      <c r="U239" s="28"/>
      <c r="V239" s="28"/>
      <c r="W239" s="33"/>
      <c r="X239" s="33"/>
      <c r="Y239" s="33"/>
      <c r="Z239" s="33"/>
      <c r="AA239" s="33"/>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row>
    <row r="240" spans="1:73" s="34" customFormat="1" ht="12.75" customHeight="1">
      <c r="B240" s="192" t="s">
        <v>97</v>
      </c>
      <c r="C240" s="51"/>
      <c r="D240" s="51"/>
      <c r="E240" s="45"/>
      <c r="F240" s="45"/>
      <c r="G240" s="90"/>
      <c r="H240" s="90"/>
      <c r="I240" s="90"/>
      <c r="J240" s="90"/>
      <c r="K240" s="90"/>
      <c r="L240" s="90"/>
      <c r="M240" s="90"/>
      <c r="N240" s="90"/>
      <c r="O240" s="90"/>
      <c r="P240" s="90">
        <f t="shared" ref="P240:U240" si="282">P253+P244</f>
        <v>-49.300000000000004</v>
      </c>
      <c r="Q240" s="90">
        <f t="shared" si="282"/>
        <v>-68.30000000000004</v>
      </c>
      <c r="R240" s="90">
        <f t="shared" si="282"/>
        <v>-95.86428373892133</v>
      </c>
      <c r="S240" s="90">
        <f t="shared" si="282"/>
        <v>-107.14390184348058</v>
      </c>
      <c r="T240" s="90">
        <f t="shared" si="282"/>
        <v>-119.89678936726997</v>
      </c>
      <c r="U240" s="90">
        <f t="shared" si="282"/>
        <v>-132.75181650024695</v>
      </c>
      <c r="V240" s="36"/>
      <c r="W240" s="47"/>
      <c r="X240" s="47"/>
      <c r="Y240" s="47"/>
      <c r="Z240" s="47"/>
      <c r="AA240" s="47"/>
      <c r="AB240" s="47"/>
      <c r="AC240" s="47"/>
      <c r="AD240" s="47"/>
      <c r="AE240" s="47"/>
      <c r="AF240" s="47"/>
      <c r="AG240" s="47"/>
      <c r="AH240" s="47"/>
      <c r="AI240" s="47"/>
      <c r="AJ240" s="47"/>
      <c r="AK240" s="47"/>
      <c r="AL240" s="47"/>
      <c r="AM240" s="47"/>
      <c r="AN240" s="47"/>
      <c r="AO240" s="47"/>
      <c r="AP240" s="47"/>
      <c r="AQ240" s="47"/>
      <c r="AR240" s="47"/>
      <c r="AS240" s="47"/>
      <c r="AT240" s="47"/>
      <c r="AU240" s="47"/>
      <c r="AV240" s="47"/>
      <c r="AW240" s="47"/>
      <c r="AX240" s="47"/>
      <c r="AY240" s="47"/>
      <c r="AZ240" s="47"/>
      <c r="BA240" s="47"/>
      <c r="BB240" s="47"/>
      <c r="BC240" s="47"/>
      <c r="BD240" s="47"/>
      <c r="BE240" s="47"/>
      <c r="BF240" s="90">
        <f t="shared" ref="BF240:BN240" si="283">BF253+BF244</f>
        <v>-0.99999999999999423</v>
      </c>
      <c r="BG240" s="90">
        <f t="shared" si="283"/>
        <v>-18.700000000000031</v>
      </c>
      <c r="BH240" s="90">
        <f t="shared" si="283"/>
        <v>-12.39999999999997</v>
      </c>
      <c r="BI240" s="90">
        <f t="shared" si="283"/>
        <v>-11.700000000000038</v>
      </c>
      <c r="BJ240" s="90">
        <f t="shared" si="283"/>
        <v>-6.4999999999999556</v>
      </c>
      <c r="BK240" s="90">
        <f t="shared" si="283"/>
        <v>-22.900000000000006</v>
      </c>
      <c r="BL240" s="90">
        <f t="shared" si="283"/>
        <v>-17.300000000000011</v>
      </c>
      <c r="BM240" s="90">
        <f t="shared" si="283"/>
        <v>-15.700000000000017</v>
      </c>
      <c r="BN240" s="90">
        <f t="shared" si="283"/>
        <v>-12.400000000000016</v>
      </c>
      <c r="BO240" s="90">
        <f t="shared" ref="BO240:BR240" si="284">BO253+BO244</f>
        <v>-22.478204616442738</v>
      </c>
      <c r="BP240" s="90">
        <f t="shared" si="284"/>
        <v>-23.870506511397565</v>
      </c>
      <c r="BQ240" s="90">
        <f t="shared" si="284"/>
        <v>-24.583193583144137</v>
      </c>
      <c r="BR240" s="90">
        <f t="shared" si="284"/>
        <v>-24.932379027936882</v>
      </c>
    </row>
    <row r="241" spans="1:73" s="34" customFormat="1" ht="12.75" customHeight="1">
      <c r="B241" s="54" t="s">
        <v>189</v>
      </c>
      <c r="C241" s="51"/>
      <c r="D241" s="51"/>
      <c r="E241" s="45"/>
      <c r="F241" s="45"/>
      <c r="G241" s="47"/>
      <c r="H241" s="47"/>
      <c r="I241" s="47"/>
      <c r="J241" s="47"/>
      <c r="K241" s="47"/>
      <c r="L241" s="47"/>
      <c r="M241" s="47"/>
      <c r="N241" s="47"/>
      <c r="O241" s="47"/>
      <c r="P241" s="390">
        <f t="shared" ref="P241:U241" si="285">+P240/P$7</f>
        <v>-8.881922675026124E-3</v>
      </c>
      <c r="Q241" s="390">
        <f t="shared" si="285"/>
        <v>-1.0895922404441332E-2</v>
      </c>
      <c r="R241" s="390">
        <f t="shared" si="285"/>
        <v>-1.3731281374248288E-2</v>
      </c>
      <c r="S241" s="390">
        <f t="shared" si="285"/>
        <v>-1.4731281374248286E-2</v>
      </c>
      <c r="T241" s="390">
        <f t="shared" si="285"/>
        <v>-1.5731281374248288E-2</v>
      </c>
      <c r="U241" s="390">
        <f t="shared" si="285"/>
        <v>-1.6731281374248289E-2</v>
      </c>
      <c r="V241" s="36"/>
      <c r="W241" s="47"/>
      <c r="X241" s="47"/>
      <c r="Y241" s="47"/>
      <c r="Z241" s="47"/>
      <c r="AA241" s="47"/>
      <c r="AB241" s="47"/>
      <c r="AC241" s="47"/>
      <c r="AD241" s="47"/>
      <c r="AE241" s="47"/>
      <c r="AF241" s="47"/>
      <c r="AG241" s="47"/>
      <c r="AH241" s="47"/>
      <c r="AI241" s="47"/>
      <c r="AJ241" s="47"/>
      <c r="AK241" s="47"/>
      <c r="AL241" s="47"/>
      <c r="AM241" s="47"/>
      <c r="AN241" s="47"/>
      <c r="AO241" s="47"/>
      <c r="AP241" s="47"/>
      <c r="AQ241" s="47"/>
      <c r="AR241" s="47"/>
      <c r="AS241" s="47"/>
      <c r="AT241" s="47"/>
      <c r="AU241" s="47"/>
      <c r="AV241" s="47"/>
      <c r="AW241" s="47"/>
      <c r="AX241" s="47"/>
      <c r="AY241" s="47"/>
      <c r="AZ241" s="47"/>
      <c r="BA241" s="47"/>
      <c r="BB241" s="47"/>
      <c r="BC241" s="47"/>
      <c r="BD241" s="47"/>
      <c r="BE241" s="47"/>
      <c r="BF241" s="390">
        <f t="shared" ref="BF241:BN241" si="286">+BF240/BF$7</f>
        <v>-7.8901688496133351E-4</v>
      </c>
      <c r="BG241" s="390">
        <f t="shared" si="286"/>
        <v>-1.3870345646046603E-2</v>
      </c>
      <c r="BH241" s="390">
        <f t="shared" si="286"/>
        <v>-9.0909090909090697E-3</v>
      </c>
      <c r="BI241" s="390">
        <f t="shared" si="286"/>
        <v>-8.0539684724995099E-3</v>
      </c>
      <c r="BJ241" s="390">
        <f t="shared" si="286"/>
        <v>-4.6907700079381939E-3</v>
      </c>
      <c r="BK241" s="390">
        <f t="shared" si="286"/>
        <v>-1.4612979388679731E-2</v>
      </c>
      <c r="BL241" s="390">
        <f t="shared" si="286"/>
        <v>-1.1333114968883073E-2</v>
      </c>
      <c r="BM241" s="390">
        <f t="shared" si="286"/>
        <v>-1.0097112354492262E-2</v>
      </c>
      <c r="BN241" s="390">
        <f t="shared" si="286"/>
        <v>-7.6547935057719712E-3</v>
      </c>
      <c r="BO241" s="390">
        <f t="shared" ref="BO241:BR241" si="287">+BO240/BO$7</f>
        <v>-1.3515355216878942E-2</v>
      </c>
      <c r="BP241" s="390">
        <f t="shared" si="287"/>
        <v>-1.3718025703125107E-2</v>
      </c>
      <c r="BQ241" s="390">
        <f t="shared" si="287"/>
        <v>-1.3814987875873064E-2</v>
      </c>
      <c r="BR241" s="390">
        <f t="shared" si="287"/>
        <v>-1.3860945625212215E-2</v>
      </c>
    </row>
    <row r="242" spans="1:73">
      <c r="B242" s="54" t="s">
        <v>141</v>
      </c>
      <c r="Q242" s="63">
        <f>Q240/P240-1</f>
        <v>0.38539553752535571</v>
      </c>
      <c r="R242" s="63">
        <f>R240/Q240-1</f>
        <v>0.40357662868113131</v>
      </c>
      <c r="S242" s="63">
        <f>S240/R240-1</f>
        <v>0.11766236250487605</v>
      </c>
      <c r="T242" s="63">
        <f>T240/S240-1</f>
        <v>0.1190257896564122</v>
      </c>
      <c r="U242" s="63">
        <f>U240/T240-1</f>
        <v>0.10721744260890276</v>
      </c>
      <c r="BI242" s="390"/>
      <c r="BJ242" s="390">
        <f t="shared" ref="BJ242:BR242" si="288">BJ240/BF240-1</f>
        <v>5.4999999999999929</v>
      </c>
      <c r="BK242" s="390">
        <f t="shared" si="288"/>
        <v>0.22459893048128166</v>
      </c>
      <c r="BL242" s="390">
        <f t="shared" si="288"/>
        <v>0.39516129032258496</v>
      </c>
      <c r="BM242" s="390">
        <f t="shared" si="288"/>
        <v>0.34188034188033889</v>
      </c>
      <c r="BN242" s="390">
        <f t="shared" si="288"/>
        <v>0.90769230769232334</v>
      </c>
      <c r="BO242" s="390">
        <f t="shared" si="288"/>
        <v>-1.8419012382413391E-2</v>
      </c>
      <c r="BP242" s="390">
        <f t="shared" si="288"/>
        <v>0.37979806424263285</v>
      </c>
      <c r="BQ242" s="390">
        <f t="shared" si="288"/>
        <v>0.56580850848051667</v>
      </c>
      <c r="BR242" s="390">
        <f t="shared" si="288"/>
        <v>1.0106757280594234</v>
      </c>
      <c r="BS242" s="17"/>
      <c r="BU242" s="17"/>
    </row>
    <row r="243" spans="1:73">
      <c r="BH243" s="76"/>
      <c r="BK243" s="76"/>
      <c r="BL243" s="76"/>
      <c r="BM243" s="17"/>
      <c r="BS243" s="17"/>
      <c r="BT243" s="78"/>
      <c r="BU243" s="17"/>
    </row>
    <row r="244" spans="1:73" s="34" customFormat="1" ht="12.75" customHeight="1">
      <c r="B244" s="103" t="s">
        <v>107</v>
      </c>
      <c r="C244" s="51"/>
      <c r="D244" s="51"/>
      <c r="E244" s="45"/>
      <c r="F244" s="45"/>
      <c r="H244" s="51"/>
      <c r="I244" s="51"/>
      <c r="J244" s="51"/>
      <c r="K244" s="89"/>
      <c r="L244" s="51"/>
      <c r="M244" s="51"/>
      <c r="N244" s="51"/>
      <c r="O244" s="51"/>
      <c r="P244" s="51">
        <f>SUM(BG244:BJ244)</f>
        <v>6.9000000000000057</v>
      </c>
      <c r="Q244" s="51">
        <f>SUM(BK244:BN244)</f>
        <v>12.899999999999949</v>
      </c>
      <c r="R244" s="51">
        <f>SUM(BO244:BR244)</f>
        <v>13</v>
      </c>
      <c r="S244" s="51">
        <f>S245*S7</f>
        <v>13.543300673169087</v>
      </c>
      <c r="T244" s="51">
        <f>T245*T7</f>
        <v>14.191916317644974</v>
      </c>
      <c r="U244" s="51">
        <f>U245*U7</f>
        <v>14.774366109760349</v>
      </c>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c r="AX244" s="105"/>
      <c r="AY244" s="105"/>
      <c r="AZ244" s="105"/>
      <c r="BA244" s="105"/>
      <c r="BB244" s="105"/>
      <c r="BC244" s="392"/>
      <c r="BD244" s="392"/>
      <c r="BE244" s="392"/>
      <c r="BF244" s="393">
        <f t="shared" ref="BF244:BN244" si="289">BF20</f>
        <v>0.90000000000000568</v>
      </c>
      <c r="BG244" s="393">
        <f t="shared" si="289"/>
        <v>1.4999999999999716</v>
      </c>
      <c r="BH244" s="393">
        <f t="shared" si="289"/>
        <v>1.5000000000000284</v>
      </c>
      <c r="BI244" s="393">
        <f t="shared" si="289"/>
        <v>1.6999999999999602</v>
      </c>
      <c r="BJ244" s="393">
        <f t="shared" si="289"/>
        <v>2.2000000000000455</v>
      </c>
      <c r="BK244" s="393">
        <f t="shared" si="289"/>
        <v>3.1999999999999886</v>
      </c>
      <c r="BL244" s="393">
        <f t="shared" si="289"/>
        <v>3.1999999999999886</v>
      </c>
      <c r="BM244" s="393">
        <f t="shared" si="289"/>
        <v>3.1999999999999886</v>
      </c>
      <c r="BN244" s="393">
        <f t="shared" si="289"/>
        <v>3.2999999999999829</v>
      </c>
      <c r="BO244" s="394">
        <f>+BO245*BO7</f>
        <v>3.2500000000000004</v>
      </c>
      <c r="BP244" s="394">
        <f>+BP245*BP7</f>
        <v>3.25</v>
      </c>
      <c r="BQ244" s="394">
        <f>+BQ245*BQ7</f>
        <v>3.25</v>
      </c>
      <c r="BR244" s="394">
        <f>+BR245*BR7</f>
        <v>3.25</v>
      </c>
    </row>
    <row r="245" spans="1:73" s="34" customFormat="1" ht="12.75" customHeight="1">
      <c r="B245" s="54" t="s">
        <v>551</v>
      </c>
      <c r="C245" s="51"/>
      <c r="D245" s="51"/>
      <c r="E245" s="45"/>
      <c r="F245" s="45"/>
      <c r="G245" s="36"/>
      <c r="H245" s="45"/>
      <c r="I245" s="45"/>
      <c r="J245" s="45"/>
      <c r="K245" s="47"/>
      <c r="L245" s="45"/>
      <c r="M245" s="45"/>
      <c r="N245" s="45"/>
      <c r="O245" s="45"/>
      <c r="P245" s="390">
        <f>+P244/P$7</f>
        <v>1.2431088530969634E-3</v>
      </c>
      <c r="Q245" s="390">
        <f>+Q244/Q$7</f>
        <v>2.0579414204581633E-3</v>
      </c>
      <c r="R245" s="390">
        <f>+R244/R$7</f>
        <v>1.8620767913040093E-3</v>
      </c>
      <c r="S245" s="125">
        <f>+R245</f>
        <v>1.8620767913040093E-3</v>
      </c>
      <c r="T245" s="125">
        <f>+S245</f>
        <v>1.8620767913040093E-3</v>
      </c>
      <c r="U245" s="125">
        <f>+T245</f>
        <v>1.8620767913040093E-3</v>
      </c>
      <c r="V245" s="36"/>
      <c r="W245" s="41"/>
      <c r="X245" s="41"/>
      <c r="Y245" s="41"/>
      <c r="Z245" s="41"/>
      <c r="AA245" s="41"/>
      <c r="AB245" s="41"/>
      <c r="AC245" s="41"/>
      <c r="AD245" s="41"/>
      <c r="AE245" s="41"/>
      <c r="AF245" s="41"/>
      <c r="AG245" s="41"/>
      <c r="AH245" s="41"/>
      <c r="AI245" s="41"/>
      <c r="AJ245" s="41"/>
      <c r="AK245" s="41"/>
      <c r="AL245" s="41"/>
      <c r="AM245" s="41"/>
      <c r="AN245" s="41"/>
      <c r="AO245" s="41"/>
      <c r="AP245" s="41"/>
      <c r="AQ245" s="41"/>
      <c r="AR245" s="41"/>
      <c r="AS245" s="41"/>
      <c r="AT245" s="41"/>
      <c r="AU245" s="41"/>
      <c r="AV245" s="41"/>
      <c r="AW245" s="41"/>
      <c r="AX245" s="41"/>
      <c r="AY245" s="41"/>
      <c r="AZ245" s="41"/>
      <c r="BA245" s="41"/>
      <c r="BB245" s="41"/>
      <c r="BC245" s="113"/>
      <c r="BD245" s="113"/>
      <c r="BE245" s="113"/>
      <c r="BF245" s="390">
        <f>+BF244/BF$7</f>
        <v>7.1011519646520878E-4</v>
      </c>
      <c r="BG245" s="390">
        <f t="shared" ref="BG245:BN245" si="290">+BG244/BG$7</f>
        <v>1.1125945705384747E-3</v>
      </c>
      <c r="BH245" s="390">
        <f t="shared" si="290"/>
        <v>1.0997067448680561E-3</v>
      </c>
      <c r="BI245" s="390">
        <f t="shared" si="290"/>
        <v>1.1702347353204103E-3</v>
      </c>
      <c r="BJ245" s="390">
        <f t="shared" si="290"/>
        <v>1.5876452334560478E-3</v>
      </c>
      <c r="BK245" s="390">
        <f t="shared" si="290"/>
        <v>2.0419883861910464E-3</v>
      </c>
      <c r="BL245" s="390">
        <f t="shared" si="290"/>
        <v>2.0962987225679585E-3</v>
      </c>
      <c r="BM245" s="390">
        <f t="shared" si="290"/>
        <v>2.0580101614251648E-3</v>
      </c>
      <c r="BN245" s="390">
        <f t="shared" si="290"/>
        <v>2.0371627878263982E-3</v>
      </c>
      <c r="BO245" s="335">
        <f>3.25/BO7</f>
        <v>1.9541108911663536E-3</v>
      </c>
      <c r="BP245" s="335">
        <f>3.25/BP7</f>
        <v>1.86772674948766E-3</v>
      </c>
      <c r="BQ245" s="335">
        <f>3.25/BQ7</f>
        <v>1.826398610283612E-3</v>
      </c>
      <c r="BR245" s="335">
        <f>3.25/BR7</f>
        <v>1.8068100613849588E-3</v>
      </c>
    </row>
    <row r="246" spans="1:73" s="34" customFormat="1" ht="12.75" customHeight="1">
      <c r="B246" s="103"/>
      <c r="C246" s="51"/>
      <c r="D246" s="51"/>
      <c r="E246" s="45"/>
      <c r="F246" s="45"/>
      <c r="G246" s="36"/>
      <c r="H246" s="45"/>
      <c r="I246" s="45"/>
      <c r="J246" s="45"/>
      <c r="K246" s="47"/>
      <c r="L246" s="45"/>
      <c r="M246" s="45"/>
      <c r="N246" s="45"/>
      <c r="O246" s="45"/>
      <c r="P246" s="45"/>
      <c r="Q246" s="45"/>
      <c r="R246" s="45"/>
      <c r="S246" s="45"/>
      <c r="T246" s="45"/>
      <c r="U246" s="45"/>
      <c r="V246" s="36"/>
      <c r="W246" s="41"/>
      <c r="X246" s="41"/>
      <c r="Y246" s="41"/>
      <c r="Z246" s="41"/>
      <c r="AA246" s="41"/>
      <c r="AB246" s="41"/>
      <c r="AC246" s="41"/>
      <c r="AD246" s="41"/>
      <c r="AE246" s="41"/>
      <c r="AF246" s="41"/>
      <c r="AG246" s="41"/>
      <c r="AH246" s="41"/>
      <c r="AI246" s="41"/>
      <c r="AJ246" s="41"/>
      <c r="AK246" s="41"/>
      <c r="AL246" s="41"/>
      <c r="AM246" s="41"/>
      <c r="AN246" s="41"/>
      <c r="AO246" s="41"/>
      <c r="AP246" s="41"/>
      <c r="AQ246" s="41"/>
      <c r="AR246" s="41"/>
      <c r="AS246" s="41"/>
      <c r="AT246" s="41"/>
      <c r="AU246" s="41"/>
      <c r="AV246" s="41"/>
      <c r="AW246" s="41"/>
      <c r="AX246" s="41"/>
      <c r="AY246" s="41"/>
      <c r="AZ246" s="41"/>
      <c r="BA246" s="41"/>
      <c r="BB246" s="41"/>
      <c r="BC246" s="113"/>
      <c r="BD246" s="113"/>
      <c r="BE246" s="113"/>
      <c r="BF246" s="345"/>
      <c r="BG246" s="345"/>
      <c r="BH246" s="345"/>
      <c r="BI246" s="345"/>
      <c r="BJ246" s="345"/>
      <c r="BK246" s="345"/>
      <c r="BL246" s="345"/>
      <c r="BM246" s="47"/>
      <c r="BN246" s="47"/>
      <c r="BO246" s="47"/>
      <c r="BP246" s="47"/>
      <c r="BQ246" s="47"/>
      <c r="BR246" s="47"/>
    </row>
    <row r="247" spans="1:73" s="34" customFormat="1" ht="12.75" customHeight="1">
      <c r="B247" s="89" t="s">
        <v>257</v>
      </c>
      <c r="G247" s="34">
        <f t="shared" ref="G247:G252" si="291">SUM(W247:Z247)</f>
        <v>-3.8999999999999995</v>
      </c>
      <c r="H247" s="51">
        <f t="shared" ref="H247:H252" si="292">SUM(AA247:AD247)</f>
        <v>14.8</v>
      </c>
      <c r="I247" s="51">
        <f t="shared" ref="I247:I252" si="293">SUM(AE247:AH247)</f>
        <v>22.3</v>
      </c>
      <c r="J247" s="51">
        <f t="shared" ref="J247:J252" si="294">SUM(AI247:AL247)</f>
        <v>24.6</v>
      </c>
      <c r="K247" s="89">
        <f t="shared" ref="K247:K252" si="295">SUM(AM247:AP247)</f>
        <v>27.8</v>
      </c>
      <c r="L247" s="51">
        <f t="shared" ref="L247:L252" si="296">SUM(AQ247:AT247)</f>
        <v>27.2</v>
      </c>
      <c r="M247" s="51">
        <f t="shared" ref="M247:M252" si="297">SUM(AU247:AX247)</f>
        <v>26.6</v>
      </c>
      <c r="N247" s="51">
        <f t="shared" ref="N247:N252" si="298">SUM(AY247:BB247)</f>
        <v>32.400000000000006</v>
      </c>
      <c r="O247" s="51">
        <f t="shared" ref="O247:O252" si="299">SUM(BC247:BF247)</f>
        <v>35.200000000000003</v>
      </c>
      <c r="P247" s="51">
        <f t="shared" ref="P247:P252" si="300">SUM(BG247:BJ247)</f>
        <v>53.599999999999994</v>
      </c>
      <c r="Q247" s="51">
        <f t="shared" ref="Q247:Q252" si="301">SUM(BK247:BN247)</f>
        <v>42.7</v>
      </c>
      <c r="R247" s="51">
        <f t="shared" ref="R247:R252" si="302">SUM(BO247:BR247)</f>
        <v>35</v>
      </c>
      <c r="S247" s="51"/>
      <c r="T247" s="51"/>
      <c r="U247" s="51"/>
      <c r="W247" s="105">
        <v>-1.5</v>
      </c>
      <c r="X247" s="105">
        <v>-2</v>
      </c>
      <c r="Y247" s="105">
        <v>-0.6</v>
      </c>
      <c r="Z247" s="105">
        <v>0.2</v>
      </c>
      <c r="AA247" s="105">
        <v>4.5</v>
      </c>
      <c r="AB247" s="105">
        <v>3.6</v>
      </c>
      <c r="AC247" s="105">
        <v>5.2</v>
      </c>
      <c r="AD247" s="105">
        <v>1.5</v>
      </c>
      <c r="AE247" s="105">
        <v>4.8</v>
      </c>
      <c r="AF247" s="105">
        <v>5.7</v>
      </c>
      <c r="AG247" s="105">
        <v>6.3</v>
      </c>
      <c r="AH247" s="105">
        <v>5.5</v>
      </c>
      <c r="AI247" s="105">
        <v>4.7</v>
      </c>
      <c r="AJ247" s="105">
        <v>6.5</v>
      </c>
      <c r="AK247" s="105">
        <v>7</v>
      </c>
      <c r="AL247" s="105">
        <v>6.4</v>
      </c>
      <c r="AM247" s="105">
        <v>6.7</v>
      </c>
      <c r="AN247" s="105">
        <v>7.2</v>
      </c>
      <c r="AO247" s="105">
        <v>6.9</v>
      </c>
      <c r="AP247" s="105">
        <v>7</v>
      </c>
      <c r="AQ247" s="105">
        <v>6.3</v>
      </c>
      <c r="AR247" s="105">
        <v>7</v>
      </c>
      <c r="AS247" s="105">
        <v>7.2</v>
      </c>
      <c r="AT247" s="105">
        <v>6.7</v>
      </c>
      <c r="AU247" s="105">
        <v>6.3</v>
      </c>
      <c r="AV247" s="105">
        <v>6.4</v>
      </c>
      <c r="AW247" s="105">
        <v>7.3</v>
      </c>
      <c r="AX247" s="105">
        <v>6.6</v>
      </c>
      <c r="AY247" s="105">
        <v>7.9</v>
      </c>
      <c r="AZ247" s="105">
        <v>7.5</v>
      </c>
      <c r="BA247" s="105">
        <v>8.8000000000000007</v>
      </c>
      <c r="BB247" s="105">
        <v>8.1999999999999993</v>
      </c>
      <c r="BC247" s="105">
        <v>7.1</v>
      </c>
      <c r="BD247" s="105">
        <v>7.4</v>
      </c>
      <c r="BE247" s="105">
        <v>7.3</v>
      </c>
      <c r="BF247" s="105">
        <v>13.4</v>
      </c>
      <c r="BG247" s="105">
        <v>12.2</v>
      </c>
      <c r="BH247" s="105">
        <v>12.6</v>
      </c>
      <c r="BI247" s="105">
        <v>15.4</v>
      </c>
      <c r="BJ247" s="105">
        <v>13.4</v>
      </c>
      <c r="BK247" s="105">
        <v>10.3</v>
      </c>
      <c r="BL247" s="105">
        <v>10.7</v>
      </c>
      <c r="BM247" s="105">
        <v>11.1</v>
      </c>
      <c r="BN247" s="105">
        <v>10.6</v>
      </c>
      <c r="BO247" s="105">
        <v>8.75</v>
      </c>
      <c r="BP247" s="105">
        <v>8.75</v>
      </c>
      <c r="BQ247" s="105">
        <v>8.75</v>
      </c>
      <c r="BR247" s="105">
        <v>8.75</v>
      </c>
    </row>
    <row r="248" spans="1:73" s="34" customFormat="1" ht="12.75" customHeight="1">
      <c r="B248" s="89" t="s">
        <v>258</v>
      </c>
      <c r="E248" s="36"/>
      <c r="F248" s="36"/>
      <c r="G248" s="36">
        <f t="shared" si="291"/>
        <v>-37.9</v>
      </c>
      <c r="H248" s="45">
        <f t="shared" si="292"/>
        <v>-27.7</v>
      </c>
      <c r="I248" s="45">
        <f t="shared" si="293"/>
        <v>58</v>
      </c>
      <c r="J248" s="45">
        <f t="shared" si="294"/>
        <v>-9.1000000000000014</v>
      </c>
      <c r="K248" s="47">
        <f t="shared" si="295"/>
        <v>-7.9</v>
      </c>
      <c r="L248" s="45">
        <f t="shared" si="296"/>
        <v>-8.2999999999999989</v>
      </c>
      <c r="M248" s="45">
        <f t="shared" si="297"/>
        <v>-10.199999999999999</v>
      </c>
      <c r="N248" s="45">
        <f t="shared" si="298"/>
        <v>-8.2000000000000011</v>
      </c>
      <c r="O248" s="45">
        <f t="shared" si="299"/>
        <v>-15.7</v>
      </c>
      <c r="P248" s="45">
        <f t="shared" si="300"/>
        <v>-9.1999999999999993</v>
      </c>
      <c r="Q248" s="45">
        <f t="shared" si="301"/>
        <v>-8.5</v>
      </c>
      <c r="R248" s="45">
        <f t="shared" si="302"/>
        <v>-17.5</v>
      </c>
      <c r="S248" s="45"/>
      <c r="T248" s="45"/>
      <c r="U248" s="45"/>
      <c r="V248" s="36"/>
      <c r="W248" s="41">
        <v>-6.1</v>
      </c>
      <c r="X248" s="41">
        <v>-7</v>
      </c>
      <c r="Y248" s="41">
        <v>-16.2</v>
      </c>
      <c r="Z248" s="41">
        <v>-8.6</v>
      </c>
      <c r="AA248" s="41">
        <v>-5.0999999999999996</v>
      </c>
      <c r="AB248" s="41">
        <v>-9.6999999999999993</v>
      </c>
      <c r="AC248" s="41">
        <v>-6.4</v>
      </c>
      <c r="AD248" s="41">
        <v>-6.5</v>
      </c>
      <c r="AE248" s="41">
        <v>-4.8</v>
      </c>
      <c r="AF248" s="41">
        <v>-7.2</v>
      </c>
      <c r="AG248" s="41">
        <v>38.799999999999997</v>
      </c>
      <c r="AH248" s="41">
        <v>31.2</v>
      </c>
      <c r="AI248" s="41">
        <v>2</v>
      </c>
      <c r="AJ248" s="41">
        <v>-2.7</v>
      </c>
      <c r="AK248" s="41">
        <v>-8.4</v>
      </c>
      <c r="AL248" s="41">
        <v>0</v>
      </c>
      <c r="AM248" s="41">
        <v>-1.5</v>
      </c>
      <c r="AN248" s="41">
        <v>1.1000000000000001</v>
      </c>
      <c r="AO248" s="41">
        <v>-2.5</v>
      </c>
      <c r="AP248" s="41">
        <v>-5</v>
      </c>
      <c r="AQ248" s="41">
        <v>-2.8</v>
      </c>
      <c r="AR248" s="41">
        <v>-0.3</v>
      </c>
      <c r="AS248" s="41">
        <v>-3.6</v>
      </c>
      <c r="AT248" s="41">
        <v>-1.6</v>
      </c>
      <c r="AU248" s="41">
        <v>-1.8</v>
      </c>
      <c r="AV248" s="41">
        <v>-2.4</v>
      </c>
      <c r="AW248" s="41">
        <v>-0.7</v>
      </c>
      <c r="AX248" s="41">
        <v>-5.3</v>
      </c>
      <c r="AY248" s="41">
        <v>-3.5</v>
      </c>
      <c r="AZ248" s="41">
        <v>-1.2</v>
      </c>
      <c r="BA248" s="41">
        <v>-1.6</v>
      </c>
      <c r="BB248" s="41">
        <v>-1.9</v>
      </c>
      <c r="BC248" s="41">
        <v>-0.7</v>
      </c>
      <c r="BD248" s="41">
        <v>-5.0999999999999996</v>
      </c>
      <c r="BE248" s="41">
        <v>-7.3</v>
      </c>
      <c r="BF248" s="41">
        <v>-2.6</v>
      </c>
      <c r="BG248" s="41">
        <v>-2.7</v>
      </c>
      <c r="BH248" s="41">
        <v>-2.4</v>
      </c>
      <c r="BI248" s="41">
        <v>-0.4</v>
      </c>
      <c r="BJ248" s="41">
        <v>-3.7</v>
      </c>
      <c r="BK248" s="41">
        <v>-2.6</v>
      </c>
      <c r="BL248" s="41">
        <v>-1.8</v>
      </c>
      <c r="BM248" s="41">
        <v>-1.8</v>
      </c>
      <c r="BN248" s="41">
        <v>-2.2999999999999998</v>
      </c>
      <c r="BO248" s="41">
        <v>-4.375</v>
      </c>
      <c r="BP248" s="41">
        <v>-4.375</v>
      </c>
      <c r="BQ248" s="41">
        <v>-4.375</v>
      </c>
      <c r="BR248" s="41">
        <v>-4.375</v>
      </c>
    </row>
    <row r="249" spans="1:73" s="34" customFormat="1" ht="12.75" customHeight="1">
      <c r="B249" s="89" t="s">
        <v>541</v>
      </c>
      <c r="E249" s="36"/>
      <c r="F249" s="36"/>
      <c r="G249" s="36">
        <f t="shared" si="291"/>
        <v>0</v>
      </c>
      <c r="H249" s="45">
        <f t="shared" si="292"/>
        <v>0</v>
      </c>
      <c r="I249" s="45">
        <f t="shared" si="293"/>
        <v>0</v>
      </c>
      <c r="J249" s="45">
        <f t="shared" si="294"/>
        <v>-34.200000000000003</v>
      </c>
      <c r="K249" s="47">
        <f t="shared" si="295"/>
        <v>-10.7</v>
      </c>
      <c r="L249" s="45">
        <f t="shared" si="296"/>
        <v>-8.5</v>
      </c>
      <c r="M249" s="45">
        <f t="shared" si="297"/>
        <v>-5.5</v>
      </c>
      <c r="N249" s="45">
        <f t="shared" si="298"/>
        <v>-15.7</v>
      </c>
      <c r="O249" s="45">
        <f t="shared" si="299"/>
        <v>-2.6999999999999997</v>
      </c>
      <c r="P249" s="45">
        <f t="shared" si="300"/>
        <v>0</v>
      </c>
      <c r="Q249" s="45">
        <f>SUM(BK249:BN249)</f>
        <v>0</v>
      </c>
      <c r="R249" s="45">
        <f t="shared" si="302"/>
        <v>0</v>
      </c>
      <c r="S249" s="45"/>
      <c r="T249" s="45"/>
      <c r="V249" s="36"/>
      <c r="W249" s="41">
        <v>0</v>
      </c>
      <c r="X249" s="41">
        <v>0</v>
      </c>
      <c r="Y249" s="41">
        <v>0</v>
      </c>
      <c r="Z249" s="41">
        <v>0</v>
      </c>
      <c r="AA249" s="41">
        <v>0</v>
      </c>
      <c r="AB249" s="41">
        <v>0</v>
      </c>
      <c r="AC249" s="41">
        <v>0</v>
      </c>
      <c r="AD249" s="41">
        <v>0</v>
      </c>
      <c r="AE249" s="41">
        <v>0</v>
      </c>
      <c r="AF249" s="41">
        <v>0</v>
      </c>
      <c r="AG249" s="41">
        <v>0</v>
      </c>
      <c r="AH249" s="41">
        <v>0</v>
      </c>
      <c r="AI249" s="41">
        <v>0</v>
      </c>
      <c r="AJ249" s="41">
        <v>0</v>
      </c>
      <c r="AK249" s="41">
        <v>0</v>
      </c>
      <c r="AL249" s="41">
        <v>-34.200000000000003</v>
      </c>
      <c r="AM249" s="41">
        <v>-0.1</v>
      </c>
      <c r="AN249" s="41">
        <v>-2.4</v>
      </c>
      <c r="AO249" s="41">
        <v>-4.0999999999999996</v>
      </c>
      <c r="AP249" s="41">
        <v>-4.0999999999999996</v>
      </c>
      <c r="AQ249" s="41">
        <v>-1.9</v>
      </c>
      <c r="AR249" s="41">
        <v>-1.8</v>
      </c>
      <c r="AS249" s="41">
        <v>-2.2999999999999998</v>
      </c>
      <c r="AT249" s="41">
        <v>-2.5</v>
      </c>
      <c r="AU249" s="41">
        <v>-2.2999999999999998</v>
      </c>
      <c r="AV249" s="41">
        <v>-0.2</v>
      </c>
      <c r="AW249" s="41">
        <v>-1.6</v>
      </c>
      <c r="AX249" s="41">
        <v>-1.4</v>
      </c>
      <c r="AY249" s="41">
        <v>-1</v>
      </c>
      <c r="AZ249" s="41">
        <v>-2.2999999999999998</v>
      </c>
      <c r="BA249" s="41">
        <v>-1.2</v>
      </c>
      <c r="BB249" s="41">
        <v>-11.2</v>
      </c>
      <c r="BC249" s="41">
        <v>-1.2</v>
      </c>
      <c r="BD249" s="41">
        <v>-0.7</v>
      </c>
      <c r="BE249" s="41">
        <v>-0.3</v>
      </c>
      <c r="BF249" s="41">
        <v>-0.5</v>
      </c>
      <c r="BG249" s="41">
        <v>0</v>
      </c>
      <c r="BH249" s="41">
        <v>0</v>
      </c>
      <c r="BI249" s="41">
        <v>0</v>
      </c>
      <c r="BJ249" s="41">
        <v>0</v>
      </c>
      <c r="BK249" s="41">
        <v>0</v>
      </c>
      <c r="BL249" s="41">
        <v>0</v>
      </c>
      <c r="BM249" s="41">
        <v>0</v>
      </c>
      <c r="BN249" s="41">
        <v>0</v>
      </c>
      <c r="BO249" s="41">
        <v>0</v>
      </c>
      <c r="BP249" s="41">
        <v>0</v>
      </c>
      <c r="BQ249" s="41">
        <v>0</v>
      </c>
      <c r="BR249" s="41">
        <v>0</v>
      </c>
    </row>
    <row r="250" spans="1:73" s="34" customFormat="1" ht="12.75" customHeight="1">
      <c r="B250" s="89" t="s">
        <v>260</v>
      </c>
      <c r="E250" s="36"/>
      <c r="F250" s="36"/>
      <c r="G250" s="36">
        <f t="shared" si="291"/>
        <v>0</v>
      </c>
      <c r="H250" s="45">
        <f t="shared" si="292"/>
        <v>0</v>
      </c>
      <c r="I250" s="45">
        <f t="shared" si="293"/>
        <v>0</v>
      </c>
      <c r="J250" s="45">
        <f t="shared" si="294"/>
        <v>0</v>
      </c>
      <c r="K250" s="47">
        <f t="shared" si="295"/>
        <v>0</v>
      </c>
      <c r="L250" s="45">
        <f t="shared" si="296"/>
        <v>-8.3000000000000007</v>
      </c>
      <c r="M250" s="45">
        <f t="shared" si="297"/>
        <v>0</v>
      </c>
      <c r="N250" s="45">
        <f t="shared" si="298"/>
        <v>0</v>
      </c>
      <c r="O250" s="45">
        <f t="shared" si="299"/>
        <v>0</v>
      </c>
      <c r="P250" s="45">
        <f t="shared" si="300"/>
        <v>0</v>
      </c>
      <c r="Q250" s="45">
        <f>SUM(BK250:BN250)</f>
        <v>0</v>
      </c>
      <c r="R250" s="45">
        <f t="shared" si="302"/>
        <v>0</v>
      </c>
      <c r="S250" s="45"/>
      <c r="T250" s="45"/>
      <c r="V250" s="36"/>
      <c r="W250" s="41">
        <v>0</v>
      </c>
      <c r="X250" s="41">
        <v>0</v>
      </c>
      <c r="Y250" s="41">
        <v>0</v>
      </c>
      <c r="Z250" s="41">
        <v>0</v>
      </c>
      <c r="AA250" s="41">
        <v>0</v>
      </c>
      <c r="AB250" s="41">
        <v>0</v>
      </c>
      <c r="AC250" s="41">
        <v>0</v>
      </c>
      <c r="AD250" s="41">
        <v>0</v>
      </c>
      <c r="AE250" s="41">
        <v>0</v>
      </c>
      <c r="AF250" s="41">
        <v>0</v>
      </c>
      <c r="AG250" s="41">
        <v>0</v>
      </c>
      <c r="AH250" s="41">
        <v>0</v>
      </c>
      <c r="AI250" s="41">
        <v>0</v>
      </c>
      <c r="AJ250" s="41">
        <v>0</v>
      </c>
      <c r="AK250" s="41">
        <v>0</v>
      </c>
      <c r="AL250" s="41">
        <v>0</v>
      </c>
      <c r="AM250" s="41">
        <v>0</v>
      </c>
      <c r="AN250" s="41">
        <v>0</v>
      </c>
      <c r="AO250" s="41">
        <v>0</v>
      </c>
      <c r="AP250" s="41">
        <v>0</v>
      </c>
      <c r="AQ250" s="41">
        <v>0</v>
      </c>
      <c r="AR250" s="41">
        <v>0</v>
      </c>
      <c r="AS250" s="41">
        <v>-8.3000000000000007</v>
      </c>
      <c r="AT250" s="41">
        <v>0</v>
      </c>
      <c r="AU250" s="41">
        <v>0</v>
      </c>
      <c r="AV250" s="41">
        <v>0</v>
      </c>
      <c r="AW250" s="41">
        <v>0</v>
      </c>
      <c r="AX250" s="41">
        <v>0</v>
      </c>
      <c r="AY250" s="41">
        <v>0</v>
      </c>
      <c r="AZ250" s="41">
        <v>0</v>
      </c>
      <c r="BA250" s="41">
        <v>0</v>
      </c>
      <c r="BB250" s="41">
        <v>0</v>
      </c>
      <c r="BC250" s="41">
        <v>0</v>
      </c>
      <c r="BD250" s="41">
        <v>0</v>
      </c>
      <c r="BE250" s="41">
        <v>0</v>
      </c>
      <c r="BF250" s="41">
        <v>0</v>
      </c>
      <c r="BG250" s="41">
        <v>0</v>
      </c>
      <c r="BH250" s="41">
        <v>0</v>
      </c>
      <c r="BI250" s="41">
        <v>0</v>
      </c>
      <c r="BJ250" s="41">
        <v>0</v>
      </c>
      <c r="BK250" s="41">
        <v>0</v>
      </c>
      <c r="BL250" s="41">
        <v>0</v>
      </c>
      <c r="BM250" s="41">
        <v>0</v>
      </c>
      <c r="BN250" s="41">
        <v>0</v>
      </c>
      <c r="BO250" s="41">
        <v>0</v>
      </c>
      <c r="BP250" s="41">
        <v>0</v>
      </c>
      <c r="BQ250" s="41">
        <v>0</v>
      </c>
      <c r="BR250" s="41">
        <v>0</v>
      </c>
    </row>
    <row r="251" spans="1:73" s="34" customFormat="1" ht="12.75" customHeight="1">
      <c r="B251" s="34" t="s">
        <v>259</v>
      </c>
      <c r="E251" s="36"/>
      <c r="F251" s="36"/>
      <c r="G251" s="36">
        <f t="shared" si="291"/>
        <v>-63.800000000000004</v>
      </c>
      <c r="H251" s="45">
        <f t="shared" si="292"/>
        <v>-58.6</v>
      </c>
      <c r="I251" s="45">
        <f t="shared" si="293"/>
        <v>-63.1</v>
      </c>
      <c r="J251" s="45">
        <f t="shared" si="294"/>
        <v>-64.199999999999989</v>
      </c>
      <c r="K251" s="47">
        <f t="shared" si="295"/>
        <v>-67.400000000000006</v>
      </c>
      <c r="L251" s="45">
        <f t="shared" si="296"/>
        <v>-70.7</v>
      </c>
      <c r="M251" s="45">
        <f t="shared" si="297"/>
        <v>-79</v>
      </c>
      <c r="N251" s="45">
        <f t="shared" si="298"/>
        <v>-57.999999999999993</v>
      </c>
      <c r="O251" s="45">
        <f t="shared" si="299"/>
        <v>-60.3</v>
      </c>
      <c r="P251" s="45">
        <f t="shared" si="300"/>
        <v>-100.2</v>
      </c>
      <c r="Q251" s="45">
        <f>SUM(BK251:BN251)</f>
        <v>-117.8</v>
      </c>
      <c r="R251" s="45">
        <f t="shared" si="302"/>
        <v>-126.36428373892133</v>
      </c>
      <c r="S251" s="45"/>
      <c r="T251" s="45"/>
      <c r="U251" s="45"/>
      <c r="V251" s="36"/>
      <c r="W251" s="41">
        <v>-17.7</v>
      </c>
      <c r="X251" s="41">
        <v>-18.2</v>
      </c>
      <c r="Y251" s="41">
        <v>-12.3</v>
      </c>
      <c r="Z251" s="41">
        <v>-15.6</v>
      </c>
      <c r="AA251" s="41">
        <v>-16.5</v>
      </c>
      <c r="AB251" s="41">
        <v>-17.399999999999999</v>
      </c>
      <c r="AC251" s="41">
        <v>-13.6</v>
      </c>
      <c r="AD251" s="41">
        <v>-11.1</v>
      </c>
      <c r="AE251" s="41">
        <v>-15.7</v>
      </c>
      <c r="AF251" s="41">
        <v>-19.3</v>
      </c>
      <c r="AG251" s="41">
        <v>-15.5</v>
      </c>
      <c r="AH251" s="41">
        <v>-12.6</v>
      </c>
      <c r="AI251" s="41">
        <v>-17.2</v>
      </c>
      <c r="AJ251" s="41">
        <v>-19.899999999999999</v>
      </c>
      <c r="AK251" s="41">
        <v>-16.8</v>
      </c>
      <c r="AL251" s="41">
        <v>-10.3</v>
      </c>
      <c r="AM251" s="41">
        <v>-18.600000000000001</v>
      </c>
      <c r="AN251" s="41">
        <v>-19.3</v>
      </c>
      <c r="AO251" s="41">
        <v>-15.7</v>
      </c>
      <c r="AP251" s="41">
        <v>-13.8</v>
      </c>
      <c r="AQ251" s="41">
        <v>-17.899999999999999</v>
      </c>
      <c r="AR251" s="41">
        <v>-20.8</v>
      </c>
      <c r="AS251" s="41">
        <v>-16.8</v>
      </c>
      <c r="AT251" s="41">
        <v>-15.2</v>
      </c>
      <c r="AU251" s="41">
        <v>-21.3</v>
      </c>
      <c r="AV251" s="41">
        <v>-20.3</v>
      </c>
      <c r="AW251" s="41">
        <v>-8.4</v>
      </c>
      <c r="AX251" s="41">
        <v>-29</v>
      </c>
      <c r="AY251" s="41">
        <v>-17.3</v>
      </c>
      <c r="AZ251" s="41">
        <v>-14.6</v>
      </c>
      <c r="BA251" s="41">
        <v>-12.7</v>
      </c>
      <c r="BB251" s="41">
        <v>-13.4</v>
      </c>
      <c r="BC251" s="41">
        <v>-22.1</v>
      </c>
      <c r="BD251" s="41">
        <v>-13.2</v>
      </c>
      <c r="BE251" s="41">
        <v>-9.1999999999999993</v>
      </c>
      <c r="BF251" s="41">
        <v>-15.8</v>
      </c>
      <c r="BG251" s="41">
        <v>-29.6</v>
      </c>
      <c r="BH251" s="41">
        <v>-23.9</v>
      </c>
      <c r="BI251" s="41">
        <v>-28.2</v>
      </c>
      <c r="BJ251" s="41">
        <v>-18.5</v>
      </c>
      <c r="BK251" s="41">
        <v>-33.4</v>
      </c>
      <c r="BL251" s="41">
        <v>-29.7</v>
      </c>
      <c r="BM251" s="41">
        <f>-31.1+2.9</f>
        <v>-28.200000000000003</v>
      </c>
      <c r="BN251" s="41">
        <v>-26.5</v>
      </c>
      <c r="BO251" s="41">
        <f>-BO257*BO7</f>
        <v>-30.103204616442738</v>
      </c>
      <c r="BP251" s="41">
        <f>-BP257*BP7</f>
        <v>-31.495506511397565</v>
      </c>
      <c r="BQ251" s="41">
        <f>-BQ257*BQ7</f>
        <v>-32.208193583144137</v>
      </c>
      <c r="BR251" s="41">
        <f>-BR257*BR7</f>
        <v>-32.557379027936882</v>
      </c>
    </row>
    <row r="252" spans="1:73" s="34" customFormat="1" ht="12.75" customHeight="1">
      <c r="B252" s="34" t="s">
        <v>533</v>
      </c>
      <c r="E252" s="36"/>
      <c r="F252" s="36"/>
      <c r="G252" s="36">
        <f t="shared" si="291"/>
        <v>1.9</v>
      </c>
      <c r="H252" s="45">
        <f t="shared" si="292"/>
        <v>1.2</v>
      </c>
      <c r="I252" s="45">
        <f t="shared" si="293"/>
        <v>9.1000000000000014</v>
      </c>
      <c r="J252" s="45">
        <f t="shared" si="294"/>
        <v>2.4999999999999996</v>
      </c>
      <c r="K252" s="47">
        <f t="shared" si="295"/>
        <v>8.7999999999999989</v>
      </c>
      <c r="L252" s="45">
        <f t="shared" si="296"/>
        <v>7.6</v>
      </c>
      <c r="M252" s="45">
        <f t="shared" si="297"/>
        <v>0.69999999999999984</v>
      </c>
      <c r="N252" s="45">
        <f t="shared" si="298"/>
        <v>1.5</v>
      </c>
      <c r="O252" s="45">
        <f t="shared" si="299"/>
        <v>45.699999999999996</v>
      </c>
      <c r="P252" s="45">
        <f t="shared" si="300"/>
        <v>-0.39999999999999969</v>
      </c>
      <c r="Q252" s="45">
        <f t="shared" si="301"/>
        <v>2.4</v>
      </c>
      <c r="R252" s="45">
        <f t="shared" si="302"/>
        <v>0</v>
      </c>
      <c r="S252" s="45"/>
      <c r="T252" s="45"/>
      <c r="U252" s="45"/>
      <c r="V252" s="36"/>
      <c r="W252" s="41">
        <v>0</v>
      </c>
      <c r="X252" s="41">
        <v>0.2</v>
      </c>
      <c r="Y252" s="41">
        <v>0.3</v>
      </c>
      <c r="Z252" s="41">
        <v>1.4</v>
      </c>
      <c r="AA252" s="41">
        <v>0.6</v>
      </c>
      <c r="AB252" s="41">
        <v>0.4</v>
      </c>
      <c r="AC252" s="41">
        <v>-0.3</v>
      </c>
      <c r="AD252" s="41">
        <v>0.5</v>
      </c>
      <c r="AE252" s="41">
        <v>5.5</v>
      </c>
      <c r="AF252" s="41">
        <v>0.2</v>
      </c>
      <c r="AG252" s="41">
        <v>1.2</v>
      </c>
      <c r="AH252" s="41">
        <v>2.2000000000000002</v>
      </c>
      <c r="AI252" s="41">
        <v>2.2999999999999998</v>
      </c>
      <c r="AJ252" s="41">
        <v>0</v>
      </c>
      <c r="AK252" s="41">
        <v>0.3</v>
      </c>
      <c r="AL252" s="41">
        <v>-0.1</v>
      </c>
      <c r="AM252" s="41">
        <v>1.4</v>
      </c>
      <c r="AN252" s="41">
        <v>0.2</v>
      </c>
      <c r="AO252" s="41">
        <v>4.3</v>
      </c>
      <c r="AP252" s="41">
        <v>2.9</v>
      </c>
      <c r="AQ252" s="41">
        <v>0.5</v>
      </c>
      <c r="AR252" s="41">
        <v>-0.1</v>
      </c>
      <c r="AS252" s="41">
        <v>1.1000000000000001</v>
      </c>
      <c r="AT252" s="41">
        <v>6.1</v>
      </c>
      <c r="AU252" s="41">
        <v>0.2</v>
      </c>
      <c r="AV252" s="41">
        <v>1.5</v>
      </c>
      <c r="AW252" s="41">
        <v>-0.4</v>
      </c>
      <c r="AX252" s="41">
        <v>-0.6</v>
      </c>
      <c r="AY252" s="41">
        <v>-0.1</v>
      </c>
      <c r="AZ252" s="41">
        <v>0.9</v>
      </c>
      <c r="BA252" s="41">
        <v>0</v>
      </c>
      <c r="BB252" s="41">
        <v>0.7</v>
      </c>
      <c r="BC252" s="41">
        <v>-0.2</v>
      </c>
      <c r="BD252" s="41">
        <v>42.4</v>
      </c>
      <c r="BE252" s="41">
        <v>-0.1</v>
      </c>
      <c r="BF252" s="41">
        <v>3.6</v>
      </c>
      <c r="BG252" s="41">
        <f>10.9-11</f>
        <v>-9.9999999999999645E-2</v>
      </c>
      <c r="BH252" s="41">
        <v>-0.2</v>
      </c>
      <c r="BI252" s="41">
        <v>-0.2</v>
      </c>
      <c r="BJ252" s="41">
        <v>0.1</v>
      </c>
      <c r="BK252" s="41">
        <v>-0.4</v>
      </c>
      <c r="BL252" s="41">
        <v>0.3</v>
      </c>
      <c r="BM252" s="41">
        <v>0</v>
      </c>
      <c r="BN252" s="41">
        <f>3.4+2.4-3.3</f>
        <v>2.5</v>
      </c>
      <c r="BO252" s="41">
        <v>0</v>
      </c>
      <c r="BP252" s="41">
        <v>0</v>
      </c>
      <c r="BQ252" s="41">
        <v>0</v>
      </c>
      <c r="BR252" s="41">
        <v>0</v>
      </c>
    </row>
    <row r="253" spans="1:73" s="34" customFormat="1" ht="12.75" customHeight="1">
      <c r="B253" s="39" t="s">
        <v>29</v>
      </c>
      <c r="C253" s="60"/>
      <c r="D253" s="60"/>
      <c r="E253" s="311"/>
      <c r="F253" s="311"/>
      <c r="G253" s="93">
        <f>SUM(G247:G252)</f>
        <v>-103.69999999999999</v>
      </c>
      <c r="H253" s="93">
        <f t="shared" ref="H253:R253" si="303">SUM(H247:H252)</f>
        <v>-70.3</v>
      </c>
      <c r="I253" s="93">
        <f t="shared" si="303"/>
        <v>26.299999999999997</v>
      </c>
      <c r="J253" s="93">
        <f t="shared" si="303"/>
        <v>-80.399999999999991</v>
      </c>
      <c r="K253" s="93">
        <f t="shared" si="303"/>
        <v>-49.400000000000006</v>
      </c>
      <c r="L253" s="93">
        <f t="shared" si="303"/>
        <v>-61.000000000000007</v>
      </c>
      <c r="M253" s="93">
        <f t="shared" si="303"/>
        <v>-67.399999999999991</v>
      </c>
      <c r="N253" s="93">
        <f t="shared" si="303"/>
        <v>-47.999999999999986</v>
      </c>
      <c r="O253" s="93">
        <f t="shared" si="303"/>
        <v>2.2000000000000028</v>
      </c>
      <c r="P253" s="93">
        <f t="shared" si="303"/>
        <v>-56.20000000000001</v>
      </c>
      <c r="Q253" s="93">
        <f t="shared" si="303"/>
        <v>-81.199999999999989</v>
      </c>
      <c r="R253" s="93">
        <f t="shared" si="303"/>
        <v>-108.86428373892133</v>
      </c>
      <c r="S253" s="93">
        <f>S254*S7</f>
        <v>-120.68720251664966</v>
      </c>
      <c r="T253" s="93">
        <f>T254*T7</f>
        <v>-134.08870568491494</v>
      </c>
      <c r="U253" s="93">
        <f>U254*U7</f>
        <v>-147.52618261000728</v>
      </c>
      <c r="V253" s="150"/>
      <c r="W253" s="93">
        <f t="shared" ref="W253:BK253" si="304">SUM(W247:W252)</f>
        <v>-25.299999999999997</v>
      </c>
      <c r="X253" s="93">
        <f t="shared" si="304"/>
        <v>-27</v>
      </c>
      <c r="Y253" s="93">
        <f t="shared" si="304"/>
        <v>-28.8</v>
      </c>
      <c r="Z253" s="93">
        <f t="shared" si="304"/>
        <v>-22.6</v>
      </c>
      <c r="AA253" s="93">
        <f t="shared" si="304"/>
        <v>-16.5</v>
      </c>
      <c r="AB253" s="93">
        <f t="shared" si="304"/>
        <v>-23.1</v>
      </c>
      <c r="AC253" s="93">
        <f t="shared" si="304"/>
        <v>-15.100000000000001</v>
      </c>
      <c r="AD253" s="93">
        <f t="shared" si="304"/>
        <v>-15.600000000000001</v>
      </c>
      <c r="AE253" s="93">
        <f t="shared" si="304"/>
        <v>-10.199999999999999</v>
      </c>
      <c r="AF253" s="93">
        <f t="shared" si="304"/>
        <v>-20.6</v>
      </c>
      <c r="AG253" s="93">
        <f t="shared" si="304"/>
        <v>30.799999999999994</v>
      </c>
      <c r="AH253" s="93">
        <f t="shared" si="304"/>
        <v>26.3</v>
      </c>
      <c r="AI253" s="93">
        <f t="shared" si="304"/>
        <v>-8.1999999999999993</v>
      </c>
      <c r="AJ253" s="93">
        <f t="shared" si="304"/>
        <v>-16.099999999999998</v>
      </c>
      <c r="AK253" s="93">
        <f t="shared" si="304"/>
        <v>-17.900000000000002</v>
      </c>
      <c r="AL253" s="93">
        <f t="shared" si="304"/>
        <v>-38.20000000000001</v>
      </c>
      <c r="AM253" s="93">
        <f t="shared" si="304"/>
        <v>-12.1</v>
      </c>
      <c r="AN253" s="93">
        <f t="shared" si="304"/>
        <v>-13.200000000000001</v>
      </c>
      <c r="AO253" s="93">
        <f t="shared" si="304"/>
        <v>-11.099999999999998</v>
      </c>
      <c r="AP253" s="93">
        <f t="shared" si="304"/>
        <v>-13</v>
      </c>
      <c r="AQ253" s="93">
        <f t="shared" si="304"/>
        <v>-15.799999999999997</v>
      </c>
      <c r="AR253" s="93">
        <f t="shared" si="304"/>
        <v>-16</v>
      </c>
      <c r="AS253" s="93">
        <f t="shared" si="304"/>
        <v>-22.7</v>
      </c>
      <c r="AT253" s="93">
        <f t="shared" si="304"/>
        <v>-6.5</v>
      </c>
      <c r="AU253" s="93">
        <f t="shared" si="304"/>
        <v>-18.900000000000002</v>
      </c>
      <c r="AV253" s="93">
        <f t="shared" si="304"/>
        <v>-15</v>
      </c>
      <c r="AW253" s="93">
        <f t="shared" si="304"/>
        <v>-3.8000000000000003</v>
      </c>
      <c r="AX253" s="93">
        <f t="shared" si="304"/>
        <v>-29.700000000000003</v>
      </c>
      <c r="AY253" s="93">
        <f t="shared" si="304"/>
        <v>-14</v>
      </c>
      <c r="AZ253" s="93">
        <f t="shared" si="304"/>
        <v>-9.6999999999999993</v>
      </c>
      <c r="BA253" s="93">
        <f t="shared" si="304"/>
        <v>-6.6999999999999984</v>
      </c>
      <c r="BB253" s="93">
        <f t="shared" si="304"/>
        <v>-17.600000000000001</v>
      </c>
      <c r="BC253" s="93">
        <f t="shared" si="304"/>
        <v>-17.100000000000001</v>
      </c>
      <c r="BD253" s="93">
        <f t="shared" si="304"/>
        <v>30.8</v>
      </c>
      <c r="BE253" s="93">
        <f t="shared" si="304"/>
        <v>-9.6</v>
      </c>
      <c r="BF253" s="93">
        <f t="shared" si="304"/>
        <v>-1.9</v>
      </c>
      <c r="BG253" s="93">
        <f t="shared" si="304"/>
        <v>-20.200000000000003</v>
      </c>
      <c r="BH253" s="93">
        <f t="shared" si="304"/>
        <v>-13.899999999999999</v>
      </c>
      <c r="BI253" s="93">
        <f t="shared" si="304"/>
        <v>-13.399999999999999</v>
      </c>
      <c r="BJ253" s="93">
        <f t="shared" si="304"/>
        <v>-8.7000000000000011</v>
      </c>
      <c r="BK253" s="93">
        <f t="shared" si="304"/>
        <v>-26.099999999999994</v>
      </c>
      <c r="BL253" s="93">
        <f>SUM(BL247:BL252)</f>
        <v>-20.5</v>
      </c>
      <c r="BM253" s="93">
        <f>SUM(BM247:BM252)</f>
        <v>-18.900000000000006</v>
      </c>
      <c r="BN253" s="93">
        <f>SUM(BN247:BN252)</f>
        <v>-15.7</v>
      </c>
      <c r="BO253" s="93">
        <f t="shared" ref="BO253:BR253" si="305">SUM(BO247:BO252)</f>
        <v>-25.728204616442738</v>
      </c>
      <c r="BP253" s="93">
        <f t="shared" si="305"/>
        <v>-27.120506511397565</v>
      </c>
      <c r="BQ253" s="93">
        <f t="shared" si="305"/>
        <v>-27.833193583144137</v>
      </c>
      <c r="BR253" s="93">
        <f t="shared" si="305"/>
        <v>-28.182379027936882</v>
      </c>
    </row>
    <row r="254" spans="1:73" s="34" customFormat="1" ht="12.75" customHeight="1">
      <c r="A254" s="367"/>
      <c r="B254" s="54" t="s">
        <v>551</v>
      </c>
      <c r="C254" s="378"/>
      <c r="D254" s="378"/>
      <c r="E254" s="389"/>
      <c r="F254" s="389"/>
      <c r="G254" s="390">
        <f t="shared" ref="G254:R254" si="306">+G253/G7</f>
        <v>-8.1218671679197996E-2</v>
      </c>
      <c r="H254" s="390">
        <f t="shared" si="306"/>
        <v>-3.984131482006234E-2</v>
      </c>
      <c r="I254" s="390">
        <f t="shared" si="306"/>
        <v>1.7172706496898463E-2</v>
      </c>
      <c r="J254" s="390">
        <f t="shared" si="306"/>
        <v>-5.0696765243710189E-2</v>
      </c>
      <c r="K254" s="390">
        <f t="shared" si="306"/>
        <v>-2.5189944418948552E-2</v>
      </c>
      <c r="L254" s="390">
        <f t="shared" si="306"/>
        <v>-2.7921453746509825E-2</v>
      </c>
      <c r="M254" s="390">
        <f t="shared" si="306"/>
        <v>-2.6799204771371765E-2</v>
      </c>
      <c r="N254" s="390">
        <f t="shared" si="306"/>
        <v>-2.1417097983223263E-2</v>
      </c>
      <c r="O254" s="390">
        <f t="shared" si="306"/>
        <v>7.7073991031390227E-4</v>
      </c>
      <c r="P254" s="390">
        <f t="shared" si="306"/>
        <v>-1.0125031528123087E-2</v>
      </c>
      <c r="Q254" s="390">
        <f t="shared" si="306"/>
        <v>-1.2953863824899495E-2</v>
      </c>
      <c r="R254" s="390">
        <f t="shared" si="306"/>
        <v>-1.5593358165552297E-2</v>
      </c>
      <c r="S254" s="335">
        <f>+R254-0.1%</f>
        <v>-1.6593358165552297E-2</v>
      </c>
      <c r="T254" s="335">
        <f>+S254-0.1%</f>
        <v>-1.7593358165552297E-2</v>
      </c>
      <c r="U254" s="335">
        <f>+T254-0.1%</f>
        <v>-1.8593358165552298E-2</v>
      </c>
      <c r="V254" s="280"/>
      <c r="W254" s="390">
        <f t="shared" ref="W254:BR254" si="307">+W253/W7</f>
        <v>-9.9021526418786684E-2</v>
      </c>
      <c r="X254" s="390">
        <f t="shared" si="307"/>
        <v>-0.10142749812171301</v>
      </c>
      <c r="Y254" s="390">
        <f t="shared" si="307"/>
        <v>-8.221524407650585E-2</v>
      </c>
      <c r="Z254" s="390">
        <f t="shared" si="307"/>
        <v>-5.5830039525691703E-2</v>
      </c>
      <c r="AA254" s="390">
        <f t="shared" si="307"/>
        <v>-4.1343021799047856E-2</v>
      </c>
      <c r="AB254" s="390">
        <f t="shared" si="307"/>
        <v>-5.3934158300256836E-2</v>
      </c>
      <c r="AC254" s="390">
        <f t="shared" si="307"/>
        <v>-3.0025850069596342E-2</v>
      </c>
      <c r="AD254" s="390">
        <f t="shared" si="307"/>
        <v>-3.5928143712574849E-2</v>
      </c>
      <c r="AE254" s="390">
        <f t="shared" si="307"/>
        <v>-2.5461807289066399E-2</v>
      </c>
      <c r="AF254" s="390">
        <f t="shared" si="307"/>
        <v>-5.3785900783289819E-2</v>
      </c>
      <c r="AG254" s="390">
        <f t="shared" si="307"/>
        <v>7.7581863979848856E-2</v>
      </c>
      <c r="AH254" s="390">
        <f t="shared" si="307"/>
        <v>7.4950128241664304E-2</v>
      </c>
      <c r="AI254" s="390">
        <f t="shared" si="307"/>
        <v>-2.2651933701657457E-2</v>
      </c>
      <c r="AJ254" s="390">
        <f t="shared" si="307"/>
        <v>-3.968449593295538E-2</v>
      </c>
      <c r="AK254" s="390">
        <f t="shared" si="307"/>
        <v>-4.1358595194085031E-2</v>
      </c>
      <c r="AL254" s="390">
        <f t="shared" si="307"/>
        <v>-9.9117799688635211E-2</v>
      </c>
      <c r="AM254" s="390">
        <f t="shared" si="307"/>
        <v>-2.7752293577981649E-2</v>
      </c>
      <c r="AN254" s="390">
        <f t="shared" si="307"/>
        <v>-2.4948024948024949E-2</v>
      </c>
      <c r="AO254" s="390">
        <f t="shared" si="307"/>
        <v>-2.0174482006543069E-2</v>
      </c>
      <c r="AP254" s="390">
        <f t="shared" si="307"/>
        <v>-2.9161058770749215E-2</v>
      </c>
      <c r="AQ254" s="390">
        <f t="shared" si="307"/>
        <v>-3.1151419558359615E-2</v>
      </c>
      <c r="AR254" s="390">
        <f t="shared" si="307"/>
        <v>-3.1452722626302339E-2</v>
      </c>
      <c r="AS254" s="390">
        <f t="shared" si="307"/>
        <v>-3.9057123193392974E-2</v>
      </c>
      <c r="AT254" s="390">
        <f t="shared" si="307"/>
        <v>-1.1061946902654869E-2</v>
      </c>
      <c r="AU254" s="390">
        <f t="shared" si="307"/>
        <v>-3.0000000000000002E-2</v>
      </c>
      <c r="AV254" s="390">
        <f t="shared" si="307"/>
        <v>-2.2999080036798531E-2</v>
      </c>
      <c r="AW254" s="390">
        <f t="shared" si="307"/>
        <v>-5.6657223796033997E-3</v>
      </c>
      <c r="AX254" s="390">
        <f t="shared" si="307"/>
        <v>-5.2837573385518595E-2</v>
      </c>
      <c r="AY254" s="390">
        <f t="shared" si="307"/>
        <v>-2.4246622791825424E-2</v>
      </c>
      <c r="AZ254" s="390">
        <f t="shared" si="307"/>
        <v>-1.7005610098176714E-2</v>
      </c>
      <c r="BA254" s="390">
        <f t="shared" si="307"/>
        <v>-1.1287061994609163E-2</v>
      </c>
      <c r="BB254" s="390">
        <f t="shared" si="307"/>
        <v>-3.5214085634253704E-2</v>
      </c>
      <c r="BC254" s="390">
        <f t="shared" si="307"/>
        <v>-3.3011583011583016E-2</v>
      </c>
      <c r="BD254" s="390">
        <f t="shared" si="307"/>
        <v>5.7527082555098995E-2</v>
      </c>
      <c r="BE254" s="390">
        <f t="shared" si="307"/>
        <v>-1.7991004497751126E-2</v>
      </c>
      <c r="BF254" s="390">
        <f t="shared" si="307"/>
        <v>-1.4991320814265424E-3</v>
      </c>
      <c r="BG254" s="390">
        <f t="shared" si="307"/>
        <v>-1.4982940216585078E-2</v>
      </c>
      <c r="BH254" s="390">
        <f t="shared" si="307"/>
        <v>-1.0190615835777125E-2</v>
      </c>
      <c r="BI254" s="390">
        <f t="shared" si="307"/>
        <v>-9.2242032078199195E-3</v>
      </c>
      <c r="BJ254" s="390">
        <f t="shared" si="307"/>
        <v>-6.2784152413942421E-3</v>
      </c>
      <c r="BK254" s="390">
        <f t="shared" si="307"/>
        <v>-1.6654967774870778E-2</v>
      </c>
      <c r="BL254" s="390">
        <f t="shared" si="307"/>
        <v>-1.3429413691451031E-2</v>
      </c>
      <c r="BM254" s="390">
        <f t="shared" si="307"/>
        <v>-1.2155122515917428E-2</v>
      </c>
      <c r="BN254" s="390">
        <f t="shared" si="307"/>
        <v>-9.6919562935983694E-3</v>
      </c>
      <c r="BO254" s="390">
        <f t="shared" si="307"/>
        <v>-1.5469466108045294E-2</v>
      </c>
      <c r="BP254" s="390">
        <f t="shared" si="307"/>
        <v>-1.5585752452612766E-2</v>
      </c>
      <c r="BQ254" s="390">
        <f t="shared" si="307"/>
        <v>-1.5641386486156678E-2</v>
      </c>
      <c r="BR254" s="390">
        <f t="shared" si="307"/>
        <v>-1.5667755686597173E-2</v>
      </c>
    </row>
    <row r="255" spans="1:73" s="34" customFormat="1" ht="12.75" customHeight="1">
      <c r="A255" s="367"/>
      <c r="B255" s="54" t="s">
        <v>141</v>
      </c>
      <c r="C255" s="378"/>
      <c r="D255" s="378"/>
      <c r="E255" s="389"/>
      <c r="F255" s="389"/>
      <c r="G255" s="391"/>
      <c r="H255" s="55">
        <f t="shared" ref="H255:U255" si="308">H253/G253-1</f>
        <v>-0.32208293153326895</v>
      </c>
      <c r="I255" s="55">
        <f t="shared" si="308"/>
        <v>-1.3741109530583215</v>
      </c>
      <c r="J255" s="55">
        <f t="shared" si="308"/>
        <v>-4.0570342205323193</v>
      </c>
      <c r="K255" s="55">
        <f t="shared" si="308"/>
        <v>-0.38557213930348244</v>
      </c>
      <c r="L255" s="55">
        <f t="shared" si="308"/>
        <v>0.23481781376518218</v>
      </c>
      <c r="M255" s="63">
        <f t="shared" si="308"/>
        <v>0.10491803278688505</v>
      </c>
      <c r="N255" s="63">
        <f t="shared" si="308"/>
        <v>-0.28783382789317524</v>
      </c>
      <c r="O255" s="63">
        <f t="shared" si="308"/>
        <v>-1.0458333333333334</v>
      </c>
      <c r="P255" s="63">
        <f t="shared" si="308"/>
        <v>-26.545454545454518</v>
      </c>
      <c r="Q255" s="63">
        <f t="shared" si="308"/>
        <v>0.44483985765124512</v>
      </c>
      <c r="R255" s="63">
        <f t="shared" si="308"/>
        <v>0.34069314949410523</v>
      </c>
      <c r="S255" s="63">
        <f t="shared" si="308"/>
        <v>0.10860236591536387</v>
      </c>
      <c r="T255" s="63">
        <f t="shared" si="308"/>
        <v>0.11104328287347975</v>
      </c>
      <c r="U255" s="63">
        <f t="shared" si="308"/>
        <v>0.10021333904637775</v>
      </c>
      <c r="V255" s="331"/>
      <c r="W255" s="55"/>
      <c r="X255" s="55"/>
      <c r="Y255" s="55"/>
      <c r="Z255" s="55"/>
      <c r="AA255" s="390">
        <f t="shared" ref="AA255:BR255" si="309">AA253/W253-1</f>
        <v>-0.34782608695652162</v>
      </c>
      <c r="AB255" s="390">
        <f t="shared" si="309"/>
        <v>-0.14444444444444438</v>
      </c>
      <c r="AC255" s="390">
        <f t="shared" si="309"/>
        <v>-0.47569444444444442</v>
      </c>
      <c r="AD255" s="390">
        <f t="shared" si="309"/>
        <v>-0.30973451327433621</v>
      </c>
      <c r="AE255" s="390">
        <f t="shared" si="309"/>
        <v>-0.38181818181818183</v>
      </c>
      <c r="AF255" s="390">
        <f t="shared" si="309"/>
        <v>-0.10822510822510822</v>
      </c>
      <c r="AG255" s="390">
        <f t="shared" si="309"/>
        <v>-3.0397350993377477</v>
      </c>
      <c r="AH255" s="390">
        <f t="shared" si="309"/>
        <v>-2.6858974358974357</v>
      </c>
      <c r="AI255" s="390">
        <f t="shared" si="309"/>
        <v>-0.19607843137254899</v>
      </c>
      <c r="AJ255" s="390">
        <f t="shared" si="309"/>
        <v>-0.2184466019417477</v>
      </c>
      <c r="AK255" s="390">
        <f t="shared" si="309"/>
        <v>-1.5811688311688314</v>
      </c>
      <c r="AL255" s="390">
        <f t="shared" si="309"/>
        <v>-2.4524714828897345</v>
      </c>
      <c r="AM255" s="390">
        <f t="shared" si="309"/>
        <v>0.47560975609756095</v>
      </c>
      <c r="AN255" s="390">
        <f t="shared" si="309"/>
        <v>-0.18012422360248426</v>
      </c>
      <c r="AO255" s="390">
        <f t="shared" si="309"/>
        <v>-0.37988826815642474</v>
      </c>
      <c r="AP255" s="390">
        <f t="shared" si="309"/>
        <v>-0.65968586387434569</v>
      </c>
      <c r="AQ255" s="390">
        <f t="shared" si="309"/>
        <v>0.30578512396694202</v>
      </c>
      <c r="AR255" s="390">
        <f t="shared" si="309"/>
        <v>0.21212121212121193</v>
      </c>
      <c r="AS255" s="390">
        <f t="shared" si="309"/>
        <v>1.0450450450450455</v>
      </c>
      <c r="AT255" s="390">
        <f t="shared" si="309"/>
        <v>-0.5</v>
      </c>
      <c r="AU255" s="390">
        <f t="shared" si="309"/>
        <v>0.19620253164557</v>
      </c>
      <c r="AV255" s="390">
        <f t="shared" si="309"/>
        <v>-6.25E-2</v>
      </c>
      <c r="AW255" s="390">
        <f t="shared" si="309"/>
        <v>-0.83259911894273131</v>
      </c>
      <c r="AX255" s="390">
        <f t="shared" si="309"/>
        <v>3.5692307692307699</v>
      </c>
      <c r="AY255" s="390">
        <f t="shared" si="309"/>
        <v>-0.2592592592592593</v>
      </c>
      <c r="AZ255" s="390">
        <f t="shared" si="309"/>
        <v>-0.35333333333333339</v>
      </c>
      <c r="BA255" s="390">
        <f t="shared" si="309"/>
        <v>0.76315789473684159</v>
      </c>
      <c r="BB255" s="390">
        <f t="shared" si="309"/>
        <v>-0.40740740740740744</v>
      </c>
      <c r="BC255" s="390">
        <f t="shared" si="309"/>
        <v>0.22142857142857153</v>
      </c>
      <c r="BD255" s="390">
        <f t="shared" si="309"/>
        <v>-4.1752577319587632</v>
      </c>
      <c r="BE255" s="390">
        <f t="shared" si="309"/>
        <v>0.43283582089552275</v>
      </c>
      <c r="BF255" s="390">
        <f t="shared" si="309"/>
        <v>-0.89204545454545459</v>
      </c>
      <c r="BG255" s="390">
        <f t="shared" si="309"/>
        <v>0.18128654970760238</v>
      </c>
      <c r="BH255" s="390">
        <f t="shared" si="309"/>
        <v>-1.4512987012987013</v>
      </c>
      <c r="BI255" s="390">
        <f t="shared" si="309"/>
        <v>0.39583333333333326</v>
      </c>
      <c r="BJ255" s="390">
        <f t="shared" si="309"/>
        <v>3.5789473684210531</v>
      </c>
      <c r="BK255" s="390">
        <f t="shared" si="309"/>
        <v>0.29207920792079167</v>
      </c>
      <c r="BL255" s="390">
        <f t="shared" si="309"/>
        <v>0.47482014388489224</v>
      </c>
      <c r="BM255" s="390">
        <f t="shared" si="309"/>
        <v>0.41044776119403048</v>
      </c>
      <c r="BN255" s="390">
        <f t="shared" si="309"/>
        <v>0.80459770114942497</v>
      </c>
      <c r="BO255" s="390">
        <f t="shared" si="309"/>
        <v>-1.4245033852768429E-2</v>
      </c>
      <c r="BP255" s="390">
        <f t="shared" si="309"/>
        <v>0.32295153714134472</v>
      </c>
      <c r="BQ255" s="390">
        <f t="shared" si="309"/>
        <v>0.47265574513990094</v>
      </c>
      <c r="BR255" s="390">
        <f t="shared" si="309"/>
        <v>0.79505598904056574</v>
      </c>
    </row>
    <row r="256" spans="1:73" s="34" customFormat="1" ht="12.75" customHeight="1">
      <c r="B256" s="54"/>
      <c r="C256" s="51"/>
      <c r="D256" s="51"/>
      <c r="E256" s="45"/>
      <c r="F256" s="45"/>
      <c r="G256" s="47"/>
      <c r="H256" s="47"/>
      <c r="I256" s="47"/>
      <c r="J256" s="47"/>
      <c r="K256" s="47"/>
      <c r="L256" s="47"/>
      <c r="M256" s="47"/>
      <c r="N256" s="47"/>
      <c r="O256" s="47"/>
      <c r="P256" s="47"/>
      <c r="R256" s="51"/>
      <c r="S256" s="45"/>
      <c r="T256" s="45"/>
      <c r="V256" s="36"/>
      <c r="W256" s="47"/>
      <c r="X256" s="47"/>
      <c r="Y256" s="47"/>
      <c r="Z256" s="47"/>
      <c r="AA256" s="47"/>
      <c r="AB256" s="47"/>
      <c r="AC256" s="47"/>
      <c r="AD256" s="47"/>
      <c r="AE256" s="47"/>
      <c r="AF256" s="47"/>
      <c r="AG256" s="47"/>
      <c r="AH256" s="47"/>
      <c r="AI256" s="47"/>
      <c r="AJ256" s="47"/>
      <c r="AK256" s="47"/>
      <c r="AL256" s="47"/>
      <c r="AM256" s="47"/>
      <c r="AN256" s="47"/>
      <c r="AO256" s="47"/>
      <c r="AP256" s="47"/>
      <c r="AQ256" s="47"/>
      <c r="AR256" s="47"/>
      <c r="AS256" s="47"/>
      <c r="AT256" s="47"/>
      <c r="AU256" s="47"/>
      <c r="AV256" s="47"/>
      <c r="AW256" s="47"/>
      <c r="AX256" s="47"/>
      <c r="AY256" s="47"/>
      <c r="AZ256" s="47"/>
      <c r="BA256" s="47"/>
      <c r="BB256" s="47"/>
      <c r="BC256" s="47"/>
      <c r="BD256" s="47"/>
      <c r="BE256" s="47"/>
      <c r="BF256" s="47"/>
      <c r="BG256" s="47"/>
      <c r="BH256" s="47"/>
      <c r="BI256" s="47"/>
      <c r="BJ256" s="47"/>
      <c r="BK256" s="47"/>
      <c r="BL256" s="47"/>
      <c r="BM256" s="47"/>
      <c r="BN256" s="47"/>
      <c r="BO256" s="47"/>
      <c r="BP256" s="47"/>
      <c r="BQ256" s="47"/>
      <c r="BR256" s="47"/>
    </row>
    <row r="257" spans="2:70">
      <c r="B257" s="243" t="s">
        <v>670</v>
      </c>
      <c r="AU257" s="288">
        <f t="shared" ref="AU257:BN257" si="310">-AU251/AU7</f>
        <v>3.380952380952381E-2</v>
      </c>
      <c r="AV257" s="288">
        <f t="shared" si="310"/>
        <v>3.1125421649800679E-2</v>
      </c>
      <c r="AW257" s="288">
        <f t="shared" si="310"/>
        <v>1.2524228418070672E-2</v>
      </c>
      <c r="AX257" s="288">
        <f t="shared" si="310"/>
        <v>5.159224337306529E-2</v>
      </c>
      <c r="AY257" s="288">
        <f t="shared" si="310"/>
        <v>2.9961898164184278E-2</v>
      </c>
      <c r="AZ257" s="288">
        <f t="shared" si="310"/>
        <v>2.5596072931276293E-2</v>
      </c>
      <c r="BA257" s="288">
        <f t="shared" si="310"/>
        <v>2.1394878706199463E-2</v>
      </c>
      <c r="BB257" s="288">
        <f t="shared" si="310"/>
        <v>2.6810724289715888E-2</v>
      </c>
      <c r="BC257" s="288">
        <f t="shared" si="310"/>
        <v>4.2664092664092663E-2</v>
      </c>
      <c r="BD257" s="288">
        <f t="shared" si="310"/>
        <v>2.4654463952185283E-2</v>
      </c>
      <c r="BE257" s="288">
        <f t="shared" si="310"/>
        <v>1.7241379310344831E-2</v>
      </c>
      <c r="BF257" s="288">
        <f t="shared" si="310"/>
        <v>1.2466466782389142E-2</v>
      </c>
      <c r="BG257" s="288">
        <f t="shared" si="310"/>
        <v>2.1955199525292984E-2</v>
      </c>
      <c r="BH257" s="288">
        <f t="shared" si="310"/>
        <v>1.752199413489736E-2</v>
      </c>
      <c r="BI257" s="288">
        <f t="shared" si="310"/>
        <v>1.9412129138844908E-2</v>
      </c>
      <c r="BJ257" s="288">
        <f t="shared" si="310"/>
        <v>1.3350653099516489E-2</v>
      </c>
      <c r="BK257" s="288">
        <f t="shared" si="310"/>
        <v>2.131325378086912E-2</v>
      </c>
      <c r="BL257" s="288">
        <f t="shared" si="310"/>
        <v>1.9456272518833934E-2</v>
      </c>
      <c r="BM257" s="288">
        <f t="shared" si="310"/>
        <v>1.8136214547559332E-2</v>
      </c>
      <c r="BN257" s="288">
        <f t="shared" si="310"/>
        <v>1.6359034508302981E-2</v>
      </c>
      <c r="BO257" s="335">
        <v>1.8100000000000002E-2</v>
      </c>
      <c r="BP257" s="335">
        <v>1.8100000000000002E-2</v>
      </c>
      <c r="BQ257" s="335">
        <v>1.8100000000000002E-2</v>
      </c>
      <c r="BR257" s="335">
        <v>1.8100000000000002E-2</v>
      </c>
    </row>
    <row r="258" spans="2:70">
      <c r="BI258" s="34"/>
    </row>
    <row r="260" spans="2:70">
      <c r="B260" s="18"/>
    </row>
    <row r="261" spans="2:70">
      <c r="C261" s="77"/>
    </row>
    <row r="270" spans="2:70">
      <c r="BB270" s="88"/>
    </row>
    <row r="271" spans="2:70">
      <c r="BB271" s="88"/>
    </row>
    <row r="272" spans="2:70">
      <c r="BB272" s="88"/>
    </row>
    <row r="273" spans="54:54">
      <c r="BB273" s="88"/>
    </row>
    <row r="274" spans="54:54">
      <c r="BB274" s="88"/>
    </row>
    <row r="275" spans="54:54">
      <c r="BB275" s="88"/>
    </row>
    <row r="276" spans="54:54">
      <c r="BB276" s="88"/>
    </row>
    <row r="277" spans="54:54">
      <c r="BB277" s="88"/>
    </row>
    <row r="278" spans="54:54">
      <c r="BB278" s="88"/>
    </row>
    <row r="279" spans="54:54">
      <c r="BB279" s="88"/>
    </row>
    <row r="280" spans="54:54">
      <c r="BB280" s="88"/>
    </row>
    <row r="281" spans="54:54">
      <c r="BB281" s="88"/>
    </row>
    <row r="282" spans="54:54">
      <c r="BB282" s="88"/>
    </row>
    <row r="283" spans="54:54">
      <c r="BB283" s="88"/>
    </row>
    <row r="284" spans="54:54">
      <c r="BB284" s="88"/>
    </row>
    <row r="285" spans="54:54">
      <c r="BB285" s="88"/>
    </row>
    <row r="286" spans="54:54">
      <c r="BB286" s="88"/>
    </row>
    <row r="287" spans="54:54">
      <c r="BB287" s="88"/>
    </row>
    <row r="288" spans="54:54">
      <c r="BB288" s="88"/>
    </row>
    <row r="289" spans="54:54">
      <c r="BB289" s="88"/>
    </row>
    <row r="290" spans="54:54">
      <c r="BB290" s="88"/>
    </row>
    <row r="291" spans="54:54">
      <c r="BB291" s="88"/>
    </row>
    <row r="292" spans="54:54">
      <c r="BB292" s="88"/>
    </row>
    <row r="293" spans="54:54">
      <c r="BB293" s="88"/>
    </row>
    <row r="294" spans="54:54">
      <c r="BB294" s="88"/>
    </row>
    <row r="295" spans="54:54">
      <c r="BB295" s="88"/>
    </row>
    <row r="296" spans="54:54">
      <c r="BB296" s="88"/>
    </row>
    <row r="297" spans="54:54">
      <c r="BB297" s="88"/>
    </row>
    <row r="298" spans="54:54">
      <c r="BB298" s="88"/>
    </row>
    <row r="299" spans="54:54">
      <c r="BB299" s="88"/>
    </row>
    <row r="300" spans="54:54">
      <c r="BB300" s="88"/>
    </row>
    <row r="301" spans="54:54">
      <c r="BB301" s="88"/>
    </row>
    <row r="302" spans="54:54">
      <c r="BB302" s="88"/>
    </row>
    <row r="303" spans="54:54">
      <c r="BB303" s="88"/>
    </row>
    <row r="304" spans="54:54">
      <c r="BB304" s="88"/>
    </row>
    <row r="305" spans="54:54">
      <c r="BB305" s="88"/>
    </row>
    <row r="306" spans="54:54">
      <c r="BB306" s="88"/>
    </row>
    <row r="307" spans="54:54">
      <c r="BB307" s="88"/>
    </row>
    <row r="308" spans="54:54">
      <c r="BB308" s="88"/>
    </row>
    <row r="309" spans="54:54">
      <c r="BB309" s="88"/>
    </row>
    <row r="310" spans="54:54">
      <c r="BB310" s="88"/>
    </row>
    <row r="311" spans="54:54">
      <c r="BB311" s="88"/>
    </row>
    <row r="312" spans="54:54">
      <c r="BB312" s="88"/>
    </row>
    <row r="313" spans="54:54">
      <c r="BB313" s="88"/>
    </row>
    <row r="314" spans="54:54">
      <c r="BB314" s="88"/>
    </row>
    <row r="315" spans="54:54">
      <c r="BB315" s="88"/>
    </row>
    <row r="316" spans="54:54">
      <c r="BB316" s="88"/>
    </row>
    <row r="317" spans="54:54">
      <c r="BB317" s="88"/>
    </row>
    <row r="318" spans="54:54">
      <c r="BB318" s="88"/>
    </row>
    <row r="319" spans="54:54">
      <c r="BB319" s="88"/>
    </row>
    <row r="320" spans="54:54">
      <c r="BB320" s="88"/>
    </row>
    <row r="321" spans="54:54">
      <c r="BB321" s="88"/>
    </row>
    <row r="322" spans="54:54">
      <c r="BB322" s="88"/>
    </row>
    <row r="323" spans="54:54">
      <c r="BB323" s="88"/>
    </row>
    <row r="324" spans="54:54">
      <c r="BB324" s="88"/>
    </row>
    <row r="325" spans="54:54">
      <c r="BB325" s="88"/>
    </row>
    <row r="326" spans="54:54">
      <c r="BB326" s="88"/>
    </row>
    <row r="327" spans="54:54">
      <c r="BB327" s="88"/>
    </row>
    <row r="328" spans="54:54">
      <c r="BB328" s="88"/>
    </row>
    <row r="329" spans="54:54">
      <c r="BB329" s="88"/>
    </row>
    <row r="330" spans="54:54">
      <c r="BB330" s="88"/>
    </row>
    <row r="331" spans="54:54">
      <c r="BB331" s="88"/>
    </row>
    <row r="332" spans="54:54">
      <c r="BB332" s="88"/>
    </row>
    <row r="333" spans="54:54">
      <c r="BB333" s="88"/>
    </row>
    <row r="334" spans="54:54">
      <c r="BB334" s="88"/>
    </row>
    <row r="335" spans="54:54">
      <c r="BB335" s="88"/>
    </row>
    <row r="336" spans="54:54">
      <c r="BB336" s="88"/>
    </row>
    <row r="337" spans="54:54">
      <c r="BB337" s="88"/>
    </row>
    <row r="338" spans="54:54">
      <c r="BB338" s="88"/>
    </row>
    <row r="339" spans="54:54">
      <c r="BB339" s="88"/>
    </row>
    <row r="340" spans="54:54">
      <c r="BB340" s="88"/>
    </row>
    <row r="341" spans="54:54">
      <c r="BB341" s="88"/>
    </row>
    <row r="342" spans="54:54">
      <c r="BB342" s="88"/>
    </row>
    <row r="343" spans="54:54">
      <c r="BB343" s="88"/>
    </row>
    <row r="344" spans="54:54">
      <c r="BB344" s="88"/>
    </row>
    <row r="345" spans="54:54">
      <c r="BB345" s="88"/>
    </row>
    <row r="346" spans="54:54">
      <c r="BB346" s="88"/>
    </row>
    <row r="347" spans="54:54">
      <c r="BB347" s="88"/>
    </row>
    <row r="348" spans="54:54">
      <c r="BB348" s="88"/>
    </row>
    <row r="349" spans="54:54">
      <c r="BB349" s="88"/>
    </row>
    <row r="350" spans="54:54">
      <c r="BB350" s="88"/>
    </row>
    <row r="351" spans="54:54">
      <c r="BB351" s="88"/>
    </row>
    <row r="352" spans="54:54">
      <c r="BB352" s="88"/>
    </row>
    <row r="353" spans="54:55">
      <c r="BB353" s="88"/>
    </row>
    <row r="354" spans="54:55">
      <c r="BB354" s="88"/>
    </row>
    <row r="355" spans="54:55">
      <c r="BB355" s="88"/>
    </row>
    <row r="356" spans="54:55">
      <c r="BB356" s="88"/>
      <c r="BC356" s="88"/>
    </row>
    <row r="357" spans="54:55">
      <c r="BB357" s="88"/>
      <c r="BC357" s="88"/>
    </row>
    <row r="358" spans="54:55">
      <c r="BB358" s="88"/>
      <c r="BC358" s="88"/>
    </row>
    <row r="359" spans="54:55">
      <c r="BB359" s="88"/>
      <c r="BC359" s="88"/>
    </row>
    <row r="360" spans="54:55">
      <c r="BB360" s="88"/>
      <c r="BC360" s="88"/>
    </row>
    <row r="361" spans="54:55">
      <c r="BB361" s="88"/>
      <c r="BC361" s="88"/>
    </row>
    <row r="362" spans="54:55">
      <c r="BB362" s="88"/>
      <c r="BC362" s="88"/>
    </row>
    <row r="363" spans="54:55">
      <c r="BB363" s="88"/>
      <c r="BC363" s="88"/>
    </row>
    <row r="364" spans="54:55">
      <c r="BB364" s="88"/>
      <c r="BC364" s="88"/>
    </row>
    <row r="365" spans="54:55">
      <c r="BB365" s="88"/>
      <c r="BC365" s="88"/>
    </row>
    <row r="366" spans="54:55">
      <c r="BB366" s="88"/>
      <c r="BC366" s="88"/>
    </row>
    <row r="367" spans="54:55">
      <c r="BB367" s="88"/>
      <c r="BC367" s="88"/>
    </row>
    <row r="368" spans="54:55">
      <c r="BB368" s="88"/>
      <c r="BC368" s="88"/>
    </row>
    <row r="369" spans="54:55">
      <c r="BB369" s="88"/>
      <c r="BC369" s="88"/>
    </row>
    <row r="370" spans="54:55">
      <c r="BB370" s="88"/>
      <c r="BC370" s="88"/>
    </row>
    <row r="371" spans="54:55">
      <c r="BB371" s="88"/>
      <c r="BC371" s="88"/>
    </row>
    <row r="372" spans="54:55">
      <c r="BB372" s="88"/>
      <c r="BC372" s="88"/>
    </row>
    <row r="373" spans="54:55">
      <c r="BB373" s="88"/>
      <c r="BC373" s="88"/>
    </row>
    <row r="374" spans="54:55">
      <c r="BB374" s="88"/>
      <c r="BC374" s="88"/>
    </row>
    <row r="375" spans="54:55">
      <c r="BB375" s="88"/>
      <c r="BC375" s="88"/>
    </row>
    <row r="376" spans="54:55">
      <c r="BB376" s="88"/>
      <c r="BC376" s="88"/>
    </row>
    <row r="377" spans="54:55">
      <c r="BB377" s="88"/>
      <c r="BC377" s="88"/>
    </row>
    <row r="378" spans="54:55">
      <c r="BB378" s="88"/>
      <c r="BC378" s="88"/>
    </row>
    <row r="379" spans="54:55">
      <c r="BB379" s="88"/>
      <c r="BC379" s="88"/>
    </row>
    <row r="380" spans="54:55">
      <c r="BB380" s="88"/>
      <c r="BC380" s="88"/>
    </row>
    <row r="381" spans="54:55">
      <c r="BB381" s="88"/>
      <c r="BC381" s="88"/>
    </row>
    <row r="382" spans="54:55">
      <c r="BB382" s="88"/>
      <c r="BC382" s="88"/>
    </row>
    <row r="383" spans="54:55">
      <c r="BB383" s="88"/>
      <c r="BC383" s="88"/>
    </row>
    <row r="384" spans="54:55">
      <c r="BB384" s="88"/>
      <c r="BC384" s="88"/>
    </row>
    <row r="385" spans="54:55">
      <c r="BB385" s="88"/>
      <c r="BC385" s="88"/>
    </row>
    <row r="386" spans="54:55">
      <c r="BB386" s="88"/>
      <c r="BC386" s="88"/>
    </row>
    <row r="387" spans="54:55">
      <c r="BB387" s="88"/>
      <c r="BC387" s="88"/>
    </row>
    <row r="388" spans="54:55">
      <c r="BB388" s="88"/>
      <c r="BC388" s="88"/>
    </row>
    <row r="389" spans="54:55">
      <c r="BB389" s="88"/>
      <c r="BC389" s="88"/>
    </row>
    <row r="390" spans="54:55">
      <c r="BB390" s="88"/>
      <c r="BC390" s="88"/>
    </row>
    <row r="391" spans="54:55">
      <c r="BB391" s="88"/>
      <c r="BC391" s="88"/>
    </row>
    <row r="392" spans="54:55">
      <c r="BB392" s="88"/>
      <c r="BC392" s="88"/>
    </row>
    <row r="393" spans="54:55">
      <c r="BB393" s="88"/>
      <c r="BC393" s="88"/>
    </row>
    <row r="394" spans="54:55">
      <c r="BB394" s="88"/>
      <c r="BC394" s="88"/>
    </row>
    <row r="395" spans="54:55">
      <c r="BB395" s="88"/>
      <c r="BC395" s="88"/>
    </row>
    <row r="396" spans="54:55">
      <c r="BB396" s="88"/>
      <c r="BC396" s="88"/>
    </row>
    <row r="397" spans="54:55">
      <c r="BB397" s="88"/>
      <c r="BC397" s="88"/>
    </row>
    <row r="398" spans="54:55">
      <c r="BC398" s="88"/>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4"/>
  </sheetPr>
  <dimension ref="A1:IT630"/>
  <sheetViews>
    <sheetView zoomScale="85" zoomScaleNormal="85" workbookViewId="0">
      <pane xSplit="7" ySplit="3" topLeftCell="H4" activePane="bottomRight" state="frozen"/>
      <selection pane="topRight" activeCell="H1" sqref="H1"/>
      <selection pane="bottomLeft" activeCell="A4" sqref="A4"/>
      <selection pane="bottomRight" activeCell="H4" sqref="H4"/>
    </sheetView>
  </sheetViews>
  <sheetFormatPr defaultRowHeight="12.75" outlineLevelRow="1" outlineLevelCol="1"/>
  <cols>
    <col min="1" max="1" width="1.7109375" style="5" customWidth="1"/>
    <col min="2" max="8" width="9.140625" style="5"/>
    <col min="9" max="19" width="9.140625" style="5" hidden="1" customWidth="1" outlineLevel="1"/>
    <col min="20" max="20" width="9.5703125" style="5" bestFit="1" customWidth="1" collapsed="1"/>
    <col min="21" max="21" width="9.140625" style="5"/>
    <col min="22" max="24" width="9.7109375" style="5" bestFit="1" customWidth="1"/>
    <col min="25" max="25" width="9.140625" style="5"/>
    <col min="26" max="26" width="9.140625" style="5" customWidth="1"/>
    <col min="27" max="70" width="9.140625" style="5" hidden="1" customWidth="1" outlineLevel="1"/>
    <col min="71" max="71" width="9.140625" style="5" customWidth="1" collapsed="1"/>
    <col min="72" max="72" width="9.140625" style="5" customWidth="1"/>
    <col min="73" max="16384" width="9.140625" style="5"/>
  </cols>
  <sheetData>
    <row r="1" spans="1:86">
      <c r="B1" s="19" t="s">
        <v>354</v>
      </c>
      <c r="C1" s="19"/>
      <c r="D1" s="19"/>
      <c r="E1" s="19"/>
      <c r="F1" s="19"/>
      <c r="G1" s="19"/>
      <c r="H1" s="19"/>
      <c r="I1" s="19"/>
      <c r="J1" s="20"/>
      <c r="K1" s="20"/>
      <c r="L1" s="20"/>
      <c r="M1" s="20"/>
      <c r="N1" s="20"/>
      <c r="O1" s="20"/>
      <c r="P1" s="20"/>
      <c r="Q1" s="20"/>
      <c r="R1" s="20"/>
      <c r="S1" s="20"/>
      <c r="T1" s="20"/>
      <c r="U1" s="20"/>
      <c r="V1" s="20"/>
      <c r="W1" s="20"/>
      <c r="X1" s="20"/>
      <c r="Y1" s="20"/>
      <c r="AA1" s="19"/>
      <c r="AB1" s="19"/>
      <c r="AC1" s="19"/>
      <c r="AD1" s="19"/>
      <c r="AE1" s="19"/>
      <c r="AF1" s="19"/>
      <c r="AG1" s="19"/>
      <c r="AH1" s="19"/>
      <c r="AI1" s="19"/>
      <c r="AJ1" s="19"/>
      <c r="AK1" s="19"/>
      <c r="AL1" s="19"/>
      <c r="AM1" s="19"/>
      <c r="AN1" s="19"/>
      <c r="AO1" s="19"/>
      <c r="AP1" s="19"/>
      <c r="AQ1" s="20"/>
      <c r="AR1" s="20"/>
      <c r="AS1" s="20"/>
      <c r="AT1" s="20"/>
      <c r="AU1" s="20"/>
      <c r="AV1" s="20"/>
      <c r="AW1" s="20"/>
      <c r="AX1" s="20"/>
      <c r="AY1" s="20"/>
      <c r="AZ1" s="20"/>
      <c r="BA1" s="20"/>
      <c r="BB1" s="20"/>
      <c r="BC1" s="20"/>
      <c r="BD1" s="20"/>
      <c r="BE1" s="20"/>
      <c r="BF1" s="20"/>
      <c r="BG1" s="19"/>
      <c r="BH1" s="20"/>
      <c r="BI1" s="20"/>
      <c r="BJ1" s="20"/>
      <c r="BK1" s="20"/>
      <c r="BL1" s="20"/>
      <c r="BM1" s="20"/>
      <c r="BN1" s="20"/>
      <c r="BO1" s="20"/>
      <c r="BP1" s="20"/>
      <c r="BQ1" s="20"/>
      <c r="BR1" s="20"/>
      <c r="BS1" s="19" t="s">
        <v>355</v>
      </c>
      <c r="BT1" s="20"/>
      <c r="BU1" s="20"/>
      <c r="BV1" s="20"/>
      <c r="BW1" s="20"/>
      <c r="BX1" s="20"/>
      <c r="BY1" s="20"/>
      <c r="BZ1" s="20"/>
      <c r="CA1" s="20"/>
      <c r="CB1" s="20"/>
      <c r="CC1" s="20"/>
      <c r="CD1" s="20"/>
    </row>
    <row r="2" spans="1:86">
      <c r="B2" s="21"/>
      <c r="C2" s="21"/>
      <c r="D2" s="21"/>
      <c r="E2" s="21"/>
      <c r="F2" s="21"/>
      <c r="G2" s="21"/>
      <c r="H2" s="21"/>
      <c r="I2" s="9">
        <v>2005</v>
      </c>
      <c r="J2" s="9">
        <f>+I2+1</f>
        <v>2006</v>
      </c>
      <c r="K2" s="9">
        <f>+J2+1</f>
        <v>2007</v>
      </c>
      <c r="L2" s="9">
        <f>+K2+1</f>
        <v>2008</v>
      </c>
      <c r="M2" s="9">
        <f>+L2+1</f>
        <v>2009</v>
      </c>
      <c r="N2" s="9">
        <f>+M2+1</f>
        <v>2010</v>
      </c>
      <c r="O2" s="9">
        <v>2011</v>
      </c>
      <c r="P2" s="9">
        <f t="shared" ref="P2:Y2" si="0">+O2+1</f>
        <v>2012</v>
      </c>
      <c r="Q2" s="9">
        <f t="shared" si="0"/>
        <v>2013</v>
      </c>
      <c r="R2" s="9">
        <f t="shared" si="0"/>
        <v>2014</v>
      </c>
      <c r="S2" s="9">
        <f t="shared" si="0"/>
        <v>2015</v>
      </c>
      <c r="T2" s="9">
        <f t="shared" si="0"/>
        <v>2016</v>
      </c>
      <c r="U2" s="9">
        <f t="shared" si="0"/>
        <v>2017</v>
      </c>
      <c r="V2" s="10">
        <f t="shared" si="0"/>
        <v>2018</v>
      </c>
      <c r="W2" s="10">
        <f t="shared" si="0"/>
        <v>2019</v>
      </c>
      <c r="X2" s="10">
        <f t="shared" si="0"/>
        <v>2020</v>
      </c>
      <c r="Y2" s="10">
        <f t="shared" si="0"/>
        <v>2021</v>
      </c>
      <c r="AA2" s="31" t="s">
        <v>175</v>
      </c>
      <c r="AB2" s="31" t="s">
        <v>176</v>
      </c>
      <c r="AC2" s="31" t="s">
        <v>177</v>
      </c>
      <c r="AD2" s="31" t="s">
        <v>178</v>
      </c>
      <c r="AE2" s="31" t="s">
        <v>179</v>
      </c>
      <c r="AF2" s="31" t="s">
        <v>180</v>
      </c>
      <c r="AG2" s="31" t="s">
        <v>181</v>
      </c>
      <c r="AH2" s="31" t="s">
        <v>182</v>
      </c>
      <c r="AI2" s="31" t="s">
        <v>183</v>
      </c>
      <c r="AJ2" s="31" t="s">
        <v>184</v>
      </c>
      <c r="AK2" s="31" t="s">
        <v>185</v>
      </c>
      <c r="AL2" s="31" t="s">
        <v>186</v>
      </c>
      <c r="AM2" s="31" t="s">
        <v>151</v>
      </c>
      <c r="AN2" s="31" t="s">
        <v>152</v>
      </c>
      <c r="AO2" s="31" t="s">
        <v>153</v>
      </c>
      <c r="AP2" s="31" t="s">
        <v>154</v>
      </c>
      <c r="AQ2" s="31" t="s">
        <v>111</v>
      </c>
      <c r="AR2" s="31" t="s">
        <v>112</v>
      </c>
      <c r="AS2" s="31" t="s">
        <v>3</v>
      </c>
      <c r="AT2" s="31" t="s">
        <v>155</v>
      </c>
      <c r="AU2" s="31" t="s">
        <v>156</v>
      </c>
      <c r="AV2" s="31" t="s">
        <v>157</v>
      </c>
      <c r="AW2" s="31" t="s">
        <v>158</v>
      </c>
      <c r="AX2" s="31" t="s">
        <v>159</v>
      </c>
      <c r="AY2" s="31" t="s">
        <v>160</v>
      </c>
      <c r="AZ2" s="31" t="s">
        <v>161</v>
      </c>
      <c r="BA2" s="31" t="s">
        <v>162</v>
      </c>
      <c r="BB2" s="31" t="s">
        <v>163</v>
      </c>
      <c r="BC2" s="31" t="s">
        <v>164</v>
      </c>
      <c r="BD2" s="31" t="s">
        <v>165</v>
      </c>
      <c r="BE2" s="31" t="s">
        <v>166</v>
      </c>
      <c r="BF2" s="31" t="s">
        <v>167</v>
      </c>
      <c r="BG2" s="31" t="s">
        <v>168</v>
      </c>
      <c r="BH2" s="31" t="s">
        <v>169</v>
      </c>
      <c r="BI2" s="31" t="s">
        <v>170</v>
      </c>
      <c r="BJ2" s="31" t="s">
        <v>171</v>
      </c>
      <c r="BK2" s="31" t="s">
        <v>172</v>
      </c>
      <c r="BL2" s="31" t="s">
        <v>173</v>
      </c>
      <c r="BM2" s="31" t="s">
        <v>145</v>
      </c>
      <c r="BN2" s="31" t="s">
        <v>19</v>
      </c>
      <c r="BO2" s="31" t="s">
        <v>20</v>
      </c>
      <c r="BP2" s="31" t="s">
        <v>21</v>
      </c>
      <c r="BQ2" s="31" t="s">
        <v>22</v>
      </c>
      <c r="BR2" s="31" t="s">
        <v>23</v>
      </c>
      <c r="BS2" s="31" t="s">
        <v>243</v>
      </c>
      <c r="BT2" s="31" t="s">
        <v>244</v>
      </c>
      <c r="BU2" s="31" t="s">
        <v>245</v>
      </c>
      <c r="BV2" s="31" t="s">
        <v>246</v>
      </c>
      <c r="BW2" s="31" t="s">
        <v>248</v>
      </c>
      <c r="BX2" s="31" t="s">
        <v>249</v>
      </c>
      <c r="BY2" s="31" t="s">
        <v>250</v>
      </c>
      <c r="BZ2" s="31" t="s">
        <v>251</v>
      </c>
      <c r="CA2" s="32" t="s">
        <v>562</v>
      </c>
      <c r="CB2" s="32" t="s">
        <v>563</v>
      </c>
      <c r="CC2" s="32" t="s">
        <v>564</v>
      </c>
      <c r="CD2" s="32" t="s">
        <v>565</v>
      </c>
    </row>
    <row r="3" spans="1:86">
      <c r="A3" s="36" t="s">
        <v>150</v>
      </c>
      <c r="B3" s="27" t="s">
        <v>426</v>
      </c>
      <c r="C3" s="28"/>
      <c r="D3" s="28"/>
      <c r="E3" s="28"/>
      <c r="F3" s="28"/>
      <c r="G3" s="28"/>
      <c r="H3" s="28"/>
      <c r="I3" s="28"/>
      <c r="J3" s="28"/>
      <c r="K3" s="28"/>
      <c r="L3" s="28"/>
      <c r="M3" s="28"/>
      <c r="N3" s="28"/>
      <c r="O3" s="28"/>
      <c r="P3" s="28"/>
      <c r="Q3" s="28"/>
      <c r="R3" s="28"/>
      <c r="S3" s="28"/>
      <c r="T3" s="251"/>
      <c r="U3" s="251"/>
      <c r="V3" s="251"/>
      <c r="W3" s="251"/>
      <c r="X3" s="251"/>
      <c r="Y3" s="251"/>
      <c r="Z3" s="28"/>
      <c r="AA3" s="28"/>
      <c r="AB3" s="28"/>
      <c r="AC3" s="28"/>
      <c r="AD3" s="28"/>
      <c r="AE3" s="28"/>
      <c r="AF3" s="28"/>
      <c r="AG3" s="28"/>
      <c r="AH3" s="28"/>
      <c r="AI3" s="28"/>
      <c r="AJ3" s="28"/>
      <c r="AK3" s="28"/>
      <c r="AL3" s="28"/>
      <c r="AM3" s="28"/>
      <c r="AN3" s="28"/>
      <c r="AO3" s="28"/>
      <c r="AP3" s="28"/>
      <c r="AQ3" s="28"/>
      <c r="AR3" s="28"/>
      <c r="AS3" s="28"/>
      <c r="AT3" s="28"/>
      <c r="AU3" s="28"/>
      <c r="AV3" s="28"/>
      <c r="AW3" s="28"/>
      <c r="AX3" s="28"/>
      <c r="AY3" s="28"/>
      <c r="AZ3" s="28"/>
      <c r="BA3" s="28"/>
      <c r="BB3" s="28"/>
      <c r="BC3" s="28"/>
      <c r="BD3" s="28"/>
      <c r="BE3" s="28"/>
      <c r="BF3" s="28"/>
      <c r="BG3" s="28"/>
      <c r="BH3" s="28"/>
      <c r="BI3" s="28"/>
      <c r="BJ3" s="28"/>
      <c r="BK3" s="28"/>
      <c r="BL3" s="28"/>
      <c r="BM3" s="28"/>
      <c r="BN3" s="28"/>
      <c r="BO3" s="28"/>
      <c r="BP3" s="28"/>
      <c r="BQ3" s="28"/>
      <c r="BR3" s="28"/>
      <c r="BS3" s="251"/>
      <c r="BT3" s="251"/>
      <c r="BU3" s="251"/>
      <c r="BV3" s="251"/>
      <c r="BW3" s="251"/>
      <c r="BX3" s="251"/>
      <c r="BY3" s="251"/>
      <c r="BZ3" s="251"/>
      <c r="CA3" s="251"/>
      <c r="CB3" s="251"/>
      <c r="CC3" s="251"/>
      <c r="CD3" s="251"/>
    </row>
    <row r="4" spans="1:86">
      <c r="A4" s="36"/>
      <c r="B4" s="5" t="s">
        <v>322</v>
      </c>
      <c r="T4" s="348">
        <f t="shared" ref="T4:Y4" si="1">+T117</f>
        <v>770.1842180421537</v>
      </c>
      <c r="U4" s="348">
        <f t="shared" si="1"/>
        <v>820.24300051640421</v>
      </c>
      <c r="V4" s="348">
        <f t="shared" si="1"/>
        <v>859.89373209296946</v>
      </c>
      <c r="W4" s="348">
        <f t="shared" si="1"/>
        <v>874.2104120671288</v>
      </c>
      <c r="X4" s="348">
        <f t="shared" si="1"/>
        <v>901.83464817691311</v>
      </c>
      <c r="Y4" s="348">
        <f t="shared" si="1"/>
        <v>912.92765927926189</v>
      </c>
      <c r="Z4" s="217"/>
      <c r="AA4" s="348"/>
      <c r="AB4" s="348"/>
      <c r="AC4" s="348"/>
      <c r="AD4" s="348"/>
      <c r="AE4" s="348"/>
      <c r="AF4" s="348"/>
      <c r="AG4" s="348"/>
      <c r="AH4" s="348"/>
      <c r="AI4" s="348"/>
      <c r="AJ4" s="348"/>
      <c r="AK4" s="348"/>
      <c r="AL4" s="348"/>
      <c r="AM4" s="348"/>
      <c r="AN4" s="348"/>
      <c r="AO4" s="348"/>
      <c r="AP4" s="348"/>
      <c r="AQ4" s="348"/>
      <c r="AR4" s="348"/>
      <c r="AS4" s="348"/>
      <c r="AT4" s="348"/>
      <c r="AU4" s="348"/>
      <c r="AV4" s="348"/>
      <c r="AW4" s="348"/>
      <c r="AX4" s="348"/>
      <c r="AY4" s="348"/>
      <c r="AZ4" s="348"/>
      <c r="BA4" s="348"/>
      <c r="BB4" s="348"/>
      <c r="BC4" s="348"/>
      <c r="BD4" s="348"/>
      <c r="BE4" s="348"/>
      <c r="BF4" s="348"/>
      <c r="BG4" s="348"/>
      <c r="BH4" s="348"/>
      <c r="BI4" s="348"/>
      <c r="BJ4" s="348"/>
      <c r="BK4" s="348"/>
      <c r="BL4" s="348"/>
      <c r="BM4" s="348"/>
      <c r="BN4" s="348"/>
      <c r="BO4" s="348"/>
      <c r="BP4" s="348"/>
      <c r="BQ4" s="348"/>
      <c r="BR4" s="348"/>
      <c r="BS4" s="348">
        <f>+BS117</f>
        <v>194.10935074406001</v>
      </c>
      <c r="BT4" s="348">
        <f t="shared" ref="BT4:BZ4" si="2">+BT117</f>
        <v>184.11711047556037</v>
      </c>
      <c r="BU4" s="348">
        <f t="shared" si="2"/>
        <v>195.18963935232898</v>
      </c>
      <c r="BV4" s="348">
        <f t="shared" si="2"/>
        <v>196.76811747020437</v>
      </c>
      <c r="BW4" s="348">
        <f t="shared" si="2"/>
        <v>204.83267857002636</v>
      </c>
      <c r="BX4" s="348">
        <f t="shared" si="2"/>
        <v>206.20222372458318</v>
      </c>
      <c r="BY4" s="348">
        <f t="shared" si="2"/>
        <v>205.08645854050465</v>
      </c>
      <c r="BZ4" s="348">
        <f t="shared" si="2"/>
        <v>204.12163968129005</v>
      </c>
      <c r="CA4" s="348">
        <f>+CA117</f>
        <v>208.57948454939708</v>
      </c>
      <c r="CB4" s="348">
        <f>+CB117</f>
        <v>214.78550590015652</v>
      </c>
      <c r="CC4" s="348">
        <f>+CC117</f>
        <v>217.3958490037277</v>
      </c>
      <c r="CD4" s="348">
        <f>+CD117</f>
        <v>219.13289263968815</v>
      </c>
    </row>
    <row r="5" spans="1:86">
      <c r="A5" s="36"/>
      <c r="B5" s="5" t="s">
        <v>376</v>
      </c>
      <c r="T5" s="349">
        <f t="shared" ref="T5:Y5" si="3">+T199</f>
        <v>1017.2598270403864</v>
      </c>
      <c r="U5" s="349">
        <f t="shared" si="3"/>
        <v>1302.9546383610004</v>
      </c>
      <c r="V5" s="349">
        <f t="shared" si="3"/>
        <v>1656.2864058437042</v>
      </c>
      <c r="W5" s="349">
        <f t="shared" si="3"/>
        <v>1766.8834056018777</v>
      </c>
      <c r="X5" s="349">
        <f t="shared" si="3"/>
        <v>1894.9490207522169</v>
      </c>
      <c r="Y5" s="349">
        <f t="shared" si="3"/>
        <v>2012.1556514005681</v>
      </c>
      <c r="Z5" s="217"/>
      <c r="AA5" s="349"/>
      <c r="AB5" s="349"/>
      <c r="AC5" s="349"/>
      <c r="AD5" s="349"/>
      <c r="AE5" s="349"/>
      <c r="AF5" s="349"/>
      <c r="AG5" s="349"/>
      <c r="AH5" s="349"/>
      <c r="AI5" s="349"/>
      <c r="AJ5" s="349"/>
      <c r="AK5" s="349"/>
      <c r="AL5" s="349"/>
      <c r="AM5" s="349"/>
      <c r="AN5" s="349"/>
      <c r="AO5" s="349"/>
      <c r="AP5" s="349"/>
      <c r="AQ5" s="349"/>
      <c r="AR5" s="349"/>
      <c r="AS5" s="349"/>
      <c r="AT5" s="349"/>
      <c r="AU5" s="349"/>
      <c r="AV5" s="349"/>
      <c r="AW5" s="349"/>
      <c r="AX5" s="349"/>
      <c r="AY5" s="349"/>
      <c r="AZ5" s="349"/>
      <c r="BA5" s="349"/>
      <c r="BB5" s="349"/>
      <c r="BC5" s="349"/>
      <c r="BD5" s="349"/>
      <c r="BE5" s="349"/>
      <c r="BF5" s="349"/>
      <c r="BG5" s="349"/>
      <c r="BH5" s="349"/>
      <c r="BI5" s="349"/>
      <c r="BJ5" s="349"/>
      <c r="BK5" s="349"/>
      <c r="BL5" s="349"/>
      <c r="BM5" s="349"/>
      <c r="BN5" s="349"/>
      <c r="BO5" s="349"/>
      <c r="BP5" s="349"/>
      <c r="BQ5" s="349"/>
      <c r="BR5" s="349"/>
      <c r="BS5" s="349">
        <f t="shared" ref="BS5:BZ5" si="4">+BS199</f>
        <v>251.36082314803937</v>
      </c>
      <c r="BT5" s="349">
        <f t="shared" si="4"/>
        <v>231.65548706708037</v>
      </c>
      <c r="BU5" s="349">
        <f t="shared" si="4"/>
        <v>257.18366270900248</v>
      </c>
      <c r="BV5" s="349">
        <f t="shared" si="4"/>
        <v>277.05985411626426</v>
      </c>
      <c r="BW5" s="349">
        <f t="shared" si="4"/>
        <v>304.71503293343801</v>
      </c>
      <c r="BX5" s="349">
        <f t="shared" si="4"/>
        <v>316.16330901466193</v>
      </c>
      <c r="BY5" s="349">
        <f t="shared" si="4"/>
        <v>330.62603604608842</v>
      </c>
      <c r="BZ5" s="349">
        <f t="shared" si="4"/>
        <v>351.45026036681196</v>
      </c>
      <c r="CA5" s="349">
        <f>+CA199</f>
        <v>387.00182440847703</v>
      </c>
      <c r="CB5" s="349">
        <f>+CB199</f>
        <v>419.92831360021171</v>
      </c>
      <c r="CC5" s="349">
        <f>+CC199</f>
        <v>424.31398582345378</v>
      </c>
      <c r="CD5" s="349">
        <f>+CD199</f>
        <v>425.04228201156155</v>
      </c>
    </row>
    <row r="6" spans="1:86">
      <c r="A6" s="36"/>
      <c r="B6" s="5" t="s">
        <v>321</v>
      </c>
      <c r="T6" s="349">
        <f t="shared" ref="T6:Y6" si="5">+T274</f>
        <v>152.07421090909088</v>
      </c>
      <c r="U6" s="349">
        <f t="shared" si="5"/>
        <v>167.02527026879372</v>
      </c>
      <c r="V6" s="349">
        <f t="shared" si="5"/>
        <v>142.81286086956521</v>
      </c>
      <c r="W6" s="349">
        <f t="shared" si="5"/>
        <v>142.93879813664591</v>
      </c>
      <c r="X6" s="349">
        <f t="shared" si="5"/>
        <v>142.93879813664591</v>
      </c>
      <c r="Y6" s="349">
        <f t="shared" si="5"/>
        <v>142.93879813664591</v>
      </c>
      <c r="Z6" s="349"/>
      <c r="AA6" s="349"/>
      <c r="AB6" s="349"/>
      <c r="AC6" s="349"/>
      <c r="AD6" s="349"/>
      <c r="AE6" s="349"/>
      <c r="AF6" s="349"/>
      <c r="AG6" s="349"/>
      <c r="AH6" s="349"/>
      <c r="AI6" s="349"/>
      <c r="AJ6" s="349"/>
      <c r="AK6" s="349"/>
      <c r="AL6" s="349"/>
      <c r="AM6" s="349"/>
      <c r="AN6" s="349"/>
      <c r="AO6" s="349"/>
      <c r="AP6" s="349"/>
      <c r="AQ6" s="349"/>
      <c r="AR6" s="349"/>
      <c r="AS6" s="349"/>
      <c r="AT6" s="349"/>
      <c r="AU6" s="349"/>
      <c r="AV6" s="349"/>
      <c r="AW6" s="349"/>
      <c r="AX6" s="349"/>
      <c r="AY6" s="349"/>
      <c r="AZ6" s="349"/>
      <c r="BA6" s="349"/>
      <c r="BB6" s="349"/>
      <c r="BC6" s="349"/>
      <c r="BD6" s="349"/>
      <c r="BE6" s="349"/>
      <c r="BF6" s="349"/>
      <c r="BG6" s="349"/>
      <c r="BH6" s="349"/>
      <c r="BI6" s="349"/>
      <c r="BJ6" s="349"/>
      <c r="BK6" s="349"/>
      <c r="BL6" s="349"/>
      <c r="BM6" s="349"/>
      <c r="BN6" s="349"/>
      <c r="BO6" s="349"/>
      <c r="BP6" s="349"/>
      <c r="BQ6" s="349"/>
      <c r="BR6" s="349"/>
      <c r="BS6" s="349">
        <f>+BS274</f>
        <v>30.607532307692306</v>
      </c>
      <c r="BT6" s="349">
        <f t="shared" ref="BT6:BZ6" si="6">+BT274</f>
        <v>40.104081818181818</v>
      </c>
      <c r="BU6" s="349">
        <f t="shared" si="6"/>
        <v>39.870409090909085</v>
      </c>
      <c r="BV6" s="349">
        <f t="shared" si="6"/>
        <v>41.492187692307695</v>
      </c>
      <c r="BW6" s="349">
        <f t="shared" si="6"/>
        <v>46.372626562500002</v>
      </c>
      <c r="BX6" s="349">
        <f>+BX274</f>
        <v>51.831531818181823</v>
      </c>
      <c r="BY6" s="349">
        <f t="shared" si="6"/>
        <v>37.679727272727277</v>
      </c>
      <c r="BZ6" s="349">
        <f t="shared" si="6"/>
        <v>31.14138461538462</v>
      </c>
      <c r="CA6" s="349">
        <f>+CA274</f>
        <v>28.430060869565217</v>
      </c>
      <c r="CB6" s="349">
        <f>+CB274</f>
        <v>39.841200000000001</v>
      </c>
      <c r="CC6" s="349">
        <f>+CC274</f>
        <v>35.664300000000004</v>
      </c>
      <c r="CD6" s="349">
        <f>+CD274</f>
        <v>38.877300000000005</v>
      </c>
    </row>
    <row r="7" spans="1:86">
      <c r="A7" s="36"/>
      <c r="B7" s="5" t="s">
        <v>372</v>
      </c>
      <c r="T7" s="349">
        <f t="shared" ref="T7:Y7" si="7">+T327</f>
        <v>295.78944982552866</v>
      </c>
      <c r="U7" s="349">
        <f t="shared" si="7"/>
        <v>316.19256736289242</v>
      </c>
      <c r="V7" s="349">
        <f t="shared" si="7"/>
        <v>319.70792516994868</v>
      </c>
      <c r="W7" s="349">
        <f>+W327</f>
        <v>324.4235981763577</v>
      </c>
      <c r="X7" s="349">
        <f t="shared" si="7"/>
        <v>347.8694686623781</v>
      </c>
      <c r="Y7" s="349">
        <f t="shared" si="7"/>
        <v>355.66004919807068</v>
      </c>
      <c r="Z7" s="217"/>
      <c r="AA7" s="349"/>
      <c r="AB7" s="349"/>
      <c r="AC7" s="349"/>
      <c r="AD7" s="349"/>
      <c r="AE7" s="349"/>
      <c r="AF7" s="349"/>
      <c r="AG7" s="349"/>
      <c r="AH7" s="349"/>
      <c r="AI7" s="349"/>
      <c r="AJ7" s="349"/>
      <c r="AK7" s="349"/>
      <c r="AL7" s="349"/>
      <c r="AM7" s="349"/>
      <c r="AN7" s="349"/>
      <c r="AO7" s="349"/>
      <c r="AP7" s="349"/>
      <c r="AQ7" s="349"/>
      <c r="AR7" s="349"/>
      <c r="AS7" s="349"/>
      <c r="AT7" s="349"/>
      <c r="AU7" s="349"/>
      <c r="AV7" s="349"/>
      <c r="AW7" s="349"/>
      <c r="AX7" s="349"/>
      <c r="AY7" s="349"/>
      <c r="AZ7" s="349"/>
      <c r="BA7" s="349"/>
      <c r="BB7" s="349"/>
      <c r="BC7" s="349"/>
      <c r="BD7" s="349"/>
      <c r="BE7" s="349"/>
      <c r="BF7" s="349"/>
      <c r="BG7" s="349"/>
      <c r="BH7" s="349"/>
      <c r="BI7" s="349"/>
      <c r="BJ7" s="349"/>
      <c r="BK7" s="349"/>
      <c r="BL7" s="349"/>
      <c r="BM7" s="349"/>
      <c r="BN7" s="349"/>
      <c r="BO7" s="349"/>
      <c r="BP7" s="349"/>
      <c r="BQ7" s="349"/>
      <c r="BR7" s="349"/>
      <c r="BS7" s="349">
        <f>+BS327</f>
        <v>71.885140429639989</v>
      </c>
      <c r="BT7" s="349">
        <f t="shared" ref="BT7:BZ7" si="8">+BT327</f>
        <v>71.161207162823473</v>
      </c>
      <c r="BU7" s="349">
        <f t="shared" si="8"/>
        <v>75.100974723588664</v>
      </c>
      <c r="BV7" s="349">
        <f t="shared" si="8"/>
        <v>77.642127509476524</v>
      </c>
      <c r="BW7" s="349">
        <f t="shared" si="8"/>
        <v>80.567496200133974</v>
      </c>
      <c r="BX7" s="349">
        <f>+BX327</f>
        <v>79.726758270861453</v>
      </c>
      <c r="BY7" s="349">
        <f t="shared" si="8"/>
        <v>77.841075868246548</v>
      </c>
      <c r="BZ7" s="349">
        <f t="shared" si="8"/>
        <v>78.057237023650416</v>
      </c>
      <c r="CA7" s="349">
        <f>+CA327</f>
        <v>80.933077661878485</v>
      </c>
      <c r="CB7" s="349">
        <f>+CB327</f>
        <v>78.725642552743693</v>
      </c>
      <c r="CC7" s="349">
        <f>+CC327</f>
        <v>79.251601712964643</v>
      </c>
      <c r="CD7" s="349">
        <f>+CD327</f>
        <v>80.797603242361873</v>
      </c>
    </row>
    <row r="8" spans="1:86">
      <c r="A8" s="36"/>
      <c r="B8" s="5" t="s">
        <v>18</v>
      </c>
      <c r="T8" s="349">
        <f t="shared" ref="T8:Y8" si="9">T362</f>
        <v>763.9922941828404</v>
      </c>
      <c r="U8" s="349">
        <f>U362</f>
        <v>894.3845234909096</v>
      </c>
      <c r="V8" s="349">
        <f t="shared" si="9"/>
        <v>912.93244400110223</v>
      </c>
      <c r="W8" s="349">
        <f t="shared" si="9"/>
        <v>931.19109288112429</v>
      </c>
      <c r="X8" s="349">
        <f t="shared" si="9"/>
        <v>949.81491473874678</v>
      </c>
      <c r="Y8" s="349">
        <f t="shared" si="9"/>
        <v>968.81121303352177</v>
      </c>
      <c r="Z8" s="217"/>
      <c r="AA8" s="349"/>
      <c r="AB8" s="349"/>
      <c r="AC8" s="349"/>
      <c r="AD8" s="349"/>
      <c r="AE8" s="349"/>
      <c r="AF8" s="349"/>
      <c r="AG8" s="349"/>
      <c r="AH8" s="349"/>
      <c r="AI8" s="349"/>
      <c r="AJ8" s="349"/>
      <c r="AK8" s="349"/>
      <c r="AL8" s="349"/>
      <c r="AM8" s="349"/>
      <c r="AN8" s="349"/>
      <c r="AO8" s="349"/>
      <c r="AP8" s="349"/>
      <c r="AQ8" s="349"/>
      <c r="AR8" s="349"/>
      <c r="AS8" s="349"/>
      <c r="AT8" s="349"/>
      <c r="AU8" s="349"/>
      <c r="AV8" s="349"/>
      <c r="AW8" s="349"/>
      <c r="AX8" s="349"/>
      <c r="AY8" s="349"/>
      <c r="AZ8" s="349"/>
      <c r="BA8" s="349"/>
      <c r="BB8" s="349"/>
      <c r="BC8" s="349"/>
      <c r="BD8" s="349"/>
      <c r="BE8" s="349"/>
      <c r="BF8" s="349"/>
      <c r="BG8" s="349"/>
      <c r="BH8" s="349"/>
      <c r="BI8" s="349"/>
      <c r="BJ8" s="349"/>
      <c r="BK8" s="349"/>
      <c r="BL8" s="349"/>
      <c r="BM8" s="349"/>
      <c r="BN8" s="349"/>
      <c r="BO8" s="349"/>
      <c r="BP8" s="349"/>
      <c r="BQ8" s="349"/>
      <c r="BR8" s="349"/>
      <c r="BS8" s="285">
        <f t="shared" ref="BS8:BZ8" si="10">+BS9-SUM(BS4:BS7)</f>
        <v>156.33715337056833</v>
      </c>
      <c r="BT8" s="285">
        <f t="shared" si="10"/>
        <v>205.96211347635403</v>
      </c>
      <c r="BU8" s="285">
        <f t="shared" si="10"/>
        <v>212.05531412417076</v>
      </c>
      <c r="BV8" s="285">
        <f t="shared" si="10"/>
        <v>189.63771321174727</v>
      </c>
      <c r="BW8" s="285">
        <f t="shared" si="10"/>
        <v>200.41216573390159</v>
      </c>
      <c r="BX8" s="285">
        <f t="shared" si="10"/>
        <v>211.17617717171174</v>
      </c>
      <c r="BY8" s="285">
        <f t="shared" si="10"/>
        <v>229.96670227243317</v>
      </c>
      <c r="BZ8" s="285">
        <f t="shared" si="10"/>
        <v>252.8294783128631</v>
      </c>
      <c r="CA8" s="349">
        <f>CA362</f>
        <v>212.43689567793569</v>
      </c>
      <c r="CB8" s="349">
        <f>CB362</f>
        <v>215.39970071514597</v>
      </c>
      <c r="CC8" s="349">
        <f>CC362</f>
        <v>232.26636929515749</v>
      </c>
      <c r="CD8" s="349">
        <f>CD362</f>
        <v>252.8294783128631</v>
      </c>
    </row>
    <row r="9" spans="1:86">
      <c r="A9" s="36"/>
      <c r="B9" s="38" t="s">
        <v>195</v>
      </c>
      <c r="K9" s="282">
        <f>SUM(AI9:AL9)</f>
        <v>845.1</v>
      </c>
      <c r="L9" s="282">
        <f>SUM(AM9:AP9)</f>
        <v>1275.4000000000001</v>
      </c>
      <c r="M9" s="282">
        <f>SUM(AQ9:AT9)</f>
        <v>963.80000000000007</v>
      </c>
      <c r="N9" s="282">
        <f>SUM(AU9:AX9)</f>
        <v>1036.6000000000001</v>
      </c>
      <c r="O9" s="282">
        <f>SUM(AY9:BB9)</f>
        <v>1389.1000000000001</v>
      </c>
      <c r="P9" s="282">
        <f>SUM(BC9:BF9)</f>
        <v>1567.1</v>
      </c>
      <c r="Q9" s="282">
        <f>SUM(BG9:BJ9)</f>
        <v>1737.3999999999999</v>
      </c>
      <c r="R9" s="282">
        <f>SUM(BK9:BN9)</f>
        <v>1502.8000000000002</v>
      </c>
      <c r="S9" s="282">
        <f>SUM(BO9:BR9)</f>
        <v>1713.4</v>
      </c>
      <c r="T9" s="282">
        <f t="shared" ref="T9:Y9" si="11">SUM(T4:T8)</f>
        <v>2999.2999999999997</v>
      </c>
      <c r="U9" s="282">
        <f t="shared" si="11"/>
        <v>3500.8</v>
      </c>
      <c r="V9" s="282">
        <f t="shared" si="11"/>
        <v>3891.6333679772897</v>
      </c>
      <c r="W9" s="282">
        <f t="shared" si="11"/>
        <v>4039.6473068631344</v>
      </c>
      <c r="X9" s="282">
        <f t="shared" si="11"/>
        <v>4237.4068504669003</v>
      </c>
      <c r="Y9" s="282">
        <f t="shared" si="11"/>
        <v>4392.4933710480682</v>
      </c>
      <c r="Z9" s="217"/>
      <c r="AI9" s="264">
        <f>+Segments!W32</f>
        <v>155.30000000000001</v>
      </c>
      <c r="AJ9" s="264">
        <f>+Segments!X32</f>
        <v>166.4</v>
      </c>
      <c r="AK9" s="264">
        <f>+Segments!Y32</f>
        <v>221.3</v>
      </c>
      <c r="AL9" s="264">
        <f>+Segments!Z32</f>
        <v>302.10000000000002</v>
      </c>
      <c r="AM9" s="264">
        <f>+Segments!AA32</f>
        <v>288.3</v>
      </c>
      <c r="AN9" s="264">
        <f>+Segments!AB32</f>
        <v>312.2</v>
      </c>
      <c r="AO9" s="264">
        <f>+Segments!AC32</f>
        <v>362.1</v>
      </c>
      <c r="AP9" s="264">
        <f>+Segments!AD32</f>
        <v>312.8</v>
      </c>
      <c r="AQ9" s="264">
        <f>+Segments!AE32</f>
        <v>267.7</v>
      </c>
      <c r="AR9" s="264">
        <f>+Segments!AF32</f>
        <v>242.4</v>
      </c>
      <c r="AS9" s="264">
        <f>+Segments!AG32</f>
        <v>228.8</v>
      </c>
      <c r="AT9" s="264">
        <f>+Segments!AH32</f>
        <v>224.9</v>
      </c>
      <c r="AU9" s="264">
        <f>+Segments!AI32</f>
        <v>230.6</v>
      </c>
      <c r="AV9" s="264">
        <f>+Segments!AJ32</f>
        <v>258</v>
      </c>
      <c r="AW9" s="264">
        <f>+Segments!AK32</f>
        <v>275.3</v>
      </c>
      <c r="AX9" s="264">
        <f>+Segments!AL32</f>
        <v>272.7</v>
      </c>
      <c r="AY9" s="264">
        <f>+Segments!AM32</f>
        <v>299.39999999999998</v>
      </c>
      <c r="AZ9" s="264">
        <f>+Segments!AN32</f>
        <v>380.3</v>
      </c>
      <c r="BA9" s="264">
        <f>+Segments!AO32</f>
        <v>386.1</v>
      </c>
      <c r="BB9" s="264">
        <f>+Segments!AP32</f>
        <v>323.3</v>
      </c>
      <c r="BC9" s="264">
        <f>+Segments!AQ32</f>
        <v>359.7</v>
      </c>
      <c r="BD9" s="264">
        <f>+Segments!AR32</f>
        <v>363.2</v>
      </c>
      <c r="BE9" s="264">
        <f>+Segments!AS32</f>
        <v>412.40000000000003</v>
      </c>
      <c r="BF9" s="264">
        <f>+Segments!AT32</f>
        <v>431.79999999999995</v>
      </c>
      <c r="BG9" s="264">
        <f>+Segments!AU32</f>
        <v>441.99999999999994</v>
      </c>
      <c r="BH9" s="264">
        <f>+Segments!AV32</f>
        <v>454.09999999999997</v>
      </c>
      <c r="BI9" s="264">
        <f>+Segments!AW32</f>
        <v>457.6</v>
      </c>
      <c r="BJ9" s="264">
        <f>+Segments!AX32</f>
        <v>383.7</v>
      </c>
      <c r="BK9" s="264">
        <f>+Segments!AY32</f>
        <v>376.8</v>
      </c>
      <c r="BL9" s="264">
        <f>+Segments!AZ32</f>
        <v>389.40000000000003</v>
      </c>
      <c r="BM9" s="264">
        <f>+Segments!BA32</f>
        <v>383.99999999999994</v>
      </c>
      <c r="BN9" s="264">
        <f>+Segments!BB32</f>
        <v>352.6</v>
      </c>
      <c r="BO9" s="264">
        <f>+Segments!BC32</f>
        <v>339.3</v>
      </c>
      <c r="BP9" s="264">
        <f>+Segments!BD32</f>
        <v>341.2</v>
      </c>
      <c r="BQ9" s="264">
        <f>+Segments!BE32</f>
        <v>351.79999999999995</v>
      </c>
      <c r="BR9" s="264">
        <f>+Segments!BF32</f>
        <v>681.1</v>
      </c>
      <c r="BS9" s="264">
        <f>+Segments!BG32</f>
        <v>704.3</v>
      </c>
      <c r="BT9" s="264">
        <f>+Segments!BH32</f>
        <v>733</v>
      </c>
      <c r="BU9" s="264">
        <f>+Segments!BI32</f>
        <v>779.4</v>
      </c>
      <c r="BV9" s="264">
        <f>+Segments!BJ32</f>
        <v>782.6</v>
      </c>
      <c r="BW9" s="264">
        <f>+Segments!BK32</f>
        <v>836.9</v>
      </c>
      <c r="BX9" s="264">
        <f>+Segments!BL32</f>
        <v>865.1</v>
      </c>
      <c r="BY9" s="264">
        <f>+Segments!BM32</f>
        <v>881.2</v>
      </c>
      <c r="BZ9" s="264">
        <f>+Segments!BN32</f>
        <v>917.6</v>
      </c>
      <c r="CA9" s="282">
        <f>SUM(CA4:CA8)</f>
        <v>917.38134316725348</v>
      </c>
      <c r="CB9" s="282">
        <f>SUM(CB4:CB8)</f>
        <v>968.68036276825785</v>
      </c>
      <c r="CC9" s="282">
        <f>SUM(CC4:CC8)</f>
        <v>988.8921058353036</v>
      </c>
      <c r="CD9" s="282">
        <f>SUM(CD4:CD8)</f>
        <v>1016.6795562064747</v>
      </c>
      <c r="CF9" s="497"/>
      <c r="CG9" s="498"/>
      <c r="CH9" s="26"/>
    </row>
    <row r="10" spans="1:86">
      <c r="A10" s="36"/>
      <c r="B10" s="287" t="s">
        <v>141</v>
      </c>
      <c r="L10" s="280">
        <f>+L9/K9-1</f>
        <v>0.50917051236540067</v>
      </c>
      <c r="M10" s="280">
        <f>+M9/L9-1</f>
        <v>-0.24431550885996545</v>
      </c>
      <c r="N10" s="280">
        <f>+N9/M9-1</f>
        <v>7.5534343224735512E-2</v>
      </c>
      <c r="O10" s="280">
        <f>+O9/N9-1</f>
        <v>0.34005402276673746</v>
      </c>
      <c r="P10" s="280">
        <f>+P9/O9-1</f>
        <v>0.12814052264055853</v>
      </c>
      <c r="Q10" s="280">
        <f t="shared" ref="Q10:Y10" si="12">+Q9/P9-1</f>
        <v>0.1086720694276051</v>
      </c>
      <c r="R10" s="280">
        <f t="shared" si="12"/>
        <v>-0.13502935420743623</v>
      </c>
      <c r="S10" s="280">
        <f t="shared" si="12"/>
        <v>0.14013840830449809</v>
      </c>
      <c r="T10" s="280">
        <f t="shared" si="12"/>
        <v>0.75049608964631709</v>
      </c>
      <c r="U10" s="280">
        <f t="shared" si="12"/>
        <v>0.16720568132564284</v>
      </c>
      <c r="V10" s="280">
        <f t="shared" si="12"/>
        <v>0.11164115858583457</v>
      </c>
      <c r="W10" s="280">
        <f t="shared" si="12"/>
        <v>3.8033885746738827E-2</v>
      </c>
      <c r="X10" s="280">
        <f t="shared" si="12"/>
        <v>4.8954655835370398E-2</v>
      </c>
      <c r="Y10" s="280">
        <f t="shared" si="12"/>
        <v>3.6599393462555918E-2</v>
      </c>
      <c r="AM10" s="280">
        <f>+AM9/AI9-1</f>
        <v>0.85640695428203473</v>
      </c>
      <c r="AN10" s="280">
        <f t="shared" ref="AN10:BZ10" si="13">+AN9/AJ9-1</f>
        <v>0.87620192307692291</v>
      </c>
      <c r="AO10" s="280">
        <f t="shared" si="13"/>
        <v>0.63624039765024865</v>
      </c>
      <c r="AP10" s="280">
        <f t="shared" si="13"/>
        <v>3.5418735518040423E-2</v>
      </c>
      <c r="AQ10" s="280">
        <f t="shared" si="13"/>
        <v>-7.1453347207769746E-2</v>
      </c>
      <c r="AR10" s="280">
        <f t="shared" si="13"/>
        <v>-0.22357463164638047</v>
      </c>
      <c r="AS10" s="280">
        <f t="shared" si="13"/>
        <v>-0.36813035073184208</v>
      </c>
      <c r="AT10" s="280">
        <f t="shared" si="13"/>
        <v>-0.28101023017902815</v>
      </c>
      <c r="AU10" s="280">
        <f t="shared" si="13"/>
        <v>-0.13858797161001124</v>
      </c>
      <c r="AV10" s="280">
        <f t="shared" si="13"/>
        <v>6.4356435643564414E-2</v>
      </c>
      <c r="AW10" s="280">
        <f t="shared" si="13"/>
        <v>0.20323426573426562</v>
      </c>
      <c r="AX10" s="280">
        <f t="shared" si="13"/>
        <v>0.21253890618052451</v>
      </c>
      <c r="AY10" s="280">
        <f t="shared" si="13"/>
        <v>0.29835212489158702</v>
      </c>
      <c r="AZ10" s="280">
        <f t="shared" si="13"/>
        <v>0.47403100775193807</v>
      </c>
      <c r="BA10" s="280">
        <f t="shared" si="13"/>
        <v>0.40247003269160908</v>
      </c>
      <c r="BB10" s="280">
        <f t="shared" si="13"/>
        <v>0.18555188852218563</v>
      </c>
      <c r="BC10" s="280">
        <f t="shared" si="13"/>
        <v>0.20140280561122248</v>
      </c>
      <c r="BD10" s="280">
        <f t="shared" si="13"/>
        <v>-4.4964501709176985E-2</v>
      </c>
      <c r="BE10" s="280">
        <f t="shared" si="13"/>
        <v>6.8117068117068191E-2</v>
      </c>
      <c r="BF10" s="280">
        <f t="shared" si="13"/>
        <v>0.33560160841323827</v>
      </c>
      <c r="BG10" s="280">
        <f t="shared" si="13"/>
        <v>0.22880177926049483</v>
      </c>
      <c r="BH10" s="280">
        <f t="shared" si="13"/>
        <v>0.25027533039647576</v>
      </c>
      <c r="BI10" s="280">
        <f t="shared" si="13"/>
        <v>0.10960232783705126</v>
      </c>
      <c r="BJ10" s="280">
        <f t="shared" si="13"/>
        <v>-0.1113941639647984</v>
      </c>
      <c r="BK10" s="280">
        <f t="shared" si="13"/>
        <v>-0.14751131221719449</v>
      </c>
      <c r="BL10" s="280">
        <f t="shared" si="13"/>
        <v>-0.14247963003743658</v>
      </c>
      <c r="BM10" s="280">
        <f t="shared" si="13"/>
        <v>-0.16083916083916105</v>
      </c>
      <c r="BN10" s="280">
        <f t="shared" si="13"/>
        <v>-8.1052905916080165E-2</v>
      </c>
      <c r="BO10" s="280">
        <f t="shared" si="13"/>
        <v>-9.9522292993630579E-2</v>
      </c>
      <c r="BP10" s="280">
        <f t="shared" si="13"/>
        <v>-0.12378017462763236</v>
      </c>
      <c r="BQ10" s="280">
        <f t="shared" si="13"/>
        <v>-8.3854166666666674E-2</v>
      </c>
      <c r="BR10" s="280">
        <f t="shared" si="13"/>
        <v>0.93165059557572305</v>
      </c>
      <c r="BS10" s="280">
        <f t="shared" si="13"/>
        <v>1.0757441791924549</v>
      </c>
      <c r="BT10" s="280">
        <f t="shared" si="13"/>
        <v>1.1483001172332945</v>
      </c>
      <c r="BU10" s="280">
        <f t="shared" si="13"/>
        <v>1.2154633314383174</v>
      </c>
      <c r="BV10" s="280">
        <f t="shared" si="13"/>
        <v>0.14902363823227138</v>
      </c>
      <c r="BW10" s="280">
        <f t="shared" si="13"/>
        <v>0.18827204316342483</v>
      </c>
      <c r="BX10" s="280">
        <f t="shared" si="13"/>
        <v>0.1802182810368349</v>
      </c>
      <c r="BY10" s="280">
        <f t="shared" si="13"/>
        <v>0.13061329227610985</v>
      </c>
      <c r="BZ10" s="280">
        <f t="shared" si="13"/>
        <v>0.17250191668796311</v>
      </c>
      <c r="CA10" s="280">
        <f>+CA9/BW9-1</f>
        <v>9.6166021229840526E-2</v>
      </c>
      <c r="CB10" s="280">
        <f>+CB9/BX9-1</f>
        <v>0.11973224224743717</v>
      </c>
      <c r="CC10" s="280">
        <f>+CC9/BY9-1</f>
        <v>0.12221074198286841</v>
      </c>
      <c r="CD10" s="280">
        <f>+CD9/BZ9-1</f>
        <v>0.10797684852492884</v>
      </c>
      <c r="CF10" s="497"/>
      <c r="CG10" s="498"/>
    </row>
    <row r="11" spans="1:86">
      <c r="A11" s="36"/>
      <c r="B11" s="287"/>
      <c r="S11" s="280"/>
      <c r="T11" s="280"/>
      <c r="U11" s="280"/>
      <c r="V11" s="280"/>
      <c r="W11" s="280"/>
      <c r="X11" s="280"/>
      <c r="Y11" s="280"/>
      <c r="AM11" s="280"/>
      <c r="AN11" s="280"/>
      <c r="AO11" s="280"/>
      <c r="AP11" s="280"/>
      <c r="AQ11" s="280"/>
      <c r="AR11" s="280"/>
      <c r="AS11" s="280"/>
      <c r="AT11" s="280"/>
      <c r="AU11" s="280"/>
      <c r="AV11" s="280"/>
      <c r="AW11" s="280"/>
      <c r="AX11" s="280"/>
      <c r="AY11" s="280"/>
      <c r="AZ11" s="280"/>
      <c r="BA11" s="280"/>
      <c r="BB11" s="280"/>
      <c r="BC11" s="280"/>
      <c r="BD11" s="280"/>
      <c r="BE11" s="280"/>
      <c r="BF11" s="280"/>
      <c r="BG11" s="280"/>
      <c r="BH11" s="280"/>
      <c r="BI11" s="280"/>
      <c r="BJ11" s="280"/>
      <c r="BK11" s="280"/>
      <c r="BL11" s="280"/>
      <c r="BM11" s="280"/>
      <c r="BN11" s="280"/>
      <c r="BO11" s="280"/>
      <c r="BP11" s="280"/>
      <c r="BQ11" s="280"/>
      <c r="BR11" s="280"/>
      <c r="BS11" s="280"/>
      <c r="BT11" s="280"/>
      <c r="BU11" s="280"/>
      <c r="BV11" s="280"/>
      <c r="BW11" s="280"/>
      <c r="BX11" s="280"/>
      <c r="BY11" s="280"/>
      <c r="BZ11" s="280"/>
      <c r="CF11" s="497"/>
      <c r="CG11" s="498"/>
    </row>
    <row r="12" spans="1:86">
      <c r="A12" s="36"/>
      <c r="B12" s="5" t="s">
        <v>633</v>
      </c>
      <c r="S12" s="280"/>
      <c r="T12" s="349">
        <f t="shared" ref="T12:X12" si="14">-T45</f>
        <v>-1358.1207495075084</v>
      </c>
      <c r="U12" s="349">
        <f t="shared" si="14"/>
        <v>-1427.4373480553204</v>
      </c>
      <c r="V12" s="349">
        <f>-V45</f>
        <v>-1452.721352318764</v>
      </c>
      <c r="W12" s="349">
        <f t="shared" si="14"/>
        <v>-1488.7027911499242</v>
      </c>
      <c r="X12" s="349">
        <f t="shared" si="14"/>
        <v>-1583.9652261483161</v>
      </c>
      <c r="Y12" s="349">
        <f>-Y45</f>
        <v>-1616.880325469107</v>
      </c>
      <c r="AM12" s="280"/>
      <c r="AN12" s="280"/>
      <c r="AO12" s="280"/>
      <c r="AP12" s="280"/>
      <c r="AQ12" s="280"/>
      <c r="AR12" s="280"/>
      <c r="AS12" s="280"/>
      <c r="AT12" s="280"/>
      <c r="AU12" s="280"/>
      <c r="AV12" s="280"/>
      <c r="AW12" s="280"/>
      <c r="AX12" s="280"/>
      <c r="AY12" s="280"/>
      <c r="AZ12" s="280"/>
      <c r="BA12" s="280"/>
      <c r="BB12" s="280"/>
      <c r="BC12" s="280"/>
      <c r="BD12" s="280"/>
      <c r="BE12" s="280"/>
      <c r="BF12" s="280"/>
      <c r="BG12" s="280"/>
      <c r="BH12" s="280"/>
      <c r="BI12" s="280"/>
      <c r="BJ12" s="280"/>
      <c r="BK12" s="280"/>
      <c r="BL12" s="280"/>
      <c r="BM12" s="280"/>
      <c r="BN12" s="280"/>
      <c r="BO12" s="280"/>
      <c r="BP12" s="280"/>
      <c r="BQ12" s="280"/>
      <c r="BR12" s="280"/>
      <c r="BS12" s="349">
        <f t="shared" ref="BS12:CD12" si="15">-BS45</f>
        <v>-342.86706902113582</v>
      </c>
      <c r="BT12" s="349">
        <f t="shared" si="15"/>
        <v>-323.62202992457492</v>
      </c>
      <c r="BU12" s="349">
        <f t="shared" si="15"/>
        <v>-343.77410624467228</v>
      </c>
      <c r="BV12" s="349">
        <f t="shared" si="15"/>
        <v>-347.85754431712525</v>
      </c>
      <c r="BW12" s="349">
        <f t="shared" si="15"/>
        <v>-365.40896607747749</v>
      </c>
      <c r="BX12" s="349">
        <f t="shared" si="15"/>
        <v>-364.23677727931329</v>
      </c>
      <c r="BY12" s="349">
        <f t="shared" si="15"/>
        <v>-355.34925622849539</v>
      </c>
      <c r="BZ12" s="349">
        <f t="shared" si="15"/>
        <v>-342.44234847003412</v>
      </c>
      <c r="CA12" s="349">
        <f t="shared" si="15"/>
        <v>-351.05579668789642</v>
      </c>
      <c r="CB12" s="349">
        <f t="shared" si="15"/>
        <v>-361.2495762196304</v>
      </c>
      <c r="CC12" s="349">
        <f t="shared" si="15"/>
        <v>-367.34146297008249</v>
      </c>
      <c r="CD12" s="349">
        <f t="shared" si="15"/>
        <v>-373.07451644115474</v>
      </c>
      <c r="CF12" s="497"/>
      <c r="CG12" s="498"/>
      <c r="CH12" s="26"/>
    </row>
    <row r="13" spans="1:86">
      <c r="A13" s="36"/>
      <c r="B13" s="287" t="s">
        <v>551</v>
      </c>
      <c r="S13" s="280"/>
      <c r="T13" s="48">
        <f>-T12/T$9</f>
        <v>0.45281257276948239</v>
      </c>
      <c r="U13" s="48">
        <f t="shared" ref="U13:Y13" si="16">-U12/U$9</f>
        <v>0.40774604320593016</v>
      </c>
      <c r="V13" s="48">
        <f t="shared" si="16"/>
        <v>0.3732934773025211</v>
      </c>
      <c r="W13" s="48">
        <f t="shared" si="16"/>
        <v>0.36852296204688506</v>
      </c>
      <c r="X13" s="48">
        <f t="shared" si="16"/>
        <v>0.37380532057566912</v>
      </c>
      <c r="Y13" s="48">
        <f t="shared" si="16"/>
        <v>0.36810080036234916</v>
      </c>
      <c r="AM13" s="280"/>
      <c r="AN13" s="280"/>
      <c r="AO13" s="280"/>
      <c r="AP13" s="280"/>
      <c r="AQ13" s="280"/>
      <c r="AR13" s="280"/>
      <c r="AS13" s="280"/>
      <c r="AT13" s="280"/>
      <c r="AU13" s="280"/>
      <c r="AV13" s="280"/>
      <c r="AW13" s="280"/>
      <c r="AX13" s="280"/>
      <c r="AY13" s="280"/>
      <c r="AZ13" s="280"/>
      <c r="BA13" s="280"/>
      <c r="BB13" s="280"/>
      <c r="BC13" s="280"/>
      <c r="BD13" s="280"/>
      <c r="BE13" s="280"/>
      <c r="BF13" s="280"/>
      <c r="BG13" s="280"/>
      <c r="BH13" s="280"/>
      <c r="BI13" s="280"/>
      <c r="BJ13" s="280"/>
      <c r="BK13" s="280"/>
      <c r="BL13" s="280"/>
      <c r="BM13" s="280"/>
      <c r="BN13" s="280"/>
      <c r="BO13" s="280"/>
      <c r="BP13" s="280"/>
      <c r="BQ13" s="280"/>
      <c r="BR13" s="280"/>
      <c r="BS13" s="48">
        <f t="shared" ref="BS13" si="17">-BS12/BS$9</f>
        <v>0.48681963512868925</v>
      </c>
      <c r="BT13" s="48">
        <f t="shared" ref="BT13" si="18">-BT12/BT$9</f>
        <v>0.44150345146599579</v>
      </c>
      <c r="BU13" s="48">
        <f t="shared" ref="BU13" si="19">-BU12/BU$9</f>
        <v>0.44107532235652075</v>
      </c>
      <c r="BV13" s="48">
        <f t="shared" ref="BV13" si="20">-BV12/BV$9</f>
        <v>0.44448957873386818</v>
      </c>
      <c r="BW13" s="48">
        <f t="shared" ref="BW13" si="21">-BW12/BW$9</f>
        <v>0.4366220170599564</v>
      </c>
      <c r="BX13" s="48">
        <f t="shared" ref="BX13" si="22">-BX12/BX$9</f>
        <v>0.42103430502752665</v>
      </c>
      <c r="BY13" s="48">
        <f t="shared" ref="BY13" si="23">-BY12/BY$9</f>
        <v>0.40325607833465205</v>
      </c>
      <c r="BZ13" s="48">
        <f t="shared" ref="BZ13" si="24">-BZ12/BZ$9</f>
        <v>0.37319349222976689</v>
      </c>
      <c r="CA13" s="48">
        <f t="shared" ref="CA13" si="25">-CA12/CA$9</f>
        <v>0.38267161121445792</v>
      </c>
      <c r="CB13" s="48">
        <f t="shared" ref="CB13" si="26">-CB12/CB$9</f>
        <v>0.37292959587542907</v>
      </c>
      <c r="CC13" s="48">
        <f t="shared" ref="CC13" si="27">-CC12/CC$9</f>
        <v>0.37146768671977032</v>
      </c>
      <c r="CD13" s="48">
        <f t="shared" ref="CD13" si="28">-CD12/CD$9</f>
        <v>0.36695388843383808</v>
      </c>
      <c r="CF13" s="497"/>
      <c r="CG13" s="498"/>
    </row>
    <row r="14" spans="1:86">
      <c r="A14" s="36"/>
      <c r="B14" s="287"/>
      <c r="S14" s="280"/>
      <c r="T14" s="280"/>
      <c r="U14" s="442"/>
      <c r="V14" s="349"/>
      <c r="Y14" s="48"/>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c r="BI14" s="280"/>
      <c r="BJ14" s="280"/>
      <c r="BK14" s="280"/>
      <c r="BL14" s="280"/>
      <c r="BM14" s="280"/>
      <c r="BN14" s="280"/>
      <c r="BO14" s="280"/>
      <c r="BP14" s="280"/>
      <c r="BQ14" s="280"/>
      <c r="BR14" s="280"/>
      <c r="BS14" s="280"/>
      <c r="BT14" s="280"/>
      <c r="BU14" s="280"/>
      <c r="BV14" s="280"/>
      <c r="BW14" s="280"/>
      <c r="BX14" s="280"/>
      <c r="BY14" s="280"/>
      <c r="BZ14" s="280"/>
      <c r="CF14" s="497"/>
      <c r="CG14" s="498"/>
    </row>
    <row r="15" spans="1:86">
      <c r="A15" s="36"/>
      <c r="B15" s="5" t="s">
        <v>634</v>
      </c>
      <c r="S15" s="280"/>
      <c r="T15" s="285">
        <f>SUM(BS15:BV15)</f>
        <v>-1073.1792504924915</v>
      </c>
      <c r="U15" s="285">
        <f>SUM(BW15:BZ15)</f>
        <v>-1410.36265194468</v>
      </c>
      <c r="V15" s="285">
        <f>SUM(CA15:CD15)</f>
        <v>-1554.0998706497955</v>
      </c>
      <c r="W15" s="396">
        <f>-W104</f>
        <v>-1592.8801985000573</v>
      </c>
      <c r="X15" s="396">
        <f>-X104</f>
        <v>-1625.3738768211083</v>
      </c>
      <c r="Y15" s="396">
        <f>-Y104</f>
        <v>-1658.3581406887308</v>
      </c>
      <c r="Z15" s="396"/>
      <c r="AM15" s="280"/>
      <c r="AN15" s="280"/>
      <c r="AO15" s="280"/>
      <c r="AP15" s="280"/>
      <c r="AQ15" s="280"/>
      <c r="AR15" s="280"/>
      <c r="AS15" s="280"/>
      <c r="AT15" s="280"/>
      <c r="AU15" s="280"/>
      <c r="AV15" s="280"/>
      <c r="AW15" s="280"/>
      <c r="AX15" s="280"/>
      <c r="AY15" s="280"/>
      <c r="AZ15" s="280"/>
      <c r="BA15" s="280"/>
      <c r="BB15" s="280"/>
      <c r="BC15" s="280"/>
      <c r="BD15" s="280"/>
      <c r="BE15" s="280"/>
      <c r="BF15" s="280"/>
      <c r="BG15" s="280"/>
      <c r="BH15" s="280"/>
      <c r="BI15" s="280"/>
      <c r="BJ15" s="280"/>
      <c r="BK15" s="280"/>
      <c r="BL15" s="280"/>
      <c r="BM15" s="280"/>
      <c r="BN15" s="280"/>
      <c r="BO15" s="280"/>
      <c r="BP15" s="280"/>
      <c r="BQ15" s="280"/>
      <c r="BR15" s="280"/>
      <c r="BS15" s="153">
        <f t="shared" ref="BS15:BZ15" si="29">BS21-(BS9+BS12+BS18)</f>
        <v>-206.43293097886414</v>
      </c>
      <c r="BT15" s="153">
        <f t="shared" si="29"/>
        <v>-295.27797007542506</v>
      </c>
      <c r="BU15" s="153">
        <f t="shared" si="29"/>
        <v>-295.6258937553277</v>
      </c>
      <c r="BV15" s="153">
        <f t="shared" si="29"/>
        <v>-275.84245568287474</v>
      </c>
      <c r="BW15" s="153">
        <f t="shared" si="29"/>
        <v>-323.14103392252252</v>
      </c>
      <c r="BX15" s="153">
        <f t="shared" si="29"/>
        <v>-385.21322272068676</v>
      </c>
      <c r="BY15" s="153">
        <f t="shared" si="29"/>
        <v>-333.10074377150465</v>
      </c>
      <c r="BZ15" s="153">
        <f t="shared" si="29"/>
        <v>-368.90765152996596</v>
      </c>
      <c r="CA15" s="396">
        <f>-CA104</f>
        <v>-401.84776655509012</v>
      </c>
      <c r="CB15" s="396">
        <f t="shared" ref="CB15:CD15" si="30">-CB104</f>
        <v>-382.51274333356571</v>
      </c>
      <c r="CC15" s="396">
        <f t="shared" si="30"/>
        <v>-368.40732930522768</v>
      </c>
      <c r="CD15" s="396">
        <f t="shared" si="30"/>
        <v>-401.33203145591204</v>
      </c>
      <c r="CF15" s="497"/>
      <c r="CG15" s="498"/>
      <c r="CH15" s="26"/>
    </row>
    <row r="16" spans="1:86">
      <c r="A16" s="36"/>
      <c r="B16" s="287" t="s">
        <v>551</v>
      </c>
      <c r="S16" s="280"/>
      <c r="T16" s="48">
        <f>-T15/T$9</f>
        <v>0.35780990580885258</v>
      </c>
      <c r="U16" s="48">
        <f t="shared" ref="U16" si="31">-U15/U$9</f>
        <v>0.40286867343026733</v>
      </c>
      <c r="V16" s="48">
        <f t="shared" ref="V16" si="32">-V15/V$9</f>
        <v>0.39934385480345302</v>
      </c>
      <c r="W16" s="48">
        <f t="shared" ref="W16" si="33">-W15/W$9</f>
        <v>0.39431170037885316</v>
      </c>
      <c r="X16" s="48">
        <f t="shared" ref="X16" si="34">-X15/X$9</f>
        <v>0.38357748835045563</v>
      </c>
      <c r="Y16" s="48">
        <f t="shared" ref="Y16" si="35">-Y15/Y$9</f>
        <v>0.37754368660391158</v>
      </c>
      <c r="AM16" s="280"/>
      <c r="AN16" s="280"/>
      <c r="AO16" s="280"/>
      <c r="AP16" s="280"/>
      <c r="AQ16" s="280"/>
      <c r="AR16" s="280"/>
      <c r="AS16" s="280"/>
      <c r="AT16" s="280"/>
      <c r="AU16" s="280"/>
      <c r="AV16" s="280"/>
      <c r="AW16" s="280"/>
      <c r="AX16" s="280"/>
      <c r="AY16" s="280"/>
      <c r="AZ16" s="280"/>
      <c r="BA16" s="280"/>
      <c r="BB16" s="280"/>
      <c r="BC16" s="280"/>
      <c r="BD16" s="280"/>
      <c r="BE16" s="280"/>
      <c r="BF16" s="280"/>
      <c r="BG16" s="280"/>
      <c r="BH16" s="280"/>
      <c r="BI16" s="280"/>
      <c r="BJ16" s="280"/>
      <c r="BK16" s="280"/>
      <c r="BL16" s="280"/>
      <c r="BM16" s="280"/>
      <c r="BN16" s="280"/>
      <c r="BO16" s="280"/>
      <c r="BP16" s="280"/>
      <c r="BQ16" s="280"/>
      <c r="BR16" s="280"/>
      <c r="BS16" s="48">
        <f t="shared" ref="BS16" si="36">-BS15/BS$9</f>
        <v>0.29310369299852923</v>
      </c>
      <c r="BT16" s="48">
        <f t="shared" ref="BT16" si="37">-BT15/BT$9</f>
        <v>0.4028348841410983</v>
      </c>
      <c r="BU16" s="48">
        <f t="shared" ref="BU16" si="38">-BU15/BU$9</f>
        <v>0.37929932480796474</v>
      </c>
      <c r="BV16" s="48">
        <f t="shared" ref="BV16" si="39">-BV15/BV$9</f>
        <v>0.35246927636452174</v>
      </c>
      <c r="BW16" s="48">
        <f t="shared" ref="BW16" si="40">-BW15/BW$9</f>
        <v>0.38611666139625106</v>
      </c>
      <c r="BX16" s="48">
        <f t="shared" ref="BX16" si="41">-BX15/BX$9</f>
        <v>0.44528172780104813</v>
      </c>
      <c r="BY16" s="48">
        <f t="shared" ref="BY16" si="42">-BY15/BY$9</f>
        <v>0.37800810686734526</v>
      </c>
      <c r="BZ16" s="48">
        <f t="shared" ref="BZ16" si="43">-BZ15/BZ$9</f>
        <v>0.40203536566038139</v>
      </c>
      <c r="CA16" s="48">
        <f t="shared" ref="CA16" si="44">-CA15/CA$9</f>
        <v>0.43803786674766371</v>
      </c>
      <c r="CB16" s="48">
        <f t="shared" ref="CB16" si="45">-CB15/CB$9</f>
        <v>0.39488024949781719</v>
      </c>
      <c r="CC16" s="48">
        <f t="shared" ref="CC16" si="46">-CC15/CC$9</f>
        <v>0.37254552557484427</v>
      </c>
      <c r="CD16" s="48">
        <f t="shared" ref="CD16" si="47">-CD15/CD$9</f>
        <v>0.39474781311960072</v>
      </c>
      <c r="CF16" s="497"/>
      <c r="CG16" s="498"/>
    </row>
    <row r="17" spans="1:86">
      <c r="A17" s="36"/>
      <c r="B17" s="287"/>
      <c r="S17" s="280"/>
      <c r="T17" s="280"/>
      <c r="U17" s="442"/>
      <c r="V17" s="349"/>
      <c r="Y17" s="48"/>
      <c r="AM17" s="280"/>
      <c r="AN17" s="280"/>
      <c r="AO17" s="280"/>
      <c r="AP17" s="280"/>
      <c r="AQ17" s="280"/>
      <c r="AR17" s="280"/>
      <c r="AS17" s="280"/>
      <c r="AT17" s="280"/>
      <c r="AU17" s="280"/>
      <c r="AV17" s="280"/>
      <c r="AW17" s="280"/>
      <c r="AX17" s="280"/>
      <c r="AY17" s="280"/>
      <c r="AZ17" s="280"/>
      <c r="BA17" s="280"/>
      <c r="BB17" s="280"/>
      <c r="BC17" s="280"/>
      <c r="BD17" s="280"/>
      <c r="BE17" s="280"/>
      <c r="BF17" s="280"/>
      <c r="BG17" s="280"/>
      <c r="BH17" s="280"/>
      <c r="BI17" s="280"/>
      <c r="BJ17" s="280"/>
      <c r="BK17" s="280"/>
      <c r="BL17" s="280"/>
      <c r="BM17" s="280"/>
      <c r="BN17" s="280"/>
      <c r="BO17" s="280"/>
      <c r="BP17" s="280"/>
      <c r="BQ17" s="280"/>
      <c r="BR17" s="280"/>
      <c r="BS17" s="280"/>
      <c r="BT17" s="280"/>
      <c r="BU17" s="280"/>
      <c r="BV17" s="280"/>
      <c r="BW17" s="280"/>
      <c r="BX17" s="280"/>
      <c r="BY17" s="280"/>
      <c r="BZ17" s="280"/>
      <c r="CF17" s="497"/>
      <c r="CG17" s="498"/>
    </row>
    <row r="18" spans="1:86">
      <c r="A18" s="36"/>
      <c r="B18" s="5" t="s">
        <v>635</v>
      </c>
      <c r="S18" s="280"/>
      <c r="T18" s="285">
        <f>SUM(BS18:BV18)</f>
        <v>75</v>
      </c>
      <c r="U18" s="285">
        <f>SUM(BW18:BZ18)</f>
        <v>175</v>
      </c>
      <c r="V18" s="285">
        <f>SUM(CA18:CD18)</f>
        <v>262.5</v>
      </c>
      <c r="W18" s="40">
        <v>275</v>
      </c>
      <c r="X18" s="40">
        <f t="shared" ref="X18:Y18" si="48">W18</f>
        <v>275</v>
      </c>
      <c r="Y18" s="40">
        <f t="shared" si="48"/>
        <v>275</v>
      </c>
      <c r="AA18" s="44"/>
      <c r="AM18" s="280"/>
      <c r="AN18" s="280"/>
      <c r="AO18" s="280"/>
      <c r="AP18" s="280"/>
      <c r="AQ18" s="280"/>
      <c r="AR18" s="280"/>
      <c r="AS18" s="280"/>
      <c r="AT18" s="280"/>
      <c r="AU18" s="280"/>
      <c r="AV18" s="280"/>
      <c r="AW18" s="280"/>
      <c r="AX18" s="280"/>
      <c r="AY18" s="280"/>
      <c r="AZ18" s="280"/>
      <c r="BA18" s="280"/>
      <c r="BB18" s="280"/>
      <c r="BC18" s="280"/>
      <c r="BD18" s="280"/>
      <c r="BE18" s="280"/>
      <c r="BF18" s="280"/>
      <c r="BG18" s="280"/>
      <c r="BH18" s="280"/>
      <c r="BI18" s="280"/>
      <c r="BJ18" s="280"/>
      <c r="BK18" s="280"/>
      <c r="BL18" s="280"/>
      <c r="BM18" s="280"/>
      <c r="BN18" s="280"/>
      <c r="BO18" s="280"/>
      <c r="BP18" s="280"/>
      <c r="BQ18" s="280"/>
      <c r="BR18" s="280"/>
      <c r="BS18" s="40">
        <v>15</v>
      </c>
      <c r="BT18" s="40">
        <v>20</v>
      </c>
      <c r="BU18" s="40">
        <v>20</v>
      </c>
      <c r="BV18" s="40">
        <v>20</v>
      </c>
      <c r="BW18" s="40">
        <f>175/4</f>
        <v>43.75</v>
      </c>
      <c r="BX18" s="40">
        <f t="shared" ref="BX18:BZ18" si="49">175/4</f>
        <v>43.75</v>
      </c>
      <c r="BY18" s="40">
        <f t="shared" si="49"/>
        <v>43.75</v>
      </c>
      <c r="BZ18" s="40">
        <f t="shared" si="49"/>
        <v>43.75</v>
      </c>
      <c r="CA18" s="40">
        <f>262.5/4</f>
        <v>65.625</v>
      </c>
      <c r="CB18" s="40">
        <f t="shared" ref="CB18:CD18" si="50">262.5/4</f>
        <v>65.625</v>
      </c>
      <c r="CC18" s="40">
        <f t="shared" si="50"/>
        <v>65.625</v>
      </c>
      <c r="CD18" s="40">
        <f t="shared" si="50"/>
        <v>65.625</v>
      </c>
      <c r="CF18" s="497"/>
      <c r="CG18" s="498"/>
      <c r="CH18" s="26"/>
    </row>
    <row r="19" spans="1:86">
      <c r="A19" s="36"/>
      <c r="B19" s="287" t="s">
        <v>551</v>
      </c>
      <c r="S19" s="280"/>
      <c r="T19" s="48">
        <f>T18/T$9</f>
        <v>2.5005834694762114E-2</v>
      </c>
      <c r="U19" s="48">
        <f t="shared" ref="U19:Y19" si="51">U18/U$9</f>
        <v>4.9988574040219377E-2</v>
      </c>
      <c r="V19" s="48">
        <f t="shared" si="51"/>
        <v>6.7452397278738682E-2</v>
      </c>
      <c r="W19" s="48">
        <f t="shared" si="51"/>
        <v>6.8075249919167552E-2</v>
      </c>
      <c r="X19" s="48">
        <f t="shared" si="51"/>
        <v>6.4898181766449695E-2</v>
      </c>
      <c r="Y19" s="48">
        <f t="shared" si="51"/>
        <v>6.2606810476388677E-2</v>
      </c>
      <c r="AM19" s="280"/>
      <c r="AN19" s="280"/>
      <c r="AO19" s="280"/>
      <c r="AP19" s="280"/>
      <c r="AQ19" s="280"/>
      <c r="AR19" s="280"/>
      <c r="AS19" s="280"/>
      <c r="AT19" s="280"/>
      <c r="AU19" s="280"/>
      <c r="AV19" s="280"/>
      <c r="AW19" s="280"/>
      <c r="AX19" s="280"/>
      <c r="AY19" s="280"/>
      <c r="AZ19" s="280"/>
      <c r="BA19" s="280"/>
      <c r="BB19" s="280"/>
      <c r="BC19" s="280"/>
      <c r="BD19" s="280"/>
      <c r="BE19" s="280"/>
      <c r="BF19" s="280"/>
      <c r="BG19" s="280"/>
      <c r="BH19" s="280"/>
      <c r="BI19" s="280"/>
      <c r="BJ19" s="280"/>
      <c r="BK19" s="280"/>
      <c r="BL19" s="280"/>
      <c r="BM19" s="280"/>
      <c r="BN19" s="280"/>
      <c r="BO19" s="280"/>
      <c r="BP19" s="280"/>
      <c r="BQ19" s="280"/>
      <c r="BR19" s="280"/>
      <c r="BS19" s="48">
        <f>BS18/BS$9</f>
        <v>2.1297742439301437E-2</v>
      </c>
      <c r="BT19" s="48">
        <f t="shared" ref="BT19:CD19" si="52">BT18/BT$9</f>
        <v>2.7285129604365622E-2</v>
      </c>
      <c r="BU19" s="48">
        <f t="shared" si="52"/>
        <v>2.5660764690787787E-2</v>
      </c>
      <c r="BV19" s="48">
        <f t="shared" si="52"/>
        <v>2.5555839509327882E-2</v>
      </c>
      <c r="BW19" s="48">
        <f t="shared" si="52"/>
        <v>5.2276257617397542E-2</v>
      </c>
      <c r="BX19" s="48">
        <f t="shared" si="52"/>
        <v>5.0572188186336839E-2</v>
      </c>
      <c r="BY19" s="48">
        <f t="shared" si="52"/>
        <v>4.9648206990467542E-2</v>
      </c>
      <c r="BZ19" s="48">
        <f t="shared" si="52"/>
        <v>4.7678727114210985E-2</v>
      </c>
      <c r="CA19" s="48">
        <f t="shared" si="52"/>
        <v>7.1535136929458468E-2</v>
      </c>
      <c r="CB19" s="48">
        <f t="shared" si="52"/>
        <v>6.7746805367726634E-2</v>
      </c>
      <c r="CC19" s="48">
        <f t="shared" si="52"/>
        <v>6.6362143668411089E-2</v>
      </c>
      <c r="CD19" s="48">
        <f t="shared" si="52"/>
        <v>6.4548361968510354E-2</v>
      </c>
      <c r="CF19" s="497"/>
      <c r="CG19" s="498"/>
    </row>
    <row r="20" spans="1:86">
      <c r="A20" s="36"/>
      <c r="B20" s="287"/>
      <c r="S20" s="280"/>
      <c r="T20" s="280"/>
      <c r="U20" s="442"/>
      <c r="V20" s="349"/>
      <c r="AM20" s="280"/>
      <c r="AN20" s="280"/>
      <c r="AO20" s="280"/>
      <c r="AP20" s="280"/>
      <c r="AQ20" s="280"/>
      <c r="AR20" s="280"/>
      <c r="AS20" s="280"/>
      <c r="AT20" s="280"/>
      <c r="AU20" s="280"/>
      <c r="AV20" s="280"/>
      <c r="AW20" s="280"/>
      <c r="AX20" s="280"/>
      <c r="AY20" s="280"/>
      <c r="AZ20" s="280"/>
      <c r="BA20" s="280"/>
      <c r="BB20" s="280"/>
      <c r="BC20" s="280"/>
      <c r="BD20" s="280"/>
      <c r="BE20" s="280"/>
      <c r="BF20" s="280"/>
      <c r="BG20" s="280"/>
      <c r="BH20" s="280"/>
      <c r="BI20" s="280"/>
      <c r="BJ20" s="280"/>
      <c r="BK20" s="280"/>
      <c r="BL20" s="280"/>
      <c r="BM20" s="280"/>
      <c r="BN20" s="280"/>
      <c r="BO20" s="280"/>
      <c r="BP20" s="280"/>
      <c r="BQ20" s="280"/>
      <c r="BR20" s="280"/>
      <c r="BS20" s="280"/>
      <c r="BT20" s="280"/>
      <c r="BU20" s="280"/>
      <c r="BV20" s="280"/>
      <c r="BW20" s="280"/>
      <c r="BX20" s="280"/>
      <c r="BY20" s="280"/>
      <c r="BZ20" s="280"/>
      <c r="CE20" s="525"/>
      <c r="CF20" s="526"/>
      <c r="CG20" s="498"/>
    </row>
    <row r="21" spans="1:86">
      <c r="A21" s="36"/>
      <c r="B21" s="18" t="s">
        <v>97</v>
      </c>
      <c r="S21" s="280"/>
      <c r="T21" s="459">
        <f>+T9+T12+T15+T18</f>
        <v>642.99999999999977</v>
      </c>
      <c r="U21" s="459">
        <f t="shared" ref="U21:Y21" si="53">+U9+U12+U15+U18</f>
        <v>837.99999999999977</v>
      </c>
      <c r="V21" s="459">
        <f t="shared" si="53"/>
        <v>1147.3121450087303</v>
      </c>
      <c r="W21" s="459">
        <f>+W9+W12+W15+W18</f>
        <v>1233.0643172131531</v>
      </c>
      <c r="X21" s="459">
        <f t="shared" si="53"/>
        <v>1303.0677474974759</v>
      </c>
      <c r="Y21" s="459">
        <f t="shared" si="53"/>
        <v>1392.2549048902304</v>
      </c>
      <c r="Z21" s="217"/>
      <c r="AM21" s="280"/>
      <c r="AN21" s="280"/>
      <c r="AO21" s="280"/>
      <c r="AP21" s="280"/>
      <c r="AQ21" s="280"/>
      <c r="AR21" s="280"/>
      <c r="AS21" s="280"/>
      <c r="AT21" s="280"/>
      <c r="AU21" s="280"/>
      <c r="AV21" s="280"/>
      <c r="AW21" s="280"/>
      <c r="AX21" s="280"/>
      <c r="AY21" s="280"/>
      <c r="AZ21" s="280"/>
      <c r="BA21" s="280"/>
      <c r="BB21" s="280"/>
      <c r="BC21" s="280"/>
      <c r="BD21" s="280"/>
      <c r="BE21" s="280"/>
      <c r="BF21" s="280"/>
      <c r="BG21" s="280"/>
      <c r="BH21" s="280"/>
      <c r="BI21" s="280"/>
      <c r="BJ21" s="280"/>
      <c r="BK21" s="280"/>
      <c r="BL21" s="280"/>
      <c r="BM21" s="280"/>
      <c r="BN21" s="280"/>
      <c r="BO21" s="280"/>
      <c r="BP21" s="280"/>
      <c r="BQ21" s="280"/>
      <c r="BR21" s="280"/>
      <c r="BS21" s="459">
        <f t="shared" ref="BS21:BZ21" si="54">+BS27-BS24</f>
        <v>170</v>
      </c>
      <c r="BT21" s="459">
        <f t="shared" si="54"/>
        <v>134.1</v>
      </c>
      <c r="BU21" s="459">
        <f t="shared" si="54"/>
        <v>160</v>
      </c>
      <c r="BV21" s="459">
        <f t="shared" si="54"/>
        <v>178.9</v>
      </c>
      <c r="BW21" s="459">
        <f t="shared" si="54"/>
        <v>192.1</v>
      </c>
      <c r="BX21" s="459">
        <f t="shared" si="54"/>
        <v>159.39999999999998</v>
      </c>
      <c r="BY21" s="459">
        <f t="shared" si="54"/>
        <v>236.5</v>
      </c>
      <c r="BZ21" s="459">
        <f t="shared" si="54"/>
        <v>250</v>
      </c>
      <c r="CA21" s="459">
        <f t="shared" ref="CA21:CD21" si="55">+CA9+CA12+CA15+CA18</f>
        <v>230.10277992426694</v>
      </c>
      <c r="CB21" s="459">
        <f t="shared" si="55"/>
        <v>290.54304321506174</v>
      </c>
      <c r="CC21" s="459">
        <f t="shared" si="55"/>
        <v>318.76831355999343</v>
      </c>
      <c r="CD21" s="459">
        <f t="shared" si="55"/>
        <v>307.89800830940789</v>
      </c>
      <c r="CF21" s="497"/>
      <c r="CG21" s="498"/>
      <c r="CH21" s="26"/>
    </row>
    <row r="22" spans="1:86">
      <c r="A22" s="36"/>
      <c r="B22" s="287" t="s">
        <v>189</v>
      </c>
      <c r="S22" s="280"/>
      <c r="T22" s="280">
        <f t="shared" ref="T22:Y22" si="56">+T21/T9</f>
        <v>0.21438335611642712</v>
      </c>
      <c r="U22" s="280">
        <f t="shared" si="56"/>
        <v>0.23937385740402187</v>
      </c>
      <c r="V22" s="280">
        <f t="shared" si="56"/>
        <v>0.29481506517276468</v>
      </c>
      <c r="W22" s="280">
        <f t="shared" si="56"/>
        <v>0.30524058749342942</v>
      </c>
      <c r="X22" s="280">
        <f t="shared" si="56"/>
        <v>0.30751537284032493</v>
      </c>
      <c r="Y22" s="280">
        <f t="shared" si="56"/>
        <v>0.31696232351012799</v>
      </c>
      <c r="AM22" s="280"/>
      <c r="AN22" s="280"/>
      <c r="AO22" s="280"/>
      <c r="AP22" s="280"/>
      <c r="AQ22" s="280"/>
      <c r="AR22" s="280"/>
      <c r="AS22" s="280"/>
      <c r="AT22" s="280"/>
      <c r="AU22" s="280"/>
      <c r="AV22" s="280"/>
      <c r="AW22" s="280"/>
      <c r="AX22" s="280"/>
      <c r="AY22" s="280"/>
      <c r="AZ22" s="280"/>
      <c r="BA22" s="280"/>
      <c r="BB22" s="280"/>
      <c r="BC22" s="280"/>
      <c r="BD22" s="280"/>
      <c r="BE22" s="280"/>
      <c r="BF22" s="280"/>
      <c r="BG22" s="280"/>
      <c r="BH22" s="280"/>
      <c r="BI22" s="280"/>
      <c r="BJ22" s="280"/>
      <c r="BK22" s="280"/>
      <c r="BL22" s="280"/>
      <c r="BM22" s="280"/>
      <c r="BN22" s="280"/>
      <c r="BO22" s="280"/>
      <c r="BP22" s="280"/>
      <c r="BQ22" s="280"/>
      <c r="BR22" s="280"/>
      <c r="BS22" s="280">
        <f t="shared" ref="BS22:CD22" si="57">+BS21/BS9</f>
        <v>0.24137441431208292</v>
      </c>
      <c r="BT22" s="280">
        <f t="shared" si="57"/>
        <v>0.18294679399727148</v>
      </c>
      <c r="BU22" s="280">
        <f t="shared" si="57"/>
        <v>0.2052861175263023</v>
      </c>
      <c r="BV22" s="280">
        <f t="shared" si="57"/>
        <v>0.2285969844109379</v>
      </c>
      <c r="BW22" s="280">
        <f t="shared" si="57"/>
        <v>0.22953757916119011</v>
      </c>
      <c r="BX22" s="280">
        <f t="shared" si="57"/>
        <v>0.18425615535776207</v>
      </c>
      <c r="BY22" s="280">
        <f t="shared" si="57"/>
        <v>0.26838402178847026</v>
      </c>
      <c r="BZ22" s="280">
        <f t="shared" si="57"/>
        <v>0.27244986922406278</v>
      </c>
      <c r="CA22" s="280">
        <f t="shared" si="57"/>
        <v>0.25082565896733683</v>
      </c>
      <c r="CB22" s="280">
        <f t="shared" si="57"/>
        <v>0.29993695999448045</v>
      </c>
      <c r="CC22" s="280">
        <f t="shared" si="57"/>
        <v>0.32234893137379655</v>
      </c>
      <c r="CD22" s="280">
        <f t="shared" si="57"/>
        <v>0.30284666041507158</v>
      </c>
      <c r="CH22" s="499"/>
    </row>
    <row r="23" spans="1:86">
      <c r="A23" s="36"/>
      <c r="B23" s="287"/>
      <c r="S23" s="280"/>
      <c r="T23" s="285"/>
      <c r="U23" s="276"/>
      <c r="V23" s="280"/>
      <c r="W23" s="40"/>
      <c r="X23" s="40"/>
      <c r="Y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c r="BI23" s="280"/>
      <c r="BJ23" s="280"/>
      <c r="BK23" s="280"/>
      <c r="BL23" s="280"/>
      <c r="BM23" s="280"/>
      <c r="BN23" s="280"/>
      <c r="BO23" s="280"/>
      <c r="BP23" s="280"/>
      <c r="BQ23" s="280"/>
      <c r="BR23" s="280"/>
      <c r="BS23" s="280"/>
      <c r="BT23" s="280"/>
      <c r="BU23" s="280"/>
      <c r="BV23" s="280"/>
      <c r="BW23" s="280"/>
      <c r="BX23" s="280"/>
      <c r="BY23" s="280"/>
      <c r="BZ23" s="280"/>
      <c r="CA23" s="280"/>
      <c r="CB23" s="280"/>
      <c r="CC23" s="280"/>
      <c r="CD23" s="280"/>
      <c r="CG23" s="499"/>
    </row>
    <row r="24" spans="1:86">
      <c r="A24" s="36"/>
      <c r="B24" s="5" t="s">
        <v>632</v>
      </c>
      <c r="S24" s="280"/>
      <c r="T24" s="285">
        <f>SUM(BS24:BV24)</f>
        <v>-418.1</v>
      </c>
      <c r="U24" s="285">
        <f>SUM(BW24:BZ24)</f>
        <v>-432.2</v>
      </c>
      <c r="V24" s="285">
        <f>SUM(CA24:CD24)</f>
        <v>-436</v>
      </c>
      <c r="W24" s="285">
        <f>-W25*W$9</f>
        <v>-446.87975313687173</v>
      </c>
      <c r="X24" s="285">
        <f>-X25*X$9</f>
        <v>-451.48098786738677</v>
      </c>
      <c r="Y24" s="285">
        <f>-Y25*Y$9</f>
        <v>-456.08222259790205</v>
      </c>
      <c r="AM24" s="280"/>
      <c r="AN24" s="280"/>
      <c r="AO24" s="280"/>
      <c r="AP24" s="280"/>
      <c r="AQ24" s="280"/>
      <c r="AR24" s="280"/>
      <c r="AS24" s="280"/>
      <c r="AT24" s="280"/>
      <c r="AU24" s="280"/>
      <c r="AV24" s="280"/>
      <c r="AW24" s="280"/>
      <c r="AX24" s="280"/>
      <c r="AY24" s="280"/>
      <c r="AZ24" s="280"/>
      <c r="BA24" s="280"/>
      <c r="BB24" s="280"/>
      <c r="BC24" s="280"/>
      <c r="BD24" s="280"/>
      <c r="BE24" s="280"/>
      <c r="BF24" s="280"/>
      <c r="BG24" s="280"/>
      <c r="BH24" s="280"/>
      <c r="BI24" s="280"/>
      <c r="BJ24" s="280"/>
      <c r="BK24" s="280"/>
      <c r="BL24" s="280"/>
      <c r="BM24" s="280"/>
      <c r="BN24" s="280"/>
      <c r="BO24" s="280"/>
      <c r="BP24" s="280"/>
      <c r="BQ24" s="280"/>
      <c r="BR24" s="280"/>
      <c r="BS24" s="265">
        <f>-Segments!BG39</f>
        <v>-101.9</v>
      </c>
      <c r="BT24" s="265">
        <f>-Segments!BH39</f>
        <v>-103.4</v>
      </c>
      <c r="BU24" s="265">
        <f>-Segments!BI39</f>
        <v>-106.3</v>
      </c>
      <c r="BV24" s="265">
        <f>-Segments!BJ39</f>
        <v>-106.5</v>
      </c>
      <c r="BW24" s="265">
        <f>-Segments!BK39</f>
        <v>-104.6</v>
      </c>
      <c r="BX24" s="265">
        <f>-Segments!BL39</f>
        <v>-106.6</v>
      </c>
      <c r="BY24" s="265">
        <f>-Segments!BM39</f>
        <v>-106.8</v>
      </c>
      <c r="BZ24" s="265">
        <f>-Segments!BN39</f>
        <v>-114.2</v>
      </c>
      <c r="CA24" s="285">
        <f>-CA25*CA$9</f>
        <v>-109</v>
      </c>
      <c r="CB24" s="285">
        <f>-CB25*CB$9</f>
        <v>-109</v>
      </c>
      <c r="CC24" s="285">
        <f>-CC25*CC$9</f>
        <v>-109</v>
      </c>
      <c r="CD24" s="285">
        <f>-CD25*CD$9</f>
        <v>-109</v>
      </c>
    </row>
    <row r="25" spans="1:86">
      <c r="A25" s="36"/>
      <c r="B25" s="287" t="s">
        <v>551</v>
      </c>
      <c r="S25" s="280"/>
      <c r="T25" s="48">
        <f>-T24/T$9</f>
        <v>0.13939919314506721</v>
      </c>
      <c r="U25" s="48">
        <f>-U24/U$9</f>
        <v>0.12345749542961608</v>
      </c>
      <c r="V25" s="48">
        <f>-V24/V$9</f>
        <v>0.11203521986106692</v>
      </c>
      <c r="W25" s="273">
        <f>(-V24/V53*W53)/W9</f>
        <v>0.11062345774039434</v>
      </c>
      <c r="X25" s="273">
        <f>(-W24/W53*X53)/X9</f>
        <v>0.10654652805350522</v>
      </c>
      <c r="Y25" s="273">
        <f>(-X24/X53*Y53)/Y9</f>
        <v>0.10383219371577078</v>
      </c>
      <c r="AM25" s="48"/>
      <c r="AN25" s="48"/>
      <c r="AO25" s="48"/>
      <c r="AP25" s="48"/>
      <c r="AQ25" s="48"/>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f t="shared" ref="BS25:BY25" si="58">-BS24/BS$9</f>
        <v>0.14468266363765442</v>
      </c>
      <c r="BT25" s="48">
        <f t="shared" si="58"/>
        <v>0.14106412005457028</v>
      </c>
      <c r="BU25" s="48">
        <f t="shared" si="58"/>
        <v>0.13638696433153707</v>
      </c>
      <c r="BV25" s="48">
        <f t="shared" si="58"/>
        <v>0.13608484538717097</v>
      </c>
      <c r="BW25" s="48">
        <f t="shared" si="58"/>
        <v>0.12498506392639502</v>
      </c>
      <c r="BX25" s="48">
        <f t="shared" si="58"/>
        <v>0.12322274881516587</v>
      </c>
      <c r="BY25" s="48">
        <f t="shared" si="58"/>
        <v>0.1211983658647299</v>
      </c>
      <c r="BZ25" s="48">
        <f t="shared" ref="BZ25" si="59">-BZ24/BZ$9</f>
        <v>0.12445510026155188</v>
      </c>
      <c r="CA25" s="273">
        <f>(109/CA9)</f>
        <v>0.11881645600473863</v>
      </c>
      <c r="CB25" s="273">
        <f t="shared" ref="CB25:CD25" si="60">(109/CB9)</f>
        <v>0.11252421767744311</v>
      </c>
      <c r="CC25" s="273">
        <f t="shared" si="60"/>
        <v>0.11022436053115137</v>
      </c>
      <c r="CD25" s="273">
        <f t="shared" si="60"/>
        <v>0.1072117554981734</v>
      </c>
    </row>
    <row r="26" spans="1:86">
      <c r="A26" s="36"/>
      <c r="B26" s="287"/>
      <c r="S26" s="280"/>
      <c r="T26" s="280"/>
      <c r="U26" s="280"/>
      <c r="V26" s="280"/>
      <c r="W26" s="280"/>
      <c r="X26" s="280"/>
      <c r="Y26" s="280"/>
      <c r="AM26" s="280"/>
      <c r="AN26" s="280"/>
      <c r="AO26" s="280"/>
      <c r="AP26" s="280"/>
      <c r="AQ26" s="280"/>
      <c r="AR26" s="280"/>
      <c r="AS26" s="280"/>
      <c r="AT26" s="280"/>
      <c r="AU26" s="280"/>
      <c r="AV26" s="280"/>
      <c r="AW26" s="280"/>
      <c r="AX26" s="280"/>
      <c r="AY26" s="280"/>
      <c r="AZ26" s="280"/>
      <c r="BA26" s="280"/>
      <c r="BB26" s="280"/>
      <c r="BC26" s="280"/>
      <c r="BD26" s="280"/>
      <c r="BE26" s="280"/>
      <c r="BF26" s="280"/>
      <c r="BG26" s="280"/>
      <c r="BH26" s="280"/>
      <c r="BI26" s="280"/>
      <c r="BJ26" s="280"/>
      <c r="BK26" s="280"/>
      <c r="BL26" s="280"/>
      <c r="BM26" s="280"/>
      <c r="BN26" s="280"/>
      <c r="BO26" s="280"/>
      <c r="BP26" s="280"/>
      <c r="BQ26" s="280"/>
      <c r="BR26" s="280"/>
      <c r="BS26" s="280"/>
      <c r="BT26" s="280"/>
      <c r="BU26" s="280"/>
      <c r="BV26" s="280"/>
      <c r="BW26" s="325"/>
      <c r="BX26" s="325"/>
      <c r="BY26" s="325"/>
      <c r="BZ26" s="325"/>
    </row>
    <row r="27" spans="1:86">
      <c r="A27" s="36"/>
      <c r="B27" s="18" t="s">
        <v>29</v>
      </c>
      <c r="S27" s="280"/>
      <c r="T27" s="282">
        <f>+T21+T24</f>
        <v>224.89999999999975</v>
      </c>
      <c r="U27" s="282">
        <f t="shared" ref="U27:Y27" si="61">+U21+U24</f>
        <v>405.79999999999978</v>
      </c>
      <c r="V27" s="282">
        <f t="shared" si="61"/>
        <v>711.31214500873034</v>
      </c>
      <c r="W27" s="282">
        <f t="shared" si="61"/>
        <v>786.18456407628139</v>
      </c>
      <c r="X27" s="282">
        <f t="shared" si="61"/>
        <v>851.58675963008909</v>
      </c>
      <c r="Y27" s="282">
        <f t="shared" si="61"/>
        <v>936.17268229232832</v>
      </c>
      <c r="Z27" s="217"/>
      <c r="AM27" s="280"/>
      <c r="AN27" s="280"/>
      <c r="AO27" s="280"/>
      <c r="AP27" s="280"/>
      <c r="AQ27" s="280"/>
      <c r="AR27" s="280"/>
      <c r="AS27" s="280"/>
      <c r="AT27" s="280"/>
      <c r="AU27" s="280"/>
      <c r="AV27" s="280"/>
      <c r="AW27" s="280"/>
      <c r="AX27" s="280"/>
      <c r="AY27" s="280"/>
      <c r="AZ27" s="280"/>
      <c r="BA27" s="280"/>
      <c r="BB27" s="280"/>
      <c r="BC27" s="280"/>
      <c r="BD27" s="280"/>
      <c r="BE27" s="280"/>
      <c r="BF27" s="280"/>
      <c r="BG27" s="280"/>
      <c r="BH27" s="280"/>
      <c r="BI27" s="280"/>
      <c r="BJ27" s="280"/>
      <c r="BK27" s="280"/>
      <c r="BL27" s="280"/>
      <c r="BM27" s="280"/>
      <c r="BN27" s="280"/>
      <c r="BO27" s="280"/>
      <c r="BP27" s="280"/>
      <c r="BQ27" s="280"/>
      <c r="BR27" s="280"/>
      <c r="BS27" s="264">
        <f>Segments!BG42</f>
        <v>68.099999999999994</v>
      </c>
      <c r="BT27" s="264">
        <f>Segments!BH42</f>
        <v>30.7</v>
      </c>
      <c r="BU27" s="264">
        <f>Segments!BI42</f>
        <v>53.7</v>
      </c>
      <c r="BV27" s="264">
        <f>Segments!BJ42</f>
        <v>72.400000000000006</v>
      </c>
      <c r="BW27" s="264">
        <f>Segments!BK42</f>
        <v>87.5</v>
      </c>
      <c r="BX27" s="264">
        <f>Segments!BL42</f>
        <v>52.8</v>
      </c>
      <c r="BY27" s="264">
        <f>Segments!BM42</f>
        <v>129.69999999999999</v>
      </c>
      <c r="BZ27" s="264">
        <f>Segments!BN42</f>
        <v>135.80000000000001</v>
      </c>
      <c r="CA27" s="282">
        <f t="shared" ref="CA27:CD27" si="62">+CA21+CA24</f>
        <v>121.10277992426694</v>
      </c>
      <c r="CB27" s="282">
        <f t="shared" si="62"/>
        <v>181.54304321506174</v>
      </c>
      <c r="CC27" s="282">
        <f t="shared" si="62"/>
        <v>209.76831355999343</v>
      </c>
      <c r="CD27" s="282">
        <f t="shared" si="62"/>
        <v>198.89800830940789</v>
      </c>
    </row>
    <row r="28" spans="1:86">
      <c r="A28" s="36"/>
      <c r="B28" s="287" t="s">
        <v>189</v>
      </c>
      <c r="S28" s="280"/>
      <c r="T28" s="48">
        <f>T27/T$9</f>
        <v>7.4984162971359902E-2</v>
      </c>
      <c r="U28" s="48">
        <f>U27/U$9</f>
        <v>0.11591636197440579</v>
      </c>
      <c r="V28" s="48">
        <f t="shared" ref="V28:Y28" si="63">V27/V$9</f>
        <v>0.18277984531169775</v>
      </c>
      <c r="W28" s="48">
        <f t="shared" si="63"/>
        <v>0.19461712975303508</v>
      </c>
      <c r="X28" s="48">
        <f t="shared" si="63"/>
        <v>0.20096884478681973</v>
      </c>
      <c r="Y28" s="48">
        <f t="shared" si="63"/>
        <v>0.21313012979435719</v>
      </c>
      <c r="AM28" s="280"/>
      <c r="AN28" s="280"/>
      <c r="AO28" s="280"/>
      <c r="AP28" s="280"/>
      <c r="AQ28" s="280"/>
      <c r="AR28" s="280"/>
      <c r="AS28" s="280"/>
      <c r="AT28" s="280"/>
      <c r="AU28" s="280"/>
      <c r="AV28" s="280"/>
      <c r="AW28" s="280"/>
      <c r="AX28" s="280"/>
      <c r="AY28" s="280"/>
      <c r="AZ28" s="280"/>
      <c r="BA28" s="280"/>
      <c r="BB28" s="280"/>
      <c r="BC28" s="280"/>
      <c r="BD28" s="280"/>
      <c r="BE28" s="280"/>
      <c r="BF28" s="280"/>
      <c r="BG28" s="280"/>
      <c r="BH28" s="280"/>
      <c r="BI28" s="280"/>
      <c r="BJ28" s="280"/>
      <c r="BK28" s="280"/>
      <c r="BL28" s="280"/>
      <c r="BM28" s="280"/>
      <c r="BN28" s="280"/>
      <c r="BO28" s="280"/>
      <c r="BP28" s="280"/>
      <c r="BQ28" s="280"/>
      <c r="BR28" s="280"/>
      <c r="BS28" s="48">
        <f t="shared" ref="BS28" si="64">BS27/BS$9</f>
        <v>9.6691750674428506E-2</v>
      </c>
      <c r="BT28" s="48">
        <f t="shared" ref="BT28" si="65">BT27/BT$9</f>
        <v>4.1882673942701225E-2</v>
      </c>
      <c r="BU28" s="48">
        <f t="shared" ref="BU28" si="66">BU27/BU$9</f>
        <v>6.8899153194765209E-2</v>
      </c>
      <c r="BV28" s="48">
        <f t="shared" ref="BV28" si="67">BV27/BV$9</f>
        <v>9.251213902376694E-2</v>
      </c>
      <c r="BW28" s="48">
        <f t="shared" ref="BW28" si="68">BW27/BW$9</f>
        <v>0.10455251523479508</v>
      </c>
      <c r="BX28" s="48">
        <f t="shared" ref="BX28" si="69">BX27/BX$9</f>
        <v>6.103340654259623E-2</v>
      </c>
      <c r="BY28" s="48">
        <f t="shared" ref="BY28:BZ28" si="70">BY27/BY$9</f>
        <v>0.14718565592374033</v>
      </c>
      <c r="BZ28" s="48">
        <f t="shared" si="70"/>
        <v>0.1479947689625109</v>
      </c>
      <c r="CA28" s="48">
        <f t="shared" ref="CA28" si="71">CA27/CA$9</f>
        <v>0.13200920296259822</v>
      </c>
      <c r="CB28" s="48">
        <f t="shared" ref="CB28" si="72">CB27/CB$9</f>
        <v>0.18741274231703733</v>
      </c>
      <c r="CC28" s="48">
        <f t="shared" ref="CC28" si="73">CC27/CC$9</f>
        <v>0.21212457084264519</v>
      </c>
      <c r="CD28" s="48">
        <f t="shared" ref="CD28" si="74">CD27/CD$9</f>
        <v>0.19563490491689817</v>
      </c>
    </row>
    <row r="29" spans="1:86">
      <c r="A29" s="36"/>
      <c r="B29" s="287"/>
      <c r="S29" s="280"/>
      <c r="T29" s="280"/>
      <c r="U29" s="280"/>
      <c r="V29" s="503"/>
      <c r="W29" s="280"/>
      <c r="X29" s="280"/>
      <c r="Y29" s="280"/>
      <c r="AM29" s="280"/>
      <c r="AN29" s="280"/>
      <c r="AO29" s="280"/>
      <c r="AP29" s="280"/>
      <c r="AQ29" s="280"/>
      <c r="AR29" s="280"/>
      <c r="AS29" s="280"/>
      <c r="AT29" s="280"/>
      <c r="AU29" s="280"/>
      <c r="AV29" s="280"/>
      <c r="AW29" s="280"/>
      <c r="AX29" s="280"/>
      <c r="AY29" s="280"/>
      <c r="AZ29" s="280"/>
      <c r="BA29" s="280"/>
      <c r="BB29" s="280"/>
      <c r="BC29" s="280"/>
      <c r="BD29" s="280"/>
      <c r="BE29" s="280"/>
      <c r="BF29" s="280"/>
      <c r="BG29" s="280"/>
      <c r="BH29" s="280"/>
      <c r="BI29" s="280"/>
      <c r="BJ29" s="280"/>
      <c r="BK29" s="280"/>
      <c r="BL29" s="280"/>
      <c r="BM29" s="280"/>
      <c r="BN29" s="280"/>
      <c r="BO29" s="280"/>
      <c r="BP29" s="280"/>
      <c r="BQ29" s="280"/>
      <c r="BR29" s="280"/>
      <c r="BS29" s="280"/>
      <c r="BT29" s="280"/>
      <c r="BU29" s="280"/>
      <c r="BV29" s="280"/>
      <c r="BW29" s="325"/>
      <c r="BX29" s="325"/>
      <c r="BY29" s="325"/>
      <c r="BZ29" s="325"/>
    </row>
    <row r="30" spans="1:86">
      <c r="A30" s="36"/>
      <c r="B30" s="68" t="s">
        <v>498</v>
      </c>
      <c r="T30" s="76"/>
      <c r="V30" s="283"/>
      <c r="W30" s="76"/>
      <c r="X30" s="76"/>
      <c r="BS30" s="76"/>
      <c r="BT30" s="76"/>
      <c r="BU30" s="76"/>
      <c r="BV30" s="76"/>
      <c r="BW30" s="76"/>
      <c r="BX30" s="76"/>
      <c r="BY30" s="76"/>
      <c r="BZ30" s="76"/>
    </row>
    <row r="31" spans="1:86">
      <c r="A31" s="36"/>
      <c r="B31" s="324" t="s">
        <v>327</v>
      </c>
      <c r="K31" s="279"/>
      <c r="L31" s="279"/>
      <c r="M31" s="279"/>
      <c r="N31" s="279"/>
      <c r="O31" s="279"/>
      <c r="P31" s="279"/>
      <c r="Q31" s="279">
        <f>+Segments!M54</f>
        <v>-2.3865739263607938E-2</v>
      </c>
      <c r="R31" s="279">
        <f>+Segments!N54</f>
        <v>-4.2304593070104757E-2</v>
      </c>
      <c r="S31" s="279">
        <f>+Segments!O54</f>
        <v>-2.6151184455682722E-2</v>
      </c>
      <c r="T31" s="279">
        <f>+Segments!P54</f>
        <v>-2.0602311194116957E-2</v>
      </c>
      <c r="U31" s="283">
        <f>SUMPRODUCT(BW31:BZ31,BS$9:BV$9)/SUM(BS$9:BV$9)</f>
        <v>0.13960099756928013</v>
      </c>
      <c r="V31" s="283">
        <f>SUMPRODUCT(CA31:CD31,BW$9:BZ$9)/SUM(BW$9:BZ$9)</f>
        <v>8.3144910270795638E-2</v>
      </c>
      <c r="W31" s="283">
        <f>+W10-W32</f>
        <v>1.3080323506207359E-2</v>
      </c>
      <c r="X31" s="283">
        <f t="shared" ref="X31:Y31" si="75">+X10-X32</f>
        <v>3.8658296024444372E-2</v>
      </c>
      <c r="Y31" s="283">
        <f t="shared" si="75"/>
        <v>2.6407968232781354E-2</v>
      </c>
      <c r="BG31" s="279">
        <f>+Segments!AU54</f>
        <v>-3.2805115373922715E-2</v>
      </c>
      <c r="BH31" s="279">
        <f>+Segments!AV54</f>
        <v>-1.7345814977973568E-2</v>
      </c>
      <c r="BI31" s="279">
        <f>+Segments!AW54</f>
        <v>0</v>
      </c>
      <c r="BJ31" s="279">
        <f>+Segments!AX54</f>
        <v>-4.4696618805002315E-2</v>
      </c>
      <c r="BK31" s="279">
        <f>+Segments!AY54</f>
        <v>-4.6153846153846156E-2</v>
      </c>
      <c r="BL31" s="279">
        <f>+Segments!AZ54</f>
        <v>-4.9548557586434706E-2</v>
      </c>
      <c r="BM31" s="279">
        <f>+Segments!BA54</f>
        <v>-4.65472027972028E-2</v>
      </c>
      <c r="BN31" s="279">
        <f>+Segments!BB54</f>
        <v>-2.4237685691946828E-2</v>
      </c>
      <c r="BO31" s="279">
        <f>+Segments!BC54</f>
        <v>-2.1231422505307855E-3</v>
      </c>
      <c r="BP31" s="279">
        <f>+Segments!BD54</f>
        <v>-2.2085259373394964E-2</v>
      </c>
      <c r="BQ31" s="279">
        <f>+Segments!BE54</f>
        <v>-3.229166666666667E-2</v>
      </c>
      <c r="BR31" s="279">
        <f>+Segments!BF54</f>
        <v>-4.9631310266591025E-2</v>
      </c>
      <c r="BS31" s="279">
        <f>+Segments!BG54</f>
        <v>-4.8924255820807547E-2</v>
      </c>
      <c r="BT31" s="279">
        <f>+Segments!BH54</f>
        <v>-5.6858147713950757E-2</v>
      </c>
      <c r="BU31" s="279">
        <f>+Segments!BI54</f>
        <v>-4.8322910744741333E-3</v>
      </c>
      <c r="BV31" s="279">
        <f>+Segments!BJ54</f>
        <v>3.5237116429305618E-3</v>
      </c>
      <c r="BW31" s="279">
        <f>+Segments!BK54</f>
        <v>0.10521084765014908</v>
      </c>
      <c r="BX31" s="279">
        <f>+Segments!BL54</f>
        <v>0.14160982264665756</v>
      </c>
      <c r="BY31" s="279">
        <f>+Segments!BM54</f>
        <v>0.1440851937387734</v>
      </c>
      <c r="BZ31" s="521">
        <f>+BZ10-BZ32</f>
        <v>0.16420300537891896</v>
      </c>
      <c r="CA31" s="283">
        <f t="shared" ref="CA31:CD31" si="76">+CA10-CA32</f>
        <v>0.11527554230545367</v>
      </c>
      <c r="CB31" s="283">
        <f t="shared" si="76"/>
        <v>9.3486203399925749E-2</v>
      </c>
      <c r="CC31" s="283">
        <f t="shared" si="76"/>
        <v>7.554712813860176E-2</v>
      </c>
      <c r="CD31" s="283">
        <f t="shared" si="76"/>
        <v>5.1386831564467661E-2</v>
      </c>
    </row>
    <row r="32" spans="1:86">
      <c r="A32" s="36"/>
      <c r="B32" s="324" t="s">
        <v>191</v>
      </c>
      <c r="K32" s="279"/>
      <c r="L32" s="279"/>
      <c r="M32" s="279"/>
      <c r="N32" s="279"/>
      <c r="O32" s="279"/>
      <c r="P32" s="279"/>
      <c r="Q32" s="279">
        <f>+Segments!M55</f>
        <v>-2.7056346117031456E-2</v>
      </c>
      <c r="R32" s="279">
        <f>+Segments!N55</f>
        <v>-2.7915275699320809E-2</v>
      </c>
      <c r="S32" s="279">
        <f>+Segments!O55</f>
        <v>-7.6124567474048471E-2</v>
      </c>
      <c r="T32" s="279">
        <f>+Segments!P55</f>
        <v>-1.2548149877436751E-2</v>
      </c>
      <c r="U32" s="283">
        <f>SUMPRODUCT(BW32:BZ32,BS$9:BV$9)/SUM(BS$9:BV$9)</f>
        <v>2.7604683756362467E-2</v>
      </c>
      <c r="V32" s="283">
        <f>SUMPRODUCT(CA32:CD32,BW$9:BZ$9)/SUM(BW$9:BZ$9)</f>
        <v>2.8496248315038979E-2</v>
      </c>
      <c r="W32" s="399">
        <f t="shared" ref="W32:Y32" si="77">+W54</f>
        <v>2.4953562240531468E-2</v>
      </c>
      <c r="X32" s="399">
        <f t="shared" si="77"/>
        <v>1.0296359810926026E-2</v>
      </c>
      <c r="Y32" s="399">
        <f t="shared" si="77"/>
        <v>1.0191425229774564E-2</v>
      </c>
      <c r="BG32" s="279">
        <f>+Segments!AU55</f>
        <v>-4.5315540728384784E-2</v>
      </c>
      <c r="BH32" s="279">
        <f>+Segments!AV55</f>
        <v>-4.4603524229074931E-2</v>
      </c>
      <c r="BI32" s="279">
        <f>+Segments!AW55</f>
        <v>-2.2065955383123309E-2</v>
      </c>
      <c r="BJ32" s="279">
        <f>+Segments!AX55</f>
        <v>-1.8527095877719224E-3</v>
      </c>
      <c r="BK32" s="279">
        <f>+Segments!AY55</f>
        <v>-8.1447963800904133E-3</v>
      </c>
      <c r="BL32" s="279">
        <f>+Segments!AZ55</f>
        <v>-9.6894957057915565E-3</v>
      </c>
      <c r="BM32" s="279">
        <f>+Segments!BA55</f>
        <v>-5.9003496503496719E-2</v>
      </c>
      <c r="BN32" s="279">
        <f>+Segments!BB55</f>
        <v>-3.5183737294761437E-2</v>
      </c>
      <c r="BO32" s="279">
        <f>+Segments!BC55</f>
        <v>-9.8991507430997883E-2</v>
      </c>
      <c r="BP32" s="279">
        <f>+Segments!BD55</f>
        <v>-8.8084232152028874E-2</v>
      </c>
      <c r="BQ32" s="279">
        <f>+Segments!BE55</f>
        <v>-4.114583333333334E-2</v>
      </c>
      <c r="BR32" s="279">
        <f>+Segments!BF55</f>
        <v>-7.6574021554169036E-2</v>
      </c>
      <c r="BS32" s="279">
        <f>+Segments!BG55</f>
        <v>-4.2145593869731712E-2</v>
      </c>
      <c r="BT32" s="279">
        <f>+Segments!BH55</f>
        <v>-1.0844079718639987E-2</v>
      </c>
      <c r="BU32" s="279">
        <f>+Segments!BI55</f>
        <v>-3.5815804434337697E-2</v>
      </c>
      <c r="BV32" s="279">
        <f>+Segments!BJ55</f>
        <v>1.336073997944473E-2</v>
      </c>
      <c r="BW32" s="279">
        <f>+Segments!BK55</f>
        <v>8.3061195513275593E-2</v>
      </c>
      <c r="BX32" s="279">
        <f>+Segments!BL55</f>
        <v>3.8608458390177354E-2</v>
      </c>
      <c r="BY32" s="279">
        <f>+Segments!BM55</f>
        <v>-1.3471901462663588E-2</v>
      </c>
      <c r="BZ32" s="522">
        <f>+BZ54</f>
        <v>8.2989113090441435E-3</v>
      </c>
      <c r="CA32" s="399">
        <f t="shared" ref="CA32:CD32" si="78">+CA54</f>
        <v>-1.9109521075613145E-2</v>
      </c>
      <c r="CB32" s="399">
        <f t="shared" si="78"/>
        <v>2.6246038847511421E-2</v>
      </c>
      <c r="CC32" s="399">
        <f t="shared" si="78"/>
        <v>4.6663613844266649E-2</v>
      </c>
      <c r="CD32" s="399">
        <f t="shared" si="78"/>
        <v>5.6590016960461176E-2</v>
      </c>
    </row>
    <row r="33" spans="1:87">
      <c r="A33" s="36"/>
      <c r="B33" s="324" t="s">
        <v>497</v>
      </c>
      <c r="K33" s="279"/>
      <c r="L33" s="279"/>
      <c r="M33" s="279"/>
      <c r="N33" s="279"/>
      <c r="O33" s="279"/>
      <c r="P33" s="279"/>
      <c r="Q33" s="279">
        <f>+Segments!M56</f>
        <v>0.15959415480824454</v>
      </c>
      <c r="R33" s="279">
        <f>+Segments!N56</f>
        <v>-6.4809485438010822E-2</v>
      </c>
      <c r="S33" s="279">
        <f>+Segments!O56</f>
        <v>0.2424141602342294</v>
      </c>
      <c r="T33" s="279">
        <f>+Segments!P56</f>
        <v>0.78364655071787093</v>
      </c>
      <c r="U33" s="283">
        <f>SUMPRODUCT(BW33:BZ33,BS$9:BV$9)/SUM(BS$9:BV$9)</f>
        <v>0</v>
      </c>
      <c r="V33" s="48">
        <f>SUMPRODUCT(CA33:CD33,BW$9:BZ$9)/SUM(BW$9:BZ$9)</f>
        <v>0</v>
      </c>
      <c r="W33" s="273">
        <v>0</v>
      </c>
      <c r="X33" s="273">
        <v>0</v>
      </c>
      <c r="Y33" s="273">
        <v>0</v>
      </c>
      <c r="BG33" s="279">
        <f>+Segments!AU56</f>
        <v>0.30692243536280234</v>
      </c>
      <c r="BH33" s="279">
        <f>+Segments!AV56</f>
        <v>0.31222466960352424</v>
      </c>
      <c r="BI33" s="279">
        <f>+Segments!AW56</f>
        <v>0.13166828322017457</v>
      </c>
      <c r="BJ33" s="279">
        <f>+Segments!AX56</f>
        <v>-6.4844835572024154E-2</v>
      </c>
      <c r="BK33" s="279">
        <f>+Segments!AY56</f>
        <v>-9.3212669683257934E-2</v>
      </c>
      <c r="BL33" s="279">
        <f>+Segments!AZ56</f>
        <v>-8.3241576745210308E-2</v>
      </c>
      <c r="BM33" s="279">
        <f>+Segments!BA56</f>
        <v>-5.5288461538461536E-2</v>
      </c>
      <c r="BN33" s="279">
        <f>+Segments!BB56</f>
        <v>-2.1631482929371899E-2</v>
      </c>
      <c r="BO33" s="279">
        <f>+Segments!BC56</f>
        <v>1.592356687898089E-3</v>
      </c>
      <c r="BP33" s="279">
        <f>+Segments!BD56</f>
        <v>-1.3610683102208525E-2</v>
      </c>
      <c r="BQ33" s="279">
        <f>+Segments!BE56</f>
        <v>-1.0416666666666668E-2</v>
      </c>
      <c r="BR33" s="279">
        <f>+Segments!BF56</f>
        <v>1.0578559273964832</v>
      </c>
      <c r="BS33" s="279">
        <f>+Segments!BG56</f>
        <v>1.1668140288829942</v>
      </c>
      <c r="BT33" s="279">
        <f>+Segments!BH56</f>
        <v>1.2160023446658852</v>
      </c>
      <c r="BU33" s="279">
        <f>+Segments!BI56</f>
        <v>1.2561114269471292</v>
      </c>
      <c r="BV33" s="279">
        <f>+Segments!BJ56</f>
        <v>0.1321391866098961</v>
      </c>
      <c r="BW33" s="279">
        <f>+Segments!BK56</f>
        <v>0</v>
      </c>
      <c r="BX33" s="279">
        <f>+Segments!BL56</f>
        <v>0</v>
      </c>
      <c r="BY33" s="279">
        <f>+Segments!BM56</f>
        <v>0</v>
      </c>
      <c r="BZ33" s="218">
        <v>0</v>
      </c>
      <c r="CA33" s="273">
        <v>0</v>
      </c>
      <c r="CB33" s="273">
        <v>0</v>
      </c>
      <c r="CC33" s="273">
        <v>0</v>
      </c>
      <c r="CD33" s="273">
        <v>0</v>
      </c>
    </row>
    <row r="34" spans="1:87">
      <c r="A34" s="36"/>
      <c r="B34" s="252" t="s">
        <v>188</v>
      </c>
      <c r="K34" s="279"/>
      <c r="L34" s="279"/>
      <c r="M34" s="279"/>
      <c r="N34" s="279"/>
      <c r="O34" s="279"/>
      <c r="P34" s="279"/>
      <c r="Q34" s="281">
        <f>SUM(Q31:Q33)</f>
        <v>0.10867206942760516</v>
      </c>
      <c r="R34" s="281">
        <f>SUM(R31:R33)</f>
        <v>-0.13502935420743639</v>
      </c>
      <c r="S34" s="281">
        <f t="shared" ref="S34:X34" si="79">SUM(S31:S33)</f>
        <v>0.1401384083044982</v>
      </c>
      <c r="T34" s="281">
        <f t="shared" si="79"/>
        <v>0.7504960896463172</v>
      </c>
      <c r="U34" s="281">
        <f>SUM(U31:U33)</f>
        <v>0.16720568132564259</v>
      </c>
      <c r="V34" s="281">
        <f t="shared" si="79"/>
        <v>0.11164115858583462</v>
      </c>
      <c r="W34" s="281">
        <f t="shared" si="79"/>
        <v>3.8033885746738827E-2</v>
      </c>
      <c r="X34" s="281">
        <f t="shared" si="79"/>
        <v>4.8954655835370398E-2</v>
      </c>
      <c r="Y34" s="281">
        <f>SUM(Y31:Y33)</f>
        <v>3.6599393462555918E-2</v>
      </c>
      <c r="BG34" s="281">
        <f t="shared" ref="BG34:BZ34" si="80">SUM(BG31:BG33)</f>
        <v>0.22880177926049483</v>
      </c>
      <c r="BH34" s="281">
        <f t="shared" si="80"/>
        <v>0.25027533039647576</v>
      </c>
      <c r="BI34" s="281">
        <f t="shared" si="80"/>
        <v>0.10960232783705126</v>
      </c>
      <c r="BJ34" s="281">
        <f t="shared" si="80"/>
        <v>-0.1113941639647984</v>
      </c>
      <c r="BK34" s="281">
        <f t="shared" si="80"/>
        <v>-0.14751131221719449</v>
      </c>
      <c r="BL34" s="281">
        <f t="shared" si="80"/>
        <v>-0.14247963003743658</v>
      </c>
      <c r="BM34" s="281">
        <f t="shared" si="80"/>
        <v>-0.16083916083916105</v>
      </c>
      <c r="BN34" s="281">
        <f t="shared" si="80"/>
        <v>-8.1052905916080165E-2</v>
      </c>
      <c r="BO34" s="281">
        <f t="shared" si="80"/>
        <v>-9.9522292993630579E-2</v>
      </c>
      <c r="BP34" s="281">
        <f t="shared" si="80"/>
        <v>-0.12378017462763236</v>
      </c>
      <c r="BQ34" s="281">
        <f t="shared" si="80"/>
        <v>-8.3854166666666688E-2</v>
      </c>
      <c r="BR34" s="281">
        <f t="shared" si="80"/>
        <v>0.93165059557572305</v>
      </c>
      <c r="BS34" s="281">
        <f t="shared" si="80"/>
        <v>1.0757441791924549</v>
      </c>
      <c r="BT34" s="281">
        <f t="shared" si="80"/>
        <v>1.1483001172332945</v>
      </c>
      <c r="BU34" s="281">
        <f t="shared" si="80"/>
        <v>1.2154633314383174</v>
      </c>
      <c r="BV34" s="281">
        <f t="shared" si="80"/>
        <v>0.14902363823227138</v>
      </c>
      <c r="BW34" s="281">
        <f t="shared" si="80"/>
        <v>0.18827204316342466</v>
      </c>
      <c r="BX34" s="281">
        <f t="shared" si="80"/>
        <v>0.1802182810368349</v>
      </c>
      <c r="BY34" s="281">
        <f>SUM(BY31:BY33)</f>
        <v>0.13061329227610982</v>
      </c>
      <c r="BZ34" s="281">
        <f t="shared" si="80"/>
        <v>0.17250191668796311</v>
      </c>
      <c r="CA34" s="281">
        <f>SUM(CA31:CA33)</f>
        <v>9.6166021229840526E-2</v>
      </c>
      <c r="CB34" s="281">
        <f>SUM(CB31:CB33)</f>
        <v>0.11973224224743717</v>
      </c>
      <c r="CC34" s="281">
        <f>SUM(CC31:CC33)</f>
        <v>0.12221074198286841</v>
      </c>
      <c r="CD34" s="281">
        <f>SUM(CD31:CD33)</f>
        <v>0.10797684852492884</v>
      </c>
    </row>
    <row r="35" spans="1:87">
      <c r="A35" s="36"/>
      <c r="B35" s="54"/>
      <c r="T35" s="76"/>
      <c r="U35" s="76"/>
      <c r="V35" s="427"/>
      <c r="W35" s="427"/>
      <c r="X35" s="427"/>
      <c r="Y35" s="427"/>
      <c r="BG35" s="328"/>
      <c r="BH35" s="328"/>
      <c r="BI35" s="328"/>
      <c r="BJ35" s="328"/>
      <c r="BK35" s="328"/>
      <c r="BL35" s="328"/>
      <c r="BM35" s="328"/>
      <c r="BN35" s="328"/>
      <c r="BO35" s="328"/>
      <c r="BP35" s="328"/>
      <c r="BQ35" s="328"/>
      <c r="BR35" s="328"/>
      <c r="BS35" s="328"/>
      <c r="BT35" s="328"/>
      <c r="BU35" s="328"/>
      <c r="BV35" s="328"/>
      <c r="BW35" s="427"/>
      <c r="BX35" s="427"/>
      <c r="BY35" s="427"/>
      <c r="BZ35" s="427"/>
      <c r="CA35" s="229"/>
      <c r="CB35" s="229"/>
      <c r="CC35" s="229"/>
      <c r="CD35" s="229"/>
      <c r="CE35" s="229"/>
      <c r="CF35" s="229"/>
      <c r="CG35" s="229"/>
      <c r="CH35" s="229"/>
      <c r="CI35" s="229"/>
    </row>
    <row r="36" spans="1:87" hidden="1" outlineLevel="1">
      <c r="A36" s="34"/>
      <c r="B36" s="68" t="s">
        <v>502</v>
      </c>
      <c r="T36" s="17"/>
      <c r="V36" s="34"/>
      <c r="W36" s="17"/>
      <c r="X36" s="17"/>
      <c r="BS36" s="17"/>
      <c r="BT36" s="17"/>
      <c r="BU36" s="17"/>
      <c r="BV36" s="17"/>
      <c r="BW36" s="17"/>
      <c r="BX36" s="17"/>
      <c r="BY36" s="17"/>
      <c r="BZ36" s="17"/>
    </row>
    <row r="37" spans="1:87" hidden="1" outlineLevel="1">
      <c r="A37" s="34"/>
      <c r="B37" s="5" t="s">
        <v>503</v>
      </c>
      <c r="T37" s="34">
        <f>SUM(BS37:BV37)</f>
        <v>682.20845053827634</v>
      </c>
      <c r="U37" s="34">
        <f>SUM(BW37:BZ37)</f>
        <v>723.29010914396906</v>
      </c>
      <c r="V37" s="34">
        <f>SUM(CA37:CD37)</f>
        <v>746.39347698765653</v>
      </c>
      <c r="W37" s="34">
        <f>SUM(W113,W197,W326)</f>
        <v>760.0803380931452</v>
      </c>
      <c r="X37" s="34">
        <f>SUM(X113,X197,X326)</f>
        <v>815.2662843496953</v>
      </c>
      <c r="Y37" s="34">
        <f>SUM(Y113,Y197,Y326)</f>
        <v>833.77984223896408</v>
      </c>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f t="shared" ref="BS37:CD37" si="81">SUM(BS113,BS197,BS326)</f>
        <v>171.04068614720777</v>
      </c>
      <c r="BT37" s="34">
        <f t="shared" si="81"/>
        <v>162.35708578469382</v>
      </c>
      <c r="BU37" s="34">
        <f t="shared" si="81"/>
        <v>172.91511250907266</v>
      </c>
      <c r="BV37" s="34">
        <f t="shared" si="81"/>
        <v>175.89556609730215</v>
      </c>
      <c r="BW37" s="34">
        <f t="shared" si="81"/>
        <v>184.95569238916386</v>
      </c>
      <c r="BX37" s="34">
        <f t="shared" si="81"/>
        <v>183.78406915053958</v>
      </c>
      <c r="BY37" s="34">
        <f t="shared" si="81"/>
        <v>177.95626620311779</v>
      </c>
      <c r="BZ37" s="34">
        <f t="shared" si="81"/>
        <v>176.59408140114783</v>
      </c>
      <c r="CA37" s="34">
        <f t="shared" si="81"/>
        <v>183.10028704112071</v>
      </c>
      <c r="CB37" s="34">
        <f t="shared" si="81"/>
        <v>185.09602058871261</v>
      </c>
      <c r="CC37" s="34">
        <f t="shared" si="81"/>
        <v>187.58914149055101</v>
      </c>
      <c r="CD37" s="34">
        <f t="shared" si="81"/>
        <v>190.60802786727217</v>
      </c>
    </row>
    <row r="38" spans="1:87" hidden="1" outlineLevel="1">
      <c r="A38" s="34"/>
      <c r="B38" s="5" t="s">
        <v>387</v>
      </c>
      <c r="T38" s="276">
        <f>T37/IS!P3</f>
        <v>0.12290715427850618</v>
      </c>
      <c r="U38" s="276">
        <f>U37/IS!Q3</f>
        <v>0.11538671896240972</v>
      </c>
      <c r="V38" s="276">
        <f>V37/IS!R3</f>
        <v>0.10691092082149374</v>
      </c>
      <c r="W38" s="276">
        <f>W37/IS!S3</f>
        <v>0.10450391608699096</v>
      </c>
      <c r="X38" s="276">
        <f>X37/IS!T3</f>
        <v>0.10696853003091385</v>
      </c>
      <c r="Y38" s="276">
        <f>Y37/IS!U3</f>
        <v>0.10508485316771923</v>
      </c>
      <c r="BS38" s="276">
        <f>BS37/IS!BG3</f>
        <v>0.12686595916570817</v>
      </c>
      <c r="BT38" s="276">
        <f>BT37/IS!BH3</f>
        <v>0.11903012154303066</v>
      </c>
      <c r="BU38" s="276">
        <f>BU37/IS!BI3</f>
        <v>0.11903015936468139</v>
      </c>
      <c r="BV38" s="276">
        <f>BV37/IS!BJ3</f>
        <v>0.12693625322746782</v>
      </c>
      <c r="BW38" s="276">
        <f>BW37/IS!BK3</f>
        <v>0.11802417994331177</v>
      </c>
      <c r="BX38" s="276">
        <f>BX37/IS!BL3</f>
        <v>0.12039572168394339</v>
      </c>
      <c r="BY38" s="276">
        <f>BY37/IS!BM3</f>
        <v>0.11444868879228105</v>
      </c>
      <c r="BZ38" s="276">
        <f>BZ37/IS!BN3</f>
        <v>0.10901542156994125</v>
      </c>
      <c r="CA38" s="276">
        <f>CA37/IS!BO3</f>
        <v>0.11009177387161216</v>
      </c>
      <c r="CB38" s="276">
        <f>CB37/IS!BP3</f>
        <v>0.10637193503915605</v>
      </c>
      <c r="CC38" s="276">
        <f>CC37/IS!BQ3</f>
        <v>0.10541924533004253</v>
      </c>
      <c r="CD38" s="276">
        <f>CD37/IS!BR3</f>
        <v>0.10596692385579445</v>
      </c>
      <c r="CE38" s="5" t="s">
        <v>506</v>
      </c>
    </row>
    <row r="39" spans="1:87" hidden="1" outlineLevel="1">
      <c r="A39" s="51"/>
      <c r="T39" s="17"/>
      <c r="U39" s="17"/>
      <c r="V39" s="17"/>
      <c r="W39" s="17"/>
      <c r="X39" s="17"/>
      <c r="Y39" s="17"/>
      <c r="BS39" s="17"/>
      <c r="BT39" s="77"/>
      <c r="BU39" s="77"/>
      <c r="BV39" s="77"/>
      <c r="BW39" s="77"/>
      <c r="BX39" s="77"/>
      <c r="BY39" s="77"/>
      <c r="BZ39" s="77"/>
    </row>
    <row r="40" spans="1:87" collapsed="1">
      <c r="A40" s="51" t="s">
        <v>150</v>
      </c>
      <c r="B40" s="27" t="s">
        <v>464</v>
      </c>
      <c r="C40" s="28"/>
      <c r="D40" s="28"/>
      <c r="E40" s="28"/>
      <c r="F40" s="28"/>
      <c r="G40" s="28"/>
      <c r="H40" s="28"/>
      <c r="I40" s="28"/>
      <c r="J40" s="28"/>
      <c r="K40" s="28"/>
      <c r="L40" s="28"/>
      <c r="M40" s="28"/>
      <c r="N40" s="28"/>
      <c r="O40" s="28"/>
      <c r="P40" s="28"/>
      <c r="Q40" s="28"/>
      <c r="R40" s="28"/>
      <c r="S40" s="28"/>
      <c r="T40" s="251"/>
      <c r="U40" s="251"/>
      <c r="V40" s="251"/>
      <c r="W40" s="251"/>
      <c r="X40" s="251"/>
      <c r="Y40" s="251"/>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c r="BD40" s="28"/>
      <c r="BE40" s="28"/>
      <c r="BF40" s="28"/>
      <c r="BG40" s="28"/>
      <c r="BH40" s="28"/>
      <c r="BI40" s="28"/>
      <c r="BJ40" s="28"/>
      <c r="BK40" s="28"/>
      <c r="BL40" s="28"/>
      <c r="BM40" s="28"/>
      <c r="BN40" s="28"/>
      <c r="BO40" s="28"/>
      <c r="BP40" s="28"/>
      <c r="BQ40" s="28"/>
      <c r="BR40" s="28"/>
      <c r="BS40" s="251"/>
      <c r="BT40" s="251"/>
      <c r="BU40" s="251"/>
      <c r="BV40" s="251"/>
      <c r="BW40" s="251"/>
      <c r="BX40" s="251"/>
      <c r="BY40" s="251"/>
      <c r="BZ40" s="251"/>
      <c r="CA40" s="251"/>
      <c r="CB40" s="251"/>
      <c r="CC40" s="251"/>
      <c r="CD40" s="251"/>
    </row>
    <row r="41" spans="1:87">
      <c r="A41" s="51"/>
      <c r="B41" s="149" t="s">
        <v>500</v>
      </c>
      <c r="C41" s="51"/>
      <c r="D41" s="51"/>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51"/>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c r="BI41" s="51"/>
      <c r="BJ41" s="51"/>
      <c r="BK41" s="51"/>
      <c r="BL41" s="51"/>
      <c r="BM41" s="51"/>
      <c r="BN41" s="51"/>
      <c r="BO41" s="51"/>
      <c r="BP41" s="51"/>
      <c r="BQ41" s="51"/>
      <c r="BR41" s="51"/>
      <c r="BS41" s="51"/>
      <c r="BT41" s="51"/>
      <c r="BU41" s="51"/>
      <c r="BV41" s="51"/>
      <c r="BW41" s="51"/>
      <c r="BX41" s="51"/>
      <c r="BY41" s="51"/>
      <c r="BZ41" s="51"/>
    </row>
    <row r="42" spans="1:87">
      <c r="A42" s="51"/>
      <c r="B42" s="51" t="s">
        <v>477</v>
      </c>
      <c r="C42" s="51"/>
      <c r="D42" s="51"/>
      <c r="E42" s="51"/>
      <c r="F42" s="51"/>
      <c r="G42" s="51"/>
      <c r="H42" s="51"/>
      <c r="I42" s="51"/>
      <c r="J42" s="51"/>
      <c r="K42" s="51"/>
      <c r="L42" s="51"/>
      <c r="M42" s="51"/>
      <c r="N42" s="51"/>
      <c r="O42" s="51"/>
      <c r="P42" s="51"/>
      <c r="Q42" s="51"/>
      <c r="R42" s="51"/>
      <c r="S42" s="51"/>
      <c r="T42" s="312">
        <f>SUM(BS42:BV42)</f>
        <v>1164.0988784290607</v>
      </c>
      <c r="U42" s="312">
        <f>SUM(BW42:BZ42)</f>
        <v>1226.5537387287918</v>
      </c>
      <c r="V42" s="312">
        <f>SUM(CA42:CD42)</f>
        <v>1283.7580302558122</v>
      </c>
      <c r="W42" s="312">
        <f>W49/1000*W60</f>
        <v>1309.342261316549</v>
      </c>
      <c r="X42" s="312">
        <f>X49/1000*X60</f>
        <v>1404.1370880158693</v>
      </c>
      <c r="Y42" s="312">
        <f>Y49/1000*Y60</f>
        <v>1435.7525453345581</v>
      </c>
      <c r="Z42" s="312"/>
      <c r="AA42" s="312"/>
      <c r="AB42" s="312"/>
      <c r="AC42" s="312"/>
      <c r="AD42" s="312"/>
      <c r="AE42" s="312"/>
      <c r="AF42" s="312"/>
      <c r="AG42" s="312"/>
      <c r="AH42" s="312"/>
      <c r="AI42" s="312"/>
      <c r="AJ42" s="312"/>
      <c r="AK42" s="312"/>
      <c r="AL42" s="312"/>
      <c r="AM42" s="312"/>
      <c r="AN42" s="312"/>
      <c r="AO42" s="312"/>
      <c r="AP42" s="312"/>
      <c r="AQ42" s="312"/>
      <c r="AR42" s="312"/>
      <c r="AS42" s="312"/>
      <c r="AT42" s="312"/>
      <c r="AU42" s="312"/>
      <c r="AV42" s="312"/>
      <c r="AW42" s="312"/>
      <c r="AX42" s="312"/>
      <c r="AY42" s="312"/>
      <c r="AZ42" s="312"/>
      <c r="BA42" s="312"/>
      <c r="BB42" s="312"/>
      <c r="BC42" s="312"/>
      <c r="BD42" s="312"/>
      <c r="BE42" s="312"/>
      <c r="BF42" s="312"/>
      <c r="BG42" s="312"/>
      <c r="BH42" s="312"/>
      <c r="BI42" s="312"/>
      <c r="BJ42" s="312"/>
      <c r="BK42" s="312"/>
      <c r="BL42" s="312"/>
      <c r="BM42" s="312"/>
      <c r="BN42" s="312"/>
      <c r="BO42" s="312"/>
      <c r="BP42" s="312"/>
      <c r="BQ42" s="312"/>
      <c r="BR42" s="312"/>
      <c r="BS42" s="312">
        <f t="shared" ref="BS42:BZ42" si="82">BS49/1000*BS60</f>
        <v>298.0798495149449</v>
      </c>
      <c r="BT42" s="312">
        <f t="shared" si="82"/>
        <v>274.94255973643777</v>
      </c>
      <c r="BU42" s="312">
        <f t="shared" si="82"/>
        <v>294.70374953246801</v>
      </c>
      <c r="BV42" s="312">
        <f t="shared" si="82"/>
        <v>296.37271964521005</v>
      </c>
      <c r="BW42" s="312">
        <f t="shared" si="82"/>
        <v>314.43449142644397</v>
      </c>
      <c r="BX42" s="312">
        <f t="shared" si="82"/>
        <v>313.34709998154932</v>
      </c>
      <c r="BY42" s="312">
        <f t="shared" si="82"/>
        <v>301.65205668128772</v>
      </c>
      <c r="BZ42" s="312">
        <f t="shared" si="82"/>
        <v>297.12009063951064</v>
      </c>
      <c r="CA42" s="312">
        <f>CA49/1000*CA60</f>
        <v>308.06680184370316</v>
      </c>
      <c r="CB42" s="312">
        <f>CB49/1000*CB60</f>
        <v>319.88265193791449</v>
      </c>
      <c r="CC42" s="312">
        <f>CC49/1000*CC60</f>
        <v>325.65429460905602</v>
      </c>
      <c r="CD42" s="312">
        <f>CD49/1000*CD60</f>
        <v>330.1542818651385</v>
      </c>
      <c r="CE42" s="424"/>
      <c r="CF42" s="424"/>
    </row>
    <row r="43" spans="1:87">
      <c r="A43" s="51"/>
      <c r="B43" s="51" t="s">
        <v>351</v>
      </c>
      <c r="C43" s="51"/>
      <c r="D43" s="51"/>
      <c r="E43" s="51"/>
      <c r="F43" s="51"/>
      <c r="G43" s="51"/>
      <c r="H43" s="51"/>
      <c r="I43" s="51"/>
      <c r="J43" s="51"/>
      <c r="K43" s="51"/>
      <c r="L43" s="51"/>
      <c r="M43" s="51"/>
      <c r="N43" s="51"/>
      <c r="O43" s="51"/>
      <c r="P43" s="51"/>
      <c r="Q43" s="51"/>
      <c r="R43" s="51"/>
      <c r="S43" s="51"/>
      <c r="T43" s="45">
        <f>SUM(BS43:BV43)</f>
        <v>105.99443107844753</v>
      </c>
      <c r="U43" s="45">
        <f>SUM(BW43:BZ43)</f>
        <v>112.06203932652852</v>
      </c>
      <c r="V43" s="45">
        <f>SUM(CA43:CD43)</f>
        <v>80.141752062951838</v>
      </c>
      <c r="W43" s="45">
        <f>+W70/1000*W72</f>
        <v>88.934699833375291</v>
      </c>
      <c r="X43" s="45">
        <f t="shared" ref="X43:Y43" si="83">+X70/1000*X72</f>
        <v>88.608178132446866</v>
      </c>
      <c r="Y43" s="45">
        <f t="shared" si="83"/>
        <v>89.113690134548676</v>
      </c>
      <c r="Z43" s="51"/>
      <c r="AA43" s="51"/>
      <c r="AB43" s="51"/>
      <c r="AC43" s="51"/>
      <c r="AD43" s="51"/>
      <c r="AE43" s="51"/>
      <c r="AF43" s="51"/>
      <c r="AG43" s="51"/>
      <c r="AH43" s="51"/>
      <c r="AI43" s="51"/>
      <c r="AJ43" s="51"/>
      <c r="AK43" s="51"/>
      <c r="AL43" s="51"/>
      <c r="AM43" s="51"/>
      <c r="AN43" s="51"/>
      <c r="AO43" s="51"/>
      <c r="AP43" s="51"/>
      <c r="AQ43" s="51"/>
      <c r="AR43" s="51"/>
      <c r="AS43" s="51"/>
      <c r="AT43" s="51"/>
      <c r="AU43" s="51"/>
      <c r="AV43" s="51"/>
      <c r="AW43" s="51"/>
      <c r="AX43" s="51"/>
      <c r="AY43" s="51"/>
      <c r="AZ43" s="51"/>
      <c r="BA43" s="51"/>
      <c r="BB43" s="51"/>
      <c r="BC43" s="51"/>
      <c r="BD43" s="51"/>
      <c r="BE43" s="51"/>
      <c r="BF43" s="51"/>
      <c r="BG43" s="51"/>
      <c r="BH43" s="51"/>
      <c r="BI43" s="51"/>
      <c r="BJ43" s="51"/>
      <c r="BK43" s="51"/>
      <c r="BL43" s="51"/>
      <c r="BM43" s="51"/>
      <c r="BN43" s="51"/>
      <c r="BO43" s="51"/>
      <c r="BP43" s="51"/>
      <c r="BQ43" s="51"/>
      <c r="BR43" s="51"/>
      <c r="BS43" s="45">
        <f t="shared" ref="BS43:BY43" si="84">SUMPRODUCT(BS68:BS69,BS72:BS73)/1000</f>
        <v>22.780359506190933</v>
      </c>
      <c r="BT43" s="45">
        <f t="shared" si="84"/>
        <v>26.672610188137149</v>
      </c>
      <c r="BU43" s="45">
        <f t="shared" si="84"/>
        <v>27.063496712204266</v>
      </c>
      <c r="BV43" s="45">
        <f t="shared" si="84"/>
        <v>29.477964671915192</v>
      </c>
      <c r="BW43" s="45">
        <f t="shared" si="84"/>
        <v>28.769082151033498</v>
      </c>
      <c r="BX43" s="45">
        <f t="shared" si="84"/>
        <v>28.684284797763933</v>
      </c>
      <c r="BY43" s="45">
        <f t="shared" si="84"/>
        <v>31.491807047207637</v>
      </c>
      <c r="BZ43" s="45">
        <f t="shared" ref="BZ43:CD43" si="85">+BZ70/1000*BZ72</f>
        <v>23.116865330523453</v>
      </c>
      <c r="CA43" s="45">
        <f>+CA70/1000*CA72</f>
        <v>20.783602344193262</v>
      </c>
      <c r="CB43" s="45">
        <f t="shared" si="85"/>
        <v>19.161531781715919</v>
      </c>
      <c r="CC43" s="45">
        <f t="shared" si="85"/>
        <v>19.481775861026446</v>
      </c>
      <c r="CD43" s="45">
        <f t="shared" si="85"/>
        <v>20.714842076016211</v>
      </c>
      <c r="CE43" s="424"/>
      <c r="CF43" s="424"/>
    </row>
    <row r="44" spans="1:87">
      <c r="A44" s="51"/>
      <c r="B44" s="51" t="s">
        <v>499</v>
      </c>
      <c r="C44" s="51"/>
      <c r="D44" s="51"/>
      <c r="E44" s="51"/>
      <c r="F44" s="51"/>
      <c r="G44" s="127"/>
      <c r="H44" s="51"/>
      <c r="I44" s="51"/>
      <c r="J44" s="51"/>
      <c r="K44" s="51"/>
      <c r="L44" s="51"/>
      <c r="M44" s="51"/>
      <c r="N44" s="51"/>
      <c r="O44" s="51"/>
      <c r="P44" s="51"/>
      <c r="Q44" s="51"/>
      <c r="R44" s="51"/>
      <c r="S44" s="51"/>
      <c r="T44" s="45">
        <f>SUM(BS44:BV44)</f>
        <v>88.027440000000013</v>
      </c>
      <c r="U44" s="45">
        <f>SUM(BW44:BZ44)</f>
        <v>88.821570000000008</v>
      </c>
      <c r="V44" s="45">
        <f>SUM(CA44:CD44)</f>
        <v>88.821570000000008</v>
      </c>
      <c r="W44" s="45">
        <f>(W51/1000*W98)+(W52/1000*W99)</f>
        <v>90.425830000000005</v>
      </c>
      <c r="X44" s="45">
        <f>(X51/1000*X98)+(X52/1000*X99)</f>
        <v>91.219960000000015</v>
      </c>
      <c r="Y44" s="45">
        <f>(Y51/1000*Y98)+(Y52/1000*Y99)</f>
        <v>92.01409000000001</v>
      </c>
      <c r="Z44" s="51"/>
      <c r="AA44" s="51"/>
      <c r="AB44" s="51"/>
      <c r="AC44" s="51"/>
      <c r="AD44" s="51"/>
      <c r="AE44" s="51"/>
      <c r="AF44" s="51"/>
      <c r="AG44" s="51"/>
      <c r="AH44" s="51"/>
      <c r="AI44" s="51"/>
      <c r="AJ44" s="51"/>
      <c r="AK44" s="51"/>
      <c r="AL44" s="51"/>
      <c r="AM44" s="51"/>
      <c r="AN44" s="51"/>
      <c r="AO44" s="51"/>
      <c r="AP44" s="51"/>
      <c r="AQ44" s="51"/>
      <c r="AR44" s="51"/>
      <c r="AS44" s="51"/>
      <c r="AT44" s="51"/>
      <c r="AU44" s="51"/>
      <c r="AV44" s="51"/>
      <c r="AW44" s="51"/>
      <c r="AX44" s="51"/>
      <c r="AY44" s="51"/>
      <c r="AZ44" s="51"/>
      <c r="BA44" s="51"/>
      <c r="BB44" s="51"/>
      <c r="BC44" s="51"/>
      <c r="BD44" s="51"/>
      <c r="BE44" s="51"/>
      <c r="BF44" s="51"/>
      <c r="BG44" s="51"/>
      <c r="BH44" s="51"/>
      <c r="BI44" s="51"/>
      <c r="BJ44" s="51"/>
      <c r="BK44" s="51"/>
      <c r="BL44" s="51"/>
      <c r="BM44" s="51"/>
      <c r="BN44" s="51"/>
      <c r="BO44" s="51"/>
      <c r="BP44" s="51"/>
      <c r="BQ44" s="51"/>
      <c r="BR44" s="51"/>
      <c r="BS44" s="45">
        <f t="shared" ref="BS44:CD44" si="86">(BS51/1000*BS98)+(BS52/1000*BS99)</f>
        <v>22.006860000000003</v>
      </c>
      <c r="BT44" s="45">
        <f t="shared" si="86"/>
        <v>22.006860000000003</v>
      </c>
      <c r="BU44" s="45">
        <f t="shared" si="86"/>
        <v>22.006860000000003</v>
      </c>
      <c r="BV44" s="45">
        <f t="shared" si="86"/>
        <v>22.006860000000003</v>
      </c>
      <c r="BW44" s="45">
        <f t="shared" si="86"/>
        <v>22.205392500000002</v>
      </c>
      <c r="BX44" s="45">
        <f t="shared" si="86"/>
        <v>22.205392500000002</v>
      </c>
      <c r="BY44" s="45">
        <f t="shared" si="86"/>
        <v>22.205392500000002</v>
      </c>
      <c r="BZ44" s="45">
        <f t="shared" si="86"/>
        <v>22.205392500000002</v>
      </c>
      <c r="CA44" s="45">
        <f t="shared" si="86"/>
        <v>22.205392500000002</v>
      </c>
      <c r="CB44" s="45">
        <f t="shared" si="86"/>
        <v>22.205392500000002</v>
      </c>
      <c r="CC44" s="45">
        <f t="shared" si="86"/>
        <v>22.205392500000002</v>
      </c>
      <c r="CD44" s="45">
        <f t="shared" si="86"/>
        <v>22.205392500000002</v>
      </c>
      <c r="CE44" s="424"/>
      <c r="CF44" s="424"/>
    </row>
    <row r="45" spans="1:87">
      <c r="A45" s="51"/>
      <c r="B45" s="52" t="s">
        <v>380</v>
      </c>
      <c r="C45" s="51"/>
      <c r="D45" s="51"/>
      <c r="E45" s="51"/>
      <c r="F45" s="51"/>
      <c r="G45" s="51"/>
      <c r="H45" s="51"/>
      <c r="I45" s="51"/>
      <c r="J45" s="51"/>
      <c r="K45" s="51"/>
      <c r="L45" s="51"/>
      <c r="M45" s="51"/>
      <c r="N45" s="51"/>
      <c r="O45" s="51"/>
      <c r="P45" s="51"/>
      <c r="Q45" s="51"/>
      <c r="R45" s="51"/>
      <c r="S45" s="51"/>
      <c r="T45" s="39">
        <f t="shared" ref="T45:Y45" si="87">SUM(T42:T44)</f>
        <v>1358.1207495075084</v>
      </c>
      <c r="U45" s="39">
        <f>SUM(U42:U44)</f>
        <v>1427.4373480553204</v>
      </c>
      <c r="V45" s="39">
        <f t="shared" si="87"/>
        <v>1452.721352318764</v>
      </c>
      <c r="W45" s="39">
        <f t="shared" si="87"/>
        <v>1488.7027911499242</v>
      </c>
      <c r="X45" s="39">
        <f t="shared" si="87"/>
        <v>1583.9652261483161</v>
      </c>
      <c r="Y45" s="39">
        <f t="shared" si="87"/>
        <v>1616.880325469107</v>
      </c>
      <c r="Z45" s="51"/>
      <c r="AA45" s="51"/>
      <c r="AB45" s="51"/>
      <c r="AC45" s="51"/>
      <c r="AD45" s="51"/>
      <c r="AE45" s="51"/>
      <c r="AF45" s="51"/>
      <c r="AG45" s="51"/>
      <c r="AH45" s="51"/>
      <c r="AI45" s="51"/>
      <c r="AJ45" s="51"/>
      <c r="AK45" s="51"/>
      <c r="AL45" s="51"/>
      <c r="AM45" s="51"/>
      <c r="AN45" s="51"/>
      <c r="AO45" s="51"/>
      <c r="AP45" s="51"/>
      <c r="AQ45" s="51"/>
      <c r="AR45" s="51"/>
      <c r="AS45" s="51"/>
      <c r="AT45" s="51"/>
      <c r="AU45" s="51"/>
      <c r="AV45" s="51"/>
      <c r="AW45" s="51"/>
      <c r="AX45" s="51"/>
      <c r="AY45" s="51"/>
      <c r="AZ45" s="51"/>
      <c r="BA45" s="51"/>
      <c r="BB45" s="51"/>
      <c r="BC45" s="51"/>
      <c r="BD45" s="51"/>
      <c r="BE45" s="51"/>
      <c r="BF45" s="51"/>
      <c r="BG45" s="51"/>
      <c r="BH45" s="51"/>
      <c r="BI45" s="51"/>
      <c r="BJ45" s="51"/>
      <c r="BK45" s="51"/>
      <c r="BL45" s="51"/>
      <c r="BM45" s="51"/>
      <c r="BN45" s="51"/>
      <c r="BO45" s="51"/>
      <c r="BP45" s="51"/>
      <c r="BQ45" s="51"/>
      <c r="BR45" s="51"/>
      <c r="BS45" s="39">
        <f>SUM(BS42:BS44)</f>
        <v>342.86706902113582</v>
      </c>
      <c r="BT45" s="39">
        <f t="shared" ref="BT45:BZ45" si="88">SUM(BT42:BT44)</f>
        <v>323.62202992457492</v>
      </c>
      <c r="BU45" s="39">
        <f t="shared" si="88"/>
        <v>343.77410624467228</v>
      </c>
      <c r="BV45" s="39">
        <f t="shared" si="88"/>
        <v>347.85754431712525</v>
      </c>
      <c r="BW45" s="39">
        <f t="shared" si="88"/>
        <v>365.40896607747749</v>
      </c>
      <c r="BX45" s="39">
        <f t="shared" si="88"/>
        <v>364.23677727931329</v>
      </c>
      <c r="BY45" s="39">
        <f t="shared" si="88"/>
        <v>355.34925622849539</v>
      </c>
      <c r="BZ45" s="39">
        <f t="shared" si="88"/>
        <v>342.44234847003412</v>
      </c>
      <c r="CA45" s="39">
        <f>SUM(CA42:CA44)</f>
        <v>351.05579668789642</v>
      </c>
      <c r="CB45" s="39">
        <f>SUM(CB42:CB44)</f>
        <v>361.2495762196304</v>
      </c>
      <c r="CC45" s="39">
        <f>SUM(CC42:CC44)</f>
        <v>367.34146297008249</v>
      </c>
      <c r="CD45" s="39">
        <f>SUM(CD42:CD44)</f>
        <v>373.07451644115474</v>
      </c>
      <c r="CE45" s="424"/>
      <c r="CF45" s="424"/>
    </row>
    <row r="46" spans="1:87">
      <c r="A46" s="51"/>
      <c r="B46" s="287" t="s">
        <v>141</v>
      </c>
      <c r="C46" s="51"/>
      <c r="D46" s="51"/>
      <c r="E46" s="51"/>
      <c r="F46" s="51"/>
      <c r="G46" s="51"/>
      <c r="H46" s="51"/>
      <c r="I46" s="51"/>
      <c r="J46" s="51"/>
      <c r="K46" s="51"/>
      <c r="L46" s="51"/>
      <c r="M46" s="51"/>
      <c r="N46" s="51"/>
      <c r="O46" s="51"/>
      <c r="P46" s="51"/>
      <c r="Q46" s="51"/>
      <c r="R46" s="51"/>
      <c r="S46" s="51"/>
      <c r="T46" s="51"/>
      <c r="U46" s="280">
        <f>+U45/T45-1</f>
        <v>5.1038612415684081E-2</v>
      </c>
      <c r="V46" s="280">
        <f>+V45/U45-1</f>
        <v>1.7712864454534127E-2</v>
      </c>
      <c r="W46" s="280">
        <f>+W45/V45-1</f>
        <v>2.4768300385843656E-2</v>
      </c>
      <c r="X46" s="280">
        <f>+X45/W45-1</f>
        <v>6.3990230665724734E-2</v>
      </c>
      <c r="Y46" s="280">
        <f>+Y45/X45-1</f>
        <v>2.0780190611147109E-2</v>
      </c>
      <c r="AM46" s="280"/>
      <c r="AN46" s="280"/>
      <c r="AO46" s="280"/>
      <c r="AP46" s="280"/>
      <c r="AQ46" s="280"/>
      <c r="AR46" s="280"/>
      <c r="AS46" s="280"/>
      <c r="AT46" s="280"/>
      <c r="AU46" s="280"/>
      <c r="AV46" s="280"/>
      <c r="AW46" s="280"/>
      <c r="AX46" s="280"/>
      <c r="AY46" s="280"/>
      <c r="AZ46" s="280"/>
      <c r="BA46" s="280"/>
      <c r="BB46" s="280"/>
      <c r="BC46" s="280"/>
      <c r="BD46" s="280"/>
      <c r="BE46" s="280"/>
      <c r="BF46" s="280"/>
      <c r="BG46" s="280"/>
      <c r="BH46" s="280"/>
      <c r="BI46" s="280"/>
      <c r="BJ46" s="280"/>
      <c r="BK46" s="280"/>
      <c r="BL46" s="280"/>
      <c r="BM46" s="280"/>
      <c r="BN46" s="280"/>
      <c r="BO46" s="280"/>
      <c r="BP46" s="280"/>
      <c r="BQ46" s="280"/>
      <c r="BR46" s="280"/>
      <c r="BS46" s="280"/>
      <c r="BT46" s="280"/>
      <c r="BU46" s="280"/>
      <c r="BV46" s="280"/>
      <c r="BW46" s="280">
        <f t="shared" ref="BW46:CD46" si="89">+BW45/BS45-1</f>
        <v>6.5745296335099734E-2</v>
      </c>
      <c r="BX46" s="280">
        <f t="shared" si="89"/>
        <v>0.12550056423601408</v>
      </c>
      <c r="BY46" s="280">
        <f t="shared" si="89"/>
        <v>3.3670802348286122E-2</v>
      </c>
      <c r="BZ46" s="280">
        <f t="shared" si="89"/>
        <v>-1.5567280156943641E-2</v>
      </c>
      <c r="CA46" s="280">
        <f t="shared" si="89"/>
        <v>-3.9279740570289601E-2</v>
      </c>
      <c r="CB46" s="280">
        <f t="shared" si="89"/>
        <v>-8.201261503563595E-3</v>
      </c>
      <c r="CC46" s="280">
        <f t="shared" si="89"/>
        <v>3.3747662423348146E-2</v>
      </c>
      <c r="CD46" s="280">
        <f t="shared" si="89"/>
        <v>8.9452043849071794E-2</v>
      </c>
    </row>
    <row r="47" spans="1:87">
      <c r="A47" s="51"/>
      <c r="B47" s="51"/>
      <c r="C47" s="51"/>
      <c r="D47" s="51"/>
      <c r="E47" s="51"/>
      <c r="F47" s="51"/>
      <c r="G47" s="51"/>
      <c r="H47" s="51"/>
      <c r="I47" s="51"/>
      <c r="J47" s="51"/>
      <c r="K47" s="51"/>
      <c r="L47" s="51"/>
      <c r="M47" s="51"/>
      <c r="N47" s="51"/>
      <c r="O47" s="51"/>
      <c r="P47" s="51"/>
      <c r="Q47" s="51"/>
      <c r="R47" s="51"/>
      <c r="S47" s="51"/>
      <c r="T47" s="51"/>
      <c r="U47" s="280"/>
      <c r="V47" s="45"/>
      <c r="W47" s="45"/>
      <c r="X47" s="45"/>
      <c r="Y47" s="280"/>
      <c r="AM47" s="280"/>
      <c r="AN47" s="280"/>
      <c r="AO47" s="280"/>
      <c r="AP47" s="280"/>
      <c r="AQ47" s="280"/>
      <c r="AR47" s="280"/>
      <c r="AS47" s="280"/>
      <c r="AT47" s="280"/>
      <c r="AU47" s="280"/>
      <c r="AV47" s="280"/>
      <c r="AW47" s="280"/>
      <c r="AX47" s="280"/>
      <c r="AY47" s="280"/>
      <c r="AZ47" s="280"/>
      <c r="BA47" s="280"/>
      <c r="BB47" s="280"/>
      <c r="BC47" s="280"/>
      <c r="BD47" s="280"/>
      <c r="BE47" s="280"/>
      <c r="BF47" s="280"/>
      <c r="BG47" s="280"/>
      <c r="BH47" s="280"/>
      <c r="BI47" s="280"/>
      <c r="BJ47" s="280"/>
      <c r="BK47" s="280"/>
      <c r="BL47" s="280"/>
      <c r="BM47" s="280"/>
      <c r="BN47" s="280"/>
      <c r="BO47" s="280"/>
      <c r="BP47" s="280"/>
      <c r="BQ47" s="280"/>
      <c r="BR47" s="280"/>
      <c r="BS47" s="280"/>
      <c r="BT47" s="280"/>
      <c r="BU47" s="280"/>
      <c r="BV47" s="280"/>
      <c r="BW47" s="280"/>
      <c r="BX47" s="280"/>
      <c r="BY47" s="280"/>
      <c r="BZ47" s="280"/>
      <c r="CA47" s="280"/>
      <c r="CB47" s="280"/>
      <c r="CC47" s="280"/>
      <c r="CD47" s="280"/>
    </row>
    <row r="48" spans="1:87">
      <c r="A48" s="51"/>
      <c r="B48" s="149" t="s">
        <v>475</v>
      </c>
      <c r="C48" s="51"/>
      <c r="D48" s="51"/>
      <c r="E48" s="51"/>
      <c r="F48" s="51"/>
      <c r="G48" s="51"/>
      <c r="H48" s="51"/>
      <c r="I48" s="51"/>
      <c r="J48" s="51"/>
      <c r="K48" s="51"/>
      <c r="L48" s="51"/>
      <c r="M48" s="51"/>
      <c r="N48" s="51"/>
      <c r="O48" s="51"/>
      <c r="P48" s="51"/>
      <c r="Q48" s="51"/>
      <c r="R48" s="51"/>
      <c r="S48" s="51"/>
      <c r="T48" s="51"/>
      <c r="U48" s="51"/>
      <c r="V48" s="51"/>
      <c r="W48" s="51"/>
      <c r="X48" s="51"/>
      <c r="Y48" s="51"/>
      <c r="Z48" s="51"/>
      <c r="AA48" s="51"/>
      <c r="AB48" s="51"/>
      <c r="AC48" s="51"/>
      <c r="AD48" s="51"/>
      <c r="AE48" s="51"/>
      <c r="AF48" s="51"/>
      <c r="AG48" s="51"/>
      <c r="AH48" s="51"/>
      <c r="AI48" s="51"/>
      <c r="AJ48" s="51"/>
      <c r="AK48" s="51"/>
      <c r="AL48" s="51"/>
      <c r="AM48" s="51"/>
      <c r="AN48" s="51"/>
      <c r="AO48" s="51"/>
      <c r="AP48" s="51"/>
      <c r="AQ48" s="51"/>
      <c r="AR48" s="51"/>
      <c r="AS48" s="51"/>
      <c r="AT48" s="51"/>
      <c r="AU48" s="51"/>
      <c r="AV48" s="51"/>
      <c r="AW48" s="51"/>
      <c r="AX48" s="51"/>
      <c r="AY48" s="51"/>
      <c r="AZ48" s="51"/>
      <c r="BA48" s="51"/>
      <c r="BB48" s="51"/>
      <c r="BC48" s="51"/>
      <c r="BD48" s="51"/>
      <c r="BE48" s="51"/>
      <c r="BF48" s="51"/>
      <c r="BG48" s="51"/>
      <c r="BH48" s="51"/>
      <c r="BI48" s="51"/>
      <c r="BJ48" s="51"/>
      <c r="BK48" s="51"/>
      <c r="BL48" s="51"/>
      <c r="BM48" s="51"/>
      <c r="BN48" s="51"/>
      <c r="BO48" s="51"/>
      <c r="BP48" s="51"/>
      <c r="BQ48" s="51"/>
      <c r="BR48" s="51"/>
      <c r="BS48" s="51"/>
      <c r="BT48" s="51"/>
      <c r="BU48" s="51"/>
    </row>
    <row r="49" spans="1:86">
      <c r="A49" s="51"/>
      <c r="B49" s="51" t="s">
        <v>322</v>
      </c>
      <c r="C49" s="51"/>
      <c r="D49" s="51"/>
      <c r="E49" s="51"/>
      <c r="F49" s="51"/>
      <c r="G49" s="51"/>
      <c r="H49" s="51"/>
      <c r="I49" s="51"/>
      <c r="J49" s="51"/>
      <c r="K49" s="51"/>
      <c r="L49" s="51"/>
      <c r="M49" s="51"/>
      <c r="N49" s="51"/>
      <c r="O49" s="51"/>
      <c r="P49" s="51"/>
      <c r="Q49" s="51"/>
      <c r="R49" s="51"/>
      <c r="S49" s="51"/>
      <c r="T49" s="465">
        <f t="shared" ref="T49:Y49" si="90">+T141</f>
        <v>4444.5877500000006</v>
      </c>
      <c r="U49" s="465">
        <f t="shared" si="90"/>
        <v>4427.5012499999993</v>
      </c>
      <c r="V49" s="465">
        <f t="shared" si="90"/>
        <v>4584.5512500000004</v>
      </c>
      <c r="W49" s="465">
        <f t="shared" si="90"/>
        <v>4711.5</v>
      </c>
      <c r="X49" s="465">
        <f t="shared" si="90"/>
        <v>4763.8500000000004</v>
      </c>
      <c r="Y49" s="465">
        <f t="shared" si="90"/>
        <v>4816.2</v>
      </c>
      <c r="Z49" s="465"/>
      <c r="AA49" s="465"/>
      <c r="AB49" s="465"/>
      <c r="AC49" s="465"/>
      <c r="AD49" s="465"/>
      <c r="AE49" s="465"/>
      <c r="AF49" s="465"/>
      <c r="AG49" s="465"/>
      <c r="AH49" s="465"/>
      <c r="AI49" s="465"/>
      <c r="AJ49" s="465"/>
      <c r="AK49" s="465"/>
      <c r="AL49" s="465"/>
      <c r="AM49" s="465"/>
      <c r="AN49" s="465"/>
      <c r="AO49" s="465"/>
      <c r="AP49" s="465"/>
      <c r="AQ49" s="465"/>
      <c r="AR49" s="465"/>
      <c r="AS49" s="465"/>
      <c r="AT49" s="465"/>
      <c r="AU49" s="465"/>
      <c r="AV49" s="465"/>
      <c r="AW49" s="465"/>
      <c r="AX49" s="465"/>
      <c r="AY49" s="465"/>
      <c r="AZ49" s="465"/>
      <c r="BA49" s="465"/>
      <c r="BB49" s="465"/>
      <c r="BC49" s="465"/>
      <c r="BD49" s="465"/>
      <c r="BE49" s="465"/>
      <c r="BF49" s="465"/>
      <c r="BG49" s="465"/>
      <c r="BH49" s="465"/>
      <c r="BI49" s="465"/>
      <c r="BJ49" s="465"/>
      <c r="BK49" s="465"/>
      <c r="BL49" s="465"/>
      <c r="BM49" s="465"/>
      <c r="BN49" s="465"/>
      <c r="BO49" s="465"/>
      <c r="BP49" s="465"/>
      <c r="BQ49" s="465"/>
      <c r="BR49" s="465"/>
      <c r="BS49" s="465">
        <f t="shared" ref="BS49:BZ49" si="91">+BS141</f>
        <v>1170.04375</v>
      </c>
      <c r="BT49" s="465">
        <f t="shared" si="91"/>
        <v>1090.2027499999999</v>
      </c>
      <c r="BU49" s="465">
        <f t="shared" si="91"/>
        <v>1107.2576666666666</v>
      </c>
      <c r="BV49" s="465">
        <f t="shared" si="91"/>
        <v>1077.0835833333335</v>
      </c>
      <c r="BW49" s="465">
        <f t="shared" si="91"/>
        <v>1113.7462499999999</v>
      </c>
      <c r="BX49" s="465">
        <f t="shared" si="91"/>
        <v>1121.5987499999999</v>
      </c>
      <c r="BY49" s="465">
        <f t="shared" si="91"/>
        <v>1105.89375</v>
      </c>
      <c r="BZ49" s="465">
        <f t="shared" si="91"/>
        <v>1086.2625</v>
      </c>
      <c r="CA49" s="465">
        <f>+CA141</f>
        <v>1086.2625</v>
      </c>
      <c r="CB49" s="465">
        <f>+CB141</f>
        <v>1159.5525</v>
      </c>
      <c r="CC49" s="465">
        <f>+CC141</f>
        <v>1172.6400000000001</v>
      </c>
      <c r="CD49" s="465">
        <f>+CD141</f>
        <v>1166.0962500000001</v>
      </c>
      <c r="CF49" s="501"/>
      <c r="CG49" s="502"/>
      <c r="CH49" s="500"/>
    </row>
    <row r="50" spans="1:86">
      <c r="A50" s="51"/>
      <c r="B50" s="51" t="s">
        <v>323</v>
      </c>
      <c r="C50" s="51"/>
      <c r="D50" s="51"/>
      <c r="E50" s="51"/>
      <c r="F50" s="51"/>
      <c r="G50" s="51"/>
      <c r="H50" s="51"/>
      <c r="I50" s="51"/>
      <c r="J50" s="51"/>
      <c r="K50" s="51"/>
      <c r="L50" s="51"/>
      <c r="M50" s="51"/>
      <c r="N50" s="51"/>
      <c r="O50" s="51"/>
      <c r="P50" s="51"/>
      <c r="Q50" s="51"/>
      <c r="R50" s="51"/>
      <c r="S50" s="51"/>
      <c r="T50" s="465">
        <f t="shared" ref="T50:Y50" si="92">T219</f>
        <v>4889.0465250000007</v>
      </c>
      <c r="U50" s="465">
        <f t="shared" si="92"/>
        <v>4870.2513749999998</v>
      </c>
      <c r="V50" s="465">
        <f t="shared" si="92"/>
        <v>5043.0063750000008</v>
      </c>
      <c r="W50" s="465">
        <f t="shared" si="92"/>
        <v>5182.6500000000005</v>
      </c>
      <c r="X50" s="465">
        <f t="shared" si="92"/>
        <v>5240.2350000000006</v>
      </c>
      <c r="Y50" s="465">
        <f t="shared" si="92"/>
        <v>5297.8200000000006</v>
      </c>
      <c r="Z50" s="465"/>
      <c r="AA50" s="465"/>
      <c r="AB50" s="465"/>
      <c r="AC50" s="465"/>
      <c r="AD50" s="465"/>
      <c r="AE50" s="465"/>
      <c r="AF50" s="465"/>
      <c r="AG50" s="465"/>
      <c r="AH50" s="465"/>
      <c r="AI50" s="465"/>
      <c r="AJ50" s="465"/>
      <c r="AK50" s="465"/>
      <c r="AL50" s="465"/>
      <c r="AM50" s="465"/>
      <c r="AN50" s="465"/>
      <c r="AO50" s="465"/>
      <c r="AP50" s="465"/>
      <c r="AQ50" s="465"/>
      <c r="AR50" s="465"/>
      <c r="AS50" s="465"/>
      <c r="AT50" s="465"/>
      <c r="AU50" s="465"/>
      <c r="AV50" s="465"/>
      <c r="AW50" s="465"/>
      <c r="AX50" s="465"/>
      <c r="AY50" s="465"/>
      <c r="AZ50" s="465"/>
      <c r="BA50" s="465"/>
      <c r="BB50" s="465"/>
      <c r="BC50" s="465"/>
      <c r="BD50" s="465"/>
      <c r="BE50" s="465"/>
      <c r="BF50" s="465"/>
      <c r="BG50" s="465"/>
      <c r="BH50" s="465"/>
      <c r="BI50" s="465"/>
      <c r="BJ50" s="465"/>
      <c r="BK50" s="465"/>
      <c r="BL50" s="465"/>
      <c r="BM50" s="465"/>
      <c r="BN50" s="465"/>
      <c r="BO50" s="465"/>
      <c r="BP50" s="465"/>
      <c r="BQ50" s="465"/>
      <c r="BR50" s="465"/>
      <c r="BS50" s="465">
        <f t="shared" ref="BS50:BZ50" si="93">BS219</f>
        <v>1287.0481250000003</v>
      </c>
      <c r="BT50" s="465">
        <f t="shared" si="93"/>
        <v>1199.223025</v>
      </c>
      <c r="BU50" s="465">
        <f t="shared" si="93"/>
        <v>1217.9834333333333</v>
      </c>
      <c r="BV50" s="465">
        <f t="shared" si="93"/>
        <v>1184.7919416666671</v>
      </c>
      <c r="BW50" s="465">
        <f t="shared" si="93"/>
        <v>1225.1208750000001</v>
      </c>
      <c r="BX50" s="465">
        <f>BX219</f>
        <v>1233.7586249999999</v>
      </c>
      <c r="BY50" s="465">
        <f t="shared" si="93"/>
        <v>1216.483125</v>
      </c>
      <c r="BZ50" s="465">
        <f t="shared" si="93"/>
        <v>1194.8887500000001</v>
      </c>
      <c r="CA50" s="465">
        <f>CA219</f>
        <v>1194.8887500000001</v>
      </c>
      <c r="CB50" s="465">
        <f>CB219</f>
        <v>1275.5077500000002</v>
      </c>
      <c r="CC50" s="465">
        <f>CC219</f>
        <v>1289.9040000000002</v>
      </c>
      <c r="CD50" s="465">
        <f>CD219</f>
        <v>1282.7058750000001</v>
      </c>
      <c r="CF50" s="501"/>
      <c r="CG50" s="502"/>
      <c r="CH50" s="500"/>
    </row>
    <row r="51" spans="1:86">
      <c r="A51" s="51"/>
      <c r="B51" s="51" t="s">
        <v>321</v>
      </c>
      <c r="C51" s="51"/>
      <c r="D51" s="51"/>
      <c r="E51" s="51"/>
      <c r="F51" s="51"/>
      <c r="G51" s="51"/>
      <c r="H51" s="51"/>
      <c r="I51" s="51"/>
      <c r="J51" s="51"/>
      <c r="K51" s="51"/>
      <c r="L51" s="51"/>
      <c r="M51" s="51"/>
      <c r="N51" s="51"/>
      <c r="O51" s="51"/>
      <c r="P51" s="51"/>
      <c r="Q51" s="51"/>
      <c r="R51" s="51"/>
      <c r="S51" s="51"/>
      <c r="T51" s="465">
        <f>T296</f>
        <v>2026.692</v>
      </c>
      <c r="U51" s="465">
        <f t="shared" ref="U51:Y51" si="94">U296</f>
        <v>2039.4135000000001</v>
      </c>
      <c r="V51" s="465">
        <f t="shared" si="94"/>
        <v>2039.4135000000001</v>
      </c>
      <c r="W51" s="465">
        <f t="shared" si="94"/>
        <v>2065.6565000000001</v>
      </c>
      <c r="X51" s="465">
        <f t="shared" si="94"/>
        <v>2078.3779999999997</v>
      </c>
      <c r="Y51" s="465">
        <f t="shared" si="94"/>
        <v>2091.0995000000003</v>
      </c>
      <c r="Z51" s="465"/>
      <c r="AA51" s="465"/>
      <c r="AB51" s="465"/>
      <c r="AC51" s="465"/>
      <c r="AD51" s="465"/>
      <c r="AE51" s="465"/>
      <c r="AF51" s="465"/>
      <c r="AG51" s="465"/>
      <c r="AH51" s="465"/>
      <c r="AI51" s="465"/>
      <c r="AJ51" s="465"/>
      <c r="AK51" s="465"/>
      <c r="AL51" s="465"/>
      <c r="AM51" s="465"/>
      <c r="AN51" s="465"/>
      <c r="AO51" s="465"/>
      <c r="AP51" s="465"/>
      <c r="AQ51" s="465"/>
      <c r="AR51" s="465"/>
      <c r="AS51" s="465"/>
      <c r="AT51" s="465"/>
      <c r="AU51" s="465"/>
      <c r="AV51" s="465"/>
      <c r="AW51" s="465"/>
      <c r="AX51" s="465"/>
      <c r="AY51" s="465"/>
      <c r="AZ51" s="465"/>
      <c r="BA51" s="465"/>
      <c r="BB51" s="465"/>
      <c r="BC51" s="465"/>
      <c r="BD51" s="465"/>
      <c r="BE51" s="465"/>
      <c r="BF51" s="465"/>
      <c r="BG51" s="465"/>
      <c r="BH51" s="465"/>
      <c r="BI51" s="465"/>
      <c r="BJ51" s="465"/>
      <c r="BK51" s="465"/>
      <c r="BL51" s="465"/>
      <c r="BM51" s="465"/>
      <c r="BN51" s="465"/>
      <c r="BO51" s="465"/>
      <c r="BP51" s="465"/>
      <c r="BQ51" s="465"/>
      <c r="BR51" s="465"/>
      <c r="BS51" s="465">
        <f t="shared" ref="BS51:CD51" si="95">BS296</f>
        <v>506.673</v>
      </c>
      <c r="BT51" s="465">
        <f t="shared" si="95"/>
        <v>506.673</v>
      </c>
      <c r="BU51" s="465">
        <f t="shared" si="95"/>
        <v>506.673</v>
      </c>
      <c r="BV51" s="465">
        <f t="shared" si="95"/>
        <v>506.673</v>
      </c>
      <c r="BW51" s="465">
        <f t="shared" si="95"/>
        <v>509.85337500000003</v>
      </c>
      <c r="BX51" s="465">
        <f t="shared" si="95"/>
        <v>509.85337500000003</v>
      </c>
      <c r="BY51" s="465">
        <f t="shared" si="95"/>
        <v>509.85337500000003</v>
      </c>
      <c r="BZ51" s="465">
        <f t="shared" si="95"/>
        <v>509.85337500000003</v>
      </c>
      <c r="CA51" s="465">
        <f t="shared" si="95"/>
        <v>509.85337500000003</v>
      </c>
      <c r="CB51" s="465">
        <f t="shared" si="95"/>
        <v>509.85337500000003</v>
      </c>
      <c r="CC51" s="465">
        <f t="shared" si="95"/>
        <v>509.85337500000003</v>
      </c>
      <c r="CD51" s="465">
        <f t="shared" si="95"/>
        <v>509.85337500000003</v>
      </c>
      <c r="CF51" s="501"/>
      <c r="CG51" s="502"/>
      <c r="CH51" s="500"/>
    </row>
    <row r="52" spans="1:86">
      <c r="A52" s="51"/>
      <c r="B52" s="51" t="s">
        <v>372</v>
      </c>
      <c r="C52" s="51"/>
      <c r="D52" s="51"/>
      <c r="E52" s="51"/>
      <c r="F52" s="51"/>
      <c r="G52" s="51"/>
      <c r="H52" s="51"/>
      <c r="I52" s="51"/>
      <c r="J52" s="51"/>
      <c r="K52" s="51"/>
      <c r="L52" s="51"/>
      <c r="M52" s="51"/>
      <c r="N52" s="51"/>
      <c r="O52" s="51"/>
      <c r="P52" s="51"/>
      <c r="Q52" s="51"/>
      <c r="R52" s="51"/>
      <c r="S52" s="51"/>
      <c r="T52" s="465">
        <f t="shared" ref="T52:Y52" si="96">T343</f>
        <v>678.48</v>
      </c>
      <c r="U52" s="465">
        <f t="shared" si="96"/>
        <v>686.19</v>
      </c>
      <c r="V52" s="465">
        <f t="shared" si="96"/>
        <v>686.19</v>
      </c>
      <c r="W52" s="465">
        <f t="shared" si="96"/>
        <v>701.61</v>
      </c>
      <c r="X52" s="465">
        <f t="shared" si="96"/>
        <v>709.32</v>
      </c>
      <c r="Y52" s="465">
        <f t="shared" si="96"/>
        <v>717.03000000000009</v>
      </c>
      <c r="Z52" s="465"/>
      <c r="AA52" s="465"/>
      <c r="AB52" s="465"/>
      <c r="AC52" s="465"/>
      <c r="AD52" s="465"/>
      <c r="AE52" s="465"/>
      <c r="AF52" s="465"/>
      <c r="AG52" s="465"/>
      <c r="AH52" s="465"/>
      <c r="AI52" s="465"/>
      <c r="AJ52" s="465"/>
      <c r="AK52" s="465"/>
      <c r="AL52" s="465"/>
      <c r="AM52" s="465"/>
      <c r="AN52" s="465"/>
      <c r="AO52" s="465"/>
      <c r="AP52" s="465"/>
      <c r="AQ52" s="465"/>
      <c r="AR52" s="465"/>
      <c r="AS52" s="465"/>
      <c r="AT52" s="465"/>
      <c r="AU52" s="465"/>
      <c r="AV52" s="465"/>
      <c r="AW52" s="465"/>
      <c r="AX52" s="465"/>
      <c r="AY52" s="465"/>
      <c r="AZ52" s="465"/>
      <c r="BA52" s="465"/>
      <c r="BB52" s="465"/>
      <c r="BC52" s="465"/>
      <c r="BD52" s="465"/>
      <c r="BE52" s="465"/>
      <c r="BF52" s="465"/>
      <c r="BG52" s="465"/>
      <c r="BH52" s="465"/>
      <c r="BI52" s="465"/>
      <c r="BJ52" s="465"/>
      <c r="BK52" s="465"/>
      <c r="BL52" s="465"/>
      <c r="BM52" s="465"/>
      <c r="BN52" s="465"/>
      <c r="BO52" s="465"/>
      <c r="BP52" s="465"/>
      <c r="BQ52" s="465"/>
      <c r="BR52" s="465"/>
      <c r="BS52" s="465">
        <f>BS343</f>
        <v>169.62</v>
      </c>
      <c r="BT52" s="465">
        <f t="shared" ref="BT52:BZ52" si="97">BT343</f>
        <v>169.62</v>
      </c>
      <c r="BU52" s="465">
        <f t="shared" si="97"/>
        <v>169.62</v>
      </c>
      <c r="BV52" s="465">
        <f t="shared" si="97"/>
        <v>169.62</v>
      </c>
      <c r="BW52" s="465">
        <f t="shared" si="97"/>
        <v>171.54750000000001</v>
      </c>
      <c r="BX52" s="465">
        <f>BX343</f>
        <v>171.54750000000001</v>
      </c>
      <c r="BY52" s="465">
        <f t="shared" si="97"/>
        <v>171.54750000000001</v>
      </c>
      <c r="BZ52" s="465">
        <f t="shared" si="97"/>
        <v>171.54750000000001</v>
      </c>
      <c r="CA52" s="465">
        <f>CA343</f>
        <v>171.54750000000001</v>
      </c>
      <c r="CB52" s="465">
        <f>CB343</f>
        <v>171.54750000000001</v>
      </c>
      <c r="CC52" s="465">
        <f>CC343</f>
        <v>171.54750000000001</v>
      </c>
      <c r="CD52" s="465">
        <f>CD343</f>
        <v>171.54750000000001</v>
      </c>
      <c r="CF52" s="501"/>
      <c r="CG52" s="502"/>
      <c r="CH52" s="500"/>
    </row>
    <row r="53" spans="1:86">
      <c r="A53" s="51"/>
      <c r="B53" s="52" t="s">
        <v>380</v>
      </c>
      <c r="C53" s="51"/>
      <c r="D53" s="51"/>
      <c r="E53" s="51"/>
      <c r="F53" s="51"/>
      <c r="G53" s="51"/>
      <c r="H53" s="51"/>
      <c r="I53" s="51"/>
      <c r="J53" s="51"/>
      <c r="K53" s="51"/>
      <c r="L53" s="51"/>
      <c r="M53" s="51"/>
      <c r="N53" s="51"/>
      <c r="O53" s="51"/>
      <c r="P53" s="51"/>
      <c r="Q53" s="51"/>
      <c r="R53" s="51"/>
      <c r="S53" s="51"/>
      <c r="T53" s="466">
        <f>SUM(T49:T52)</f>
        <v>12038.806274999999</v>
      </c>
      <c r="U53" s="466">
        <f t="shared" ref="U53:Y53" si="98">SUM(U49:U52)</f>
        <v>12023.356125</v>
      </c>
      <c r="V53" s="466">
        <f t="shared" si="98"/>
        <v>12353.161125000002</v>
      </c>
      <c r="W53" s="466">
        <f t="shared" si="98"/>
        <v>12661.416500000003</v>
      </c>
      <c r="X53" s="466">
        <f t="shared" si="98"/>
        <v>12791.782999999999</v>
      </c>
      <c r="Y53" s="466">
        <f t="shared" si="98"/>
        <v>12922.149500000001</v>
      </c>
      <c r="Z53" s="465"/>
      <c r="AA53" s="465"/>
      <c r="AB53" s="465"/>
      <c r="AC53" s="465"/>
      <c r="AD53" s="465"/>
      <c r="AE53" s="465"/>
      <c r="AF53" s="465"/>
      <c r="AG53" s="465"/>
      <c r="AH53" s="465"/>
      <c r="AI53" s="465"/>
      <c r="AJ53" s="465"/>
      <c r="AK53" s="465"/>
      <c r="AL53" s="465"/>
      <c r="AM53" s="465"/>
      <c r="AN53" s="465"/>
      <c r="AO53" s="465"/>
      <c r="AP53" s="465"/>
      <c r="AQ53" s="465"/>
      <c r="AR53" s="465"/>
      <c r="AS53" s="465"/>
      <c r="AT53" s="465"/>
      <c r="AU53" s="465"/>
      <c r="AV53" s="465"/>
      <c r="AW53" s="465"/>
      <c r="AX53" s="465"/>
      <c r="AY53" s="465"/>
      <c r="AZ53" s="465"/>
      <c r="BA53" s="465"/>
      <c r="BB53" s="465"/>
      <c r="BC53" s="465"/>
      <c r="BD53" s="465"/>
      <c r="BE53" s="465"/>
      <c r="BF53" s="465"/>
      <c r="BG53" s="465"/>
      <c r="BH53" s="465"/>
      <c r="BI53" s="465"/>
      <c r="BJ53" s="465"/>
      <c r="BK53" s="465"/>
      <c r="BL53" s="465"/>
      <c r="BM53" s="465"/>
      <c r="BN53" s="465"/>
      <c r="BO53" s="465"/>
      <c r="BP53" s="465"/>
      <c r="BQ53" s="465"/>
      <c r="BR53" s="465"/>
      <c r="BS53" s="466">
        <f t="shared" ref="BS53" si="99">SUM(BS49:BS52)</f>
        <v>3133.3848749999997</v>
      </c>
      <c r="BT53" s="466">
        <f t="shared" ref="BT53" si="100">SUM(BT49:BT52)</f>
        <v>2965.7187749999994</v>
      </c>
      <c r="BU53" s="466">
        <f t="shared" ref="BU53" si="101">SUM(BU49:BU52)</f>
        <v>3001.5340999999999</v>
      </c>
      <c r="BV53" s="466">
        <f t="shared" ref="BV53" si="102">SUM(BV49:BV52)</f>
        <v>2938.168525</v>
      </c>
      <c r="BW53" s="466">
        <f t="shared" ref="BW53" si="103">SUM(BW49:BW52)</f>
        <v>3020.268</v>
      </c>
      <c r="BX53" s="466">
        <f t="shared" ref="BX53" si="104">SUM(BX49:BX52)</f>
        <v>3036.7582499999999</v>
      </c>
      <c r="BY53" s="466">
        <f t="shared" ref="BY53" si="105">SUM(BY49:BY52)</f>
        <v>3003.7777500000002</v>
      </c>
      <c r="BZ53" s="466">
        <f>SUM(BZ49:BZ52)</f>
        <v>2962.5521250000002</v>
      </c>
      <c r="CA53" s="466">
        <f t="shared" ref="CA53" si="106">SUM(CA49:CA52)</f>
        <v>2962.5521250000002</v>
      </c>
      <c r="CB53" s="466">
        <f t="shared" ref="CB53" si="107">SUM(CB49:CB52)</f>
        <v>3116.4611250000007</v>
      </c>
      <c r="CC53" s="466">
        <f t="shared" ref="CC53" si="108">SUM(CC49:CC52)</f>
        <v>3143.9448750000006</v>
      </c>
      <c r="CD53" s="466">
        <f t="shared" ref="CD53" si="109">SUM(CD49:CD52)</f>
        <v>3130.2030000000004</v>
      </c>
      <c r="CF53" s="501"/>
      <c r="CG53" s="502"/>
      <c r="CH53" s="500"/>
    </row>
    <row r="54" spans="1:86">
      <c r="A54" s="51"/>
      <c r="B54" s="51"/>
      <c r="C54" s="51"/>
      <c r="D54" s="51"/>
      <c r="E54" s="51"/>
      <c r="F54" s="51"/>
      <c r="G54" s="51"/>
      <c r="H54" s="51"/>
      <c r="I54" s="51"/>
      <c r="J54" s="51"/>
      <c r="K54" s="51"/>
      <c r="L54" s="51"/>
      <c r="M54" s="51"/>
      <c r="N54" s="51"/>
      <c r="O54" s="51"/>
      <c r="P54" s="51"/>
      <c r="Q54" s="51"/>
      <c r="R54" s="51"/>
      <c r="S54" s="51"/>
      <c r="T54" s="51"/>
      <c r="U54" s="280">
        <f>+U53/T53-1</f>
        <v>-1.2833622908346998E-3</v>
      </c>
      <c r="V54" s="280">
        <f>+V53/U53-1</f>
        <v>2.7430361088136124E-2</v>
      </c>
      <c r="W54" s="280">
        <f>+W53/V53-1</f>
        <v>2.4953562240531468E-2</v>
      </c>
      <c r="X54" s="280">
        <f>+X53/W53-1</f>
        <v>1.0296359810926026E-2</v>
      </c>
      <c r="Y54" s="280">
        <f>+Y53/X53-1</f>
        <v>1.0191425229774564E-2</v>
      </c>
      <c r="AM54" s="280"/>
      <c r="AN54" s="280"/>
      <c r="AO54" s="280"/>
      <c r="AP54" s="280"/>
      <c r="AQ54" s="280"/>
      <c r="AR54" s="280"/>
      <c r="AS54" s="280"/>
      <c r="AT54" s="280"/>
      <c r="AU54" s="280"/>
      <c r="AV54" s="280"/>
      <c r="AW54" s="280"/>
      <c r="AX54" s="280"/>
      <c r="AY54" s="280"/>
      <c r="AZ54" s="280"/>
      <c r="BA54" s="280"/>
      <c r="BB54" s="280"/>
      <c r="BC54" s="280"/>
      <c r="BD54" s="280"/>
      <c r="BE54" s="280"/>
      <c r="BF54" s="280"/>
      <c r="BG54" s="280"/>
      <c r="BH54" s="280"/>
      <c r="BI54" s="280"/>
      <c r="BJ54" s="280"/>
      <c r="BK54" s="280"/>
      <c r="BL54" s="280"/>
      <c r="BM54" s="280"/>
      <c r="BN54" s="280"/>
      <c r="BO54" s="280"/>
      <c r="BP54" s="280"/>
      <c r="BQ54" s="280"/>
      <c r="BR54" s="280"/>
      <c r="BS54" s="280"/>
      <c r="BT54" s="280"/>
      <c r="BU54" s="280"/>
      <c r="BV54" s="280"/>
      <c r="BW54" s="280">
        <f t="shared" ref="BW54" si="110">+BW53/BS53-1</f>
        <v>-3.6100536484526047E-2</v>
      </c>
      <c r="BX54" s="280">
        <f t="shared" ref="BX54" si="111">+BX53/BT53-1</f>
        <v>2.3953543943154409E-2</v>
      </c>
      <c r="BY54" s="280">
        <f t="shared" ref="BY54" si="112">+BY53/BU53-1</f>
        <v>7.4750108619459077E-4</v>
      </c>
      <c r="BZ54" s="280">
        <f t="shared" ref="BZ54" si="113">+BZ53/BV53-1</f>
        <v>8.2989113090441435E-3</v>
      </c>
      <c r="CA54" s="280">
        <f t="shared" ref="CA54" si="114">+CA53/BW53-1</f>
        <v>-1.9109521075613145E-2</v>
      </c>
      <c r="CB54" s="280">
        <f t="shared" ref="CB54" si="115">+CB53/BX53-1</f>
        <v>2.6246038847511421E-2</v>
      </c>
      <c r="CC54" s="280">
        <f t="shared" ref="CC54" si="116">+CC53/BY53-1</f>
        <v>4.6663613844266649E-2</v>
      </c>
      <c r="CD54" s="280">
        <f t="shared" ref="CD54" si="117">+CD53/BZ53-1</f>
        <v>5.6590016960461176E-2</v>
      </c>
    </row>
    <row r="55" spans="1:86">
      <c r="A55" s="51"/>
      <c r="B55" s="149" t="s">
        <v>476</v>
      </c>
      <c r="C55" s="51"/>
      <c r="D55" s="51"/>
      <c r="E55" s="51"/>
      <c r="F55" s="51"/>
      <c r="G55" s="51"/>
      <c r="H55" s="51"/>
      <c r="I55" s="51"/>
      <c r="J55" s="51"/>
      <c r="K55" s="51"/>
      <c r="L55" s="51"/>
      <c r="M55" s="51"/>
      <c r="N55" s="51"/>
      <c r="O55" s="51"/>
      <c r="P55" s="51"/>
      <c r="Q55" s="51"/>
      <c r="R55" s="51"/>
      <c r="S55" s="51"/>
      <c r="T55" s="51"/>
      <c r="V55" s="34"/>
      <c r="W55" s="51"/>
      <c r="X55" s="51"/>
      <c r="Z55" s="51"/>
      <c r="AA55" s="51"/>
      <c r="AB55" s="51"/>
      <c r="AC55" s="51"/>
      <c r="AD55" s="51"/>
      <c r="AE55" s="51"/>
      <c r="AF55" s="51"/>
      <c r="AG55" s="51"/>
      <c r="AH55" s="51"/>
      <c r="AI55" s="51"/>
      <c r="AJ55" s="51"/>
      <c r="AK55" s="51"/>
      <c r="AL55" s="51"/>
      <c r="AM55" s="51"/>
      <c r="AN55" s="51"/>
      <c r="AO55" s="51"/>
      <c r="AP55" s="51"/>
      <c r="AQ55" s="51"/>
      <c r="AR55" s="51"/>
      <c r="AS55" s="51"/>
      <c r="AT55" s="51"/>
      <c r="AU55" s="51"/>
      <c r="AV55" s="51"/>
      <c r="AW55" s="51"/>
      <c r="AX55" s="51"/>
      <c r="AY55" s="51"/>
      <c r="AZ55" s="51"/>
      <c r="BA55" s="51"/>
      <c r="BB55" s="51"/>
      <c r="BC55" s="51"/>
      <c r="BD55" s="51"/>
      <c r="BE55" s="51"/>
      <c r="BF55" s="51"/>
      <c r="BG55" s="51"/>
      <c r="BH55" s="51"/>
      <c r="BI55" s="51"/>
      <c r="BJ55" s="51"/>
      <c r="BK55" s="51"/>
      <c r="BL55" s="51"/>
      <c r="BM55" s="51"/>
      <c r="BN55" s="51"/>
      <c r="BO55" s="51"/>
      <c r="BP55" s="51"/>
      <c r="BQ55" s="51"/>
      <c r="BR55" s="51"/>
      <c r="BS55" s="51"/>
      <c r="BT55" s="51"/>
      <c r="BU55" s="51"/>
      <c r="BV55" s="51"/>
      <c r="BW55" s="51"/>
      <c r="BX55" s="51"/>
      <c r="BY55" s="127"/>
      <c r="BZ55" s="51"/>
    </row>
    <row r="56" spans="1:86">
      <c r="A56" s="34"/>
      <c r="B56" s="5" t="s">
        <v>388</v>
      </c>
      <c r="C56" s="242"/>
      <c r="D56" s="242"/>
      <c r="E56" s="242"/>
      <c r="F56" s="242"/>
      <c r="G56" s="242"/>
      <c r="H56" s="242"/>
      <c r="I56" s="242"/>
      <c r="J56" s="242"/>
      <c r="K56" s="242"/>
      <c r="L56" s="242"/>
      <c r="M56" s="242"/>
      <c r="N56" s="242"/>
      <c r="O56" s="242"/>
      <c r="P56" s="242"/>
      <c r="Q56" s="242"/>
      <c r="R56" s="242"/>
      <c r="S56" s="242"/>
      <c r="T56" s="34">
        <f>AVERAGE(BS56:BV56)</f>
        <v>223.22952808333332</v>
      </c>
      <c r="U56" s="34">
        <f>AVERAGE(BW56:BZ56)</f>
        <v>238.94465183333332</v>
      </c>
      <c r="V56" s="184">
        <f>AVERAGE(CA56:CD56)</f>
        <v>242.18633075</v>
      </c>
      <c r="W56" s="105">
        <v>239.959689</v>
      </c>
      <c r="X56" s="105">
        <v>257.69569300000001</v>
      </c>
      <c r="Y56" s="105">
        <v>261.234083</v>
      </c>
      <c r="Z56" s="299"/>
      <c r="AA56" s="299"/>
      <c r="AB56" s="299"/>
      <c r="AC56" s="299"/>
      <c r="AD56" s="299"/>
      <c r="AE56" s="299"/>
      <c r="AF56" s="299"/>
      <c r="AG56" s="299"/>
      <c r="AH56" s="299"/>
      <c r="AI56" s="299"/>
      <c r="AJ56" s="299"/>
      <c r="AK56" s="299"/>
      <c r="AL56" s="299"/>
      <c r="AM56" s="299"/>
      <c r="AN56" s="299"/>
      <c r="AO56" s="299"/>
      <c r="AP56" s="299"/>
      <c r="AQ56" s="299"/>
      <c r="AR56" s="299"/>
      <c r="AS56" s="299"/>
      <c r="AT56" s="299"/>
      <c r="AU56" s="299"/>
      <c r="AV56" s="299"/>
      <c r="AW56" s="299"/>
      <c r="AX56" s="299"/>
      <c r="AY56" s="299"/>
      <c r="AZ56" s="299"/>
      <c r="BA56" s="299"/>
      <c r="BB56" s="299"/>
      <c r="BC56" s="299"/>
      <c r="BD56" s="299"/>
      <c r="BE56" s="299"/>
      <c r="BF56" s="299"/>
      <c r="BG56" s="432"/>
      <c r="BH56" s="432"/>
      <c r="BI56" s="432"/>
      <c r="BJ56" s="432"/>
      <c r="BK56" s="432"/>
      <c r="BL56" s="432"/>
      <c r="BM56" s="432"/>
      <c r="BN56" s="432"/>
      <c r="BO56" s="432"/>
      <c r="BP56" s="432"/>
      <c r="BQ56" s="432"/>
      <c r="BR56" s="432"/>
      <c r="BS56" s="432">
        <v>215.53639566666666</v>
      </c>
      <c r="BT56" s="432">
        <v>212.83575799999997</v>
      </c>
      <c r="BU56" s="432">
        <v>227.533086</v>
      </c>
      <c r="BV56" s="432">
        <v>237.01287266666668</v>
      </c>
      <c r="BW56" s="432">
        <v>244.54892800000002</v>
      </c>
      <c r="BX56" s="432">
        <v>241.44778999999997</v>
      </c>
      <c r="BY56" s="432">
        <v>234.49227966666663</v>
      </c>
      <c r="BZ56" s="432">
        <v>235.28960966666668</v>
      </c>
      <c r="CA56" s="432">
        <v>245.89740833333335</v>
      </c>
      <c r="CB56" s="432">
        <v>237.75508400000001</v>
      </c>
      <c r="CC56" s="432">
        <v>239.69513199999997</v>
      </c>
      <c r="CD56" s="432">
        <v>245.39769866666666</v>
      </c>
    </row>
    <row r="57" spans="1:86">
      <c r="A57" s="34"/>
      <c r="B57" s="5" t="s">
        <v>447</v>
      </c>
      <c r="C57" s="242"/>
      <c r="D57" s="242"/>
      <c r="E57" s="242"/>
      <c r="F57" s="242"/>
      <c r="G57" s="262"/>
      <c r="H57" s="242"/>
      <c r="I57" s="242"/>
      <c r="J57" s="242"/>
      <c r="K57" s="242"/>
      <c r="L57" s="242"/>
      <c r="M57" s="242"/>
      <c r="N57" s="242"/>
      <c r="O57" s="242"/>
      <c r="P57" s="242"/>
      <c r="Q57" s="242"/>
      <c r="R57" s="242"/>
      <c r="S57" s="242"/>
      <c r="T57" s="48">
        <f>1-T58/T56</f>
        <v>5.069098885404566E-2</v>
      </c>
      <c r="U57" s="48">
        <f>1-U58/U56</f>
        <v>4.9860747777643044E-2</v>
      </c>
      <c r="V57" s="48">
        <f>1-V58/V56</f>
        <v>5.0242629516656145E-2</v>
      </c>
      <c r="W57" s="273">
        <f t="shared" ref="W57:Y57" si="118">+V57</f>
        <v>5.0242629516656145E-2</v>
      </c>
      <c r="X57" s="273">
        <f t="shared" si="118"/>
        <v>5.0242629516656145E-2</v>
      </c>
      <c r="Y57" s="273">
        <f t="shared" si="118"/>
        <v>5.0242629516656145E-2</v>
      </c>
      <c r="Z57" s="242"/>
      <c r="AA57" s="242"/>
      <c r="AB57" s="242"/>
      <c r="AC57" s="242"/>
      <c r="AD57" s="242"/>
      <c r="AE57" s="242"/>
      <c r="AF57" s="242"/>
      <c r="AG57" s="242"/>
      <c r="AH57" s="242"/>
      <c r="AI57" s="242"/>
      <c r="AJ57" s="242"/>
      <c r="AK57" s="242"/>
      <c r="AL57" s="242"/>
      <c r="AM57" s="242"/>
      <c r="AN57" s="242"/>
      <c r="AO57" s="242"/>
      <c r="AP57" s="242"/>
      <c r="AQ57" s="242"/>
      <c r="AR57" s="242"/>
      <c r="AS57" s="242"/>
      <c r="AT57" s="242"/>
      <c r="AU57" s="242"/>
      <c r="AV57" s="242"/>
      <c r="AW57" s="242"/>
      <c r="AX57" s="242"/>
      <c r="AY57" s="242"/>
      <c r="AZ57" s="242"/>
      <c r="BA57" s="242"/>
      <c r="BB57" s="242"/>
      <c r="BC57" s="242"/>
      <c r="BD57" s="242"/>
      <c r="BE57" s="242"/>
      <c r="BF57" s="242"/>
      <c r="BG57" s="76"/>
      <c r="BH57" s="76"/>
      <c r="BI57" s="76"/>
      <c r="BJ57" s="76"/>
      <c r="BK57" s="76"/>
      <c r="BL57" s="76"/>
      <c r="BM57" s="76"/>
      <c r="BN57" s="76"/>
      <c r="BO57" s="76"/>
      <c r="BP57" s="76"/>
      <c r="BQ57" s="76"/>
      <c r="BR57" s="76"/>
      <c r="BS57" s="273">
        <v>0.05</v>
      </c>
      <c r="BT57" s="273">
        <v>0.05</v>
      </c>
      <c r="BU57" s="273">
        <v>0.05</v>
      </c>
      <c r="BV57" s="273">
        <v>0.05</v>
      </c>
      <c r="BW57" s="273">
        <v>0.05</v>
      </c>
      <c r="BX57" s="273">
        <v>0.05</v>
      </c>
      <c r="BY57" s="273">
        <v>0.05</v>
      </c>
      <c r="BZ57" s="273">
        <v>0.05</v>
      </c>
      <c r="CA57" s="273">
        <v>0.05</v>
      </c>
      <c r="CB57" s="273">
        <v>0.05</v>
      </c>
      <c r="CC57" s="273">
        <v>0.05</v>
      </c>
      <c r="CD57" s="273">
        <v>0.05</v>
      </c>
    </row>
    <row r="58" spans="1:86">
      <c r="A58" s="150"/>
      <c r="B58" s="18" t="s">
        <v>389</v>
      </c>
      <c r="C58" s="149"/>
      <c r="D58" s="149"/>
      <c r="E58" s="149"/>
      <c r="F58" s="149"/>
      <c r="G58" s="149"/>
      <c r="H58" s="149"/>
      <c r="I58" s="149"/>
      <c r="J58" s="149"/>
      <c r="K58" s="149"/>
      <c r="L58" s="149"/>
      <c r="M58" s="149"/>
      <c r="N58" s="149"/>
      <c r="O58" s="149"/>
      <c r="P58" s="149"/>
      <c r="Q58" s="149"/>
      <c r="R58" s="149"/>
      <c r="S58" s="149"/>
      <c r="T58" s="39">
        <f>T60-T59</f>
        <v>211.9138025633672</v>
      </c>
      <c r="U58" s="39">
        <f>U60-U59</f>
        <v>227.03069281545476</v>
      </c>
      <c r="V58" s="39">
        <f>V60-V59</f>
        <v>230.01825266012941</v>
      </c>
      <c r="W58" s="282">
        <f>+W56*(1-W57)</f>
        <v>227.90348324664097</v>
      </c>
      <c r="X58" s="282">
        <f>+X56*(1-X57)</f>
        <v>244.74838376856306</v>
      </c>
      <c r="Y58" s="282">
        <f>+Y56*(1-Y57)</f>
        <v>248.10899575070761</v>
      </c>
      <c r="Z58" s="149"/>
      <c r="AA58" s="149"/>
      <c r="AB58" s="149"/>
      <c r="AC58" s="149"/>
      <c r="AD58" s="149"/>
      <c r="AE58" s="149"/>
      <c r="AF58" s="149"/>
      <c r="AG58" s="149"/>
      <c r="AH58" s="149"/>
      <c r="AI58" s="149"/>
      <c r="AJ58" s="149"/>
      <c r="AK58" s="149"/>
      <c r="AL58" s="149"/>
      <c r="AM58" s="149"/>
      <c r="AN58" s="149"/>
      <c r="AO58" s="149"/>
      <c r="AP58" s="149"/>
      <c r="AQ58" s="149"/>
      <c r="AR58" s="149"/>
      <c r="AS58" s="149"/>
      <c r="AT58" s="149"/>
      <c r="AU58" s="149"/>
      <c r="AV58" s="149"/>
      <c r="AW58" s="149"/>
      <c r="AX58" s="149"/>
      <c r="AY58" s="149"/>
      <c r="AZ58" s="149"/>
      <c r="BA58" s="149"/>
      <c r="BB58" s="149"/>
      <c r="BC58" s="149"/>
      <c r="BD58" s="149"/>
      <c r="BE58" s="149"/>
      <c r="BF58" s="149"/>
      <c r="BG58" s="301"/>
      <c r="BH58" s="301"/>
      <c r="BI58" s="301"/>
      <c r="BJ58" s="301"/>
      <c r="BK58" s="301"/>
      <c r="BL58" s="301"/>
      <c r="BM58" s="301"/>
      <c r="BN58" s="301"/>
      <c r="BO58" s="301"/>
      <c r="BP58" s="301"/>
      <c r="BQ58" s="301"/>
      <c r="BR58" s="301"/>
      <c r="BS58" s="282">
        <f>+BS56*(1-BS57)</f>
        <v>204.75957588333333</v>
      </c>
      <c r="BT58" s="282">
        <f t="shared" ref="BT58:BZ58" si="119">+BT56*(1-BT57)</f>
        <v>202.19397009999997</v>
      </c>
      <c r="BU58" s="282">
        <f t="shared" si="119"/>
        <v>216.15643169999998</v>
      </c>
      <c r="BV58" s="282">
        <f t="shared" si="119"/>
        <v>225.16222903333335</v>
      </c>
      <c r="BW58" s="282">
        <f t="shared" si="119"/>
        <v>232.3214816</v>
      </c>
      <c r="BX58" s="282">
        <f t="shared" si="119"/>
        <v>229.37540049999996</v>
      </c>
      <c r="BY58" s="282">
        <f t="shared" si="119"/>
        <v>222.76766568333329</v>
      </c>
      <c r="BZ58" s="282">
        <f t="shared" si="119"/>
        <v>223.52512918333332</v>
      </c>
      <c r="CA58" s="282">
        <f>+CA56*(1-CA57)</f>
        <v>233.60253791666668</v>
      </c>
      <c r="CB58" s="282">
        <f>+CB56*(1-CB57)</f>
        <v>225.86732979999999</v>
      </c>
      <c r="CC58" s="282">
        <f>+CC56*(1-CC57)</f>
        <v>227.71037539999998</v>
      </c>
      <c r="CD58" s="282">
        <f>+CD56*(1-CD57)</f>
        <v>233.12781373333331</v>
      </c>
    </row>
    <row r="59" spans="1:86">
      <c r="A59" s="34"/>
      <c r="B59" s="5" t="s">
        <v>390</v>
      </c>
      <c r="C59" s="242"/>
      <c r="D59" s="242"/>
      <c r="E59" s="242"/>
      <c r="F59" s="242"/>
      <c r="G59" s="242"/>
      <c r="H59" s="242"/>
      <c r="I59" s="242"/>
      <c r="J59" s="242"/>
      <c r="K59" s="242"/>
      <c r="L59" s="242"/>
      <c r="M59" s="242"/>
      <c r="N59" s="242"/>
      <c r="O59" s="242"/>
      <c r="P59" s="242"/>
      <c r="Q59" s="242"/>
      <c r="R59" s="242"/>
      <c r="S59" s="242"/>
      <c r="T59" s="321">
        <f>AVERAGE(BS59:BV59)</f>
        <v>50</v>
      </c>
      <c r="U59" s="321">
        <f>AVERAGE(BW59:BZ59)</f>
        <v>50</v>
      </c>
      <c r="V59" s="321">
        <f>AVERAGE(CA59:CD59)</f>
        <v>50</v>
      </c>
      <c r="W59" s="46">
        <f>+V59</f>
        <v>50</v>
      </c>
      <c r="X59" s="46">
        <f>+W59</f>
        <v>50</v>
      </c>
      <c r="Y59" s="46">
        <f>+X59</f>
        <v>50</v>
      </c>
      <c r="Z59" s="302"/>
      <c r="AA59" s="302"/>
      <c r="AB59" s="302"/>
      <c r="AC59" s="302"/>
      <c r="AD59" s="302"/>
      <c r="AE59" s="302"/>
      <c r="AF59" s="302"/>
      <c r="AG59" s="302"/>
      <c r="AH59" s="302"/>
      <c r="AI59" s="302"/>
      <c r="AJ59" s="302"/>
      <c r="AK59" s="302"/>
      <c r="AL59" s="302"/>
      <c r="AM59" s="302"/>
      <c r="AN59" s="302"/>
      <c r="AO59" s="302"/>
      <c r="AP59" s="302"/>
      <c r="AQ59" s="302"/>
      <c r="AR59" s="302"/>
      <c r="AS59" s="302"/>
      <c r="AT59" s="302"/>
      <c r="AU59" s="302"/>
      <c r="AV59" s="302"/>
      <c r="AW59" s="302"/>
      <c r="AX59" s="302"/>
      <c r="AY59" s="302"/>
      <c r="AZ59" s="302"/>
      <c r="BA59" s="302"/>
      <c r="BB59" s="302"/>
      <c r="BC59" s="302"/>
      <c r="BD59" s="302"/>
      <c r="BE59" s="302"/>
      <c r="BF59" s="302"/>
      <c r="BG59" s="36"/>
      <c r="BH59" s="36"/>
      <c r="BI59" s="36"/>
      <c r="BJ59" s="36"/>
      <c r="BK59" s="36"/>
      <c r="BL59" s="36"/>
      <c r="BM59" s="36"/>
      <c r="BN59" s="36"/>
      <c r="BO59" s="36"/>
      <c r="BP59" s="36"/>
      <c r="BQ59" s="36"/>
      <c r="BR59" s="36"/>
      <c r="BS59" s="303">
        <v>50</v>
      </c>
      <c r="BT59" s="303">
        <v>50</v>
      </c>
      <c r="BU59" s="303">
        <v>50</v>
      </c>
      <c r="BV59" s="303">
        <v>50</v>
      </c>
      <c r="BW59" s="303">
        <v>50</v>
      </c>
      <c r="BX59" s="303">
        <v>50</v>
      </c>
      <c r="BY59" s="303">
        <v>50</v>
      </c>
      <c r="BZ59" s="303">
        <v>50</v>
      </c>
      <c r="CA59" s="303">
        <v>50</v>
      </c>
      <c r="CB59" s="303">
        <v>50</v>
      </c>
      <c r="CC59" s="303">
        <v>50</v>
      </c>
      <c r="CD59" s="303">
        <v>50</v>
      </c>
    </row>
    <row r="60" spans="1:86">
      <c r="A60" s="34"/>
      <c r="B60" s="18" t="s">
        <v>391</v>
      </c>
      <c r="C60" s="242"/>
      <c r="D60" s="242"/>
      <c r="E60" s="242"/>
      <c r="F60" s="242"/>
      <c r="G60" s="242"/>
      <c r="H60" s="242"/>
      <c r="I60" s="242"/>
      <c r="J60" s="242"/>
      <c r="K60" s="242"/>
      <c r="L60" s="242"/>
      <c r="M60" s="242"/>
      <c r="N60" s="242"/>
      <c r="O60" s="242"/>
      <c r="P60" s="242"/>
      <c r="Q60" s="242"/>
      <c r="R60" s="242"/>
      <c r="S60" s="242"/>
      <c r="T60" s="39">
        <f>T42/T49*1000</f>
        <v>261.9138025633672</v>
      </c>
      <c r="U60" s="39">
        <f>U42/U49*1000</f>
        <v>277.03069281545476</v>
      </c>
      <c r="V60" s="39">
        <f>V42/V49*1000</f>
        <v>280.01825266012941</v>
      </c>
      <c r="W60" s="62">
        <f>SUM(W58:W59)</f>
        <v>277.90348324664097</v>
      </c>
      <c r="X60" s="62">
        <f>SUM(X58:X59)</f>
        <v>294.74838376856303</v>
      </c>
      <c r="Y60" s="62">
        <f>SUM(Y58:Y59)</f>
        <v>298.10899575070761</v>
      </c>
      <c r="Z60" s="149"/>
      <c r="AA60" s="149"/>
      <c r="AB60" s="149"/>
      <c r="AC60" s="149"/>
      <c r="AD60" s="149"/>
      <c r="AE60" s="149"/>
      <c r="AF60" s="149"/>
      <c r="AG60" s="149"/>
      <c r="AH60" s="149"/>
      <c r="AI60" s="149"/>
      <c r="AJ60" s="149"/>
      <c r="AK60" s="149"/>
      <c r="AL60" s="149"/>
      <c r="AM60" s="149"/>
      <c r="AN60" s="149"/>
      <c r="AO60" s="149"/>
      <c r="AP60" s="149"/>
      <c r="AQ60" s="149"/>
      <c r="AR60" s="149"/>
      <c r="AS60" s="149"/>
      <c r="AT60" s="149"/>
      <c r="AU60" s="149"/>
      <c r="AV60" s="149"/>
      <c r="AW60" s="149"/>
      <c r="AX60" s="149"/>
      <c r="AY60" s="149"/>
      <c r="AZ60" s="149"/>
      <c r="BA60" s="149"/>
      <c r="BB60" s="149"/>
      <c r="BC60" s="149"/>
      <c r="BD60" s="149"/>
      <c r="BE60" s="149"/>
      <c r="BF60" s="149"/>
      <c r="BG60" s="301"/>
      <c r="BH60" s="301"/>
      <c r="BI60" s="301"/>
      <c r="BJ60" s="301"/>
      <c r="BK60" s="301"/>
      <c r="BL60" s="301"/>
      <c r="BM60" s="301"/>
      <c r="BN60" s="301"/>
      <c r="BO60" s="301"/>
      <c r="BP60" s="301"/>
      <c r="BQ60" s="301"/>
      <c r="BR60" s="301"/>
      <c r="BS60" s="282">
        <f t="shared" ref="BS60:BZ60" si="120">SUM(BS58:BS59)</f>
        <v>254.75957588333333</v>
      </c>
      <c r="BT60" s="282">
        <f t="shared" si="120"/>
        <v>252.19397009999997</v>
      </c>
      <c r="BU60" s="282">
        <f t="shared" si="120"/>
        <v>266.15643169999998</v>
      </c>
      <c r="BV60" s="282">
        <f t="shared" si="120"/>
        <v>275.16222903333335</v>
      </c>
      <c r="BW60" s="282">
        <f t="shared" si="120"/>
        <v>282.32148159999997</v>
      </c>
      <c r="BX60" s="282">
        <f t="shared" si="120"/>
        <v>279.37540049999996</v>
      </c>
      <c r="BY60" s="282">
        <f t="shared" si="120"/>
        <v>272.76766568333329</v>
      </c>
      <c r="BZ60" s="282">
        <f t="shared" si="120"/>
        <v>273.52512918333332</v>
      </c>
      <c r="CA60" s="282">
        <f>SUM(CA58:CA59)</f>
        <v>283.60253791666668</v>
      </c>
      <c r="CB60" s="282">
        <f>SUM(CB58:CB59)</f>
        <v>275.86732979999999</v>
      </c>
      <c r="CC60" s="282">
        <f>SUM(CC58:CC59)</f>
        <v>277.71037539999998</v>
      </c>
      <c r="CD60" s="282">
        <f>SUM(CD58:CD59)</f>
        <v>283.12781373333331</v>
      </c>
    </row>
    <row r="61" spans="1:86">
      <c r="A61" s="34"/>
      <c r="B61" s="241" t="s">
        <v>448</v>
      </c>
      <c r="C61" s="242"/>
      <c r="D61" s="242"/>
      <c r="E61" s="242"/>
      <c r="F61" s="242"/>
      <c r="G61" s="275">
        <f>1/2.1</f>
        <v>0.47619047619047616</v>
      </c>
      <c r="H61" s="242"/>
      <c r="I61" s="242"/>
      <c r="J61" s="242"/>
      <c r="K61" s="242"/>
      <c r="L61" s="242"/>
      <c r="M61" s="242"/>
      <c r="N61" s="242"/>
      <c r="O61" s="242"/>
      <c r="P61" s="242"/>
      <c r="Q61" s="242"/>
      <c r="R61" s="242"/>
      <c r="S61" s="242"/>
      <c r="T61" s="51">
        <f t="shared" ref="T61:Y62" si="121">+T$60*$G61</f>
        <v>124.72085836350819</v>
      </c>
      <c r="U61" s="51">
        <f t="shared" si="121"/>
        <v>131.91937753116892</v>
      </c>
      <c r="V61" s="51">
        <f t="shared" si="121"/>
        <v>133.3420250762521</v>
      </c>
      <c r="W61" s="51">
        <f t="shared" si="121"/>
        <v>132.33499202220997</v>
      </c>
      <c r="X61" s="51">
        <f t="shared" si="121"/>
        <v>140.35637322312525</v>
      </c>
      <c r="Y61" s="51">
        <f t="shared" si="121"/>
        <v>141.9566646431941</v>
      </c>
      <c r="Z61" s="149"/>
      <c r="AA61" s="149"/>
      <c r="AB61" s="149"/>
      <c r="AC61" s="149"/>
      <c r="AD61" s="149"/>
      <c r="AE61" s="149"/>
      <c r="AF61" s="149"/>
      <c r="AG61" s="149"/>
      <c r="AH61" s="149"/>
      <c r="AI61" s="149"/>
      <c r="AJ61" s="149"/>
      <c r="AK61" s="149"/>
      <c r="AL61" s="149"/>
      <c r="AM61" s="149"/>
      <c r="AN61" s="149"/>
      <c r="AO61" s="149"/>
      <c r="AP61" s="149"/>
      <c r="AQ61" s="149"/>
      <c r="AR61" s="149"/>
      <c r="AS61" s="149"/>
      <c r="AT61" s="149"/>
      <c r="AU61" s="149"/>
      <c r="AV61" s="149"/>
      <c r="AW61" s="149"/>
      <c r="AX61" s="149"/>
      <c r="AY61" s="149"/>
      <c r="AZ61" s="149"/>
      <c r="BA61" s="149"/>
      <c r="BB61" s="149"/>
      <c r="BC61" s="149"/>
      <c r="BD61" s="149"/>
      <c r="BE61" s="149"/>
      <c r="BF61" s="149"/>
      <c r="BG61" s="301"/>
      <c r="BH61" s="301"/>
      <c r="BI61" s="301"/>
      <c r="BJ61" s="301"/>
      <c r="BK61" s="301"/>
      <c r="BL61" s="301"/>
      <c r="BM61" s="301"/>
      <c r="BN61" s="301"/>
      <c r="BO61" s="301"/>
      <c r="BP61" s="301"/>
      <c r="BQ61" s="301"/>
      <c r="BR61" s="301"/>
      <c r="BS61" s="51">
        <f t="shared" ref="BS61:CD62" si="122">+BS$60*$G61</f>
        <v>121.31408375396825</v>
      </c>
      <c r="BT61" s="51">
        <f t="shared" si="122"/>
        <v>120.09236671428569</v>
      </c>
      <c r="BU61" s="51">
        <f t="shared" si="122"/>
        <v>126.74115795238095</v>
      </c>
      <c r="BV61" s="51">
        <f t="shared" si="122"/>
        <v>131.02963287301588</v>
      </c>
      <c r="BW61" s="51">
        <f t="shared" si="122"/>
        <v>134.43880076190473</v>
      </c>
      <c r="BX61" s="51">
        <f t="shared" si="122"/>
        <v>133.03590499999999</v>
      </c>
      <c r="BY61" s="51">
        <f t="shared" si="122"/>
        <v>129.88936461111109</v>
      </c>
      <c r="BZ61" s="51">
        <f t="shared" si="122"/>
        <v>130.250061515873</v>
      </c>
      <c r="CA61" s="51">
        <f t="shared" si="122"/>
        <v>135.04882757936508</v>
      </c>
      <c r="CB61" s="51">
        <f t="shared" si="122"/>
        <v>131.36539514285712</v>
      </c>
      <c r="CC61" s="51">
        <f t="shared" si="122"/>
        <v>132.24303590476188</v>
      </c>
      <c r="CD61" s="51">
        <f t="shared" si="122"/>
        <v>134.82276844444442</v>
      </c>
    </row>
    <row r="62" spans="1:86">
      <c r="A62" s="34"/>
      <c r="B62" s="241" t="s">
        <v>449</v>
      </c>
      <c r="C62" s="242"/>
      <c r="D62" s="242"/>
      <c r="E62" s="242"/>
      <c r="F62" s="242"/>
      <c r="G62" s="17">
        <f>1-G61</f>
        <v>0.52380952380952384</v>
      </c>
      <c r="H62" s="242"/>
      <c r="I62" s="242"/>
      <c r="J62" s="242"/>
      <c r="K62" s="242"/>
      <c r="L62" s="242"/>
      <c r="M62" s="242"/>
      <c r="N62" s="242"/>
      <c r="O62" s="242"/>
      <c r="P62" s="242"/>
      <c r="Q62" s="242"/>
      <c r="R62" s="242"/>
      <c r="S62" s="242"/>
      <c r="T62" s="51">
        <f t="shared" si="121"/>
        <v>137.19294419985903</v>
      </c>
      <c r="U62" s="51">
        <f t="shared" si="121"/>
        <v>145.11131528428584</v>
      </c>
      <c r="V62" s="51">
        <f t="shared" si="121"/>
        <v>146.67622758387731</v>
      </c>
      <c r="W62" s="51">
        <f t="shared" si="121"/>
        <v>145.568491224431</v>
      </c>
      <c r="X62" s="51">
        <f t="shared" si="121"/>
        <v>154.39201054543778</v>
      </c>
      <c r="Y62" s="51">
        <f t="shared" si="121"/>
        <v>156.1523311075135</v>
      </c>
      <c r="Z62" s="149"/>
      <c r="AA62" s="149"/>
      <c r="AB62" s="149"/>
      <c r="AC62" s="149"/>
      <c r="AD62" s="149"/>
      <c r="AE62" s="149"/>
      <c r="AF62" s="149"/>
      <c r="AG62" s="149"/>
      <c r="AH62" s="149"/>
      <c r="AI62" s="149"/>
      <c r="AJ62" s="149"/>
      <c r="AK62" s="149"/>
      <c r="AL62" s="149"/>
      <c r="AM62" s="149"/>
      <c r="AN62" s="149"/>
      <c r="AO62" s="149"/>
      <c r="AP62" s="149"/>
      <c r="AQ62" s="149"/>
      <c r="AR62" s="149"/>
      <c r="AS62" s="149"/>
      <c r="AT62" s="149"/>
      <c r="AU62" s="149"/>
      <c r="AV62" s="149"/>
      <c r="AW62" s="149"/>
      <c r="AX62" s="149"/>
      <c r="AY62" s="149"/>
      <c r="AZ62" s="149"/>
      <c r="BA62" s="149"/>
      <c r="BB62" s="149"/>
      <c r="BC62" s="149"/>
      <c r="BD62" s="149"/>
      <c r="BE62" s="149"/>
      <c r="BF62" s="149"/>
      <c r="BG62" s="301"/>
      <c r="BH62" s="301"/>
      <c r="BI62" s="301"/>
      <c r="BJ62" s="301"/>
      <c r="BK62" s="301"/>
      <c r="BL62" s="301"/>
      <c r="BM62" s="301"/>
      <c r="BN62" s="301"/>
      <c r="BO62" s="301"/>
      <c r="BP62" s="301"/>
      <c r="BQ62" s="301"/>
      <c r="BR62" s="301"/>
      <c r="BS62" s="51">
        <f t="shared" si="122"/>
        <v>133.44549212936508</v>
      </c>
      <c r="BT62" s="51">
        <f t="shared" si="122"/>
        <v>132.10160338571427</v>
      </c>
      <c r="BU62" s="51">
        <f t="shared" si="122"/>
        <v>139.41527374761904</v>
      </c>
      <c r="BV62" s="51">
        <f t="shared" si="122"/>
        <v>144.13259616031746</v>
      </c>
      <c r="BW62" s="51">
        <f t="shared" si="122"/>
        <v>147.88268083809524</v>
      </c>
      <c r="BX62" s="51">
        <f t="shared" si="122"/>
        <v>146.33949549999997</v>
      </c>
      <c r="BY62" s="51">
        <f t="shared" si="122"/>
        <v>142.8783010722222</v>
      </c>
      <c r="BZ62" s="51">
        <f t="shared" si="122"/>
        <v>143.27506766746032</v>
      </c>
      <c r="CA62" s="51">
        <f t="shared" si="122"/>
        <v>148.5537103373016</v>
      </c>
      <c r="CB62" s="51">
        <f t="shared" si="122"/>
        <v>144.50193465714287</v>
      </c>
      <c r="CC62" s="51">
        <f t="shared" si="122"/>
        <v>145.46733949523809</v>
      </c>
      <c r="CD62" s="51">
        <f t="shared" si="122"/>
        <v>148.30504528888889</v>
      </c>
    </row>
    <row r="63" spans="1:86">
      <c r="A63" s="34"/>
      <c r="C63" s="242"/>
      <c r="D63" s="242"/>
      <c r="E63" s="242"/>
      <c r="F63" s="242"/>
      <c r="G63" s="242"/>
      <c r="H63" s="242"/>
      <c r="I63" s="242"/>
      <c r="J63" s="242"/>
      <c r="K63" s="242"/>
      <c r="L63" s="242"/>
      <c r="M63" s="242"/>
      <c r="N63" s="242"/>
      <c r="O63" s="242"/>
      <c r="P63" s="242"/>
      <c r="Q63" s="242"/>
      <c r="R63" s="242"/>
      <c r="S63" s="242"/>
      <c r="T63" s="78"/>
      <c r="U63" s="78"/>
      <c r="V63" s="78"/>
      <c r="W63" s="78"/>
      <c r="X63" s="78"/>
      <c r="Y63" s="78"/>
      <c r="Z63" s="242"/>
      <c r="AA63" s="242"/>
      <c r="AB63" s="242"/>
      <c r="AC63" s="242"/>
      <c r="AD63" s="242"/>
      <c r="AE63" s="242"/>
      <c r="AF63" s="242"/>
      <c r="AG63" s="242"/>
      <c r="AH63" s="242"/>
      <c r="AI63" s="242"/>
      <c r="AJ63" s="242"/>
      <c r="AK63" s="242"/>
      <c r="AL63" s="242"/>
      <c r="AM63" s="242"/>
      <c r="AN63" s="242"/>
      <c r="AO63" s="242"/>
      <c r="AP63" s="242"/>
      <c r="AQ63" s="242"/>
      <c r="AR63" s="242"/>
      <c r="AS63" s="242"/>
      <c r="AT63" s="242"/>
      <c r="AU63" s="242"/>
      <c r="AV63" s="242"/>
      <c r="AW63" s="242"/>
      <c r="AX63" s="242"/>
      <c r="AY63" s="242"/>
      <c r="AZ63" s="242"/>
      <c r="BA63" s="242"/>
      <c r="BB63" s="242"/>
      <c r="BC63" s="242"/>
      <c r="BD63" s="242"/>
      <c r="BE63" s="242"/>
      <c r="BF63" s="242"/>
      <c r="BG63" s="76"/>
      <c r="BH63" s="76"/>
      <c r="BI63" s="76"/>
      <c r="BJ63" s="76"/>
      <c r="BK63" s="76"/>
      <c r="BL63" s="76"/>
      <c r="BM63" s="76"/>
      <c r="BN63" s="76"/>
      <c r="BO63" s="76"/>
      <c r="BP63" s="76"/>
      <c r="BQ63" s="76"/>
      <c r="BR63" s="76"/>
      <c r="BS63" s="78"/>
      <c r="BT63" s="76"/>
      <c r="BU63" s="76"/>
      <c r="BV63" s="76"/>
      <c r="BW63" s="76"/>
      <c r="BX63" s="76"/>
      <c r="BY63" s="76"/>
      <c r="BZ63" s="76"/>
    </row>
    <row r="64" spans="1:86">
      <c r="A64" s="51"/>
      <c r="B64" s="149" t="s">
        <v>378</v>
      </c>
      <c r="C64" s="51"/>
      <c r="D64" s="51"/>
      <c r="E64" s="51"/>
      <c r="F64" s="51"/>
      <c r="G64" s="51"/>
      <c r="H64" s="51"/>
      <c r="I64" s="51"/>
      <c r="J64" s="51"/>
      <c r="K64" s="51"/>
      <c r="L64" s="51"/>
      <c r="M64" s="51"/>
      <c r="N64" s="51"/>
      <c r="O64" s="51"/>
      <c r="P64" s="51"/>
      <c r="Q64" s="51"/>
      <c r="R64" s="51"/>
      <c r="S64" s="51"/>
      <c r="T64" s="51"/>
      <c r="U64" s="51"/>
      <c r="V64" s="127"/>
      <c r="W64" s="127"/>
      <c r="X64" s="51"/>
      <c r="Y64" s="51"/>
      <c r="Z64" s="51"/>
      <c r="AA64" s="51"/>
      <c r="AB64" s="51"/>
      <c r="AC64" s="51"/>
      <c r="AD64" s="51"/>
      <c r="AE64" s="51"/>
      <c r="AF64" s="51"/>
      <c r="AG64" s="51"/>
      <c r="AH64" s="51"/>
      <c r="AI64" s="51"/>
      <c r="AJ64" s="51"/>
      <c r="AK64" s="51"/>
      <c r="AL64" s="51"/>
      <c r="AM64" s="51"/>
      <c r="AN64" s="51"/>
      <c r="AO64" s="51"/>
      <c r="AP64" s="51"/>
      <c r="AQ64" s="51"/>
      <c r="AR64" s="51"/>
      <c r="AS64" s="51"/>
      <c r="AT64" s="51"/>
      <c r="AU64" s="51"/>
      <c r="AV64" s="51"/>
      <c r="AW64" s="51"/>
      <c r="AX64" s="51"/>
      <c r="AY64" s="51"/>
      <c r="AZ64" s="51"/>
      <c r="BA64" s="51"/>
      <c r="BB64" s="51"/>
      <c r="BC64" s="51"/>
      <c r="BD64" s="51"/>
      <c r="BE64" s="51"/>
      <c r="BF64" s="51"/>
      <c r="BG64" s="51"/>
      <c r="BH64" s="51"/>
      <c r="BI64" s="51"/>
      <c r="BJ64" s="51"/>
      <c r="BK64" s="51"/>
      <c r="BL64" s="51"/>
      <c r="BM64" s="51"/>
      <c r="BN64" s="51"/>
      <c r="BO64" s="51"/>
      <c r="BP64" s="51"/>
      <c r="BQ64" s="51"/>
      <c r="BR64" s="51"/>
      <c r="BS64" s="51"/>
      <c r="BT64" s="51"/>
      <c r="BU64" s="51"/>
      <c r="BV64" s="51"/>
      <c r="BW64" s="51"/>
      <c r="BX64" s="51"/>
      <c r="BY64" s="51"/>
      <c r="BZ64" s="51"/>
    </row>
    <row r="65" spans="1:82">
      <c r="A65" s="51"/>
      <c r="B65" s="5" t="s">
        <v>478</v>
      </c>
      <c r="C65" s="51"/>
      <c r="D65" s="51"/>
      <c r="E65" s="51"/>
      <c r="F65" s="51"/>
      <c r="G65" s="51"/>
      <c r="H65" s="51"/>
      <c r="I65" s="51"/>
      <c r="J65" s="51"/>
      <c r="K65" s="51"/>
      <c r="L65" s="51"/>
      <c r="M65" s="51"/>
      <c r="N65" s="51"/>
      <c r="O65" s="51"/>
      <c r="P65" s="51"/>
      <c r="Q65" s="51"/>
      <c r="R65" s="51"/>
      <c r="S65" s="51"/>
      <c r="T65" s="45">
        <f>SUM(BS65:BV65)</f>
        <v>163.29492878526716</v>
      </c>
      <c r="U65" s="45">
        <f>SUM(BW65:BZ65)</f>
        <v>163.29492878526716</v>
      </c>
      <c r="V65" s="45">
        <f>SUM(CA65:CD65)</f>
        <v>163.29492878526716</v>
      </c>
      <c r="W65" s="344">
        <f t="shared" ref="W65:Y66" si="123">+V65</f>
        <v>163.29492878526716</v>
      </c>
      <c r="X65" s="344">
        <f t="shared" si="123"/>
        <v>163.29492878526716</v>
      </c>
      <c r="Y65" s="344">
        <f t="shared" si="123"/>
        <v>163.29492878526716</v>
      </c>
      <c r="Z65" s="51"/>
      <c r="AA65" s="51"/>
      <c r="AB65" s="51"/>
      <c r="AC65" s="51"/>
      <c r="AD65" s="51"/>
      <c r="AE65" s="51"/>
      <c r="AF65" s="51"/>
      <c r="AG65" s="51"/>
      <c r="AH65" s="51"/>
      <c r="AI65" s="51"/>
      <c r="AJ65" s="51"/>
      <c r="AK65" s="51"/>
      <c r="AL65" s="51"/>
      <c r="AM65" s="51"/>
      <c r="AN65" s="51"/>
      <c r="AO65" s="51"/>
      <c r="AP65" s="51"/>
      <c r="AQ65" s="51"/>
      <c r="AR65" s="51"/>
      <c r="AS65" s="51"/>
      <c r="AT65" s="51"/>
      <c r="AU65" s="51"/>
      <c r="AV65" s="51"/>
      <c r="AW65" s="51"/>
      <c r="AX65" s="51"/>
      <c r="AY65" s="51"/>
      <c r="AZ65" s="51"/>
      <c r="BA65" s="51"/>
      <c r="BB65" s="51"/>
      <c r="BC65" s="51"/>
      <c r="BD65" s="51"/>
      <c r="BE65" s="51"/>
      <c r="BF65" s="51"/>
      <c r="BG65" s="51"/>
      <c r="BH65" s="51"/>
      <c r="BI65" s="51"/>
      <c r="BJ65" s="51"/>
      <c r="BK65" s="51"/>
      <c r="BL65" s="51"/>
      <c r="BM65" s="51"/>
      <c r="BN65" s="51"/>
      <c r="BO65" s="51"/>
      <c r="BP65" s="51"/>
      <c r="BQ65" s="51"/>
      <c r="BR65" s="51"/>
      <c r="BS65" s="40">
        <f>(180/4)/1.1023</f>
        <v>40.82373219631679</v>
      </c>
      <c r="BT65" s="349">
        <f>+BS65</f>
        <v>40.82373219631679</v>
      </c>
      <c r="BU65" s="349">
        <f t="shared" ref="BU65:BZ65" si="124">+BT65</f>
        <v>40.82373219631679</v>
      </c>
      <c r="BV65" s="349">
        <f t="shared" si="124"/>
        <v>40.82373219631679</v>
      </c>
      <c r="BW65" s="349">
        <f t="shared" si="124"/>
        <v>40.82373219631679</v>
      </c>
      <c r="BX65" s="349">
        <f t="shared" si="124"/>
        <v>40.82373219631679</v>
      </c>
      <c r="BY65" s="349">
        <f t="shared" si="124"/>
        <v>40.82373219631679</v>
      </c>
      <c r="BZ65" s="349">
        <f t="shared" si="124"/>
        <v>40.82373219631679</v>
      </c>
      <c r="CA65" s="349">
        <f t="shared" ref="CA65:CD67" si="125">+BZ65</f>
        <v>40.82373219631679</v>
      </c>
      <c r="CB65" s="349">
        <f t="shared" si="125"/>
        <v>40.82373219631679</v>
      </c>
      <c r="CC65" s="349">
        <f t="shared" si="125"/>
        <v>40.82373219631679</v>
      </c>
      <c r="CD65" s="349">
        <f t="shared" si="125"/>
        <v>40.82373219631679</v>
      </c>
    </row>
    <row r="66" spans="1:82">
      <c r="A66" s="51"/>
      <c r="B66" s="5" t="s">
        <v>479</v>
      </c>
      <c r="C66" s="51"/>
      <c r="D66" s="51"/>
      <c r="E66" s="51"/>
      <c r="F66" s="51"/>
      <c r="G66" s="51"/>
      <c r="H66" s="51"/>
      <c r="I66" s="51"/>
      <c r="J66" s="51"/>
      <c r="K66" s="51"/>
      <c r="L66" s="51"/>
      <c r="M66" s="51"/>
      <c r="N66" s="51"/>
      <c r="O66" s="51"/>
      <c r="P66" s="51"/>
      <c r="Q66" s="51"/>
      <c r="R66" s="51"/>
      <c r="S66" s="51"/>
      <c r="T66" s="45">
        <f>SUM(BS66:BV66)</f>
        <v>0</v>
      </c>
      <c r="U66" s="45">
        <f>SUM(BW66:BZ66)</f>
        <v>36.287761952281592</v>
      </c>
      <c r="V66" s="36">
        <f>SUM(CA66:CD66)</f>
        <v>145.15104780912637</v>
      </c>
      <c r="W66" s="344">
        <f t="shared" si="123"/>
        <v>145.15104780912637</v>
      </c>
      <c r="X66" s="344">
        <f t="shared" si="123"/>
        <v>145.15104780912637</v>
      </c>
      <c r="Y66" s="344">
        <f t="shared" si="123"/>
        <v>145.15104780912637</v>
      </c>
      <c r="Z66" s="344"/>
      <c r="AA66" s="51"/>
      <c r="AB66" s="51"/>
      <c r="AC66" s="51"/>
      <c r="AD66" s="51"/>
      <c r="AE66" s="51"/>
      <c r="AF66" s="51"/>
      <c r="AG66" s="51"/>
      <c r="AH66" s="51"/>
      <c r="AI66" s="51"/>
      <c r="AJ66" s="51"/>
      <c r="AK66" s="51"/>
      <c r="AL66" s="51"/>
      <c r="AM66" s="51"/>
      <c r="AN66" s="51"/>
      <c r="AO66" s="51"/>
      <c r="AP66" s="51"/>
      <c r="AQ66" s="51"/>
      <c r="AR66" s="51"/>
      <c r="AS66" s="51"/>
      <c r="AT66" s="51"/>
      <c r="AU66" s="51"/>
      <c r="AV66" s="51"/>
      <c r="AW66" s="51"/>
      <c r="AX66" s="51"/>
      <c r="AY66" s="51"/>
      <c r="AZ66" s="51"/>
      <c r="BA66" s="51"/>
      <c r="BB66" s="51"/>
      <c r="BC66" s="51"/>
      <c r="BD66" s="51"/>
      <c r="BE66" s="51"/>
      <c r="BF66" s="51"/>
      <c r="BG66" s="51"/>
      <c r="BH66" s="51"/>
      <c r="BI66" s="51"/>
      <c r="BJ66" s="51"/>
      <c r="BK66" s="51"/>
      <c r="BL66" s="51"/>
      <c r="BM66" s="51"/>
      <c r="BN66" s="51"/>
      <c r="BO66" s="51"/>
      <c r="BP66" s="51"/>
      <c r="BQ66" s="51"/>
      <c r="BR66" s="51"/>
      <c r="BS66" s="40">
        <v>0</v>
      </c>
      <c r="BT66" s="349">
        <f>+BS66</f>
        <v>0</v>
      </c>
      <c r="BU66" s="349">
        <f>+BT66</f>
        <v>0</v>
      </c>
      <c r="BV66" s="349">
        <f>+BU66</f>
        <v>0</v>
      </c>
      <c r="BW66" s="349">
        <f>+BV66</f>
        <v>0</v>
      </c>
      <c r="BX66" s="349">
        <f>+BW66</f>
        <v>0</v>
      </c>
      <c r="BY66" s="349">
        <f>+BX66</f>
        <v>0</v>
      </c>
      <c r="BZ66" s="40">
        <f>(160/4)/1.1023</f>
        <v>36.287761952281592</v>
      </c>
      <c r="CA66" s="349">
        <f t="shared" si="125"/>
        <v>36.287761952281592</v>
      </c>
      <c r="CB66" s="349">
        <f t="shared" si="125"/>
        <v>36.287761952281592</v>
      </c>
      <c r="CC66" s="349">
        <f t="shared" si="125"/>
        <v>36.287761952281592</v>
      </c>
      <c r="CD66" s="349">
        <f t="shared" si="125"/>
        <v>36.287761952281592</v>
      </c>
    </row>
    <row r="67" spans="1:82">
      <c r="A67" s="51"/>
      <c r="B67" s="5" t="s">
        <v>480</v>
      </c>
      <c r="C67" s="51"/>
      <c r="D67" s="51"/>
      <c r="E67" s="51"/>
      <c r="F67" s="51"/>
      <c r="G67" s="51"/>
      <c r="H67" s="51"/>
      <c r="I67" s="51"/>
      <c r="J67" s="51"/>
      <c r="K67" s="51"/>
      <c r="L67" s="51"/>
      <c r="M67" s="51"/>
      <c r="N67" s="51"/>
      <c r="O67" s="51"/>
      <c r="P67" s="51"/>
      <c r="Q67" s="51"/>
      <c r="R67" s="51"/>
      <c r="S67" s="51"/>
      <c r="T67" s="45">
        <f>SUM(BS67:BV67)</f>
        <v>0</v>
      </c>
      <c r="U67" s="45">
        <f>SUM(BW67:BZ67)</f>
        <v>0</v>
      </c>
      <c r="V67" s="36">
        <f>SUM(CA67:CD67)</f>
        <v>0</v>
      </c>
      <c r="W67" s="344">
        <f>+V67</f>
        <v>0</v>
      </c>
      <c r="X67" s="344">
        <f>+W67</f>
        <v>0</v>
      </c>
      <c r="Y67" s="40">
        <f>300/1.1023</f>
        <v>272.15821464211194</v>
      </c>
      <c r="Z67" s="51"/>
      <c r="AA67" s="51"/>
      <c r="AB67" s="51"/>
      <c r="AC67" s="51"/>
      <c r="AD67" s="51"/>
      <c r="AE67" s="51"/>
      <c r="AF67" s="51"/>
      <c r="AG67" s="51"/>
      <c r="AH67" s="51"/>
      <c r="AI67" s="51"/>
      <c r="AJ67" s="51"/>
      <c r="AK67" s="51"/>
      <c r="AL67" s="51"/>
      <c r="AM67" s="51"/>
      <c r="AN67" s="51"/>
      <c r="AO67" s="51"/>
      <c r="AP67" s="51"/>
      <c r="AQ67" s="51"/>
      <c r="AR67" s="51"/>
      <c r="AS67" s="51"/>
      <c r="AT67" s="51"/>
      <c r="AU67" s="51"/>
      <c r="AV67" s="51"/>
      <c r="AW67" s="51"/>
      <c r="AX67" s="51"/>
      <c r="AY67" s="51"/>
      <c r="AZ67" s="51"/>
      <c r="BA67" s="51"/>
      <c r="BB67" s="51"/>
      <c r="BC67" s="51"/>
      <c r="BD67" s="51"/>
      <c r="BE67" s="51"/>
      <c r="BF67" s="51"/>
      <c r="BG67" s="51"/>
      <c r="BH67" s="51"/>
      <c r="BI67" s="51"/>
      <c r="BJ67" s="51"/>
      <c r="BK67" s="51"/>
      <c r="BL67" s="51"/>
      <c r="BM67" s="51"/>
      <c r="BN67" s="51"/>
      <c r="BO67" s="51"/>
      <c r="BP67" s="51"/>
      <c r="BQ67" s="51"/>
      <c r="BR67" s="51"/>
      <c r="BS67" s="40">
        <v>0</v>
      </c>
      <c r="BT67" s="349">
        <f>+BS67</f>
        <v>0</v>
      </c>
      <c r="BU67" s="349">
        <f t="shared" ref="BU67:BZ67" si="126">+BT67</f>
        <v>0</v>
      </c>
      <c r="BV67" s="349">
        <f t="shared" si="126"/>
        <v>0</v>
      </c>
      <c r="BW67" s="349">
        <f t="shared" si="126"/>
        <v>0</v>
      </c>
      <c r="BX67" s="349">
        <f t="shared" si="126"/>
        <v>0</v>
      </c>
      <c r="BY67" s="349">
        <f t="shared" si="126"/>
        <v>0</v>
      </c>
      <c r="BZ67" s="349">
        <f t="shared" si="126"/>
        <v>0</v>
      </c>
      <c r="CA67" s="349">
        <f t="shared" si="125"/>
        <v>0</v>
      </c>
      <c r="CB67" s="349">
        <f t="shared" si="125"/>
        <v>0</v>
      </c>
      <c r="CC67" s="349">
        <f t="shared" si="125"/>
        <v>0</v>
      </c>
      <c r="CD67" s="349">
        <f t="shared" si="125"/>
        <v>0</v>
      </c>
    </row>
    <row r="68" spans="1:82">
      <c r="A68" s="51"/>
      <c r="B68" s="5" t="s">
        <v>640</v>
      </c>
      <c r="C68" s="51"/>
      <c r="D68" s="51"/>
      <c r="E68" s="51"/>
      <c r="F68" s="51"/>
      <c r="G68" s="51"/>
      <c r="H68" s="51"/>
      <c r="I68" s="51"/>
      <c r="J68" s="51"/>
      <c r="K68" s="51"/>
      <c r="L68" s="51"/>
      <c r="M68" s="51"/>
      <c r="N68" s="51"/>
      <c r="O68" s="51"/>
      <c r="P68" s="51"/>
      <c r="Q68" s="51"/>
      <c r="R68" s="51"/>
      <c r="S68" s="51"/>
      <c r="T68" s="311">
        <f t="shared" ref="T68:Y68" si="127">SUM(T65:T67)</f>
        <v>163.29492878526716</v>
      </c>
      <c r="U68" s="311">
        <f t="shared" si="127"/>
        <v>199.58269073754875</v>
      </c>
      <c r="V68" s="311">
        <f t="shared" si="127"/>
        <v>308.44597659439353</v>
      </c>
      <c r="W68" s="311">
        <f t="shared" si="127"/>
        <v>308.44597659439353</v>
      </c>
      <c r="X68" s="311">
        <f t="shared" si="127"/>
        <v>308.44597659439353</v>
      </c>
      <c r="Y68" s="311">
        <f t="shared" si="127"/>
        <v>580.60419123650547</v>
      </c>
      <c r="Z68" s="51"/>
      <c r="AA68" s="51"/>
      <c r="AB68" s="51"/>
      <c r="AC68" s="51"/>
      <c r="AD68" s="51"/>
      <c r="AE68" s="51"/>
      <c r="AF68" s="51"/>
      <c r="AG68" s="51"/>
      <c r="AH68" s="51"/>
      <c r="AI68" s="51"/>
      <c r="AJ68" s="51"/>
      <c r="AK68" s="51"/>
      <c r="AL68" s="51"/>
      <c r="AM68" s="51"/>
      <c r="AN68" s="51"/>
      <c r="AO68" s="51"/>
      <c r="AP68" s="51"/>
      <c r="AQ68" s="51"/>
      <c r="AR68" s="51"/>
      <c r="AS68" s="51"/>
      <c r="AT68" s="51"/>
      <c r="AU68" s="51"/>
      <c r="AV68" s="51"/>
      <c r="AW68" s="51"/>
      <c r="AX68" s="51"/>
      <c r="AY68" s="51"/>
      <c r="AZ68" s="51"/>
      <c r="BA68" s="51"/>
      <c r="BB68" s="51"/>
      <c r="BC68" s="51"/>
      <c r="BD68" s="51"/>
      <c r="BE68" s="51"/>
      <c r="BF68" s="51"/>
      <c r="BG68" s="51"/>
      <c r="BH68" s="51"/>
      <c r="BI68" s="51"/>
      <c r="BJ68" s="51"/>
      <c r="BK68" s="51"/>
      <c r="BL68" s="51"/>
      <c r="BM68" s="51"/>
      <c r="BN68" s="51"/>
      <c r="BO68" s="51"/>
      <c r="BP68" s="51"/>
      <c r="BQ68" s="51"/>
      <c r="BR68" s="51"/>
      <c r="BS68" s="311">
        <f t="shared" ref="BS68:BZ68" si="128">SUM(BS65:BS67)</f>
        <v>40.82373219631679</v>
      </c>
      <c r="BT68" s="311">
        <f t="shared" si="128"/>
        <v>40.82373219631679</v>
      </c>
      <c r="BU68" s="311">
        <f t="shared" si="128"/>
        <v>40.82373219631679</v>
      </c>
      <c r="BV68" s="311">
        <f t="shared" si="128"/>
        <v>40.82373219631679</v>
      </c>
      <c r="BW68" s="311">
        <f t="shared" si="128"/>
        <v>40.82373219631679</v>
      </c>
      <c r="BX68" s="311">
        <f t="shared" si="128"/>
        <v>40.82373219631679</v>
      </c>
      <c r="BY68" s="311">
        <f t="shared" si="128"/>
        <v>40.82373219631679</v>
      </c>
      <c r="BZ68" s="311">
        <f t="shared" si="128"/>
        <v>77.111494148598382</v>
      </c>
      <c r="CA68" s="311">
        <f>SUM(CA65:CA67)</f>
        <v>77.111494148598382</v>
      </c>
      <c r="CB68" s="311">
        <f>SUM(CB65:CB67)</f>
        <v>77.111494148598382</v>
      </c>
      <c r="CC68" s="311">
        <f>SUM(CC65:CC67)</f>
        <v>77.111494148598382</v>
      </c>
      <c r="CD68" s="311">
        <f>SUM(CD65:CD67)</f>
        <v>77.111494148598382</v>
      </c>
    </row>
    <row r="69" spans="1:82">
      <c r="A69" s="51"/>
      <c r="B69" s="5" t="s">
        <v>482</v>
      </c>
      <c r="C69" s="51"/>
      <c r="D69" s="51"/>
      <c r="E69" s="51"/>
      <c r="F69" s="51"/>
      <c r="G69" s="51"/>
      <c r="H69" s="51"/>
      <c r="I69" s="51"/>
      <c r="J69" s="51"/>
      <c r="K69" s="51"/>
      <c r="L69" s="51"/>
      <c r="M69" s="51"/>
      <c r="N69" s="51"/>
      <c r="O69" s="51"/>
      <c r="P69" s="51"/>
      <c r="Q69" s="51"/>
      <c r="R69" s="51"/>
      <c r="S69" s="51"/>
      <c r="T69" s="45">
        <f t="shared" ref="T69" si="129">+T70-T68</f>
        <v>99.793071214732862</v>
      </c>
      <c r="U69" s="45">
        <f>+U70-U68</f>
        <v>63.505309262451277</v>
      </c>
      <c r="V69" s="284">
        <f>IF(V70&lt;V68,0,V70-V68)</f>
        <v>0</v>
      </c>
      <c r="W69" s="284">
        <f t="shared" ref="W69:Y69" si="130">IF(W70&lt;W68,0,W70-W68)</f>
        <v>0</v>
      </c>
      <c r="X69" s="284">
        <f t="shared" si="130"/>
        <v>0</v>
      </c>
      <c r="Y69" s="284">
        <f t="shared" si="130"/>
        <v>0</v>
      </c>
      <c r="Z69" s="51"/>
      <c r="AA69" s="51"/>
      <c r="AB69" s="51"/>
      <c r="AC69" s="51"/>
      <c r="AD69" s="51"/>
      <c r="AE69" s="51"/>
      <c r="AF69" s="51"/>
      <c r="AG69" s="51"/>
      <c r="AH69" s="51"/>
      <c r="AI69" s="51"/>
      <c r="AJ69" s="51"/>
      <c r="AK69" s="51"/>
      <c r="AL69" s="51"/>
      <c r="AM69" s="51"/>
      <c r="AN69" s="51"/>
      <c r="AO69" s="51"/>
      <c r="AP69" s="51"/>
      <c r="AQ69" s="51"/>
      <c r="AR69" s="51"/>
      <c r="AS69" s="51"/>
      <c r="AT69" s="51"/>
      <c r="AU69" s="51"/>
      <c r="AV69" s="51"/>
      <c r="AW69" s="51"/>
      <c r="AX69" s="51"/>
      <c r="AY69" s="51"/>
      <c r="AZ69" s="51"/>
      <c r="BA69" s="51"/>
      <c r="BB69" s="51"/>
      <c r="BC69" s="51"/>
      <c r="BD69" s="51"/>
      <c r="BE69" s="51"/>
      <c r="BF69" s="51"/>
      <c r="BG69" s="51"/>
      <c r="BH69" s="51"/>
      <c r="BI69" s="51"/>
      <c r="BJ69" s="51"/>
      <c r="BK69" s="51"/>
      <c r="BL69" s="51"/>
      <c r="BM69" s="51"/>
      <c r="BN69" s="51"/>
      <c r="BO69" s="51"/>
      <c r="BP69" s="51"/>
      <c r="BQ69" s="51"/>
      <c r="BR69" s="51"/>
      <c r="BS69" s="45">
        <f t="shared" ref="BS69:BX69" si="131">+BS70-BS68</f>
        <v>24.948267803683216</v>
      </c>
      <c r="BT69" s="45">
        <f t="shared" si="131"/>
        <v>24.948267803683216</v>
      </c>
      <c r="BU69" s="45">
        <f t="shared" si="131"/>
        <v>24.948267803683216</v>
      </c>
      <c r="BV69" s="45">
        <f t="shared" si="131"/>
        <v>24.948267803683216</v>
      </c>
      <c r="BW69" s="45">
        <f t="shared" si="131"/>
        <v>24.948267803683216</v>
      </c>
      <c r="BX69" s="45">
        <f t="shared" si="131"/>
        <v>24.948267803683216</v>
      </c>
      <c r="BY69" s="284">
        <f>IF(BY70&lt;BY68,0,BY70-BY68)</f>
        <v>24.948267803683216</v>
      </c>
      <c r="BZ69" s="284">
        <f t="shared" ref="BZ69:CD69" si="132">IF(BZ70&lt;BZ68,0,BZ70-BZ68)</f>
        <v>0</v>
      </c>
      <c r="CA69" s="284">
        <f t="shared" si="132"/>
        <v>0</v>
      </c>
      <c r="CB69" s="284">
        <f t="shared" si="132"/>
        <v>0</v>
      </c>
      <c r="CC69" s="284">
        <f t="shared" si="132"/>
        <v>0</v>
      </c>
      <c r="CD69" s="284">
        <f t="shared" si="132"/>
        <v>0</v>
      </c>
    </row>
    <row r="70" spans="1:82">
      <c r="A70" s="34"/>
      <c r="B70" s="18" t="s">
        <v>604</v>
      </c>
      <c r="G70" s="270">
        <v>0.28999999999999998</v>
      </c>
      <c r="T70" s="254">
        <f>SUM(BS70:BV70)</f>
        <v>263.08800000000002</v>
      </c>
      <c r="U70" s="254">
        <f>SUM(BW70:BZ70)</f>
        <v>263.08800000000002</v>
      </c>
      <c r="V70" s="254">
        <f>SUM(CA70:CD70)</f>
        <v>263.08800000000002</v>
      </c>
      <c r="W70" s="254">
        <f>+$G$70*W294</f>
        <v>263.32</v>
      </c>
      <c r="X70" s="254">
        <f>+$G$70*X294</f>
        <v>263.32</v>
      </c>
      <c r="Y70" s="254">
        <f>+$G$70*Y294</f>
        <v>263.32</v>
      </c>
      <c r="BS70" s="254">
        <f t="shared" ref="BS70:CD70" si="133">+$G$70*BS294</f>
        <v>65.772000000000006</v>
      </c>
      <c r="BT70" s="254">
        <f t="shared" si="133"/>
        <v>65.772000000000006</v>
      </c>
      <c r="BU70" s="254">
        <f t="shared" si="133"/>
        <v>65.772000000000006</v>
      </c>
      <c r="BV70" s="254">
        <f t="shared" si="133"/>
        <v>65.772000000000006</v>
      </c>
      <c r="BW70" s="254">
        <f t="shared" si="133"/>
        <v>65.772000000000006</v>
      </c>
      <c r="BX70" s="254">
        <f t="shared" si="133"/>
        <v>65.772000000000006</v>
      </c>
      <c r="BY70" s="254">
        <f t="shared" si="133"/>
        <v>65.772000000000006</v>
      </c>
      <c r="BZ70" s="254">
        <f t="shared" si="133"/>
        <v>65.772000000000006</v>
      </c>
      <c r="CA70" s="254">
        <f t="shared" si="133"/>
        <v>65.772000000000006</v>
      </c>
      <c r="CB70" s="254">
        <f t="shared" si="133"/>
        <v>65.772000000000006</v>
      </c>
      <c r="CC70" s="254">
        <f t="shared" si="133"/>
        <v>65.772000000000006</v>
      </c>
      <c r="CD70" s="254">
        <f t="shared" si="133"/>
        <v>65.772000000000006</v>
      </c>
    </row>
    <row r="71" spans="1:82">
      <c r="A71" s="34"/>
      <c r="G71" s="310"/>
      <c r="T71" s="327"/>
      <c r="U71" s="327"/>
      <c r="V71" s="327"/>
      <c r="W71" s="327"/>
      <c r="X71" s="327"/>
      <c r="Y71" s="327"/>
      <c r="BS71" s="327"/>
      <c r="BT71" s="327"/>
      <c r="BU71" s="327"/>
      <c r="BV71" s="327"/>
      <c r="BW71" s="327"/>
      <c r="BX71" s="327"/>
      <c r="BY71" s="327"/>
      <c r="BZ71" s="327"/>
    </row>
    <row r="72" spans="1:82">
      <c r="A72" s="34"/>
      <c r="B72" s="5" t="s">
        <v>491</v>
      </c>
      <c r="G72" s="310"/>
      <c r="T72" s="348">
        <f t="shared" ref="T72:Y72" si="134">+T88</f>
        <v>235.92885479584669</v>
      </c>
      <c r="U72" s="348">
        <f t="shared" si="134"/>
        <v>306.12038778581336</v>
      </c>
      <c r="V72" s="348">
        <f t="shared" si="134"/>
        <v>304.61956479562667</v>
      </c>
      <c r="W72" s="348">
        <f t="shared" si="134"/>
        <v>337.74380918037099</v>
      </c>
      <c r="X72" s="348">
        <f t="shared" si="134"/>
        <v>336.50379056830803</v>
      </c>
      <c r="Y72" s="348">
        <f t="shared" si="134"/>
        <v>338.423553602266</v>
      </c>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8">
        <f t="shared" ref="BS72:CD72" si="135">+BS88</f>
        <v>197.61719845119998</v>
      </c>
      <c r="BT72" s="348">
        <f t="shared" si="135"/>
        <v>245.80485353130672</v>
      </c>
      <c r="BU72" s="348">
        <f t="shared" si="135"/>
        <v>218.32933144806668</v>
      </c>
      <c r="BV72" s="348">
        <f t="shared" si="135"/>
        <v>281.96403575281329</v>
      </c>
      <c r="BW72" s="348">
        <f t="shared" si="135"/>
        <v>258.98585175452001</v>
      </c>
      <c r="BX72" s="348">
        <f t="shared" si="135"/>
        <v>272.62708938842667</v>
      </c>
      <c r="BY72" s="348">
        <f t="shared" si="135"/>
        <v>341.39890662313326</v>
      </c>
      <c r="BZ72" s="348">
        <f t="shared" si="135"/>
        <v>351.4697033771734</v>
      </c>
      <c r="CA72" s="348">
        <f t="shared" si="135"/>
        <v>315.99468381976004</v>
      </c>
      <c r="CB72" s="348">
        <f t="shared" si="135"/>
        <v>291.33266103685332</v>
      </c>
      <c r="CC72" s="348">
        <f t="shared" si="135"/>
        <v>296.20166424962662</v>
      </c>
      <c r="CD72" s="348">
        <f t="shared" si="135"/>
        <v>314.94925007626659</v>
      </c>
    </row>
    <row r="73" spans="1:82">
      <c r="A73" s="34"/>
      <c r="B73" s="5" t="s">
        <v>492</v>
      </c>
      <c r="G73" s="310"/>
      <c r="T73" s="348">
        <f t="shared" ref="T73:Y73" si="136">+T93</f>
        <v>676.0834666666666</v>
      </c>
      <c r="U73" s="348">
        <f>+U93</f>
        <v>718.79797916666655</v>
      </c>
      <c r="V73" s="348">
        <f>+V93</f>
        <v>670.57191666666654</v>
      </c>
      <c r="W73" s="348">
        <f t="shared" si="136"/>
        <v>670.57191666666654</v>
      </c>
      <c r="X73" s="348">
        <f t="shared" si="136"/>
        <v>670.57191666666654</v>
      </c>
      <c r="Y73" s="348">
        <f t="shared" si="136"/>
        <v>670.57191666666654</v>
      </c>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8">
        <f>+BS93</f>
        <v>589.73585000000003</v>
      </c>
      <c r="BT73" s="348">
        <f t="shared" ref="BT73:BZ73" si="137">+BT93</f>
        <v>666.89754999999991</v>
      </c>
      <c r="BU73" s="348">
        <f t="shared" si="137"/>
        <v>727.52459999999996</v>
      </c>
      <c r="BV73" s="348">
        <f t="shared" si="137"/>
        <v>720.17586666666659</v>
      </c>
      <c r="BW73" s="348">
        <f t="shared" si="137"/>
        <v>729.36178333333328</v>
      </c>
      <c r="BX73" s="348">
        <f t="shared" si="137"/>
        <v>703.64121666666665</v>
      </c>
      <c r="BY73" s="348">
        <f t="shared" si="137"/>
        <v>703.64121666666665</v>
      </c>
      <c r="BZ73" s="348">
        <f t="shared" si="137"/>
        <v>738.54769999999996</v>
      </c>
      <c r="CA73" s="348">
        <f>+CA93</f>
        <v>668.73473333333322</v>
      </c>
      <c r="CB73" s="348">
        <f>+CB93</f>
        <v>611.78205000000003</v>
      </c>
      <c r="CC73" s="348">
        <f>+CC93</f>
        <v>694.45529999999997</v>
      </c>
      <c r="CD73" s="348">
        <f>+CD93</f>
        <v>707.31558333333339</v>
      </c>
    </row>
    <row r="74" spans="1:82">
      <c r="A74" s="34"/>
      <c r="B74" s="18" t="s">
        <v>490</v>
      </c>
      <c r="G74" s="310"/>
      <c r="T74" s="39">
        <f>T43/T70*1000</f>
        <v>402.88584457842063</v>
      </c>
      <c r="U74" s="39">
        <f>U43/U70*1000</f>
        <v>425.94888146372512</v>
      </c>
      <c r="V74" s="39">
        <f t="shared" ref="V74:Y74" si="138">+V43/(MIN(V70,V68))*1000</f>
        <v>304.61956479562667</v>
      </c>
      <c r="W74" s="39">
        <f t="shared" si="138"/>
        <v>337.74380918037099</v>
      </c>
      <c r="X74" s="39">
        <f>+X43/(MIN(X70,X68))*1000</f>
        <v>336.50379056830803</v>
      </c>
      <c r="Y74" s="39">
        <f t="shared" si="138"/>
        <v>338.423553602266</v>
      </c>
      <c r="Z74" s="34"/>
      <c r="AA74" s="34"/>
      <c r="AB74" s="34"/>
      <c r="AC74" s="34"/>
      <c r="AD74" s="34"/>
      <c r="AE74" s="34"/>
      <c r="AF74" s="34"/>
      <c r="AG74" s="34"/>
      <c r="AH74" s="34"/>
      <c r="AI74" s="34"/>
      <c r="AJ74" s="34"/>
      <c r="AK74" s="34"/>
      <c r="AL74" s="34"/>
      <c r="AM74" s="34"/>
      <c r="AN74" s="34"/>
      <c r="AO74" s="34"/>
      <c r="AP74" s="34"/>
      <c r="AQ74" s="34"/>
      <c r="AR74" s="34"/>
      <c r="AS74" s="34"/>
      <c r="AT74" s="34"/>
      <c r="AU74" s="34"/>
      <c r="AV74" s="34"/>
      <c r="AW74" s="34"/>
      <c r="AX74" s="34"/>
      <c r="AY74" s="34"/>
      <c r="AZ74" s="34"/>
      <c r="BA74" s="34"/>
      <c r="BB74" s="34"/>
      <c r="BC74" s="34"/>
      <c r="BD74" s="34"/>
      <c r="BE74" s="34"/>
      <c r="BF74" s="34"/>
      <c r="BG74" s="34"/>
      <c r="BH74" s="34"/>
      <c r="BI74" s="34"/>
      <c r="BJ74" s="34"/>
      <c r="BK74" s="34"/>
      <c r="BL74" s="34"/>
      <c r="BM74" s="34"/>
      <c r="BN74" s="34"/>
      <c r="BO74" s="34"/>
      <c r="BP74" s="34"/>
      <c r="BQ74" s="34"/>
      <c r="BR74" s="34"/>
      <c r="BS74" s="39">
        <f>BS43/BS70*1000</f>
        <v>346.35345597200836</v>
      </c>
      <c r="BT74" s="39">
        <f t="shared" ref="BT74:BX74" si="139">BT43/BT70*1000</f>
        <v>405.53138399527376</v>
      </c>
      <c r="BU74" s="39">
        <f t="shared" si="139"/>
        <v>411.47443763614092</v>
      </c>
      <c r="BV74" s="39">
        <f t="shared" si="139"/>
        <v>448.18410071025954</v>
      </c>
      <c r="BW74" s="39">
        <f t="shared" si="139"/>
        <v>437.40622378874741</v>
      </c>
      <c r="BX74" s="39">
        <f t="shared" si="139"/>
        <v>436.11696159101029</v>
      </c>
      <c r="BY74" s="39">
        <f>+BY43/(MIN(BY70,BY68))*1000</f>
        <v>771.40930906971062</v>
      </c>
      <c r="BZ74" s="39">
        <f t="shared" ref="BZ74:CD74" si="140">+BZ43/(MIN(BZ70,BZ68))*1000</f>
        <v>351.4697033771734</v>
      </c>
      <c r="CA74" s="39">
        <f t="shared" si="140"/>
        <v>315.9946838197601</v>
      </c>
      <c r="CB74" s="39">
        <f t="shared" si="140"/>
        <v>291.33266103685332</v>
      </c>
      <c r="CC74" s="39">
        <f t="shared" si="140"/>
        <v>296.20166424962662</v>
      </c>
      <c r="CD74" s="39">
        <f t="shared" si="140"/>
        <v>314.94925007626659</v>
      </c>
    </row>
    <row r="75" spans="1:82">
      <c r="A75" s="34"/>
      <c r="G75" s="310"/>
      <c r="T75" s="455"/>
      <c r="U75" s="455"/>
      <c r="V75" s="455"/>
      <c r="W75" s="455"/>
      <c r="X75" s="455"/>
      <c r="Y75" s="455"/>
      <c r="BS75" s="36"/>
      <c r="BT75" s="36"/>
      <c r="BU75" s="36"/>
      <c r="BV75" s="36"/>
      <c r="BW75" s="36"/>
      <c r="BX75" s="36"/>
      <c r="BY75" s="36"/>
      <c r="BZ75" s="36"/>
    </row>
    <row r="76" spans="1:82">
      <c r="A76" s="34"/>
      <c r="B76" s="149" t="s">
        <v>481</v>
      </c>
      <c r="G76" s="310"/>
      <c r="T76" s="36"/>
      <c r="U76" s="36"/>
      <c r="V76" s="36"/>
      <c r="W76" s="36"/>
      <c r="X76" s="36"/>
      <c r="Y76" s="36"/>
      <c r="BS76" s="36"/>
      <c r="BT76" s="36"/>
      <c r="BU76" s="36"/>
      <c r="BV76" s="36"/>
      <c r="BW76" s="36"/>
      <c r="BX76" s="36"/>
      <c r="BY76" s="36"/>
      <c r="BZ76" s="36"/>
    </row>
    <row r="77" spans="1:82">
      <c r="A77" s="34"/>
      <c r="B77" s="18" t="s">
        <v>518</v>
      </c>
      <c r="G77" s="310"/>
      <c r="T77" s="36"/>
      <c r="V77" s="314"/>
      <c r="W77" s="36"/>
      <c r="X77" s="36"/>
      <c r="BS77" s="36"/>
      <c r="BT77" s="36"/>
      <c r="BU77" s="36"/>
      <c r="BV77" s="36"/>
      <c r="BW77" s="36"/>
      <c r="BX77" s="36"/>
      <c r="BY77" s="36"/>
      <c r="BZ77" s="36"/>
    </row>
    <row r="78" spans="1:82">
      <c r="A78" s="34"/>
      <c r="B78" s="5" t="s">
        <v>392</v>
      </c>
      <c r="G78" s="310"/>
      <c r="T78" s="314">
        <f>SUMPRODUCT(BS$70:BV$70,BS78:BV78)/SUM(BS$70:BV$70)</f>
        <v>0.8</v>
      </c>
      <c r="U78" s="314">
        <f>SUMPRODUCT(BW$70:BZ$70,BW78:BZ78)/SUM(BW$70:BZ$70)</f>
        <v>0.8</v>
      </c>
      <c r="V78" s="438">
        <f>SUMPRODUCT(CA$70:CD$70,CA78:CD78)/SUM(CA$70:CD$70)</f>
        <v>0.8</v>
      </c>
      <c r="W78" s="398">
        <f t="shared" ref="W78:Y80" si="141">+V78</f>
        <v>0.8</v>
      </c>
      <c r="X78" s="398">
        <f t="shared" si="141"/>
        <v>0.8</v>
      </c>
      <c r="Y78" s="398">
        <f t="shared" si="141"/>
        <v>0.8</v>
      </c>
      <c r="BS78" s="313">
        <v>0.8</v>
      </c>
      <c r="BT78" s="398">
        <f>+BS78</f>
        <v>0.8</v>
      </c>
      <c r="BU78" s="398">
        <f t="shared" ref="BU78:BZ78" si="142">+BT78</f>
        <v>0.8</v>
      </c>
      <c r="BV78" s="398">
        <f t="shared" si="142"/>
        <v>0.8</v>
      </c>
      <c r="BW78" s="398">
        <f t="shared" si="142"/>
        <v>0.8</v>
      </c>
      <c r="BX78" s="398">
        <f t="shared" si="142"/>
        <v>0.8</v>
      </c>
      <c r="BY78" s="398">
        <f t="shared" si="142"/>
        <v>0.8</v>
      </c>
      <c r="BZ78" s="398">
        <f t="shared" si="142"/>
        <v>0.8</v>
      </c>
      <c r="CA78" s="398">
        <f t="shared" ref="CA78:CD80" si="143">+BZ78</f>
        <v>0.8</v>
      </c>
      <c r="CB78" s="398">
        <f t="shared" si="143"/>
        <v>0.8</v>
      </c>
      <c r="CC78" s="398">
        <f t="shared" si="143"/>
        <v>0.8</v>
      </c>
      <c r="CD78" s="398">
        <f t="shared" si="143"/>
        <v>0.8</v>
      </c>
    </row>
    <row r="79" spans="1:82">
      <c r="A79" s="34"/>
      <c r="B79" s="5" t="s">
        <v>393</v>
      </c>
      <c r="G79" s="310"/>
      <c r="T79" s="314">
        <f>SUMPRODUCT(BS$70:BV$70,BS79:BV79)/SUM(BS$70:BV$70)</f>
        <v>0.2</v>
      </c>
      <c r="U79" s="314">
        <f>SUMPRODUCT(BW$70:BZ$70,BW79:BZ79)/SUM(BW$70:BZ$70)</f>
        <v>0.2</v>
      </c>
      <c r="V79" s="438">
        <f>SUMPRODUCT(CA$70:CD$70,CA79:CD79)/SUM(CA$70:CD$70)</f>
        <v>0.2</v>
      </c>
      <c r="W79" s="398">
        <f t="shared" si="141"/>
        <v>0.2</v>
      </c>
      <c r="X79" s="398">
        <f t="shared" si="141"/>
        <v>0.2</v>
      </c>
      <c r="Y79" s="398">
        <f t="shared" si="141"/>
        <v>0.2</v>
      </c>
      <c r="BS79" s="313">
        <v>0.2</v>
      </c>
      <c r="BT79" s="398">
        <f t="shared" ref="BT79:BZ79" si="144">+BS79</f>
        <v>0.2</v>
      </c>
      <c r="BU79" s="398">
        <f t="shared" si="144"/>
        <v>0.2</v>
      </c>
      <c r="BV79" s="398">
        <f t="shared" si="144"/>
        <v>0.2</v>
      </c>
      <c r="BW79" s="398">
        <f t="shared" si="144"/>
        <v>0.2</v>
      </c>
      <c r="BX79" s="398">
        <f t="shared" si="144"/>
        <v>0.2</v>
      </c>
      <c r="BY79" s="398">
        <f t="shared" si="144"/>
        <v>0.2</v>
      </c>
      <c r="BZ79" s="398">
        <f t="shared" si="144"/>
        <v>0.2</v>
      </c>
      <c r="CA79" s="398">
        <f t="shared" si="143"/>
        <v>0.2</v>
      </c>
      <c r="CB79" s="398">
        <f t="shared" si="143"/>
        <v>0.2</v>
      </c>
      <c r="CC79" s="398">
        <f t="shared" si="143"/>
        <v>0.2</v>
      </c>
      <c r="CD79" s="398">
        <f t="shared" si="143"/>
        <v>0.2</v>
      </c>
    </row>
    <row r="80" spans="1:82">
      <c r="A80" s="34"/>
      <c r="B80" s="5" t="s">
        <v>394</v>
      </c>
      <c r="G80" s="310"/>
      <c r="T80" s="314">
        <f>SUMPRODUCT(BS$70:BV$70,BS80:BV80)/SUM(BS$70:BV$70)</f>
        <v>0</v>
      </c>
      <c r="U80" s="314">
        <f>SUMPRODUCT(BW$70:BZ$70,BW80:BZ80)/SUM(BW$70:BZ$70)</f>
        <v>0</v>
      </c>
      <c r="V80" s="438">
        <f>SUMPRODUCT(CA$70:CD$70,CA80:CD80)/SUM(CA$70:CD$70)</f>
        <v>0</v>
      </c>
      <c r="W80" s="398">
        <f t="shared" si="141"/>
        <v>0</v>
      </c>
      <c r="X80" s="398">
        <f t="shared" si="141"/>
        <v>0</v>
      </c>
      <c r="Y80" s="398">
        <f t="shared" si="141"/>
        <v>0</v>
      </c>
      <c r="BS80" s="313">
        <v>0</v>
      </c>
      <c r="BT80" s="398">
        <f t="shared" ref="BT80:BZ80" si="145">+BS80</f>
        <v>0</v>
      </c>
      <c r="BU80" s="398">
        <f t="shared" si="145"/>
        <v>0</v>
      </c>
      <c r="BV80" s="398">
        <f t="shared" si="145"/>
        <v>0</v>
      </c>
      <c r="BW80" s="398">
        <f t="shared" si="145"/>
        <v>0</v>
      </c>
      <c r="BX80" s="398">
        <f t="shared" si="145"/>
        <v>0</v>
      </c>
      <c r="BY80" s="398">
        <f t="shared" si="145"/>
        <v>0</v>
      </c>
      <c r="BZ80" s="398">
        <f t="shared" si="145"/>
        <v>0</v>
      </c>
      <c r="CA80" s="398">
        <f t="shared" si="143"/>
        <v>0</v>
      </c>
      <c r="CB80" s="398">
        <f t="shared" si="143"/>
        <v>0</v>
      </c>
      <c r="CC80" s="398">
        <f t="shared" si="143"/>
        <v>0</v>
      </c>
      <c r="CD80" s="398">
        <f t="shared" si="143"/>
        <v>0</v>
      </c>
    </row>
    <row r="81" spans="1:82">
      <c r="A81" s="34"/>
      <c r="G81" s="310"/>
      <c r="T81" s="36"/>
      <c r="U81" s="36"/>
      <c r="V81" s="36"/>
      <c r="W81" s="36"/>
      <c r="X81" s="36"/>
      <c r="Y81" s="36"/>
      <c r="BS81" s="36"/>
      <c r="BT81" s="36"/>
      <c r="BU81" s="36"/>
      <c r="BV81" s="36"/>
      <c r="BW81" s="36"/>
      <c r="BX81" s="36"/>
      <c r="BY81" s="36"/>
      <c r="BZ81" s="36"/>
    </row>
    <row r="82" spans="1:82">
      <c r="A82" s="34"/>
      <c r="B82" s="18" t="s">
        <v>487</v>
      </c>
      <c r="G82" s="310"/>
      <c r="T82" s="36"/>
      <c r="V82" s="36"/>
      <c r="W82" s="77"/>
      <c r="X82" s="77"/>
      <c r="Y82" s="77"/>
      <c r="BS82" s="36"/>
      <c r="BT82" s="36"/>
      <c r="BU82" s="36"/>
      <c r="BV82" s="36"/>
      <c r="BW82" s="472"/>
      <c r="BX82" s="472"/>
      <c r="BY82" s="472"/>
      <c r="BZ82" s="472"/>
      <c r="CA82" s="472"/>
      <c r="CB82" s="472"/>
      <c r="CC82" s="472"/>
      <c r="CD82" s="472"/>
    </row>
    <row r="83" spans="1:82">
      <c r="A83" s="34"/>
      <c r="B83" s="5" t="s">
        <v>484</v>
      </c>
      <c r="G83" s="310"/>
      <c r="T83" s="36">
        <f>SUMPRODUCT(BS$70:BV$70,BS83:BV83)/SUM(BS$70:BV$70)</f>
        <v>10.518713666666667</v>
      </c>
      <c r="U83" s="36">
        <f>SUMPRODUCT(BW$70:BZ$70,BW83:BZ83)/SUM(BW$70:BZ$70)</f>
        <v>12.129086166666667</v>
      </c>
      <c r="V83" s="285">
        <f>SUMPRODUCT(CA$70:CD$70,CA83:CD83)/SUM(CA$70:CD$70)</f>
        <v>12.970477333333333</v>
      </c>
      <c r="W83" s="40">
        <f>((0.4215*W398)+0.029775)*100</f>
        <v>14.848592631249998</v>
      </c>
      <c r="X83" s="40">
        <f>((0.4215*X398)+0.029775)*100</f>
        <v>14.778284675000004</v>
      </c>
      <c r="Y83" s="40">
        <f>((0.4215*Y398)+0.029775)*100</f>
        <v>14.8871335375</v>
      </c>
      <c r="BS83" s="265">
        <v>9.0172329999999974</v>
      </c>
      <c r="BT83" s="265">
        <v>10.709100000000001</v>
      </c>
      <c r="BU83" s="265">
        <v>10.149097333333334</v>
      </c>
      <c r="BV83" s="265">
        <v>12.199424333333333</v>
      </c>
      <c r="BW83" s="265">
        <v>10.908284</v>
      </c>
      <c r="BX83" s="265">
        <v>11.954997333333333</v>
      </c>
      <c r="BY83" s="265">
        <v>13.375191666666666</v>
      </c>
      <c r="BZ83" s="265">
        <v>12.277871666666668</v>
      </c>
      <c r="CA83" s="265">
        <v>12.224660333333333</v>
      </c>
      <c r="CB83" s="265">
        <v>12.342637</v>
      </c>
      <c r="CC83" s="265">
        <v>13.321704999999998</v>
      </c>
      <c r="CD83" s="265">
        <v>13.992906999999999</v>
      </c>
    </row>
    <row r="84" spans="1:82">
      <c r="A84" s="34"/>
      <c r="B84" s="5" t="s">
        <v>485</v>
      </c>
      <c r="G84" s="310"/>
      <c r="T84" s="36">
        <f>SUMPRODUCT(BS$70:BV$70,BS84:BV84)/SUM(BS$70:BV$70)</f>
        <v>11.432973166666665</v>
      </c>
      <c r="U84" s="36">
        <f>SUMPRODUCT(BW$70:BZ$70,BW84:BZ84)/SUM(BW$70:BZ$70)</f>
        <v>20.910674000000004</v>
      </c>
      <c r="V84" s="285">
        <f>SUMPRODUCT(CA$70:CD$70,CA84:CD84)/SUM(CA$70:CD$70)</f>
        <v>17.204727999999999</v>
      </c>
      <c r="W84" s="349">
        <f t="shared" ref="W84:Y85" si="146">+V84</f>
        <v>17.204727999999999</v>
      </c>
      <c r="X84" s="349">
        <f t="shared" si="146"/>
        <v>17.204727999999999</v>
      </c>
      <c r="Y84" s="349">
        <f t="shared" si="146"/>
        <v>17.204727999999999</v>
      </c>
      <c r="BS84" s="265">
        <v>8.7499479999999998</v>
      </c>
      <c r="BT84" s="265">
        <v>12.911269333333333</v>
      </c>
      <c r="BU84" s="265">
        <v>8.9199289999999998</v>
      </c>
      <c r="BV84" s="265">
        <v>15.150746333333331</v>
      </c>
      <c r="BW84" s="265">
        <v>15.103937</v>
      </c>
      <c r="BX84" s="265">
        <v>14.010868000000002</v>
      </c>
      <c r="BY84" s="265">
        <v>23.927295000000001</v>
      </c>
      <c r="BZ84" s="265">
        <v>30.600596000000003</v>
      </c>
      <c r="CA84" s="265">
        <v>22.767832666666667</v>
      </c>
      <c r="CB84" s="265">
        <v>16.702666666666666</v>
      </c>
      <c r="CC84" s="265">
        <v>13.890667333333331</v>
      </c>
      <c r="CD84" s="265">
        <v>15.457745333333332</v>
      </c>
    </row>
    <row r="85" spans="1:82">
      <c r="A85" s="34"/>
      <c r="B85" s="5" t="s">
        <v>486</v>
      </c>
      <c r="G85" s="310"/>
      <c r="T85" s="36">
        <f>SUMPRODUCT(BS$70:BV$70,BS85:BV85)/SUM(BS$70:BV$70)</f>
        <v>21.759909999999998</v>
      </c>
      <c r="U85" s="36">
        <f>SUMPRODUCT(BW$70:BZ$70,BW85:BZ85)/SUM(BW$70:BZ$70)</f>
        <v>20.7420215</v>
      </c>
      <c r="V85" s="285">
        <f>SUMPRODUCT(CA$70:CD$70,CA85:CD85)/SUM(CA$70:CD$70)</f>
        <v>32.662652666666666</v>
      </c>
      <c r="W85" s="349">
        <f t="shared" si="146"/>
        <v>32.662652666666666</v>
      </c>
      <c r="X85" s="349">
        <f t="shared" si="146"/>
        <v>32.662652666666666</v>
      </c>
      <c r="Y85" s="349">
        <f t="shared" si="146"/>
        <v>32.662652666666666</v>
      </c>
      <c r="BS85" s="265">
        <v>17.650810666666665</v>
      </c>
      <c r="BT85" s="265">
        <v>23.060054666666666</v>
      </c>
      <c r="BU85" s="265">
        <v>20.512227666666668</v>
      </c>
      <c r="BV85" s="265">
        <v>25.816547</v>
      </c>
      <c r="BW85" s="265">
        <v>11.579468333333333</v>
      </c>
      <c r="BX85" s="265">
        <v>17.240597333333334</v>
      </c>
      <c r="BY85" s="265">
        <v>24.232672333333337</v>
      </c>
      <c r="BZ85" s="265">
        <v>29.915347999999998</v>
      </c>
      <c r="CA85" s="265">
        <v>31.53778333333333</v>
      </c>
      <c r="CB85" s="265">
        <v>32.001282333333329</v>
      </c>
      <c r="CC85" s="265">
        <v>35.246421666666663</v>
      </c>
      <c r="CD85" s="265">
        <v>31.865123333333333</v>
      </c>
    </row>
    <row r="86" spans="1:82">
      <c r="A86" s="34"/>
      <c r="G86" s="310"/>
      <c r="T86" s="36"/>
      <c r="W86" s="36"/>
      <c r="X86" s="36"/>
      <c r="Y86" s="36"/>
    </row>
    <row r="87" spans="1:82" s="7" customFormat="1">
      <c r="A87" s="51"/>
      <c r="B87" s="142" t="s">
        <v>488</v>
      </c>
      <c r="G87" s="310"/>
      <c r="T87" s="315">
        <f>SUMPRODUCT(BS$70:BV$70,BS87:BV87)/SUM(BS$70:BV$70)</f>
        <v>10.701565566666668</v>
      </c>
      <c r="U87" s="315">
        <f>SUMPRODUCT(BW$70:BZ$70,BW87:BZ87)/SUM(BW$70:BZ$70)</f>
        <v>13.885403733333334</v>
      </c>
      <c r="V87" s="315">
        <f>SUMPRODUCT(V78:V80,V83:V85)</f>
        <v>13.817327466666669</v>
      </c>
      <c r="W87" s="315">
        <f>SUMPRODUCT(W78:W80,W83:W85)</f>
        <v>15.319819705</v>
      </c>
      <c r="X87" s="315">
        <f>SUMPRODUCT(X78:X80,X83:X85)</f>
        <v>15.263573340000004</v>
      </c>
      <c r="Y87" s="315">
        <f>SUMPRODUCT(Y78:Y80,Y83:Y85)</f>
        <v>15.35065243</v>
      </c>
      <c r="BS87" s="315">
        <f t="shared" ref="BS87:BZ87" si="147">SUMPRODUCT(BS78:BS80,BS83:BS85)</f>
        <v>8.9637759999999993</v>
      </c>
      <c r="BT87" s="315">
        <f t="shared" si="147"/>
        <v>11.149533866666669</v>
      </c>
      <c r="BU87" s="315">
        <f t="shared" si="147"/>
        <v>9.9032636666666676</v>
      </c>
      <c r="BV87" s="315">
        <f t="shared" si="147"/>
        <v>12.789688733333332</v>
      </c>
      <c r="BW87" s="315">
        <f t="shared" si="147"/>
        <v>11.747414600000001</v>
      </c>
      <c r="BX87" s="315">
        <f t="shared" si="147"/>
        <v>12.366171466666668</v>
      </c>
      <c r="BY87" s="315">
        <f t="shared" si="147"/>
        <v>15.485612333333332</v>
      </c>
      <c r="BZ87" s="315">
        <f t="shared" si="147"/>
        <v>15.942416533333336</v>
      </c>
      <c r="CA87" s="315">
        <f>SUMPRODUCT(CA78:CA80,CA83:CA85)</f>
        <v>14.333294800000001</v>
      </c>
      <c r="CB87" s="315">
        <f>SUMPRODUCT(CB78:CB80,CB83:CB85)</f>
        <v>13.214642933333334</v>
      </c>
      <c r="CC87" s="315">
        <f>SUMPRODUCT(CC78:CC80,CC83:CC85)</f>
        <v>13.435497466666666</v>
      </c>
      <c r="CD87" s="315">
        <f>SUMPRODUCT(CD78:CD80,CD83:CD85)</f>
        <v>14.285874666666665</v>
      </c>
    </row>
    <row r="88" spans="1:82">
      <c r="A88" s="34"/>
      <c r="B88" s="18" t="s">
        <v>489</v>
      </c>
      <c r="G88" s="316">
        <v>2204.62</v>
      </c>
      <c r="T88" s="304">
        <f t="shared" ref="T88:Y88" si="148">T87/100*$G$88</f>
        <v>235.92885479584669</v>
      </c>
      <c r="U88" s="304">
        <f t="shared" si="148"/>
        <v>306.12038778581336</v>
      </c>
      <c r="V88" s="304">
        <f>V87/100*$G$88</f>
        <v>304.61956479562667</v>
      </c>
      <c r="W88" s="304">
        <f t="shared" si="148"/>
        <v>337.74380918037099</v>
      </c>
      <c r="X88" s="304">
        <f t="shared" si="148"/>
        <v>336.50379056830803</v>
      </c>
      <c r="Y88" s="304">
        <f t="shared" si="148"/>
        <v>338.423553602266</v>
      </c>
      <c r="Z88" s="304"/>
      <c r="BS88" s="304">
        <f t="shared" ref="BS88:BZ88" si="149">BS87/100*$G$88</f>
        <v>197.61719845119998</v>
      </c>
      <c r="BT88" s="304">
        <f t="shared" si="149"/>
        <v>245.80485353130672</v>
      </c>
      <c r="BU88" s="304">
        <f t="shared" si="149"/>
        <v>218.32933144806668</v>
      </c>
      <c r="BV88" s="304">
        <f t="shared" si="149"/>
        <v>281.96403575281329</v>
      </c>
      <c r="BW88" s="304">
        <f t="shared" si="149"/>
        <v>258.98585175452001</v>
      </c>
      <c r="BX88" s="304">
        <f t="shared" si="149"/>
        <v>272.62708938842667</v>
      </c>
      <c r="BY88" s="304">
        <f t="shared" si="149"/>
        <v>341.39890662313326</v>
      </c>
      <c r="BZ88" s="304">
        <f t="shared" si="149"/>
        <v>351.4697033771734</v>
      </c>
      <c r="CA88" s="304">
        <f>CA87/100*$G$88</f>
        <v>315.99468381976004</v>
      </c>
      <c r="CB88" s="304">
        <f>CB87/100*$G$88</f>
        <v>291.33266103685332</v>
      </c>
      <c r="CC88" s="304">
        <f>CC87/100*$G$88</f>
        <v>296.20166424962662</v>
      </c>
      <c r="CD88" s="304">
        <f>CD87/100*$G$88</f>
        <v>314.94925007626659</v>
      </c>
    </row>
    <row r="89" spans="1:82">
      <c r="A89" s="34"/>
      <c r="B89" s="18"/>
      <c r="G89" s="310"/>
      <c r="T89" s="36"/>
      <c r="U89" s="36"/>
      <c r="V89" s="36"/>
      <c r="W89" s="36"/>
      <c r="X89" s="36"/>
      <c r="Y89" s="36"/>
      <c r="BS89" s="315"/>
      <c r="BT89" s="315"/>
      <c r="BU89" s="315"/>
      <c r="BV89" s="315"/>
      <c r="BX89" s="315"/>
      <c r="BY89" s="315"/>
      <c r="BZ89" s="315"/>
    </row>
    <row r="90" spans="1:82">
      <c r="A90" s="34"/>
      <c r="B90" s="149" t="s">
        <v>483</v>
      </c>
      <c r="G90" s="310"/>
      <c r="T90" s="36"/>
      <c r="U90" s="36"/>
      <c r="V90" s="36"/>
      <c r="W90" s="36"/>
      <c r="X90" s="36"/>
      <c r="Y90" s="36"/>
    </row>
    <row r="91" spans="1:82">
      <c r="A91" s="34"/>
      <c r="B91" s="5" t="s">
        <v>494</v>
      </c>
      <c r="G91" s="310"/>
      <c r="T91" s="348">
        <f t="shared" ref="T91:Y91" si="150">T393</f>
        <v>676.0834666666666</v>
      </c>
      <c r="U91" s="348">
        <f t="shared" si="150"/>
        <v>718.79797916666655</v>
      </c>
      <c r="V91" s="348">
        <f t="shared" si="150"/>
        <v>670.57191666666654</v>
      </c>
      <c r="W91" s="348">
        <f t="shared" si="150"/>
        <v>670.57191666666654</v>
      </c>
      <c r="X91" s="348">
        <f t="shared" si="150"/>
        <v>670.57191666666654</v>
      </c>
      <c r="Y91" s="348">
        <f t="shared" si="150"/>
        <v>670.57191666666654</v>
      </c>
      <c r="Z91" s="348"/>
      <c r="AA91" s="397"/>
      <c r="AB91" s="397"/>
      <c r="AC91" s="348"/>
      <c r="AD91" s="348"/>
      <c r="AE91" s="348"/>
      <c r="AF91" s="348"/>
      <c r="AG91" s="348"/>
      <c r="AH91" s="348"/>
      <c r="AI91" s="348"/>
      <c r="AJ91" s="348"/>
      <c r="AK91" s="348"/>
      <c r="AL91" s="348"/>
      <c r="AM91" s="348"/>
      <c r="AN91" s="348"/>
      <c r="AO91" s="348"/>
      <c r="AP91" s="348"/>
      <c r="AQ91" s="348"/>
      <c r="AR91" s="348"/>
      <c r="AS91" s="348"/>
      <c r="AT91" s="348"/>
      <c r="AU91" s="348"/>
      <c r="AV91" s="348"/>
      <c r="AW91" s="348"/>
      <c r="AX91" s="348"/>
      <c r="AY91" s="348"/>
      <c r="AZ91" s="348"/>
      <c r="BA91" s="348"/>
      <c r="BB91" s="348"/>
      <c r="BC91" s="348"/>
      <c r="BD91" s="348"/>
      <c r="BE91" s="348"/>
      <c r="BF91" s="348"/>
      <c r="BG91" s="348"/>
      <c r="BH91" s="348"/>
      <c r="BI91" s="348"/>
      <c r="BJ91" s="348"/>
      <c r="BK91" s="348"/>
      <c r="BL91" s="348"/>
      <c r="BM91" s="348"/>
      <c r="BN91" s="348"/>
      <c r="BO91" s="348"/>
      <c r="BP91" s="348"/>
      <c r="BQ91" s="348"/>
      <c r="BR91" s="348"/>
      <c r="BS91" s="348">
        <f t="shared" ref="BS91:CD91" si="151">BS393</f>
        <v>589.73585000000003</v>
      </c>
      <c r="BT91" s="348">
        <f t="shared" si="151"/>
        <v>666.89754999999991</v>
      </c>
      <c r="BU91" s="348">
        <f t="shared" si="151"/>
        <v>727.52459999999996</v>
      </c>
      <c r="BV91" s="348">
        <f t="shared" si="151"/>
        <v>720.17586666666659</v>
      </c>
      <c r="BW91" s="348">
        <f t="shared" si="151"/>
        <v>729.36178333333328</v>
      </c>
      <c r="BX91" s="348">
        <f t="shared" si="151"/>
        <v>703.64121666666665</v>
      </c>
      <c r="BY91" s="348">
        <f t="shared" si="151"/>
        <v>703.64121666666665</v>
      </c>
      <c r="BZ91" s="348">
        <f t="shared" si="151"/>
        <v>738.54769999999996</v>
      </c>
      <c r="CA91" s="348">
        <f t="shared" si="151"/>
        <v>668.73473333333322</v>
      </c>
      <c r="CB91" s="348">
        <f t="shared" si="151"/>
        <v>611.78205000000003</v>
      </c>
      <c r="CC91" s="348">
        <f t="shared" si="151"/>
        <v>694.45529999999997</v>
      </c>
      <c r="CD91" s="348">
        <f t="shared" si="151"/>
        <v>707.31558333333339</v>
      </c>
    </row>
    <row r="92" spans="1:82">
      <c r="A92" s="34"/>
      <c r="B92" s="266" t="s">
        <v>431</v>
      </c>
      <c r="T92" s="292">
        <f>+T93/T91-1</f>
        <v>0</v>
      </c>
      <c r="U92" s="292">
        <f>+U93/U91-1</f>
        <v>0</v>
      </c>
      <c r="V92" s="292">
        <f>+V93/V91-1</f>
        <v>0</v>
      </c>
      <c r="W92" s="291">
        <v>0</v>
      </c>
      <c r="X92" s="291">
        <v>0</v>
      </c>
      <c r="Y92" s="291">
        <v>0</v>
      </c>
      <c r="BS92" s="291">
        <v>0</v>
      </c>
      <c r="BT92" s="291">
        <v>0</v>
      </c>
      <c r="BU92" s="291">
        <v>0</v>
      </c>
      <c r="BV92" s="291">
        <v>0</v>
      </c>
      <c r="BW92" s="291">
        <v>0</v>
      </c>
      <c r="BX92" s="291">
        <v>0</v>
      </c>
      <c r="BY92" s="291">
        <v>0</v>
      </c>
      <c r="BZ92" s="291">
        <v>0</v>
      </c>
      <c r="CA92" s="291">
        <v>0</v>
      </c>
      <c r="CB92" s="291">
        <v>0</v>
      </c>
      <c r="CC92" s="291">
        <v>0</v>
      </c>
      <c r="CD92" s="291">
        <v>0</v>
      </c>
    </row>
    <row r="93" spans="1:82">
      <c r="A93" s="34"/>
      <c r="B93" s="244" t="s">
        <v>495</v>
      </c>
      <c r="T93" s="319">
        <f>SUMPRODUCT(BS$70:BV$70,BS93:BV93)/SUM(BS$70:BV$70)</f>
        <v>676.0834666666666</v>
      </c>
      <c r="U93" s="319">
        <f>SUMPRODUCT(BW$70:BZ$70,BW93:BZ93)/SUM(BW$70:BZ$70)</f>
        <v>718.79797916666655</v>
      </c>
      <c r="V93" s="319">
        <f>SUMPRODUCT(CA$70:CD$70,CA93:CD93)/SUM(CA$70:CD$70)</f>
        <v>670.57191666666654</v>
      </c>
      <c r="W93" s="319">
        <f>W91*(1+W92)</f>
        <v>670.57191666666654</v>
      </c>
      <c r="X93" s="319">
        <f>X91*(1+X92)</f>
        <v>670.57191666666654</v>
      </c>
      <c r="Y93" s="319">
        <f>Y91*(1+Y92)</f>
        <v>670.57191666666654</v>
      </c>
      <c r="BS93" s="319">
        <f>BS91*(1+BS92)</f>
        <v>589.73585000000003</v>
      </c>
      <c r="BT93" s="319">
        <f t="shared" ref="BT93:CD93" si="152">BT91*(1+BT92)</f>
        <v>666.89754999999991</v>
      </c>
      <c r="BU93" s="319">
        <f t="shared" si="152"/>
        <v>727.52459999999996</v>
      </c>
      <c r="BV93" s="319">
        <f t="shared" si="152"/>
        <v>720.17586666666659</v>
      </c>
      <c r="BW93" s="319">
        <f t="shared" si="152"/>
        <v>729.36178333333328</v>
      </c>
      <c r="BX93" s="319">
        <f t="shared" si="152"/>
        <v>703.64121666666665</v>
      </c>
      <c r="BY93" s="319">
        <f t="shared" si="152"/>
        <v>703.64121666666665</v>
      </c>
      <c r="BZ93" s="319">
        <f t="shared" si="152"/>
        <v>738.54769999999996</v>
      </c>
      <c r="CA93" s="319">
        <f t="shared" si="152"/>
        <v>668.73473333333322</v>
      </c>
      <c r="CB93" s="319">
        <f t="shared" si="152"/>
        <v>611.78205000000003</v>
      </c>
      <c r="CC93" s="319">
        <f t="shared" si="152"/>
        <v>694.45529999999997</v>
      </c>
      <c r="CD93" s="319">
        <f t="shared" si="152"/>
        <v>707.31558333333339</v>
      </c>
    </row>
    <row r="94" spans="1:82">
      <c r="A94" s="34"/>
      <c r="B94" s="244"/>
      <c r="T94" s="320"/>
      <c r="V94" s="320"/>
      <c r="W94" s="320"/>
      <c r="X94" s="320"/>
      <c r="BS94" s="320"/>
      <c r="BT94" s="456"/>
      <c r="BU94" s="320"/>
      <c r="BV94" s="320"/>
      <c r="BW94" s="320"/>
      <c r="BX94" s="320"/>
      <c r="BY94" s="320"/>
      <c r="BZ94" s="320"/>
    </row>
    <row r="95" spans="1:82">
      <c r="A95" s="34"/>
      <c r="B95" s="149" t="s">
        <v>627</v>
      </c>
      <c r="G95" s="310"/>
      <c r="T95" s="44"/>
      <c r="U95" s="36"/>
      <c r="V95" s="36"/>
      <c r="W95" s="36"/>
      <c r="X95" s="36"/>
      <c r="Y95" s="36"/>
      <c r="BS95" s="36"/>
      <c r="BT95" s="36"/>
      <c r="BU95" s="456"/>
      <c r="BV95" s="456"/>
      <c r="BW95" s="36"/>
      <c r="BX95" s="36"/>
      <c r="BY95" s="36"/>
      <c r="BZ95" s="36"/>
    </row>
    <row r="96" spans="1:82">
      <c r="A96" s="51"/>
      <c r="B96" s="5" t="s">
        <v>628</v>
      </c>
      <c r="G96" s="270">
        <v>0.49</v>
      </c>
      <c r="H96" s="51"/>
      <c r="I96" s="51"/>
      <c r="J96" s="51"/>
      <c r="K96" s="51"/>
      <c r="L96" s="51"/>
      <c r="M96" s="51"/>
      <c r="N96" s="51"/>
      <c r="O96" s="51"/>
      <c r="P96" s="51"/>
      <c r="Q96" s="51"/>
      <c r="R96" s="51"/>
      <c r="S96" s="51"/>
      <c r="T96" s="312">
        <f>AVERAGE(BS96:BV96)</f>
        <v>363.29915132051127</v>
      </c>
      <c r="U96" s="312">
        <f>AVERAGE(BW96:BZ96)</f>
        <v>383.99540380323765</v>
      </c>
      <c r="V96" s="312">
        <f>AVERAGE(CA96:CD96)</f>
        <v>388.26457828729247</v>
      </c>
      <c r="W96" s="312">
        <f>+V96*(W60/V60)</f>
        <v>385.33230495616948</v>
      </c>
      <c r="X96" s="312">
        <f>+W96*(X60/W60)</f>
        <v>408.68891880295928</v>
      </c>
      <c r="Y96" s="312">
        <f>+X96*(Y60/X60)</f>
        <v>413.34863859493402</v>
      </c>
      <c r="BS96" s="457">
        <f>450-(BS72*$G$96)</f>
        <v>353.167572758912</v>
      </c>
      <c r="BT96" s="312">
        <f t="shared" ref="BT96:CD96" si="153">+BS96*(BT60/BS60)</f>
        <v>349.61093013217516</v>
      </c>
      <c r="BU96" s="312">
        <f t="shared" si="153"/>
        <v>368.96678223670881</v>
      </c>
      <c r="BV96" s="312">
        <f t="shared" si="153"/>
        <v>381.45132015424934</v>
      </c>
      <c r="BW96" s="312">
        <f t="shared" si="153"/>
        <v>391.37603384939047</v>
      </c>
      <c r="BX96" s="312">
        <f t="shared" si="153"/>
        <v>387.29194669533433</v>
      </c>
      <c r="BY96" s="312">
        <f t="shared" si="153"/>
        <v>378.13178987475067</v>
      </c>
      <c r="BZ96" s="312">
        <f t="shared" si="153"/>
        <v>379.18184479347519</v>
      </c>
      <c r="CA96" s="312">
        <f t="shared" si="153"/>
        <v>393.15193392441586</v>
      </c>
      <c r="CB96" s="312">
        <f t="shared" si="153"/>
        <v>382.42878577237445</v>
      </c>
      <c r="CC96" s="312">
        <f t="shared" si="153"/>
        <v>384.98375917731551</v>
      </c>
      <c r="CD96" s="312">
        <f t="shared" si="153"/>
        <v>392.4938342750641</v>
      </c>
    </row>
    <row r="97" spans="1:83">
      <c r="A97" s="51"/>
      <c r="H97" s="51"/>
      <c r="I97" s="51"/>
      <c r="J97" s="51"/>
      <c r="K97" s="51"/>
      <c r="L97" s="51"/>
      <c r="M97" s="51"/>
      <c r="N97" s="51"/>
      <c r="O97" s="51"/>
      <c r="P97" s="51"/>
      <c r="Q97" s="51"/>
      <c r="R97" s="51"/>
      <c r="S97" s="51"/>
      <c r="T97" s="127"/>
      <c r="U97" s="127"/>
      <c r="V97" s="127"/>
      <c r="W97" s="127"/>
      <c r="X97" s="127"/>
      <c r="Y97" s="127"/>
      <c r="Z97" s="51"/>
      <c r="AA97" s="51"/>
      <c r="AB97" s="51"/>
      <c r="AC97" s="51"/>
      <c r="AD97" s="51"/>
      <c r="AE97" s="51"/>
      <c r="AF97" s="51"/>
      <c r="AG97" s="51"/>
      <c r="AH97" s="51"/>
      <c r="AI97" s="51"/>
      <c r="AJ97" s="51"/>
      <c r="AK97" s="51"/>
      <c r="AL97" s="51"/>
      <c r="AM97" s="51"/>
      <c r="AN97" s="51"/>
      <c r="AO97" s="51"/>
      <c r="AP97" s="51"/>
      <c r="AQ97" s="51"/>
      <c r="AR97" s="51"/>
      <c r="AS97" s="51"/>
      <c r="AT97" s="51"/>
      <c r="AU97" s="51"/>
      <c r="AV97" s="51"/>
      <c r="AW97" s="51"/>
      <c r="AX97" s="51"/>
      <c r="AY97" s="51"/>
      <c r="AZ97" s="51"/>
      <c r="BA97" s="51"/>
      <c r="BB97" s="51"/>
      <c r="BC97" s="51"/>
      <c r="BD97" s="51"/>
      <c r="BE97" s="51"/>
      <c r="BF97" s="51"/>
      <c r="BG97" s="51"/>
      <c r="BH97" s="51"/>
      <c r="BI97" s="51"/>
      <c r="BJ97" s="51"/>
      <c r="BK97" s="51"/>
      <c r="BL97" s="51"/>
      <c r="BM97" s="51"/>
      <c r="BN97" s="51"/>
      <c r="BO97" s="51"/>
      <c r="BP97" s="51"/>
      <c r="BQ97" s="51"/>
      <c r="BR97" s="51"/>
      <c r="BS97" s="127"/>
      <c r="BT97" s="127"/>
      <c r="BU97" s="127"/>
      <c r="BV97" s="127"/>
      <c r="BW97" s="127"/>
      <c r="BX97" s="127"/>
      <c r="BY97" s="127"/>
      <c r="BZ97" s="127"/>
      <c r="CA97" s="127"/>
      <c r="CB97" s="127"/>
      <c r="CC97" s="127"/>
      <c r="CD97" s="127"/>
    </row>
    <row r="98" spans="1:83">
      <c r="A98" s="51"/>
      <c r="B98" s="5" t="s">
        <v>630</v>
      </c>
      <c r="H98" s="51"/>
      <c r="I98" s="51"/>
      <c r="J98" s="51"/>
      <c r="K98" s="51"/>
      <c r="L98" s="51"/>
      <c r="M98" s="51"/>
      <c r="N98" s="51"/>
      <c r="O98" s="51"/>
      <c r="P98" s="51"/>
      <c r="Q98" s="51"/>
      <c r="R98" s="51"/>
      <c r="S98" s="51"/>
      <c r="T98" s="325">
        <f>AVERAGE(BS98:BV98)</f>
        <v>20</v>
      </c>
      <c r="U98" s="325">
        <f>AVERAGE(BW98:BZ98)</f>
        <v>20</v>
      </c>
      <c r="V98" s="325">
        <f>AVERAGE(CA98:CD98)</f>
        <v>20</v>
      </c>
      <c r="W98" s="343">
        <f>+V98</f>
        <v>20</v>
      </c>
      <c r="X98" s="343">
        <f t="shared" ref="X98:Y99" si="154">+W98</f>
        <v>20</v>
      </c>
      <c r="Y98" s="343">
        <f t="shared" si="154"/>
        <v>20</v>
      </c>
      <c r="Z98" s="127"/>
      <c r="AA98" s="51"/>
      <c r="AB98" s="51"/>
      <c r="AC98" s="51"/>
      <c r="AD98" s="51"/>
      <c r="AE98" s="51"/>
      <c r="AF98" s="51"/>
      <c r="AG98" s="51"/>
      <c r="AH98" s="51"/>
      <c r="AI98" s="51"/>
      <c r="AJ98" s="51"/>
      <c r="AK98" s="51"/>
      <c r="AL98" s="51"/>
      <c r="AM98" s="51"/>
      <c r="AN98" s="51"/>
      <c r="AO98" s="51"/>
      <c r="AP98" s="51"/>
      <c r="AQ98" s="51"/>
      <c r="AR98" s="51"/>
      <c r="AS98" s="51"/>
      <c r="AT98" s="51"/>
      <c r="AU98" s="51"/>
      <c r="AV98" s="51"/>
      <c r="AW98" s="51"/>
      <c r="AX98" s="51"/>
      <c r="AY98" s="51"/>
      <c r="AZ98" s="51"/>
      <c r="BA98" s="51"/>
      <c r="BB98" s="51"/>
      <c r="BC98" s="51"/>
      <c r="BD98" s="51"/>
      <c r="BE98" s="51"/>
      <c r="BF98" s="51"/>
      <c r="BG98" s="51"/>
      <c r="BH98" s="51"/>
      <c r="BI98" s="51"/>
      <c r="BJ98" s="51"/>
      <c r="BK98" s="51"/>
      <c r="BL98" s="51"/>
      <c r="BM98" s="51"/>
      <c r="BN98" s="51"/>
      <c r="BO98" s="51"/>
      <c r="BP98" s="51"/>
      <c r="BQ98" s="51"/>
      <c r="BR98" s="51"/>
      <c r="BS98" s="363">
        <v>20</v>
      </c>
      <c r="BT98" s="343">
        <f>+BS98</f>
        <v>20</v>
      </c>
      <c r="BU98" s="343">
        <f t="shared" ref="BU98:CD99" si="155">+BT98</f>
        <v>20</v>
      </c>
      <c r="BV98" s="343">
        <f t="shared" si="155"/>
        <v>20</v>
      </c>
      <c r="BW98" s="343">
        <f t="shared" si="155"/>
        <v>20</v>
      </c>
      <c r="BX98" s="343">
        <f t="shared" si="155"/>
        <v>20</v>
      </c>
      <c r="BY98" s="343">
        <f t="shared" si="155"/>
        <v>20</v>
      </c>
      <c r="BZ98" s="343">
        <f t="shared" si="155"/>
        <v>20</v>
      </c>
      <c r="CA98" s="343">
        <f t="shared" si="155"/>
        <v>20</v>
      </c>
      <c r="CB98" s="343">
        <f t="shared" si="155"/>
        <v>20</v>
      </c>
      <c r="CC98" s="343">
        <f t="shared" si="155"/>
        <v>20</v>
      </c>
      <c r="CD98" s="343">
        <f t="shared" si="155"/>
        <v>20</v>
      </c>
    </row>
    <row r="99" spans="1:83">
      <c r="A99" s="51"/>
      <c r="B99" s="5" t="s">
        <v>631</v>
      </c>
      <c r="H99" s="51"/>
      <c r="I99" s="51"/>
      <c r="J99" s="51"/>
      <c r="K99" s="51"/>
      <c r="L99" s="51"/>
      <c r="M99" s="51"/>
      <c r="N99" s="51"/>
      <c r="O99" s="51"/>
      <c r="P99" s="51"/>
      <c r="Q99" s="51"/>
      <c r="R99" s="51"/>
      <c r="S99" s="51"/>
      <c r="T99" s="325">
        <f>AVERAGE(BS99:BV99)</f>
        <v>70</v>
      </c>
      <c r="U99" s="325">
        <f>AVERAGE(BW99:BZ99)</f>
        <v>70</v>
      </c>
      <c r="V99" s="325">
        <f>AVERAGE(CA99:CD99)</f>
        <v>70</v>
      </c>
      <c r="W99" s="343">
        <f>+V99</f>
        <v>70</v>
      </c>
      <c r="X99" s="343">
        <f t="shared" si="154"/>
        <v>70</v>
      </c>
      <c r="Y99" s="343">
        <f t="shared" si="154"/>
        <v>70</v>
      </c>
      <c r="Z99" s="127"/>
      <c r="AA99" s="51"/>
      <c r="AB99" s="51"/>
      <c r="AC99" s="51"/>
      <c r="AD99" s="51"/>
      <c r="AE99" s="51"/>
      <c r="AF99" s="51"/>
      <c r="AG99" s="51"/>
      <c r="AH99" s="51"/>
      <c r="AI99" s="51"/>
      <c r="AJ99" s="51"/>
      <c r="AK99" s="51"/>
      <c r="AL99" s="51"/>
      <c r="AM99" s="51"/>
      <c r="AN99" s="51"/>
      <c r="AO99" s="51"/>
      <c r="AP99" s="51"/>
      <c r="AQ99" s="51"/>
      <c r="AR99" s="51"/>
      <c r="AS99" s="51"/>
      <c r="AT99" s="51"/>
      <c r="AU99" s="51"/>
      <c r="AV99" s="51"/>
      <c r="AW99" s="51"/>
      <c r="AX99" s="51"/>
      <c r="AY99" s="51"/>
      <c r="AZ99" s="51"/>
      <c r="BA99" s="51"/>
      <c r="BB99" s="51"/>
      <c r="BC99" s="51"/>
      <c r="BD99" s="51"/>
      <c r="BE99" s="51"/>
      <c r="BF99" s="51"/>
      <c r="BG99" s="51"/>
      <c r="BH99" s="51"/>
      <c r="BI99" s="51"/>
      <c r="BJ99" s="51"/>
      <c r="BK99" s="51"/>
      <c r="BL99" s="51"/>
      <c r="BM99" s="51"/>
      <c r="BN99" s="51"/>
      <c r="BO99" s="51"/>
      <c r="BP99" s="51"/>
      <c r="BQ99" s="51"/>
      <c r="BR99" s="51"/>
      <c r="BS99" s="363">
        <v>70</v>
      </c>
      <c r="BT99" s="343">
        <f>+BS99</f>
        <v>70</v>
      </c>
      <c r="BU99" s="343">
        <f t="shared" si="155"/>
        <v>70</v>
      </c>
      <c r="BV99" s="343">
        <f t="shared" si="155"/>
        <v>70</v>
      </c>
      <c r="BW99" s="343">
        <f t="shared" si="155"/>
        <v>70</v>
      </c>
      <c r="BX99" s="343">
        <f t="shared" si="155"/>
        <v>70</v>
      </c>
      <c r="BY99" s="343">
        <f t="shared" si="155"/>
        <v>70</v>
      </c>
      <c r="BZ99" s="343">
        <f t="shared" si="155"/>
        <v>70</v>
      </c>
      <c r="CA99" s="343">
        <f t="shared" si="155"/>
        <v>70</v>
      </c>
      <c r="CB99" s="343">
        <f t="shared" si="155"/>
        <v>70</v>
      </c>
      <c r="CC99" s="343">
        <f t="shared" si="155"/>
        <v>70</v>
      </c>
      <c r="CD99" s="343">
        <f t="shared" si="155"/>
        <v>70</v>
      </c>
      <c r="CE99" s="5" t="s">
        <v>505</v>
      </c>
    </row>
    <row r="100" spans="1:83">
      <c r="A100" s="51"/>
      <c r="B100" s="51"/>
      <c r="C100" s="51"/>
      <c r="D100" s="51"/>
      <c r="E100" s="51"/>
      <c r="F100" s="51"/>
      <c r="G100" s="51"/>
      <c r="H100" s="51"/>
      <c r="I100" s="51"/>
      <c r="J100" s="51"/>
      <c r="K100" s="51"/>
      <c r="L100" s="51"/>
      <c r="M100" s="51"/>
      <c r="N100" s="51"/>
      <c r="O100" s="51"/>
      <c r="P100" s="51"/>
      <c r="Q100" s="51"/>
      <c r="R100" s="51"/>
      <c r="S100" s="51"/>
      <c r="T100" s="51"/>
      <c r="U100" s="51"/>
      <c r="V100" s="51"/>
      <c r="W100" s="51"/>
      <c r="X100" s="51"/>
      <c r="Y100" s="51"/>
      <c r="Z100" s="127"/>
      <c r="AA100" s="51"/>
      <c r="AB100" s="51"/>
      <c r="AC100" s="51"/>
      <c r="AD100" s="51"/>
      <c r="AE100" s="51"/>
      <c r="AF100" s="51"/>
      <c r="AG100" s="51"/>
      <c r="AH100" s="51"/>
      <c r="AI100" s="51"/>
      <c r="AJ100" s="51"/>
      <c r="AK100" s="51"/>
      <c r="AL100" s="51"/>
      <c r="AM100" s="51"/>
      <c r="AN100" s="51"/>
      <c r="AO100" s="51"/>
      <c r="AP100" s="51"/>
      <c r="AQ100" s="51"/>
      <c r="AR100" s="51"/>
      <c r="AS100" s="51"/>
      <c r="AT100" s="51"/>
      <c r="AU100" s="51"/>
      <c r="AV100" s="51"/>
      <c r="AW100" s="51"/>
      <c r="AX100" s="51"/>
      <c r="AY100" s="51"/>
      <c r="AZ100" s="51"/>
      <c r="BA100" s="51"/>
      <c r="BB100" s="51"/>
      <c r="BC100" s="51"/>
      <c r="BD100" s="51"/>
      <c r="BE100" s="51"/>
      <c r="BF100" s="51"/>
      <c r="BG100" s="51"/>
      <c r="BH100" s="51"/>
      <c r="BI100" s="51"/>
      <c r="BJ100" s="51"/>
      <c r="BK100" s="51"/>
      <c r="BL100" s="51"/>
      <c r="BM100" s="51"/>
      <c r="BN100" s="51"/>
      <c r="BO100" s="51"/>
      <c r="BP100" s="51"/>
      <c r="BQ100" s="51"/>
      <c r="BR100" s="51"/>
      <c r="BS100" s="363"/>
      <c r="BT100" s="458"/>
      <c r="BU100" s="127"/>
      <c r="BV100" s="127"/>
      <c r="BW100" s="127"/>
      <c r="BX100" s="127"/>
      <c r="BY100" s="127"/>
      <c r="BZ100" s="127"/>
      <c r="CA100" s="127"/>
      <c r="CB100" s="127"/>
      <c r="CC100" s="127"/>
    </row>
    <row r="101" spans="1:83">
      <c r="A101" s="51"/>
      <c r="B101" s="462" t="s">
        <v>501</v>
      </c>
      <c r="C101" s="51"/>
      <c r="D101" s="51"/>
      <c r="E101" s="51"/>
      <c r="F101" s="51"/>
      <c r="G101" s="51"/>
      <c r="H101" s="51"/>
      <c r="I101" s="51"/>
      <c r="J101" s="51"/>
      <c r="K101" s="51"/>
      <c r="L101" s="51"/>
      <c r="M101" s="51"/>
      <c r="N101" s="51"/>
      <c r="O101" s="51"/>
      <c r="P101" s="51"/>
      <c r="Q101" s="51"/>
      <c r="R101" s="51"/>
      <c r="S101" s="51"/>
      <c r="T101" s="51"/>
      <c r="U101" s="51"/>
      <c r="V101" s="127"/>
      <c r="W101" s="14"/>
      <c r="X101" s="51"/>
      <c r="Y101" s="51"/>
      <c r="Z101" s="127"/>
      <c r="AA101" s="51"/>
      <c r="AB101" s="51"/>
      <c r="AC101" s="51"/>
      <c r="AD101" s="51"/>
      <c r="AE101" s="51"/>
      <c r="AF101" s="51"/>
      <c r="AG101" s="51"/>
      <c r="AH101" s="51"/>
      <c r="AI101" s="51"/>
      <c r="AJ101" s="51"/>
      <c r="AK101" s="51"/>
      <c r="AL101" s="51"/>
      <c r="AM101" s="51"/>
      <c r="AN101" s="51"/>
      <c r="AO101" s="51"/>
      <c r="AP101" s="51"/>
      <c r="AQ101" s="51"/>
      <c r="AR101" s="51"/>
      <c r="AS101" s="51"/>
      <c r="AT101" s="51"/>
      <c r="AU101" s="51"/>
      <c r="AV101" s="51"/>
      <c r="AW101" s="51"/>
      <c r="AX101" s="51"/>
      <c r="AY101" s="51"/>
      <c r="AZ101" s="51"/>
      <c r="BA101" s="51"/>
      <c r="BB101" s="51"/>
      <c r="BC101" s="51"/>
      <c r="BD101" s="51"/>
      <c r="BE101" s="51"/>
      <c r="BF101" s="51"/>
      <c r="BG101" s="51"/>
      <c r="BH101" s="51"/>
      <c r="BI101" s="51"/>
      <c r="BJ101" s="51"/>
      <c r="BK101" s="51"/>
      <c r="BL101" s="51"/>
      <c r="BM101" s="51"/>
      <c r="BN101" s="51"/>
      <c r="BO101" s="51"/>
      <c r="BP101" s="51"/>
      <c r="BQ101" s="51"/>
      <c r="BR101" s="51"/>
      <c r="BZ101" s="127"/>
      <c r="CA101" s="127"/>
      <c r="CB101" s="127"/>
      <c r="CC101" s="127"/>
    </row>
    <row r="102" spans="1:83">
      <c r="A102" s="51"/>
      <c r="B102" s="51" t="s">
        <v>636</v>
      </c>
      <c r="C102" s="51"/>
      <c r="D102" s="51"/>
      <c r="E102" s="51"/>
      <c r="F102" s="51"/>
      <c r="G102" s="51"/>
      <c r="H102" s="51"/>
      <c r="I102" s="51"/>
      <c r="J102" s="51"/>
      <c r="K102" s="51"/>
      <c r="L102" s="51"/>
      <c r="M102" s="51"/>
      <c r="N102" s="51"/>
      <c r="O102" s="51"/>
      <c r="P102" s="51"/>
      <c r="Q102" s="51"/>
      <c r="R102" s="51"/>
      <c r="S102" s="51"/>
      <c r="T102" s="325">
        <f>+T104/(T103/1000)</f>
        <v>89.143327500922979</v>
      </c>
      <c r="U102" s="325">
        <f t="shared" ref="U102:V102" si="156">+U104/(U103/1000)</f>
        <v>117.30191115375284</v>
      </c>
      <c r="V102" s="325">
        <f t="shared" si="156"/>
        <v>125.80584474889179</v>
      </c>
      <c r="W102" s="363">
        <f>V102</f>
        <v>125.80584474889179</v>
      </c>
      <c r="X102" s="363">
        <f>+W102*1.01</f>
        <v>127.06390319638071</v>
      </c>
      <c r="Y102" s="363">
        <f>+X102*1.01</f>
        <v>128.3345422283445</v>
      </c>
      <c r="Z102" s="127"/>
      <c r="AA102" s="51"/>
      <c r="AB102" s="51"/>
      <c r="AC102" s="51"/>
      <c r="AD102" s="51"/>
      <c r="AE102" s="51"/>
      <c r="AF102" s="51"/>
      <c r="AG102" s="51"/>
      <c r="AH102" s="51"/>
      <c r="AI102" s="51"/>
      <c r="AJ102" s="51"/>
      <c r="AK102" s="51"/>
      <c r="AL102" s="51"/>
      <c r="AM102" s="51"/>
      <c r="AN102" s="51"/>
      <c r="AO102" s="51"/>
      <c r="AP102" s="51"/>
      <c r="AQ102" s="51"/>
      <c r="AR102" s="51"/>
      <c r="AS102" s="51"/>
      <c r="AT102" s="51"/>
      <c r="AU102" s="51"/>
      <c r="AV102" s="51"/>
      <c r="AW102" s="51"/>
      <c r="AX102" s="51"/>
      <c r="AY102" s="51"/>
      <c r="AZ102" s="51"/>
      <c r="BA102" s="51"/>
      <c r="BB102" s="51"/>
      <c r="BC102" s="51"/>
      <c r="BD102" s="51"/>
      <c r="BE102" s="51"/>
      <c r="BF102" s="51"/>
      <c r="BG102" s="51"/>
      <c r="BH102" s="51"/>
      <c r="BI102" s="51"/>
      <c r="BJ102" s="51"/>
      <c r="BK102" s="51"/>
      <c r="BL102" s="51"/>
      <c r="BM102" s="51"/>
      <c r="BN102" s="51"/>
      <c r="BO102" s="51"/>
      <c r="BP102" s="51"/>
      <c r="BQ102" s="51"/>
      <c r="BR102" s="51"/>
      <c r="BS102" s="325">
        <f t="shared" ref="BS102:BZ102" si="157">+BS104/(BS103/1000)</f>
        <v>65.881766592386498</v>
      </c>
      <c r="BT102" s="325">
        <f t="shared" si="157"/>
        <v>99.563712029784455</v>
      </c>
      <c r="BU102" s="325">
        <f t="shared" si="157"/>
        <v>98.491599264298785</v>
      </c>
      <c r="BV102" s="325">
        <f t="shared" si="157"/>
        <v>93.882448653238754</v>
      </c>
      <c r="BW102" s="325">
        <f t="shared" si="157"/>
        <v>106.99084780639417</v>
      </c>
      <c r="BX102" s="325">
        <f t="shared" si="157"/>
        <v>126.85014446595702</v>
      </c>
      <c r="BY102" s="325">
        <f t="shared" si="157"/>
        <v>110.89393806565903</v>
      </c>
      <c r="BZ102" s="325">
        <f t="shared" si="157"/>
        <v>124.52359856114462</v>
      </c>
      <c r="CA102" s="325">
        <f t="shared" ref="CA102:CD102" si="158">+CA104/(CA103/1000)</f>
        <v>135.64242909484338</v>
      </c>
      <c r="CB102" s="325">
        <f t="shared" si="158"/>
        <v>122.73945606607418</v>
      </c>
      <c r="CC102" s="325">
        <f t="shared" si="158"/>
        <v>117.17995828575957</v>
      </c>
      <c r="CD102" s="325">
        <f t="shared" si="158"/>
        <v>128.21278091418097</v>
      </c>
    </row>
    <row r="103" spans="1:83">
      <c r="A103" s="51"/>
      <c r="B103" s="463" t="s">
        <v>637</v>
      </c>
      <c r="C103" s="51"/>
      <c r="D103" s="51"/>
      <c r="E103" s="51"/>
      <c r="F103" s="51"/>
      <c r="G103" s="51"/>
      <c r="H103" s="51"/>
      <c r="I103" s="51"/>
      <c r="J103" s="51"/>
      <c r="K103" s="51"/>
      <c r="L103" s="51"/>
      <c r="M103" s="51"/>
      <c r="N103" s="51"/>
      <c r="O103" s="51"/>
      <c r="P103" s="51"/>
      <c r="Q103" s="51"/>
      <c r="R103" s="51"/>
      <c r="S103" s="51"/>
      <c r="T103" s="465">
        <f t="shared" ref="T103:Y103" si="159">+T53</f>
        <v>12038.806274999999</v>
      </c>
      <c r="U103" s="465">
        <f t="shared" si="159"/>
        <v>12023.356125</v>
      </c>
      <c r="V103" s="465">
        <f t="shared" si="159"/>
        <v>12353.161125000002</v>
      </c>
      <c r="W103" s="465">
        <f t="shared" si="159"/>
        <v>12661.416500000003</v>
      </c>
      <c r="X103" s="465">
        <f t="shared" si="159"/>
        <v>12791.782999999999</v>
      </c>
      <c r="Y103" s="465">
        <f t="shared" si="159"/>
        <v>12922.149500000001</v>
      </c>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c r="AV103" s="111"/>
      <c r="AW103" s="111"/>
      <c r="AX103" s="111"/>
      <c r="AY103" s="111"/>
      <c r="AZ103" s="111"/>
      <c r="BA103" s="111"/>
      <c r="BB103" s="111"/>
      <c r="BC103" s="111"/>
      <c r="BD103" s="111"/>
      <c r="BE103" s="111"/>
      <c r="BF103" s="111"/>
      <c r="BG103" s="111"/>
      <c r="BH103" s="111"/>
      <c r="BI103" s="111"/>
      <c r="BJ103" s="111"/>
      <c r="BK103" s="111"/>
      <c r="BL103" s="111"/>
      <c r="BM103" s="111"/>
      <c r="BN103" s="111"/>
      <c r="BO103" s="111"/>
      <c r="BP103" s="111"/>
      <c r="BQ103" s="111"/>
      <c r="BR103" s="111"/>
      <c r="BS103" s="465">
        <f t="shared" ref="BS103:CD103" si="160">+BS53</f>
        <v>3133.3848749999997</v>
      </c>
      <c r="BT103" s="465">
        <f t="shared" si="160"/>
        <v>2965.7187749999994</v>
      </c>
      <c r="BU103" s="465">
        <f t="shared" si="160"/>
        <v>3001.5340999999999</v>
      </c>
      <c r="BV103" s="465">
        <f t="shared" si="160"/>
        <v>2938.168525</v>
      </c>
      <c r="BW103" s="465">
        <f t="shared" si="160"/>
        <v>3020.268</v>
      </c>
      <c r="BX103" s="465">
        <f t="shared" si="160"/>
        <v>3036.7582499999999</v>
      </c>
      <c r="BY103" s="465">
        <f t="shared" si="160"/>
        <v>3003.7777500000002</v>
      </c>
      <c r="BZ103" s="465">
        <f t="shared" si="160"/>
        <v>2962.5521250000002</v>
      </c>
      <c r="CA103" s="465">
        <f t="shared" si="160"/>
        <v>2962.5521250000002</v>
      </c>
      <c r="CB103" s="465">
        <f>+CB53</f>
        <v>3116.4611250000007</v>
      </c>
      <c r="CC103" s="465">
        <f t="shared" si="160"/>
        <v>3143.9448750000006</v>
      </c>
      <c r="CD103" s="465">
        <f t="shared" si="160"/>
        <v>3130.2030000000004</v>
      </c>
    </row>
    <row r="104" spans="1:83">
      <c r="A104" s="51"/>
      <c r="B104" s="51" t="s">
        <v>501</v>
      </c>
      <c r="C104" s="51"/>
      <c r="D104" s="51"/>
      <c r="E104" s="51"/>
      <c r="F104" s="51"/>
      <c r="G104" s="51"/>
      <c r="H104" s="51"/>
      <c r="I104" s="51"/>
      <c r="J104" s="51"/>
      <c r="K104" s="51"/>
      <c r="L104" s="51"/>
      <c r="M104" s="51"/>
      <c r="N104" s="51"/>
      <c r="O104" s="51"/>
      <c r="P104" s="51"/>
      <c r="Q104" s="51"/>
      <c r="R104" s="51"/>
      <c r="S104" s="51"/>
      <c r="T104" s="459">
        <f>SUM(BS104:BV104)</f>
        <v>1073.1792504924915</v>
      </c>
      <c r="U104" s="459">
        <f>SUM(BW104:BZ104)</f>
        <v>1410.36265194468</v>
      </c>
      <c r="V104" s="459">
        <f>SUM(CA104:CD104)</f>
        <v>1554.0998706497955</v>
      </c>
      <c r="W104" s="464">
        <f>+W102*W103/1000</f>
        <v>1592.8801985000573</v>
      </c>
      <c r="X104" s="464">
        <f t="shared" ref="X104:Y104" si="161">+X102*X103/1000</f>
        <v>1625.3738768211083</v>
      </c>
      <c r="Y104" s="464">
        <f t="shared" si="161"/>
        <v>1658.3581406887308</v>
      </c>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1"/>
      <c r="AZ104" s="51"/>
      <c r="BA104" s="51"/>
      <c r="BB104" s="51"/>
      <c r="BC104" s="51"/>
      <c r="BD104" s="51"/>
      <c r="BE104" s="51"/>
      <c r="BF104" s="51"/>
      <c r="BG104" s="51"/>
      <c r="BH104" s="51"/>
      <c r="BI104" s="51"/>
      <c r="BJ104" s="51"/>
      <c r="BK104" s="51"/>
      <c r="BL104" s="51"/>
      <c r="BM104" s="51"/>
      <c r="BN104" s="51"/>
      <c r="BO104" s="51"/>
      <c r="BP104" s="51"/>
      <c r="BQ104" s="51"/>
      <c r="BR104" s="51"/>
      <c r="BS104" s="460">
        <f t="shared" ref="BS104:BZ104" si="162">-BS15</f>
        <v>206.43293097886414</v>
      </c>
      <c r="BT104" s="460">
        <f t="shared" si="162"/>
        <v>295.27797007542506</v>
      </c>
      <c r="BU104" s="460">
        <f t="shared" si="162"/>
        <v>295.6258937553277</v>
      </c>
      <c r="BV104" s="460">
        <f t="shared" si="162"/>
        <v>275.84245568287474</v>
      </c>
      <c r="BW104" s="460">
        <f t="shared" si="162"/>
        <v>323.14103392252252</v>
      </c>
      <c r="BX104" s="460">
        <f t="shared" si="162"/>
        <v>385.21322272068676</v>
      </c>
      <c r="BY104" s="460">
        <f t="shared" si="162"/>
        <v>333.10074377150465</v>
      </c>
      <c r="BZ104" s="460">
        <f t="shared" si="162"/>
        <v>368.90765152996596</v>
      </c>
      <c r="CA104" s="461">
        <f>+(BW104*1.225)+(CA107-BW107)</f>
        <v>401.84776655509012</v>
      </c>
      <c r="CB104" s="461">
        <f>+(BX104*1.115)+(CB107-BX107)</f>
        <v>382.51274333356571</v>
      </c>
      <c r="CC104" s="461">
        <f t="shared" ref="CC104:CD104" si="163">+(BY104*1.115)+(CC107-BY107)</f>
        <v>368.40732930522768</v>
      </c>
      <c r="CD104" s="461">
        <f t="shared" si="163"/>
        <v>401.33203145591204</v>
      </c>
    </row>
    <row r="105" spans="1:83">
      <c r="A105" s="51"/>
      <c r="B105" s="287" t="s">
        <v>551</v>
      </c>
      <c r="S105" s="280"/>
      <c r="T105" s="48">
        <f>T104/T$9</f>
        <v>0.35780990580885258</v>
      </c>
      <c r="U105" s="48">
        <f t="shared" ref="U105" si="164">U104/U$9</f>
        <v>0.40286867343026733</v>
      </c>
      <c r="V105" s="48">
        <f t="shared" ref="V105" si="165">V104/V$9</f>
        <v>0.39934385480345302</v>
      </c>
      <c r="W105" s="48">
        <f t="shared" ref="W105" si="166">W104/W$9</f>
        <v>0.39431170037885316</v>
      </c>
      <c r="X105" s="48">
        <f t="shared" ref="X105" si="167">X104/X$9</f>
        <v>0.38357748835045563</v>
      </c>
      <c r="Y105" s="48">
        <f t="shared" ref="Y105" si="168">Y104/Y$9</f>
        <v>0.37754368660391158</v>
      </c>
      <c r="Z105" s="48"/>
      <c r="AA105" s="48"/>
      <c r="AB105" s="48"/>
      <c r="AC105" s="48"/>
      <c r="AD105" s="48"/>
      <c r="AE105" s="48"/>
      <c r="AF105" s="48"/>
      <c r="AG105" s="48"/>
      <c r="AH105" s="48"/>
      <c r="AI105" s="48"/>
      <c r="AJ105" s="48"/>
      <c r="AK105" s="48"/>
      <c r="AL105" s="48"/>
      <c r="AM105" s="280"/>
      <c r="AN105" s="280"/>
      <c r="AO105" s="280"/>
      <c r="AP105" s="280"/>
      <c r="AQ105" s="280"/>
      <c r="AR105" s="280"/>
      <c r="AS105" s="280"/>
      <c r="AT105" s="280"/>
      <c r="AU105" s="280"/>
      <c r="AV105" s="280"/>
      <c r="AW105" s="280"/>
      <c r="AX105" s="280"/>
      <c r="AY105" s="280"/>
      <c r="AZ105" s="280"/>
      <c r="BA105" s="280"/>
      <c r="BB105" s="280"/>
      <c r="BC105" s="280"/>
      <c r="BD105" s="280"/>
      <c r="BE105" s="280"/>
      <c r="BF105" s="280"/>
      <c r="BG105" s="280"/>
      <c r="BH105" s="280"/>
      <c r="BI105" s="280"/>
      <c r="BJ105" s="280"/>
      <c r="BK105" s="280"/>
      <c r="BL105" s="280"/>
      <c r="BM105" s="280"/>
      <c r="BN105" s="280"/>
      <c r="BO105" s="280"/>
      <c r="BP105" s="280"/>
      <c r="BQ105" s="280"/>
      <c r="BR105" s="280"/>
      <c r="BS105" s="48">
        <f>BS104/BS$9</f>
        <v>0.29310369299852923</v>
      </c>
      <c r="BT105" s="48">
        <f t="shared" ref="BT105" si="169">BT104/BT$9</f>
        <v>0.4028348841410983</v>
      </c>
      <c r="BU105" s="48">
        <f t="shared" ref="BU105" si="170">BU104/BU$9</f>
        <v>0.37929932480796474</v>
      </c>
      <c r="BV105" s="48">
        <f t="shared" ref="BV105" si="171">BV104/BV$9</f>
        <v>0.35246927636452174</v>
      </c>
      <c r="BW105" s="48">
        <f t="shared" ref="BW105" si="172">BW104/BW$9</f>
        <v>0.38611666139625106</v>
      </c>
      <c r="BX105" s="48">
        <f t="shared" ref="BX105" si="173">BX104/BX$9</f>
        <v>0.44528172780104813</v>
      </c>
      <c r="BY105" s="48">
        <f t="shared" ref="BY105" si="174">BY104/BY$9</f>
        <v>0.37800810686734526</v>
      </c>
      <c r="BZ105" s="48">
        <f t="shared" ref="BZ105" si="175">BZ104/BZ$9</f>
        <v>0.40203536566038139</v>
      </c>
      <c r="CA105" s="48">
        <f t="shared" ref="CA105" si="176">CA104/CA$9</f>
        <v>0.43803786674766371</v>
      </c>
      <c r="CB105" s="48">
        <f t="shared" ref="CB105" si="177">CB104/CB$9</f>
        <v>0.39488024949781719</v>
      </c>
      <c r="CC105" s="48">
        <f t="shared" ref="CC105" si="178">CC104/CC$9</f>
        <v>0.37254552557484427</v>
      </c>
      <c r="CD105" s="48">
        <f t="shared" ref="CD105" si="179">CD104/CD$9</f>
        <v>0.39474781311960072</v>
      </c>
    </row>
    <row r="106" spans="1:83">
      <c r="A106" s="51"/>
      <c r="B106" s="287"/>
      <c r="C106" s="51"/>
      <c r="D106" s="51"/>
      <c r="E106" s="51"/>
      <c r="F106" s="51"/>
      <c r="G106" s="51"/>
      <c r="H106" s="51"/>
      <c r="I106" s="51"/>
      <c r="J106" s="51"/>
      <c r="K106" s="51"/>
      <c r="L106" s="51"/>
      <c r="M106" s="51"/>
      <c r="N106" s="51"/>
      <c r="O106" s="51"/>
      <c r="P106" s="51"/>
      <c r="Q106" s="51"/>
      <c r="R106" s="51"/>
      <c r="S106" s="51"/>
      <c r="T106" s="51"/>
      <c r="U106" s="280"/>
      <c r="V106" s="318"/>
      <c r="W106" s="280"/>
      <c r="X106" s="280"/>
      <c r="Y106" s="280"/>
      <c r="AM106" s="280"/>
      <c r="AN106" s="280"/>
      <c r="AO106" s="280"/>
      <c r="AP106" s="280"/>
      <c r="AQ106" s="280"/>
      <c r="AR106" s="280"/>
      <c r="AS106" s="280"/>
      <c r="AT106" s="280"/>
      <c r="AU106" s="280"/>
      <c r="AV106" s="280"/>
      <c r="AW106" s="280"/>
      <c r="AX106" s="280"/>
      <c r="AY106" s="280"/>
      <c r="AZ106" s="280"/>
      <c r="BA106" s="280"/>
      <c r="BB106" s="280"/>
      <c r="BC106" s="280"/>
      <c r="BD106" s="280"/>
      <c r="BE106" s="280"/>
      <c r="BF106" s="280"/>
      <c r="BG106" s="280"/>
      <c r="BH106" s="280"/>
      <c r="BI106" s="280"/>
      <c r="BJ106" s="280"/>
      <c r="BK106" s="280"/>
      <c r="BL106" s="280"/>
      <c r="BM106" s="280"/>
      <c r="BN106" s="280"/>
      <c r="BO106" s="280"/>
      <c r="BP106" s="280"/>
      <c r="BQ106" s="280"/>
      <c r="BR106" s="280"/>
      <c r="BS106" s="280"/>
      <c r="BT106" s="280"/>
      <c r="BU106" s="280"/>
      <c r="BV106" s="280"/>
      <c r="BW106" s="280"/>
      <c r="BX106" s="280"/>
      <c r="BY106" s="280"/>
      <c r="BZ106" s="26"/>
      <c r="CA106" s="26"/>
      <c r="CB106" s="492"/>
      <c r="CC106" s="280"/>
      <c r="CD106" s="280"/>
    </row>
    <row r="107" spans="1:83">
      <c r="A107" s="51"/>
      <c r="B107" s="5" t="s">
        <v>353</v>
      </c>
      <c r="H107" s="69"/>
      <c r="I107" s="69"/>
      <c r="J107" s="69"/>
      <c r="K107" s="69"/>
      <c r="L107" s="69"/>
      <c r="M107" s="69"/>
      <c r="N107" s="69"/>
      <c r="O107" s="69"/>
      <c r="P107" s="69"/>
      <c r="Q107" s="69"/>
      <c r="R107" s="69"/>
      <c r="S107" s="69"/>
      <c r="T107" s="34">
        <f>SUM(BS107:BV107)</f>
        <v>53</v>
      </c>
      <c r="U107" s="34">
        <f>SUM(BW107:BZ107)</f>
        <v>176</v>
      </c>
      <c r="V107" s="318">
        <f>SUM(CA107:CD107)</f>
        <v>122</v>
      </c>
      <c r="W107" s="348">
        <f>+V107</f>
        <v>122</v>
      </c>
      <c r="X107" s="348">
        <f t="shared" ref="X107:Y107" si="180">+W107</f>
        <v>122</v>
      </c>
      <c r="Y107" s="348">
        <f t="shared" si="180"/>
        <v>122</v>
      </c>
      <c r="Z107" s="34"/>
      <c r="AA107" s="34"/>
      <c r="AB107" s="34"/>
      <c r="AC107" s="34"/>
      <c r="AD107" s="34"/>
      <c r="AE107" s="34"/>
      <c r="AF107" s="34"/>
      <c r="AG107" s="34"/>
      <c r="AH107" s="34"/>
      <c r="AI107" s="34"/>
      <c r="AJ107" s="34"/>
      <c r="AK107" s="34"/>
      <c r="AL107" s="34"/>
      <c r="AM107" s="367"/>
      <c r="AN107" s="367"/>
      <c r="AO107" s="367"/>
      <c r="AP107" s="367"/>
      <c r="AQ107" s="367"/>
      <c r="AR107" s="367"/>
      <c r="AS107" s="367"/>
      <c r="AT107" s="367"/>
      <c r="AU107" s="367"/>
      <c r="AV107" s="367"/>
      <c r="AW107" s="367"/>
      <c r="AX107" s="367"/>
      <c r="AY107" s="367"/>
      <c r="AZ107" s="367"/>
      <c r="BA107" s="367"/>
      <c r="BB107" s="367"/>
      <c r="BC107" s="367"/>
      <c r="BD107" s="367"/>
      <c r="BE107" s="367"/>
      <c r="BF107" s="367"/>
      <c r="BG107" s="367"/>
      <c r="BH107" s="367"/>
      <c r="BI107" s="367"/>
      <c r="BJ107" s="367"/>
      <c r="BK107" s="367"/>
      <c r="BL107" s="367"/>
      <c r="BM107" s="367"/>
      <c r="BN107" s="367"/>
      <c r="BO107" s="367"/>
      <c r="BP107" s="367"/>
      <c r="BQ107" s="367"/>
      <c r="BR107" s="367"/>
      <c r="BS107" s="300">
        <v>16</v>
      </c>
      <c r="BT107" s="300">
        <v>21</v>
      </c>
      <c r="BU107" s="300">
        <v>5</v>
      </c>
      <c r="BV107" s="300">
        <v>11</v>
      </c>
      <c r="BW107" s="300">
        <v>44</v>
      </c>
      <c r="BX107" s="300">
        <v>95</v>
      </c>
      <c r="BY107" s="300">
        <v>14</v>
      </c>
      <c r="BZ107" s="300">
        <v>23</v>
      </c>
      <c r="CA107" s="300">
        <v>50</v>
      </c>
      <c r="CB107" s="300">
        <v>48</v>
      </c>
      <c r="CC107" s="300">
        <v>11</v>
      </c>
      <c r="CD107" s="300">
        <v>13</v>
      </c>
    </row>
    <row r="108" spans="1:83">
      <c r="A108" s="51"/>
      <c r="B108" s="287" t="s">
        <v>551</v>
      </c>
      <c r="S108" s="280"/>
      <c r="T108" s="48">
        <f>T107/T$9</f>
        <v>1.7670789850965228E-2</v>
      </c>
      <c r="U108" s="48">
        <f t="shared" ref="U108:Y108" si="181">U107/U$9</f>
        <v>5.0274223034734916E-2</v>
      </c>
      <c r="V108" s="48">
        <f t="shared" si="181"/>
        <v>3.1349304640023314E-2</v>
      </c>
      <c r="W108" s="48">
        <f t="shared" si="181"/>
        <v>3.0200656327776149E-2</v>
      </c>
      <c r="X108" s="48">
        <f t="shared" si="181"/>
        <v>2.87911933654795E-2</v>
      </c>
      <c r="Y108" s="48">
        <f t="shared" si="181"/>
        <v>2.7774657738616065E-2</v>
      </c>
      <c r="Z108" s="48"/>
      <c r="AA108" s="48"/>
      <c r="AB108" s="48"/>
      <c r="AC108" s="48"/>
      <c r="AD108" s="48"/>
      <c r="AE108" s="48"/>
      <c r="AF108" s="48"/>
      <c r="AG108" s="48"/>
      <c r="AH108" s="48"/>
      <c r="AI108" s="48"/>
      <c r="AJ108" s="48"/>
      <c r="AK108" s="48"/>
      <c r="AL108" s="48"/>
      <c r="AM108" s="280"/>
      <c r="AN108" s="280"/>
      <c r="AO108" s="280"/>
      <c r="AP108" s="280"/>
      <c r="AQ108" s="280"/>
      <c r="AR108" s="280"/>
      <c r="AS108" s="280"/>
      <c r="AT108" s="280"/>
      <c r="AU108" s="280"/>
      <c r="AV108" s="280"/>
      <c r="AW108" s="280"/>
      <c r="AX108" s="280"/>
      <c r="AY108" s="280"/>
      <c r="AZ108" s="280"/>
      <c r="BA108" s="280"/>
      <c r="BB108" s="280"/>
      <c r="BC108" s="280"/>
      <c r="BD108" s="280"/>
      <c r="BE108" s="280"/>
      <c r="BF108" s="280"/>
      <c r="BG108" s="280"/>
      <c r="BH108" s="280"/>
      <c r="BI108" s="280"/>
      <c r="BJ108" s="280"/>
      <c r="BK108" s="280"/>
      <c r="BL108" s="280"/>
      <c r="BM108" s="280"/>
      <c r="BN108" s="280"/>
      <c r="BO108" s="280"/>
      <c r="BP108" s="280"/>
      <c r="BQ108" s="280"/>
      <c r="BR108" s="280"/>
      <c r="BS108" s="48">
        <f>BS107/BS$9</f>
        <v>2.2717591935254865E-2</v>
      </c>
      <c r="BT108" s="48">
        <f t="shared" ref="BT108:CD108" si="182">BT107/BT$9</f>
        <v>2.8649386084583901E-2</v>
      </c>
      <c r="BU108" s="48">
        <f t="shared" si="182"/>
        <v>6.4151911726969468E-3</v>
      </c>
      <c r="BV108" s="48">
        <f t="shared" si="182"/>
        <v>1.4055711730130335E-2</v>
      </c>
      <c r="BW108" s="48">
        <f t="shared" si="182"/>
        <v>5.2574979089496952E-2</v>
      </c>
      <c r="BX108" s="48">
        <f t="shared" si="182"/>
        <v>0.10981389434747428</v>
      </c>
      <c r="BY108" s="48">
        <f t="shared" si="182"/>
        <v>1.5887426236949612E-2</v>
      </c>
      <c r="BZ108" s="48">
        <f t="shared" si="182"/>
        <v>2.5065387968613774E-2</v>
      </c>
      <c r="CA108" s="48">
        <f t="shared" si="182"/>
        <v>5.4502961470063588E-2</v>
      </c>
      <c r="CB108" s="48">
        <f t="shared" si="182"/>
        <v>4.9551949068965769E-2</v>
      </c>
      <c r="CC108" s="48">
        <f t="shared" si="182"/>
        <v>1.1123559319657477E-2</v>
      </c>
      <c r="CD108" s="48">
        <f t="shared" si="182"/>
        <v>1.2786723132809671E-2</v>
      </c>
    </row>
    <row r="109" spans="1:83">
      <c r="A109" s="51"/>
      <c r="B109" s="51"/>
      <c r="C109" s="51"/>
      <c r="D109" s="51"/>
      <c r="E109" s="51"/>
      <c r="F109" s="51"/>
      <c r="G109" s="51"/>
      <c r="H109" s="51"/>
      <c r="I109" s="51"/>
      <c r="J109" s="51"/>
      <c r="K109" s="51"/>
      <c r="L109" s="51"/>
      <c r="M109" s="51"/>
      <c r="N109" s="51"/>
      <c r="O109" s="51"/>
      <c r="P109" s="51"/>
      <c r="Q109" s="51"/>
      <c r="R109" s="51"/>
      <c r="S109" s="51"/>
      <c r="T109" s="51"/>
      <c r="U109" s="51"/>
      <c r="V109" s="51"/>
      <c r="W109" s="51"/>
      <c r="X109" s="51"/>
      <c r="Y109" s="51"/>
      <c r="Z109" s="127"/>
      <c r="AA109" s="51"/>
      <c r="AB109" s="51"/>
      <c r="AC109" s="51"/>
      <c r="AD109" s="51"/>
      <c r="AE109" s="51"/>
      <c r="AF109" s="51"/>
      <c r="AG109" s="51"/>
      <c r="AH109" s="51"/>
      <c r="AI109" s="51"/>
      <c r="AJ109" s="51"/>
      <c r="AK109" s="51"/>
      <c r="AL109" s="51"/>
      <c r="AM109" s="51"/>
      <c r="AN109" s="51"/>
      <c r="AO109" s="51"/>
      <c r="AP109" s="51"/>
      <c r="AQ109" s="51"/>
      <c r="AR109" s="51"/>
      <c r="AS109" s="51"/>
      <c r="AT109" s="51"/>
      <c r="AU109" s="51"/>
      <c r="AV109" s="51"/>
      <c r="AW109" s="51"/>
      <c r="AX109" s="51"/>
      <c r="AY109" s="51"/>
      <c r="AZ109" s="51"/>
      <c r="BA109" s="51"/>
      <c r="BB109" s="51"/>
      <c r="BC109" s="51"/>
      <c r="BD109" s="51"/>
      <c r="BE109" s="51"/>
      <c r="BF109" s="51"/>
      <c r="BG109" s="51"/>
      <c r="BH109" s="51"/>
      <c r="BI109" s="51"/>
      <c r="BJ109" s="51"/>
      <c r="BK109" s="51"/>
      <c r="BL109" s="51"/>
      <c r="BM109" s="51"/>
      <c r="BN109" s="51"/>
      <c r="BO109" s="51"/>
      <c r="BP109" s="51"/>
      <c r="BQ109" s="51"/>
      <c r="BR109" s="51"/>
      <c r="BS109" s="437"/>
      <c r="BT109" s="458"/>
      <c r="BU109" s="127"/>
      <c r="BV109" s="127"/>
      <c r="BW109" s="127"/>
      <c r="BX109" s="127"/>
      <c r="BY109" s="127"/>
      <c r="BZ109" s="127"/>
      <c r="CA109" s="127"/>
      <c r="CB109" s="127"/>
      <c r="CC109" s="127"/>
    </row>
    <row r="110" spans="1:83">
      <c r="A110" s="36" t="s">
        <v>150</v>
      </c>
      <c r="B110" s="27" t="s">
        <v>322</v>
      </c>
      <c r="C110" s="28"/>
      <c r="D110" s="28"/>
      <c r="E110" s="28"/>
      <c r="F110" s="28"/>
      <c r="G110" s="28"/>
      <c r="H110" s="28"/>
      <c r="I110" s="28"/>
      <c r="J110" s="28"/>
      <c r="K110" s="28"/>
      <c r="L110" s="28"/>
      <c r="M110" s="28"/>
      <c r="N110" s="28"/>
      <c r="O110" s="28"/>
      <c r="P110" s="28"/>
      <c r="Q110" s="28"/>
      <c r="R110" s="28"/>
      <c r="S110" s="28"/>
      <c r="T110" s="259"/>
      <c r="U110" s="259"/>
      <c r="V110" s="259"/>
      <c r="W110" s="259"/>
      <c r="X110" s="259"/>
      <c r="Y110" s="259"/>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59"/>
      <c r="BT110" s="259"/>
      <c r="BU110" s="259"/>
      <c r="BV110" s="259"/>
      <c r="BW110" s="259"/>
      <c r="BX110" s="259"/>
      <c r="BY110" s="251"/>
      <c r="BZ110" s="251"/>
      <c r="CA110" s="251"/>
      <c r="CB110" s="251"/>
      <c r="CC110" s="251"/>
      <c r="CD110" s="251"/>
    </row>
    <row r="111" spans="1:83">
      <c r="B111" s="149" t="s">
        <v>381</v>
      </c>
      <c r="V111" s="89"/>
    </row>
    <row r="112" spans="1:83">
      <c r="B112" s="266" t="s">
        <v>416</v>
      </c>
      <c r="T112" s="89">
        <f>SUM(BS112:BV112)</f>
        <v>294.375</v>
      </c>
      <c r="U112" s="89">
        <f>SUM(BW112:BZ112)</f>
        <v>319.16666666666663</v>
      </c>
      <c r="V112" s="89">
        <f>SUM(CA112:CD112)</f>
        <v>332.49999999999994</v>
      </c>
      <c r="W112" s="89">
        <f>(W136*W150)/1000</f>
        <v>332.49999999999994</v>
      </c>
      <c r="X112" s="89">
        <f t="shared" ref="W112:Y116" si="183">(X136*X150)/1000</f>
        <v>332.49999999999994</v>
      </c>
      <c r="Y112" s="89">
        <f t="shared" si="183"/>
        <v>332.49999999999994</v>
      </c>
      <c r="Z112" s="51"/>
      <c r="AA112" s="51"/>
      <c r="AB112" s="51"/>
      <c r="AC112" s="51"/>
      <c r="AD112" s="51"/>
      <c r="AE112" s="51"/>
      <c r="AF112" s="51"/>
      <c r="AG112" s="51"/>
      <c r="AH112" s="51"/>
      <c r="AI112" s="51"/>
      <c r="AJ112" s="51"/>
      <c r="AK112" s="51"/>
      <c r="AL112" s="51"/>
      <c r="AM112" s="53"/>
      <c r="AN112" s="53"/>
      <c r="AO112" s="53"/>
      <c r="AP112" s="53"/>
      <c r="AQ112" s="53"/>
      <c r="AR112" s="53"/>
      <c r="AS112" s="53"/>
      <c r="AT112" s="53"/>
      <c r="AU112" s="53"/>
      <c r="AV112" s="53"/>
      <c r="AW112" s="53"/>
      <c r="AX112" s="53"/>
      <c r="AY112" s="53"/>
      <c r="AZ112" s="53"/>
      <c r="BA112" s="53"/>
      <c r="BB112" s="53"/>
      <c r="BC112" s="53"/>
      <c r="BD112" s="53"/>
      <c r="BE112" s="53"/>
      <c r="BF112" s="53"/>
      <c r="BG112" s="53"/>
      <c r="BH112" s="53"/>
      <c r="BI112" s="53"/>
      <c r="BJ112" s="53"/>
      <c r="BK112" s="53"/>
      <c r="BL112" s="53"/>
      <c r="BM112" s="53"/>
      <c r="BN112" s="53"/>
      <c r="BO112" s="53"/>
      <c r="BP112" s="53"/>
      <c r="BQ112" s="53"/>
      <c r="BR112" s="53"/>
      <c r="BS112" s="89">
        <f t="shared" ref="BS112:CD112" si="184">(BS136*BS150)/1000</f>
        <v>71.25</v>
      </c>
      <c r="BT112" s="89">
        <f t="shared" si="184"/>
        <v>72.083333333333329</v>
      </c>
      <c r="BU112" s="89">
        <f t="shared" si="184"/>
        <v>74.791666666666657</v>
      </c>
      <c r="BV112" s="89">
        <f t="shared" si="184"/>
        <v>76.25</v>
      </c>
      <c r="BW112" s="89">
        <f t="shared" si="184"/>
        <v>76.25</v>
      </c>
      <c r="BX112" s="89">
        <f t="shared" si="184"/>
        <v>77.916666666666657</v>
      </c>
      <c r="BY112" s="89">
        <f t="shared" si="184"/>
        <v>81.874999999999986</v>
      </c>
      <c r="BZ112" s="89">
        <f t="shared" si="184"/>
        <v>83.124999999999986</v>
      </c>
      <c r="CA112" s="89">
        <f>(CA136*CA150)/1000</f>
        <v>83.124999999999986</v>
      </c>
      <c r="CB112" s="89">
        <f t="shared" si="184"/>
        <v>83.124999999999986</v>
      </c>
      <c r="CC112" s="89">
        <f t="shared" si="184"/>
        <v>83.124999999999986</v>
      </c>
      <c r="CD112" s="89">
        <f t="shared" si="184"/>
        <v>83.124999999999986</v>
      </c>
    </row>
    <row r="113" spans="1:84" s="7" customFormat="1">
      <c r="B113" s="266" t="s">
        <v>395</v>
      </c>
      <c r="I113" s="57"/>
      <c r="J113" s="57"/>
      <c r="K113" s="57"/>
      <c r="L113" s="57"/>
      <c r="M113" s="57"/>
      <c r="N113" s="57"/>
      <c r="O113" s="57"/>
      <c r="P113" s="57"/>
      <c r="Q113" s="57"/>
      <c r="R113" s="57"/>
      <c r="S113" s="57"/>
      <c r="T113" s="47">
        <f>SUM(BS113:BV113)</f>
        <v>208.13444664359412</v>
      </c>
      <c r="U113" s="47">
        <f>SUM(BW113:BZ113)</f>
        <v>219.99135036173161</v>
      </c>
      <c r="V113" s="47">
        <f>SUM(CA113:CD113)</f>
        <v>222.43716468756745</v>
      </c>
      <c r="W113" s="47">
        <f t="shared" si="183"/>
        <v>220.75726236750222</v>
      </c>
      <c r="X113" s="47">
        <f t="shared" si="183"/>
        <v>234.13828976819914</v>
      </c>
      <c r="Y113" s="47">
        <f t="shared" si="183"/>
        <v>236.80784789100701</v>
      </c>
      <c r="Z113" s="45"/>
      <c r="AA113" s="45"/>
      <c r="AB113" s="45"/>
      <c r="AC113" s="45"/>
      <c r="AD113" s="45"/>
      <c r="AE113" s="45"/>
      <c r="AF113" s="45"/>
      <c r="AG113" s="45"/>
      <c r="AH113" s="45"/>
      <c r="AI113" s="45"/>
      <c r="AJ113" s="45"/>
      <c r="AK113" s="45"/>
      <c r="AL113" s="45"/>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2"/>
      <c r="BL113" s="92"/>
      <c r="BM113" s="92"/>
      <c r="BN113" s="92"/>
      <c r="BO113" s="92"/>
      <c r="BP113" s="92"/>
      <c r="BQ113" s="92"/>
      <c r="BR113" s="92"/>
      <c r="BS113" s="47">
        <f t="shared" ref="BS113:CD113" si="185">(BS137*BS151)/1000</f>
        <v>50.582513791635819</v>
      </c>
      <c r="BT113" s="47">
        <f t="shared" si="185"/>
        <v>50.073112763354978</v>
      </c>
      <c r="BU113" s="47">
        <f t="shared" si="185"/>
        <v>52.845359514034996</v>
      </c>
      <c r="BV113" s="47">
        <f t="shared" si="185"/>
        <v>54.633460574568339</v>
      </c>
      <c r="BW113" s="47">
        <f t="shared" si="185"/>
        <v>56.054930171679985</v>
      </c>
      <c r="BX113" s="47">
        <f t="shared" si="185"/>
        <v>55.469985769274992</v>
      </c>
      <c r="BY113" s="47">
        <f t="shared" si="185"/>
        <v>54.15802002142582</v>
      </c>
      <c r="BZ113" s="47">
        <f>(BZ137*BZ151)/1000</f>
        <v>54.308414399350816</v>
      </c>
      <c r="CA113" s="47">
        <f t="shared" si="185"/>
        <v>56.309283903354164</v>
      </c>
      <c r="CB113" s="47">
        <f t="shared" si="185"/>
        <v>54.773458331789989</v>
      </c>
      <c r="CC113" s="47">
        <f t="shared" si="185"/>
        <v>55.139395035669985</v>
      </c>
      <c r="CD113" s="47">
        <f t="shared" si="185"/>
        <v>56.215027416753323</v>
      </c>
    </row>
    <row r="114" spans="1:84" s="7" customFormat="1">
      <c r="B114" s="266" t="s">
        <v>607</v>
      </c>
      <c r="I114" s="57"/>
      <c r="J114" s="57"/>
      <c r="K114" s="57"/>
      <c r="L114" s="57"/>
      <c r="M114" s="57"/>
      <c r="N114" s="57"/>
      <c r="O114" s="57"/>
      <c r="P114" s="57"/>
      <c r="Q114" s="57"/>
      <c r="R114" s="57"/>
      <c r="S114" s="57"/>
      <c r="T114" s="47">
        <f>SUM(BS114:BV114)</f>
        <v>113.08361224266365</v>
      </c>
      <c r="U114" s="47">
        <f>SUM(BW114:BZ114)</f>
        <v>119.52570543810889</v>
      </c>
      <c r="V114" s="47">
        <f>SUM(CA114:CD114)</f>
        <v>120.85456533276142</v>
      </c>
      <c r="W114" s="47">
        <f t="shared" si="183"/>
        <v>119.94184076635118</v>
      </c>
      <c r="X114" s="47">
        <f t="shared" si="183"/>
        <v>127.21202087536507</v>
      </c>
      <c r="Y114" s="47">
        <f t="shared" si="183"/>
        <v>128.66244525483262</v>
      </c>
      <c r="BS114" s="284">
        <f>(BS138*BS152)/1000</f>
        <v>27.482492533623969</v>
      </c>
      <c r="BT114" s="284">
        <f t="shared" ref="BT114:CD114" si="186">(BT138*BT152)/1000</f>
        <v>27.20572475545428</v>
      </c>
      <c r="BU114" s="284">
        <f t="shared" si="186"/>
        <v>28.711941922532382</v>
      </c>
      <c r="BV114" s="284">
        <f t="shared" si="186"/>
        <v>29.68345303105302</v>
      </c>
      <c r="BW114" s="284">
        <f t="shared" si="186"/>
        <v>30.455765924601899</v>
      </c>
      <c r="BX114" s="284">
        <f t="shared" si="186"/>
        <v>30.137953918699999</v>
      </c>
      <c r="BY114" s="284">
        <f t="shared" si="186"/>
        <v>29.425136659001108</v>
      </c>
      <c r="BZ114" s="284">
        <f t="shared" si="186"/>
        <v>29.506848935805873</v>
      </c>
      <c r="CA114" s="284">
        <f t="shared" si="186"/>
        <v>30.593961399829368</v>
      </c>
      <c r="CB114" s="284">
        <f t="shared" si="186"/>
        <v>29.759516615662854</v>
      </c>
      <c r="CC114" s="284">
        <f t="shared" si="186"/>
        <v>29.95833735386476</v>
      </c>
      <c r="CD114" s="284">
        <f t="shared" si="186"/>
        <v>30.542749963404443</v>
      </c>
    </row>
    <row r="115" spans="1:84" s="7" customFormat="1">
      <c r="B115" s="266" t="s">
        <v>605</v>
      </c>
      <c r="I115" s="57"/>
      <c r="J115" s="57"/>
      <c r="K115" s="57"/>
      <c r="L115" s="57"/>
      <c r="M115" s="57"/>
      <c r="N115" s="57"/>
      <c r="O115" s="57"/>
      <c r="P115" s="57"/>
      <c r="Q115" s="57"/>
      <c r="R115" s="57"/>
      <c r="S115" s="57"/>
      <c r="T115" s="47">
        <f>SUM(BS115:BV115)</f>
        <v>85.317234240494116</v>
      </c>
      <c r="U115" s="47">
        <f>SUM(BW115:BZ115)</f>
        <v>90.743588101092357</v>
      </c>
      <c r="V115" s="47">
        <f>SUM(CA115:CD115)</f>
        <v>91.752454892402369</v>
      </c>
      <c r="W115" s="47">
        <f t="shared" si="183"/>
        <v>92.933117702441294</v>
      </c>
      <c r="X115" s="47">
        <f t="shared" si="183"/>
        <v>93.505453256223618</v>
      </c>
      <c r="Y115" s="47">
        <f t="shared" si="183"/>
        <v>94.077788810005998</v>
      </c>
      <c r="BS115" s="284">
        <f>(BS139*BS153)/1000</f>
        <v>20.734483153689158</v>
      </c>
      <c r="BT115" s="284">
        <f t="shared" ref="BT115:CD115" si="187">(BT139*BT153)/1000</f>
        <v>20.525672514445926</v>
      </c>
      <c r="BU115" s="284">
        <f t="shared" si="187"/>
        <v>21.662055411243536</v>
      </c>
      <c r="BV115" s="284">
        <f t="shared" si="187"/>
        <v>22.395023161115489</v>
      </c>
      <c r="BW115" s="284">
        <f t="shared" si="187"/>
        <v>23.121934049545533</v>
      </c>
      <c r="BX115" s="284">
        <f t="shared" si="187"/>
        <v>22.880652045382192</v>
      </c>
      <c r="BY115" s="284">
        <f t="shared" si="187"/>
        <v>22.339483134741801</v>
      </c>
      <c r="BZ115" s="284">
        <f t="shared" si="187"/>
        <v>22.401518871422837</v>
      </c>
      <c r="CA115" s="284">
        <f t="shared" si="187"/>
        <v>23.226851675720678</v>
      </c>
      <c r="CB115" s="284">
        <f t="shared" si="187"/>
        <v>22.593343481730393</v>
      </c>
      <c r="CC115" s="284">
        <f t="shared" si="187"/>
        <v>22.744287641459202</v>
      </c>
      <c r="CD115" s="284">
        <f t="shared" si="187"/>
        <v>23.187972093492107</v>
      </c>
    </row>
    <row r="116" spans="1:84" s="7" customFormat="1">
      <c r="B116" s="266" t="s">
        <v>606</v>
      </c>
      <c r="I116" s="57"/>
      <c r="J116" s="57"/>
      <c r="K116" s="57"/>
      <c r="L116" s="57"/>
      <c r="M116" s="57"/>
      <c r="N116" s="57"/>
      <c r="O116" s="57"/>
      <c r="P116" s="57"/>
      <c r="Q116" s="57"/>
      <c r="R116" s="57"/>
      <c r="S116" s="57"/>
      <c r="T116" s="47">
        <f>SUM(BS116:BV116)</f>
        <v>69.273924915401849</v>
      </c>
      <c r="U116" s="47">
        <f>SUM(BW116:BZ116)</f>
        <v>70.815689948804774</v>
      </c>
      <c r="V116" s="47">
        <f>SUM(CA116:CD116)</f>
        <v>92.349547180238233</v>
      </c>
      <c r="W116" s="47">
        <f t="shared" si="183"/>
        <v>108.07819123083419</v>
      </c>
      <c r="X116" s="47">
        <f t="shared" si="183"/>
        <v>114.47888427712532</v>
      </c>
      <c r="Y116" s="47">
        <f t="shared" si="183"/>
        <v>120.87957732341623</v>
      </c>
      <c r="Z116" s="45"/>
      <c r="AA116" s="45"/>
      <c r="AB116" s="45"/>
      <c r="AC116" s="45"/>
      <c r="AD116" s="45"/>
      <c r="AE116" s="45"/>
      <c r="AF116" s="45"/>
      <c r="AG116" s="45"/>
      <c r="AH116" s="45"/>
      <c r="AI116" s="45"/>
      <c r="AJ116" s="45"/>
      <c r="AK116" s="45"/>
      <c r="AL116" s="45"/>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2"/>
      <c r="BL116" s="92"/>
      <c r="BM116" s="92"/>
      <c r="BN116" s="92"/>
      <c r="BO116" s="92"/>
      <c r="BP116" s="92"/>
      <c r="BQ116" s="92"/>
      <c r="BR116" s="92"/>
      <c r="BS116" s="284">
        <f t="shared" ref="BS116:CD116" si="188">(BS140*BS154)/1000</f>
        <v>24.059861265111074</v>
      </c>
      <c r="BT116" s="284">
        <f t="shared" si="188"/>
        <v>14.229267108971857</v>
      </c>
      <c r="BU116" s="284">
        <f t="shared" si="188"/>
        <v>17.178615837851428</v>
      </c>
      <c r="BV116" s="284">
        <f t="shared" si="188"/>
        <v>13.806180703467492</v>
      </c>
      <c r="BW116" s="284">
        <f t="shared" si="188"/>
        <v>18.950048424198947</v>
      </c>
      <c r="BX116" s="284">
        <f t="shared" si="188"/>
        <v>19.796965324559359</v>
      </c>
      <c r="BY116" s="284">
        <f t="shared" si="188"/>
        <v>17.288818725335908</v>
      </c>
      <c r="BZ116" s="284">
        <f>(BZ140*BZ154)/1000</f>
        <v>14.77985747471056</v>
      </c>
      <c r="CA116" s="284">
        <f t="shared" si="188"/>
        <v>15.324387570492878</v>
      </c>
      <c r="CB116" s="284">
        <f t="shared" si="188"/>
        <v>24.534187470973293</v>
      </c>
      <c r="CC116" s="284">
        <f t="shared" si="188"/>
        <v>26.428828972733783</v>
      </c>
      <c r="CD116" s="284">
        <f t="shared" si="188"/>
        <v>26.062143166038275</v>
      </c>
    </row>
    <row r="117" spans="1:84" s="7" customFormat="1">
      <c r="B117" s="267" t="s">
        <v>380</v>
      </c>
      <c r="I117" s="57"/>
      <c r="J117" s="57"/>
      <c r="K117" s="57"/>
      <c r="L117" s="57"/>
      <c r="M117" s="57"/>
      <c r="N117" s="57"/>
      <c r="O117" s="57"/>
      <c r="P117" s="57"/>
      <c r="Q117" s="57"/>
      <c r="R117" s="57"/>
      <c r="S117" s="57"/>
      <c r="T117" s="93">
        <f t="shared" ref="T117:Y117" si="189">SUM(T112:T116)</f>
        <v>770.1842180421537</v>
      </c>
      <c r="U117" s="93">
        <f t="shared" si="189"/>
        <v>820.24300051640421</v>
      </c>
      <c r="V117" s="93">
        <f t="shared" si="189"/>
        <v>859.89373209296946</v>
      </c>
      <c r="W117" s="93">
        <f t="shared" si="189"/>
        <v>874.2104120671288</v>
      </c>
      <c r="X117" s="93">
        <f t="shared" si="189"/>
        <v>901.83464817691311</v>
      </c>
      <c r="Y117" s="93">
        <f t="shared" si="189"/>
        <v>912.92765927926189</v>
      </c>
      <c r="Z117" s="51"/>
      <c r="AA117" s="51"/>
      <c r="AB117" s="51"/>
      <c r="AC117" s="51"/>
      <c r="AD117" s="51"/>
      <c r="AE117" s="51"/>
      <c r="AF117" s="51"/>
      <c r="AG117" s="51"/>
      <c r="AH117" s="51"/>
      <c r="AI117" s="51"/>
      <c r="AJ117" s="51"/>
      <c r="AK117" s="51"/>
      <c r="AL117" s="51"/>
      <c r="AM117" s="53"/>
      <c r="AN117" s="53"/>
      <c r="AO117" s="53"/>
      <c r="AP117" s="53"/>
      <c r="AQ117" s="53"/>
      <c r="AR117" s="53"/>
      <c r="AS117" s="53"/>
      <c r="AT117" s="53"/>
      <c r="AU117" s="53"/>
      <c r="AV117" s="53"/>
      <c r="AW117" s="53"/>
      <c r="AX117" s="53"/>
      <c r="AY117" s="53"/>
      <c r="AZ117" s="53"/>
      <c r="BA117" s="53"/>
      <c r="BB117" s="53"/>
      <c r="BC117" s="53"/>
      <c r="BD117" s="53"/>
      <c r="BE117" s="53"/>
      <c r="BF117" s="53"/>
      <c r="BG117" s="53"/>
      <c r="BH117" s="53"/>
      <c r="BI117" s="53"/>
      <c r="BJ117" s="53"/>
      <c r="BK117" s="53"/>
      <c r="BL117" s="53"/>
      <c r="BM117" s="53"/>
      <c r="BN117" s="53"/>
      <c r="BO117" s="53"/>
      <c r="BP117" s="53"/>
      <c r="BQ117" s="53"/>
      <c r="BR117" s="53"/>
      <c r="BS117" s="93">
        <f t="shared" ref="BS117:CD117" si="190">SUM(BS112:BS116)</f>
        <v>194.10935074406001</v>
      </c>
      <c r="BT117" s="93">
        <f t="shared" si="190"/>
        <v>184.11711047556037</v>
      </c>
      <c r="BU117" s="93">
        <f t="shared" si="190"/>
        <v>195.18963935232898</v>
      </c>
      <c r="BV117" s="93">
        <f t="shared" si="190"/>
        <v>196.76811747020437</v>
      </c>
      <c r="BW117" s="93">
        <f t="shared" si="190"/>
        <v>204.83267857002636</v>
      </c>
      <c r="BX117" s="93">
        <f t="shared" si="190"/>
        <v>206.20222372458318</v>
      </c>
      <c r="BY117" s="93">
        <f t="shared" si="190"/>
        <v>205.08645854050465</v>
      </c>
      <c r="BZ117" s="93">
        <f t="shared" si="190"/>
        <v>204.12163968129005</v>
      </c>
      <c r="CA117" s="93">
        <f t="shared" si="190"/>
        <v>208.57948454939708</v>
      </c>
      <c r="CB117" s="93">
        <f t="shared" si="190"/>
        <v>214.78550590015652</v>
      </c>
      <c r="CC117" s="93">
        <f t="shared" si="190"/>
        <v>217.3958490037277</v>
      </c>
      <c r="CD117" s="93">
        <f t="shared" si="190"/>
        <v>219.13289263968815</v>
      </c>
    </row>
    <row r="118" spans="1:84" s="7" customFormat="1">
      <c r="B118" s="287" t="s">
        <v>141</v>
      </c>
      <c r="C118" s="5"/>
      <c r="D118" s="5"/>
      <c r="E118" s="5"/>
      <c r="F118" s="5"/>
      <c r="G118" s="5"/>
      <c r="H118" s="5"/>
      <c r="I118" s="5"/>
      <c r="J118" s="5"/>
      <c r="K118" s="5"/>
      <c r="L118" s="280"/>
      <c r="M118" s="280"/>
      <c r="N118" s="280"/>
      <c r="O118" s="280"/>
      <c r="P118" s="280"/>
      <c r="Q118" s="280"/>
      <c r="R118" s="280"/>
      <c r="S118" s="280"/>
      <c r="T118" s="280"/>
      <c r="U118" s="280">
        <f>+U117/T117-1</f>
        <v>6.4995855928471791E-2</v>
      </c>
      <c r="V118" s="280">
        <f>+V117/U117-1</f>
        <v>4.8340225459531094E-2</v>
      </c>
      <c r="W118" s="280">
        <f>+W117/V117-1</f>
        <v>1.6649359612510128E-2</v>
      </c>
      <c r="X118" s="280">
        <f>+X117/W117-1</f>
        <v>3.1599070119131767E-2</v>
      </c>
      <c r="Y118" s="280">
        <f>+Y117/X117-1</f>
        <v>1.2300493360699383E-2</v>
      </c>
      <c r="Z118" s="5"/>
      <c r="AA118" s="5"/>
      <c r="AB118" s="5"/>
      <c r="AC118" s="5"/>
      <c r="AD118" s="5"/>
      <c r="AE118" s="5"/>
      <c r="AF118" s="5"/>
      <c r="AG118" s="5"/>
      <c r="AH118" s="5"/>
      <c r="AI118" s="5"/>
      <c r="AJ118" s="5"/>
      <c r="AK118" s="5"/>
      <c r="AL118" s="5"/>
      <c r="AM118" s="280"/>
      <c r="AN118" s="280"/>
      <c r="AO118" s="280"/>
      <c r="AP118" s="280"/>
      <c r="AQ118" s="280"/>
      <c r="AR118" s="280"/>
      <c r="AS118" s="280"/>
      <c r="AT118" s="280"/>
      <c r="AU118" s="280"/>
      <c r="AV118" s="280"/>
      <c r="AW118" s="280"/>
      <c r="AX118" s="280"/>
      <c r="AY118" s="280"/>
      <c r="AZ118" s="280"/>
      <c r="BA118" s="280"/>
      <c r="BB118" s="280"/>
      <c r="BC118" s="280"/>
      <c r="BD118" s="280"/>
      <c r="BE118" s="280"/>
      <c r="BF118" s="280"/>
      <c r="BG118" s="280"/>
      <c r="BH118" s="280"/>
      <c r="BI118" s="280"/>
      <c r="BJ118" s="280"/>
      <c r="BK118" s="280"/>
      <c r="BL118" s="280"/>
      <c r="BM118" s="280"/>
      <c r="BN118" s="280"/>
      <c r="BO118" s="280"/>
      <c r="BP118" s="280"/>
      <c r="BQ118" s="280"/>
      <c r="BR118" s="280"/>
      <c r="BS118" s="280"/>
      <c r="BT118" s="280"/>
      <c r="BU118" s="280"/>
      <c r="BV118" s="280"/>
      <c r="BW118" s="280">
        <f t="shared" ref="BW118:CD118" si="191">+BW117/BS117-1</f>
        <v>5.5243746810041294E-2</v>
      </c>
      <c r="BX118" s="280">
        <f t="shared" si="191"/>
        <v>0.11995144390425549</v>
      </c>
      <c r="BY118" s="280">
        <f t="shared" si="191"/>
        <v>5.0703609172161546E-2</v>
      </c>
      <c r="BZ118" s="280">
        <f t="shared" si="191"/>
        <v>3.7371512751293023E-2</v>
      </c>
      <c r="CA118" s="280">
        <f t="shared" si="191"/>
        <v>1.8292032333550701E-2</v>
      </c>
      <c r="CB118" s="280">
        <f t="shared" si="191"/>
        <v>4.1625555828329608E-2</v>
      </c>
      <c r="CC118" s="280">
        <f t="shared" si="191"/>
        <v>6.0020493555852816E-2</v>
      </c>
      <c r="CD118" s="280">
        <f t="shared" si="191"/>
        <v>7.3540722981827233E-2</v>
      </c>
    </row>
    <row r="119" spans="1:84">
      <c r="A119" s="36"/>
      <c r="BW119" s="77"/>
      <c r="BX119" s="77"/>
      <c r="BY119" s="77"/>
      <c r="BZ119" s="77"/>
    </row>
    <row r="120" spans="1:84">
      <c r="A120" s="34"/>
      <c r="B120" s="149" t="s">
        <v>399</v>
      </c>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49"/>
      <c r="AK120" s="149"/>
      <c r="AL120" s="149"/>
      <c r="AM120" s="149"/>
      <c r="AN120" s="149"/>
      <c r="AO120" s="149"/>
      <c r="AP120" s="149"/>
      <c r="AQ120" s="149"/>
      <c r="AR120" s="149"/>
      <c r="AS120" s="149"/>
      <c r="AT120" s="149"/>
      <c r="AU120" s="149"/>
      <c r="AV120" s="149"/>
      <c r="AW120" s="149"/>
      <c r="AX120" s="149"/>
      <c r="AY120" s="149"/>
      <c r="AZ120" s="149"/>
      <c r="BA120" s="149"/>
      <c r="BB120" s="149"/>
      <c r="BC120" s="149"/>
      <c r="BD120" s="149"/>
      <c r="BE120" s="149"/>
      <c r="BF120" s="149"/>
      <c r="BG120" s="149"/>
      <c r="BH120" s="149"/>
      <c r="BI120" s="149"/>
      <c r="BJ120" s="149"/>
      <c r="BK120" s="330"/>
      <c r="BL120" s="330"/>
      <c r="BM120" s="330"/>
      <c r="BN120" s="330"/>
      <c r="BO120" s="330"/>
      <c r="BP120" s="330"/>
      <c r="BQ120" s="330"/>
      <c r="BR120" s="149"/>
      <c r="BS120" s="337"/>
      <c r="BT120" s="149"/>
      <c r="BU120" s="149"/>
      <c r="BV120" s="149"/>
      <c r="BW120" s="149"/>
      <c r="BX120" s="149"/>
      <c r="BY120" s="149"/>
      <c r="BZ120" s="149"/>
      <c r="CA120" s="149"/>
      <c r="CB120" s="149"/>
    </row>
    <row r="121" spans="1:84">
      <c r="A121" s="34"/>
      <c r="B121" s="34" t="s">
        <v>404</v>
      </c>
      <c r="C121" s="34"/>
      <c r="D121" s="34"/>
      <c r="E121" s="34"/>
      <c r="F121" s="34"/>
      <c r="G121" s="34"/>
      <c r="H121" s="34"/>
      <c r="I121" s="34"/>
      <c r="J121" s="34"/>
      <c r="K121" s="34"/>
      <c r="L121" s="34"/>
      <c r="M121" s="34"/>
      <c r="N121" s="34"/>
      <c r="O121" s="34"/>
      <c r="P121" s="34"/>
      <c r="Q121" s="34"/>
      <c r="R121" s="34"/>
      <c r="S121" s="34"/>
      <c r="T121" s="349">
        <f t="shared" ref="T121:Y121" si="192">T433</f>
        <v>5337</v>
      </c>
      <c r="U121" s="349">
        <f t="shared" si="192"/>
        <v>5235</v>
      </c>
      <c r="V121" s="349">
        <f t="shared" si="192"/>
        <v>5235</v>
      </c>
      <c r="W121" s="349">
        <f t="shared" si="192"/>
        <v>5235</v>
      </c>
      <c r="X121" s="349">
        <f t="shared" si="192"/>
        <v>5235</v>
      </c>
      <c r="Y121" s="349">
        <f t="shared" si="192"/>
        <v>5235</v>
      </c>
      <c r="Z121" s="348"/>
      <c r="AA121" s="348"/>
      <c r="AB121" s="348"/>
      <c r="AC121" s="348"/>
      <c r="AD121" s="348"/>
      <c r="AE121" s="348"/>
      <c r="AF121" s="348"/>
      <c r="AG121" s="348"/>
      <c r="AH121" s="348"/>
      <c r="AI121" s="348"/>
      <c r="AJ121" s="348"/>
      <c r="AK121" s="348"/>
      <c r="AL121" s="348"/>
      <c r="AM121" s="348"/>
      <c r="AN121" s="348"/>
      <c r="AO121" s="348"/>
      <c r="AP121" s="348"/>
      <c r="AQ121" s="348"/>
      <c r="AR121" s="348"/>
      <c r="AS121" s="348"/>
      <c r="AT121" s="348"/>
      <c r="AU121" s="348"/>
      <c r="AV121" s="348"/>
      <c r="AW121" s="348"/>
      <c r="AX121" s="348"/>
      <c r="AY121" s="348"/>
      <c r="AZ121" s="348"/>
      <c r="BA121" s="348"/>
      <c r="BB121" s="348"/>
      <c r="BC121" s="348"/>
      <c r="BD121" s="348"/>
      <c r="BE121" s="348"/>
      <c r="BF121" s="348"/>
      <c r="BG121" s="348"/>
      <c r="BH121" s="348"/>
      <c r="BI121" s="348"/>
      <c r="BJ121" s="348"/>
      <c r="BK121" s="348"/>
      <c r="BL121" s="402"/>
      <c r="BM121" s="402"/>
      <c r="BN121" s="348"/>
      <c r="BO121" s="348"/>
      <c r="BP121" s="348"/>
      <c r="BQ121" s="348"/>
      <c r="BR121" s="348"/>
      <c r="BS121" s="349">
        <f>BS433</f>
        <v>1401.25</v>
      </c>
      <c r="BT121" s="349">
        <f t="shared" ref="BT121:BZ121" si="193">BT433</f>
        <v>1311.9166666666667</v>
      </c>
      <c r="BU121" s="349">
        <f t="shared" si="193"/>
        <v>1311.9166666666667</v>
      </c>
      <c r="BV121" s="349">
        <f t="shared" si="193"/>
        <v>1311.9166666666667</v>
      </c>
      <c r="BW121" s="349">
        <f t="shared" si="193"/>
        <v>1308.75</v>
      </c>
      <c r="BX121" s="349">
        <f>BX433</f>
        <v>1308.75</v>
      </c>
      <c r="BY121" s="349">
        <f t="shared" si="193"/>
        <v>1308.75</v>
      </c>
      <c r="BZ121" s="349">
        <f t="shared" si="193"/>
        <v>1308.75</v>
      </c>
      <c r="CA121" s="349">
        <f>CA433</f>
        <v>1308.75</v>
      </c>
      <c r="CB121" s="349">
        <f>CB433</f>
        <v>1308.75</v>
      </c>
      <c r="CC121" s="349">
        <f>CC433</f>
        <v>1308.75</v>
      </c>
      <c r="CD121" s="349">
        <f>CD433</f>
        <v>1308.75</v>
      </c>
      <c r="CE121" s="34"/>
    </row>
    <row r="122" spans="1:84">
      <c r="A122" s="34"/>
      <c r="B122" s="238" t="s">
        <v>364</v>
      </c>
      <c r="C122" s="66"/>
      <c r="D122" s="66"/>
      <c r="E122" s="66"/>
      <c r="F122" s="66"/>
      <c r="G122" s="66"/>
      <c r="H122" s="66"/>
      <c r="I122" s="66"/>
      <c r="J122" s="66"/>
      <c r="K122" s="66"/>
      <c r="L122" s="66"/>
      <c r="M122" s="66"/>
      <c r="N122" s="66"/>
      <c r="O122" s="66"/>
      <c r="P122" s="66"/>
      <c r="Q122" s="66"/>
      <c r="R122" s="66"/>
      <c r="S122" s="66"/>
      <c r="T122" s="283">
        <f>+T123/T121</f>
        <v>0.83278766160764484</v>
      </c>
      <c r="U122" s="283">
        <f>+U123/U121</f>
        <v>0.84574999999999989</v>
      </c>
      <c r="V122" s="283">
        <f>+V123/V121</f>
        <v>0.87575000000000003</v>
      </c>
      <c r="W122" s="273">
        <f>W125+2%</f>
        <v>0.9</v>
      </c>
      <c r="X122" s="273">
        <f t="shared" ref="X122:Y122" si="194">X125+2%</f>
        <v>0.91</v>
      </c>
      <c r="Y122" s="273">
        <f t="shared" si="194"/>
        <v>0.92</v>
      </c>
      <c r="Z122" s="66"/>
      <c r="AA122" s="66"/>
      <c r="AB122" s="66"/>
      <c r="AC122" s="66"/>
      <c r="AD122" s="66"/>
      <c r="AE122" s="66"/>
      <c r="AF122" s="66"/>
      <c r="AG122" s="66"/>
      <c r="AH122" s="66"/>
      <c r="AI122" s="66"/>
      <c r="AJ122" s="66"/>
      <c r="AK122" s="66"/>
      <c r="AL122" s="66"/>
      <c r="AM122" s="67"/>
      <c r="AN122" s="67"/>
      <c r="AO122" s="67"/>
      <c r="AP122" s="67"/>
      <c r="AQ122" s="67"/>
      <c r="AR122" s="67"/>
      <c r="AS122" s="67"/>
      <c r="AT122" s="67"/>
      <c r="AU122" s="67"/>
      <c r="AV122" s="67"/>
      <c r="AW122" s="67"/>
      <c r="AX122" s="67"/>
      <c r="AY122" s="67"/>
      <c r="AZ122" s="67"/>
      <c r="BA122" s="67"/>
      <c r="BB122" s="67"/>
      <c r="BC122" s="67"/>
      <c r="BD122" s="67"/>
      <c r="BE122" s="67"/>
      <c r="BF122" s="67"/>
      <c r="BG122" s="174"/>
      <c r="BH122" s="174"/>
      <c r="BI122" s="174"/>
      <c r="BJ122" s="174"/>
      <c r="BK122" s="174"/>
      <c r="BL122" s="174"/>
      <c r="BM122" s="174"/>
      <c r="BN122" s="174"/>
      <c r="BO122" s="174"/>
      <c r="BP122" s="174"/>
      <c r="BQ122" s="174"/>
      <c r="BR122" s="433"/>
      <c r="BS122" s="273">
        <f>BS125+1%</f>
        <v>0.83499999999999996</v>
      </c>
      <c r="BT122" s="273">
        <f t="shared" ref="BT122:BZ122" si="195">BT125+1%</f>
        <v>0.83099999999999996</v>
      </c>
      <c r="BU122" s="273">
        <f t="shared" si="195"/>
        <v>0.84399999999999997</v>
      </c>
      <c r="BV122" s="273">
        <f t="shared" si="195"/>
        <v>0.82100000000000006</v>
      </c>
      <c r="BW122" s="273">
        <f t="shared" si="195"/>
        <v>0.85099999999999998</v>
      </c>
      <c r="BX122" s="273">
        <f t="shared" si="195"/>
        <v>0.85699999999999998</v>
      </c>
      <c r="BY122" s="273">
        <f t="shared" si="195"/>
        <v>0.84499999999999997</v>
      </c>
      <c r="BZ122" s="273">
        <f t="shared" si="195"/>
        <v>0.83</v>
      </c>
      <c r="CA122" s="273">
        <f>CA125-5%</f>
        <v>0.83</v>
      </c>
      <c r="CB122" s="218">
        <f>CB125</f>
        <v>0.88600000000000001</v>
      </c>
      <c r="CC122" s="218">
        <f>CC125+1%</f>
        <v>0.89600000000000002</v>
      </c>
      <c r="CD122" s="218">
        <f t="shared" ref="CD122" si="196">CD125+2%</f>
        <v>0.89100000000000001</v>
      </c>
      <c r="CE122" s="229"/>
      <c r="CF122" s="229"/>
    </row>
    <row r="123" spans="1:84">
      <c r="A123" s="34"/>
      <c r="B123" s="18" t="s">
        <v>403</v>
      </c>
      <c r="T123" s="254">
        <f>SUM(BS123:BV123)</f>
        <v>4444.5877500000006</v>
      </c>
      <c r="U123" s="254">
        <f>SUM(BW123:BZ123)</f>
        <v>4427.5012499999993</v>
      </c>
      <c r="V123" s="254">
        <f>SUM(CA123:CD123)</f>
        <v>4584.5512500000004</v>
      </c>
      <c r="W123" s="254">
        <f>+W121*W122</f>
        <v>4711.5</v>
      </c>
      <c r="X123" s="254">
        <f>+X121*X122</f>
        <v>4763.8500000000004</v>
      </c>
      <c r="Y123" s="254">
        <f>+Y121*Y122</f>
        <v>4816.2</v>
      </c>
      <c r="Z123" s="18"/>
      <c r="AA123" s="18"/>
      <c r="AB123" s="18"/>
      <c r="AC123" s="18"/>
      <c r="AD123" s="18"/>
      <c r="AE123" s="18"/>
      <c r="AF123" s="18"/>
      <c r="AG123" s="18"/>
      <c r="AH123" s="18"/>
      <c r="AI123" s="18"/>
      <c r="AJ123" s="18"/>
      <c r="AK123" s="18"/>
      <c r="AL123" s="18"/>
      <c r="AM123" s="18"/>
      <c r="AN123" s="18"/>
      <c r="AO123" s="18"/>
      <c r="AP123" s="18"/>
      <c r="AQ123" s="18"/>
      <c r="AR123" s="18"/>
      <c r="AS123" s="18"/>
      <c r="AT123" s="18"/>
      <c r="AU123" s="18"/>
      <c r="AV123" s="18"/>
      <c r="AW123" s="18"/>
      <c r="AX123" s="18"/>
      <c r="AY123" s="18"/>
      <c r="AZ123" s="18"/>
      <c r="BA123" s="18"/>
      <c r="BB123" s="18"/>
      <c r="BC123" s="18"/>
      <c r="BD123" s="18"/>
      <c r="BE123" s="18"/>
      <c r="BF123" s="18"/>
      <c r="BG123" s="18"/>
      <c r="BH123" s="18"/>
      <c r="BI123" s="18"/>
      <c r="BJ123" s="18"/>
      <c r="BL123" s="329"/>
      <c r="BM123" s="329"/>
      <c r="BN123" s="329"/>
      <c r="BO123" s="329"/>
      <c r="BP123" s="329"/>
      <c r="BQ123" s="329"/>
      <c r="BR123" s="18"/>
      <c r="BS123" s="254">
        <f t="shared" ref="BS123:BZ123" si="197">+BS121*BS122</f>
        <v>1170.04375</v>
      </c>
      <c r="BT123" s="254">
        <f t="shared" si="197"/>
        <v>1090.2027499999999</v>
      </c>
      <c r="BU123" s="254">
        <f t="shared" si="197"/>
        <v>1107.2576666666666</v>
      </c>
      <c r="BV123" s="254">
        <f t="shared" si="197"/>
        <v>1077.0835833333335</v>
      </c>
      <c r="BW123" s="254">
        <f t="shared" si="197"/>
        <v>1113.7462499999999</v>
      </c>
      <c r="BX123" s="254">
        <f t="shared" si="197"/>
        <v>1121.5987499999999</v>
      </c>
      <c r="BY123" s="254">
        <f t="shared" si="197"/>
        <v>1105.89375</v>
      </c>
      <c r="BZ123" s="254">
        <f t="shared" si="197"/>
        <v>1086.2625</v>
      </c>
      <c r="CA123" s="254">
        <f>+CA121*CA122</f>
        <v>1086.2625</v>
      </c>
      <c r="CB123" s="254">
        <f>+CB121*CB122</f>
        <v>1159.5525</v>
      </c>
      <c r="CC123" s="254">
        <f>+CC121*CC122</f>
        <v>1172.6400000000001</v>
      </c>
      <c r="CD123" s="254">
        <f>+CD121*CD122</f>
        <v>1166.0962500000001</v>
      </c>
    </row>
    <row r="124" spans="1:84">
      <c r="A124" s="34"/>
      <c r="B124" s="34"/>
      <c r="C124" s="34"/>
      <c r="D124" s="34"/>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17"/>
      <c r="BU124" s="17"/>
      <c r="BV124" s="17"/>
      <c r="BW124" s="17"/>
      <c r="BX124" s="17"/>
      <c r="BY124" s="17"/>
      <c r="BZ124" s="34"/>
      <c r="CA124" s="34"/>
      <c r="CB124" s="34"/>
      <c r="CC124" s="34"/>
    </row>
    <row r="125" spans="1:84">
      <c r="A125" s="34"/>
      <c r="B125" s="238" t="s">
        <v>510</v>
      </c>
      <c r="C125" s="66"/>
      <c r="D125" s="66"/>
      <c r="E125" s="66"/>
      <c r="F125" s="66"/>
      <c r="G125" s="66"/>
      <c r="H125" s="66"/>
      <c r="I125" s="66"/>
      <c r="J125" s="66"/>
      <c r="K125" s="66"/>
      <c r="L125" s="66"/>
      <c r="M125" s="66"/>
      <c r="N125" s="66"/>
      <c r="O125" s="66"/>
      <c r="P125" s="66"/>
      <c r="Q125" s="66"/>
      <c r="R125" s="66"/>
      <c r="S125" s="66"/>
      <c r="T125" s="273">
        <v>0.82299999999999995</v>
      </c>
      <c r="U125" s="273">
        <v>0.83599999999999997</v>
      </c>
      <c r="V125" s="273">
        <f>AVERAGE(CA125:CD125)</f>
        <v>0.88075000000000003</v>
      </c>
      <c r="W125" s="313">
        <v>0.88</v>
      </c>
      <c r="X125" s="313">
        <v>0.89</v>
      </c>
      <c r="Y125" s="313">
        <v>0.9</v>
      </c>
      <c r="Z125" s="66"/>
      <c r="AA125" s="66"/>
      <c r="AB125" s="66"/>
      <c r="AC125" s="66"/>
      <c r="AD125" s="66"/>
      <c r="AE125" s="66"/>
      <c r="AF125" s="66"/>
      <c r="AG125" s="66"/>
      <c r="AH125" s="66"/>
      <c r="AI125" s="66"/>
      <c r="AJ125" s="66"/>
      <c r="AK125" s="66"/>
      <c r="AL125" s="66"/>
      <c r="AM125" s="67"/>
      <c r="AN125" s="67"/>
      <c r="AO125" s="67"/>
      <c r="AP125" s="67"/>
      <c r="AQ125" s="67"/>
      <c r="AR125" s="67"/>
      <c r="AS125" s="67"/>
      <c r="AT125" s="67"/>
      <c r="AU125" s="67"/>
      <c r="AV125" s="67"/>
      <c r="AW125" s="67"/>
      <c r="AX125" s="67"/>
      <c r="AY125" s="67"/>
      <c r="AZ125" s="67"/>
      <c r="BA125" s="67"/>
      <c r="BB125" s="67"/>
      <c r="BC125" s="67"/>
      <c r="BD125" s="67"/>
      <c r="BE125" s="67"/>
      <c r="BF125" s="67"/>
      <c r="BG125" s="273">
        <f>AVERAGE(76.4%,80.1%,86.5%)</f>
        <v>0.80999999999999994</v>
      </c>
      <c r="BH125" s="273">
        <f>AVERAGE(83.3%,83.5%,79%)</f>
        <v>0.81933333333333336</v>
      </c>
      <c r="BI125" s="273">
        <f>AVERAGE(80.2%,81.9%,75.4%)</f>
        <v>0.79166666666666663</v>
      </c>
      <c r="BJ125" s="273">
        <f>AVERAGE(74.9%,81.4%,79%)</f>
        <v>0.78433333333333344</v>
      </c>
      <c r="BK125" s="273">
        <f>AVERAGE(80.2%,77.2%,77.2%)</f>
        <v>0.78200000000000003</v>
      </c>
      <c r="BL125" s="273">
        <f>AVERAGE(74.7%,80.2%,80.6%)</f>
        <v>0.78500000000000003</v>
      </c>
      <c r="BM125" s="273">
        <f>AVERAGE(83%,82.2%,81.2%)</f>
        <v>0.82133333333333347</v>
      </c>
      <c r="BN125" s="273">
        <f>AVERAGE(67.7%,82.2%,82.4%)</f>
        <v>0.77433333333333343</v>
      </c>
      <c r="BO125" s="273">
        <v>0.79300000000000004</v>
      </c>
      <c r="BP125" s="273">
        <v>0.82299999999999995</v>
      </c>
      <c r="BQ125" s="273">
        <v>0.86399999999999999</v>
      </c>
      <c r="BR125" s="273">
        <v>0.76600000000000001</v>
      </c>
      <c r="BS125" s="273">
        <v>0.82499999999999996</v>
      </c>
      <c r="BT125" s="273">
        <v>0.82099999999999995</v>
      </c>
      <c r="BU125" s="273">
        <v>0.83399999999999996</v>
      </c>
      <c r="BV125" s="273">
        <v>0.81100000000000005</v>
      </c>
      <c r="BW125" s="273">
        <v>0.84099999999999997</v>
      </c>
      <c r="BX125" s="273">
        <v>0.84699999999999998</v>
      </c>
      <c r="BY125" s="273">
        <v>0.83499999999999996</v>
      </c>
      <c r="BZ125" s="273">
        <v>0.82</v>
      </c>
      <c r="CA125" s="218">
        <v>0.88</v>
      </c>
      <c r="CB125" s="218">
        <v>0.88600000000000001</v>
      </c>
      <c r="CC125" s="218">
        <v>0.88600000000000001</v>
      </c>
      <c r="CD125" s="218">
        <v>0.871</v>
      </c>
      <c r="CE125" s="229"/>
      <c r="CF125" s="229"/>
    </row>
    <row r="126" spans="1:84">
      <c r="A126" s="34"/>
      <c r="B126" s="238"/>
      <c r="C126" s="66"/>
      <c r="D126" s="66"/>
      <c r="E126" s="66"/>
      <c r="F126" s="66"/>
      <c r="G126" s="66"/>
      <c r="H126" s="66"/>
      <c r="I126" s="66"/>
      <c r="J126" s="66"/>
      <c r="K126" s="66"/>
      <c r="L126" s="66"/>
      <c r="M126" s="66"/>
      <c r="N126" s="66"/>
      <c r="O126" s="66"/>
      <c r="P126" s="66"/>
      <c r="Q126" s="66"/>
      <c r="R126" s="66"/>
      <c r="S126" s="66"/>
      <c r="T126" s="283"/>
      <c r="U126" s="283"/>
      <c r="V126" s="273"/>
      <c r="W126" s="273"/>
      <c r="X126" s="273"/>
      <c r="Y126" s="273"/>
      <c r="Z126" s="66"/>
      <c r="AA126" s="66"/>
      <c r="AB126" s="66"/>
      <c r="AC126" s="66"/>
      <c r="AD126" s="66"/>
      <c r="AE126" s="66"/>
      <c r="AF126" s="66"/>
      <c r="AG126" s="66"/>
      <c r="AH126" s="66"/>
      <c r="AI126" s="66"/>
      <c r="AJ126" s="66"/>
      <c r="AK126" s="66"/>
      <c r="AL126" s="66"/>
      <c r="AM126" s="67"/>
      <c r="AN126" s="67"/>
      <c r="AO126" s="67"/>
      <c r="AP126" s="67"/>
      <c r="AQ126" s="67"/>
      <c r="AR126" s="67"/>
      <c r="AS126" s="67"/>
      <c r="AT126" s="67"/>
      <c r="AU126" s="67"/>
      <c r="AV126" s="67"/>
      <c r="AW126" s="67"/>
      <c r="AX126" s="67"/>
      <c r="AY126" s="67"/>
      <c r="AZ126" s="67"/>
      <c r="BA126" s="67"/>
      <c r="BB126" s="67"/>
      <c r="BC126" s="67"/>
      <c r="BD126" s="67"/>
      <c r="BE126" s="67"/>
      <c r="BF126" s="67"/>
      <c r="BG126" s="271"/>
      <c r="BH126" s="271"/>
      <c r="BI126" s="271"/>
      <c r="BJ126" s="271"/>
      <c r="BK126" s="261"/>
      <c r="BL126" s="261"/>
      <c r="BM126" s="261"/>
      <c r="BN126" s="261"/>
      <c r="BO126" s="261"/>
      <c r="BP126" s="261"/>
      <c r="BQ126" s="261"/>
      <c r="BR126" s="261"/>
      <c r="BS126" s="273"/>
      <c r="BT126" s="273"/>
      <c r="BU126" s="273"/>
      <c r="BV126" s="273"/>
      <c r="BW126" s="273"/>
      <c r="BX126" s="273"/>
      <c r="BY126" s="273"/>
      <c r="BZ126" s="273"/>
      <c r="CA126" s="184"/>
      <c r="CB126" s="184"/>
      <c r="CC126" s="184"/>
      <c r="CD126" s="229"/>
      <c r="CE126" s="229"/>
      <c r="CF126" s="229"/>
    </row>
    <row r="127" spans="1:84">
      <c r="A127" s="34"/>
      <c r="B127" s="149" t="s">
        <v>401</v>
      </c>
      <c r="C127" s="34"/>
      <c r="D127" s="34"/>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row>
    <row r="128" spans="1:84">
      <c r="A128" s="34"/>
      <c r="B128" s="266" t="s">
        <v>416</v>
      </c>
      <c r="C128" s="34"/>
      <c r="D128" s="34"/>
      <c r="E128" s="34"/>
      <c r="F128" s="34"/>
      <c r="G128" s="34"/>
      <c r="H128" s="34"/>
      <c r="I128" s="34"/>
      <c r="J128" s="34"/>
      <c r="K128" s="34"/>
      <c r="L128" s="34"/>
      <c r="M128" s="34"/>
      <c r="N128" s="34"/>
      <c r="O128" s="34"/>
      <c r="P128" s="34"/>
      <c r="Q128" s="34"/>
      <c r="R128" s="34"/>
      <c r="S128" s="34"/>
      <c r="T128" s="48">
        <f t="shared" ref="T128:Y132" si="198">+T136/T$141</f>
        <v>0.20411207964271594</v>
      </c>
      <c r="U128" s="48">
        <f>+U136/U$141</f>
        <v>0.20489978377917789</v>
      </c>
      <c r="V128" s="48">
        <f t="shared" si="198"/>
        <v>0.19788066472308269</v>
      </c>
      <c r="W128" s="48">
        <f t="shared" si="198"/>
        <v>0.19254888014582186</v>
      </c>
      <c r="X128" s="48">
        <f t="shared" si="198"/>
        <v>0.19043295838597765</v>
      </c>
      <c r="Y128" s="48">
        <f t="shared" si="198"/>
        <v>0.18836303492526052</v>
      </c>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48">
        <f t="shared" ref="BS128:BZ132" si="199">+BS136/BS$141</f>
        <v>0.19383763402159956</v>
      </c>
      <c r="BT128" s="48">
        <f t="shared" si="199"/>
        <v>0.20803333343431757</v>
      </c>
      <c r="BU128" s="48">
        <f t="shared" si="199"/>
        <v>0.20482902853544774</v>
      </c>
      <c r="BV128" s="48">
        <f t="shared" si="199"/>
        <v>0.21056723518138593</v>
      </c>
      <c r="BW128" s="48">
        <f t="shared" si="199"/>
        <v>0.20363571343271408</v>
      </c>
      <c r="BX128" s="48">
        <f t="shared" si="199"/>
        <v>0.20221002582408368</v>
      </c>
      <c r="BY128" s="48">
        <f t="shared" si="199"/>
        <v>0.20508164749259133</v>
      </c>
      <c r="BZ128" s="48">
        <f t="shared" si="199"/>
        <v>0.20878794232679479</v>
      </c>
      <c r="CA128" s="48">
        <f t="shared" ref="CA128:CD132" si="200">+CA136/CA$141</f>
        <v>0.20878794232679479</v>
      </c>
      <c r="CB128" s="48">
        <f t="shared" si="200"/>
        <v>0.19559141324067683</v>
      </c>
      <c r="CC128" s="48">
        <f t="shared" si="200"/>
        <v>0.19340847336075856</v>
      </c>
      <c r="CD128" s="48">
        <f t="shared" si="200"/>
        <v>0.194493818329113</v>
      </c>
    </row>
    <row r="129" spans="1:83">
      <c r="A129" s="34"/>
      <c r="B129" s="266" t="s">
        <v>395</v>
      </c>
      <c r="C129" s="34"/>
      <c r="D129" s="34"/>
      <c r="E129" s="34"/>
      <c r="F129" s="34"/>
      <c r="G129" s="34"/>
      <c r="H129" s="34"/>
      <c r="I129" s="34"/>
      <c r="J129" s="34"/>
      <c r="K129" s="34"/>
      <c r="L129" s="34"/>
      <c r="M129" s="34"/>
      <c r="N129" s="34"/>
      <c r="O129" s="34"/>
      <c r="P129" s="34"/>
      <c r="Q129" s="34"/>
      <c r="R129" s="34"/>
      <c r="S129" s="34"/>
      <c r="T129" s="48">
        <f t="shared" si="198"/>
        <v>0.31270616718052191</v>
      </c>
      <c r="U129" s="48">
        <f t="shared" si="198"/>
        <v>0.3139129548523561</v>
      </c>
      <c r="V129" s="48">
        <f t="shared" si="198"/>
        <v>0.30315944226820452</v>
      </c>
      <c r="W129" s="48">
        <f t="shared" si="198"/>
        <v>0.29499097951820014</v>
      </c>
      <c r="X129" s="48">
        <f t="shared" si="198"/>
        <v>0.29174932040261548</v>
      </c>
      <c r="Y129" s="48">
        <f t="shared" si="198"/>
        <v>0.28857813213736971</v>
      </c>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48">
        <f t="shared" si="199"/>
        <v>0.29696539125139548</v>
      </c>
      <c r="BT129" s="48">
        <f t="shared" si="199"/>
        <v>0.3187136521165444</v>
      </c>
      <c r="BU129" s="48">
        <f t="shared" si="199"/>
        <v>0.31380455557920423</v>
      </c>
      <c r="BV129" s="48">
        <f t="shared" si="199"/>
        <v>0.3225956698037129</v>
      </c>
      <c r="BW129" s="48">
        <f>+BW137/BW$141</f>
        <v>0.31197635906742671</v>
      </c>
      <c r="BX129" s="48">
        <f t="shared" si="199"/>
        <v>0.30979216052086367</v>
      </c>
      <c r="BY129" s="48">
        <f t="shared" si="199"/>
        <v>0.31419157581820134</v>
      </c>
      <c r="BZ129" s="48">
        <f t="shared" si="199"/>
        <v>0.31986973682696396</v>
      </c>
      <c r="CA129" s="48">
        <f t="shared" si="200"/>
        <v>0.31986973682696396</v>
      </c>
      <c r="CB129" s="48">
        <f t="shared" si="200"/>
        <v>0.29965223653090306</v>
      </c>
      <c r="CC129" s="48">
        <f t="shared" si="200"/>
        <v>0.29630790353390635</v>
      </c>
      <c r="CD129" s="48">
        <f t="shared" si="200"/>
        <v>0.29797068638202034</v>
      </c>
    </row>
    <row r="130" spans="1:83">
      <c r="A130" s="34"/>
      <c r="B130" s="266" t="s">
        <v>607</v>
      </c>
      <c r="C130" s="34"/>
      <c r="D130" s="34"/>
      <c r="E130" s="34"/>
      <c r="F130" s="34"/>
      <c r="G130" s="34"/>
      <c r="H130" s="34"/>
      <c r="I130" s="34"/>
      <c r="J130" s="34"/>
      <c r="K130" s="34"/>
      <c r="L130" s="34"/>
      <c r="M130" s="34"/>
      <c r="N130" s="34"/>
      <c r="O130" s="34"/>
      <c r="P130" s="34"/>
      <c r="Q130" s="34"/>
      <c r="R130" s="34"/>
      <c r="S130" s="34"/>
      <c r="T130" s="48">
        <f t="shared" si="198"/>
        <v>0.20387942616275265</v>
      </c>
      <c r="U130" s="48">
        <f t="shared" si="198"/>
        <v>0.20466623244883336</v>
      </c>
      <c r="V130" s="48">
        <f t="shared" si="198"/>
        <v>0.19765511400925009</v>
      </c>
      <c r="W130" s="48">
        <f t="shared" si="198"/>
        <v>0.19232940677066754</v>
      </c>
      <c r="X130" s="48">
        <f t="shared" si="198"/>
        <v>0.19021589680615469</v>
      </c>
      <c r="Y130" s="48">
        <f t="shared" si="198"/>
        <v>0.18814833271043563</v>
      </c>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48">
        <f t="shared" si="199"/>
        <v>0.19361669168353748</v>
      </c>
      <c r="BT130" s="48">
        <f t="shared" si="199"/>
        <v>0.2077962103838025</v>
      </c>
      <c r="BU130" s="48">
        <f t="shared" si="199"/>
        <v>0.20459555785419414</v>
      </c>
      <c r="BV130" s="48">
        <f t="shared" si="199"/>
        <v>0.2103272239085747</v>
      </c>
      <c r="BW130" s="48">
        <f t="shared" si="199"/>
        <v>0.20340360293020068</v>
      </c>
      <c r="BX130" s="48">
        <f t="shared" si="199"/>
        <v>0.20197954036592858</v>
      </c>
      <c r="BY130" s="48">
        <f t="shared" si="199"/>
        <v>0.2048478888681666</v>
      </c>
      <c r="BZ130" s="48">
        <f t="shared" si="199"/>
        <v>0.20854995914891658</v>
      </c>
      <c r="CA130" s="48">
        <f t="shared" si="200"/>
        <v>0.20854995914891658</v>
      </c>
      <c r="CB130" s="48">
        <f t="shared" si="200"/>
        <v>0.19536847188893994</v>
      </c>
      <c r="CC130" s="48">
        <f t="shared" si="200"/>
        <v>0.19318802019375086</v>
      </c>
      <c r="CD130" s="48">
        <f t="shared" si="200"/>
        <v>0.19427212805117933</v>
      </c>
    </row>
    <row r="131" spans="1:83">
      <c r="A131" s="34"/>
      <c r="B131" s="266" t="s">
        <v>605</v>
      </c>
      <c r="C131" s="34"/>
      <c r="D131" s="34"/>
      <c r="E131" s="34"/>
      <c r="F131" s="34"/>
      <c r="G131" s="34"/>
      <c r="H131" s="34"/>
      <c r="I131" s="34"/>
      <c r="J131" s="34"/>
      <c r="K131" s="34"/>
      <c r="L131" s="34"/>
      <c r="M131" s="34"/>
      <c r="N131" s="34"/>
      <c r="O131" s="34"/>
      <c r="P131" s="34"/>
      <c r="Q131" s="34"/>
      <c r="R131" s="34"/>
      <c r="S131" s="34"/>
      <c r="T131" s="48">
        <f t="shared" si="198"/>
        <v>0.15381918222968299</v>
      </c>
      <c r="U131" s="48">
        <f t="shared" si="198"/>
        <v>0.15538204294603494</v>
      </c>
      <c r="V131" s="48">
        <f t="shared" si="198"/>
        <v>0.15005922103523725</v>
      </c>
      <c r="W131" s="48">
        <f t="shared" si="198"/>
        <v>0.14789487966669235</v>
      </c>
      <c r="X131" s="48">
        <f t="shared" si="198"/>
        <v>0.14717047385364301</v>
      </c>
      <c r="Y131" s="48">
        <f t="shared" si="198"/>
        <v>0.14646181599305139</v>
      </c>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48">
        <f t="shared" si="199"/>
        <v>0.14607634395146907</v>
      </c>
      <c r="BT131" s="48">
        <f t="shared" si="199"/>
        <v>0.15677424521564151</v>
      </c>
      <c r="BU131" s="48">
        <f t="shared" si="199"/>
        <v>0.15435947603577971</v>
      </c>
      <c r="BV131" s="48">
        <f t="shared" si="199"/>
        <v>0.15868379753251893</v>
      </c>
      <c r="BW131" s="48">
        <f t="shared" si="199"/>
        <v>0.15442345807474625</v>
      </c>
      <c r="BX131" s="48">
        <f t="shared" si="199"/>
        <v>0.15334231367749016</v>
      </c>
      <c r="BY131" s="48">
        <f t="shared" si="199"/>
        <v>0.15551995600190419</v>
      </c>
      <c r="BZ131" s="48">
        <f t="shared" si="199"/>
        <v>0.15833055761639642</v>
      </c>
      <c r="CA131" s="48">
        <f t="shared" si="200"/>
        <v>0.15833055761639642</v>
      </c>
      <c r="CB131" s="48">
        <f t="shared" si="200"/>
        <v>0.14832320860226755</v>
      </c>
      <c r="CC131" s="48">
        <f t="shared" si="200"/>
        <v>0.14666781564911721</v>
      </c>
      <c r="CD131" s="48">
        <f t="shared" si="200"/>
        <v>0.14749086736431991</v>
      </c>
    </row>
    <row r="132" spans="1:83">
      <c r="A132" s="34"/>
      <c r="B132" s="266" t="s">
        <v>606</v>
      </c>
      <c r="C132" s="34"/>
      <c r="D132" s="34"/>
      <c r="E132" s="34"/>
      <c r="F132" s="34"/>
      <c r="G132" s="34"/>
      <c r="H132" s="34"/>
      <c r="I132" s="34"/>
      <c r="J132" s="34"/>
      <c r="K132" s="34"/>
      <c r="L132" s="34"/>
      <c r="M132" s="34"/>
      <c r="N132" s="34"/>
      <c r="O132" s="34"/>
      <c r="P132" s="34"/>
      <c r="Q132" s="34"/>
      <c r="R132" s="34"/>
      <c r="S132" s="34"/>
      <c r="T132" s="48">
        <f t="shared" si="198"/>
        <v>0.12548314478432637</v>
      </c>
      <c r="U132" s="48">
        <f t="shared" si="198"/>
        <v>0.12113898597359779</v>
      </c>
      <c r="V132" s="48">
        <f t="shared" si="198"/>
        <v>0.1512455579642254</v>
      </c>
      <c r="W132" s="48">
        <f t="shared" si="198"/>
        <v>0.17223585389861817</v>
      </c>
      <c r="X132" s="48">
        <f t="shared" si="198"/>
        <v>0.18043135055160917</v>
      </c>
      <c r="Y132" s="48">
        <f t="shared" si="198"/>
        <v>0.18844868423388275</v>
      </c>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48">
        <f t="shared" si="199"/>
        <v>0.16950393909199835</v>
      </c>
      <c r="BT132" s="48">
        <f t="shared" si="199"/>
        <v>0.10868255884969401</v>
      </c>
      <c r="BU132" s="48">
        <f t="shared" si="199"/>
        <v>0.12241138199537412</v>
      </c>
      <c r="BV132" s="48">
        <f t="shared" si="199"/>
        <v>9.7826073573807446E-2</v>
      </c>
      <c r="BW132" s="48">
        <f t="shared" si="199"/>
        <v>0.12656086649491222</v>
      </c>
      <c r="BX132" s="48">
        <f t="shared" si="199"/>
        <v>0.13267595961163392</v>
      </c>
      <c r="BY132" s="48">
        <f t="shared" si="199"/>
        <v>0.12035893181913648</v>
      </c>
      <c r="BZ132" s="48">
        <f t="shared" si="199"/>
        <v>0.10446180408092819</v>
      </c>
      <c r="CA132" s="48">
        <f t="shared" si="200"/>
        <v>0.10446180408092819</v>
      </c>
      <c r="CB132" s="48">
        <f t="shared" si="200"/>
        <v>0.16106466973721259</v>
      </c>
      <c r="CC132" s="48">
        <f t="shared" si="200"/>
        <v>0.17042778726246699</v>
      </c>
      <c r="CD132" s="48">
        <f t="shared" si="200"/>
        <v>0.16577249987336745</v>
      </c>
    </row>
    <row r="133" spans="1:83">
      <c r="A133" s="34"/>
      <c r="B133" s="267" t="s">
        <v>380</v>
      </c>
      <c r="C133" s="34"/>
      <c r="D133" s="34"/>
      <c r="E133" s="34"/>
      <c r="F133" s="34"/>
      <c r="G133" s="34"/>
      <c r="H133" s="34"/>
      <c r="I133" s="34"/>
      <c r="J133" s="34"/>
      <c r="K133" s="34"/>
      <c r="L133" s="34"/>
      <c r="M133" s="34"/>
      <c r="N133" s="34"/>
      <c r="O133" s="34"/>
      <c r="P133" s="34"/>
      <c r="Q133" s="34"/>
      <c r="R133" s="34"/>
      <c r="S133" s="34"/>
      <c r="T133" s="268">
        <f t="shared" ref="T133:Y133" si="201">SUM(T128:T132)</f>
        <v>0.99999999999999978</v>
      </c>
      <c r="U133" s="268">
        <f t="shared" si="201"/>
        <v>1</v>
      </c>
      <c r="V133" s="268">
        <f t="shared" si="201"/>
        <v>1</v>
      </c>
      <c r="W133" s="268">
        <f t="shared" si="201"/>
        <v>1</v>
      </c>
      <c r="X133" s="268">
        <f t="shared" si="201"/>
        <v>1</v>
      </c>
      <c r="Y133" s="268">
        <f t="shared" si="201"/>
        <v>1</v>
      </c>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268">
        <f t="shared" ref="BS133:BZ133" si="202">SUM(BS128:BS132)</f>
        <v>0.99999999999999989</v>
      </c>
      <c r="BT133" s="268">
        <f t="shared" si="202"/>
        <v>1</v>
      </c>
      <c r="BU133" s="268">
        <f t="shared" si="202"/>
        <v>1</v>
      </c>
      <c r="BV133" s="268">
        <f t="shared" si="202"/>
        <v>0.99999999999999989</v>
      </c>
      <c r="BW133" s="268">
        <f t="shared" si="202"/>
        <v>0.99999999999999978</v>
      </c>
      <c r="BX133" s="268">
        <f t="shared" si="202"/>
        <v>1</v>
      </c>
      <c r="BY133" s="268">
        <f t="shared" si="202"/>
        <v>0.99999999999999989</v>
      </c>
      <c r="BZ133" s="268">
        <f t="shared" si="202"/>
        <v>1</v>
      </c>
      <c r="CA133" s="268">
        <f>SUM(CA128:CA132)</f>
        <v>1</v>
      </c>
      <c r="CB133" s="268">
        <f>SUM(CB128:CB132)</f>
        <v>0.99999999999999989</v>
      </c>
      <c r="CC133" s="268">
        <f>SUM(CC128:CC132)</f>
        <v>1</v>
      </c>
      <c r="CD133" s="268">
        <f>SUM(CD128:CD132)</f>
        <v>1</v>
      </c>
    </row>
    <row r="134" spans="1:83">
      <c r="A134" s="34"/>
      <c r="B134" s="34"/>
      <c r="C134" s="34"/>
      <c r="D134" s="34"/>
      <c r="E134" s="34"/>
      <c r="F134" s="34"/>
      <c r="G134" s="269"/>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row>
    <row r="135" spans="1:83">
      <c r="A135" s="36"/>
      <c r="B135" s="149" t="s">
        <v>366</v>
      </c>
      <c r="G135" s="269" t="s">
        <v>402</v>
      </c>
      <c r="T135" s="253"/>
      <c r="V135" s="36"/>
      <c r="W135" s="253"/>
      <c r="X135" s="253"/>
      <c r="Z135" s="36"/>
      <c r="AA135" s="36"/>
      <c r="AB135" s="36"/>
      <c r="AC135" s="36"/>
      <c r="AD135" s="36"/>
      <c r="AE135" s="36"/>
      <c r="AF135" s="36"/>
      <c r="AG135" s="36"/>
      <c r="AH135" s="36"/>
      <c r="AI135" s="36"/>
      <c r="AJ135" s="36"/>
      <c r="AK135" s="36"/>
      <c r="AL135" s="36"/>
      <c r="AM135" s="36"/>
      <c r="AN135" s="36"/>
      <c r="AO135" s="36"/>
      <c r="AP135" s="36"/>
      <c r="AQ135" s="36"/>
      <c r="AR135" s="36"/>
      <c r="AS135" s="36"/>
      <c r="AT135" s="36"/>
      <c r="AU135" s="36"/>
      <c r="AV135" s="36"/>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253"/>
      <c r="BT135" s="253"/>
      <c r="BU135" s="253"/>
      <c r="BV135" s="253"/>
      <c r="BW135" s="253"/>
      <c r="BX135" s="253"/>
      <c r="BY135" s="253"/>
      <c r="BZ135" s="253"/>
    </row>
    <row r="136" spans="1:83">
      <c r="A136" s="34"/>
      <c r="B136" s="266" t="s">
        <v>416</v>
      </c>
      <c r="G136" s="269" t="s">
        <v>408</v>
      </c>
      <c r="T136" s="36">
        <f>SUM(BS136:BV136)</f>
        <v>907.19404880703974</v>
      </c>
      <c r="U136" s="36">
        <f>SUM(BW136:BZ136)</f>
        <v>907.19404880703974</v>
      </c>
      <c r="V136" s="36">
        <f>SUM(CA136:CD136)</f>
        <v>907.19404880703974</v>
      </c>
      <c r="W136" s="349">
        <f>+V136</f>
        <v>907.19404880703974</v>
      </c>
      <c r="X136" s="349">
        <f>+W136</f>
        <v>907.19404880703974</v>
      </c>
      <c r="Y136" s="349">
        <f>+X136</f>
        <v>907.19404880703974</v>
      </c>
      <c r="Z136" s="36"/>
      <c r="AA136" s="36"/>
      <c r="AB136" s="36"/>
      <c r="AC136" s="36"/>
      <c r="AD136" s="36"/>
      <c r="AE136" s="36"/>
      <c r="AF136" s="36"/>
      <c r="AG136" s="36"/>
      <c r="AH136" s="36"/>
      <c r="AI136" s="36"/>
      <c r="AJ136" s="36"/>
      <c r="AK136" s="36"/>
      <c r="AL136" s="36"/>
      <c r="AM136" s="36"/>
      <c r="AN136" s="36"/>
      <c r="AO136" s="36"/>
      <c r="AP136" s="36"/>
      <c r="AQ136" s="36"/>
      <c r="AR136" s="36"/>
      <c r="AS136" s="36"/>
      <c r="AT136" s="36"/>
      <c r="AU136" s="36"/>
      <c r="AV136" s="36"/>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40">
        <f>(1000/4)/1.1023</f>
        <v>226.79851220175993</v>
      </c>
      <c r="BT136" s="40">
        <f t="shared" ref="BT136:CD136" si="203">(1000/4)/1.1023</f>
        <v>226.79851220175993</v>
      </c>
      <c r="BU136" s="40">
        <f t="shared" si="203"/>
        <v>226.79851220175993</v>
      </c>
      <c r="BV136" s="40">
        <f t="shared" si="203"/>
        <v>226.79851220175993</v>
      </c>
      <c r="BW136" s="40">
        <f t="shared" si="203"/>
        <v>226.79851220175993</v>
      </c>
      <c r="BX136" s="40">
        <f t="shared" si="203"/>
        <v>226.79851220175993</v>
      </c>
      <c r="BY136" s="40">
        <f t="shared" si="203"/>
        <v>226.79851220175993</v>
      </c>
      <c r="BZ136" s="40">
        <f t="shared" si="203"/>
        <v>226.79851220175993</v>
      </c>
      <c r="CA136" s="40">
        <f>(1000/4)/1.1023</f>
        <v>226.79851220175993</v>
      </c>
      <c r="CB136" s="40">
        <f t="shared" si="203"/>
        <v>226.79851220175993</v>
      </c>
      <c r="CC136" s="40">
        <f t="shared" si="203"/>
        <v>226.79851220175993</v>
      </c>
      <c r="CD136" s="40">
        <f t="shared" si="203"/>
        <v>226.79851220175993</v>
      </c>
      <c r="CE136" s="5" t="s">
        <v>609</v>
      </c>
    </row>
    <row r="137" spans="1:83">
      <c r="A137" s="34"/>
      <c r="B137" s="266" t="s">
        <v>395</v>
      </c>
      <c r="G137" s="270">
        <v>1.4</v>
      </c>
      <c r="T137" s="36">
        <f>SUM(BS137:BV137)</f>
        <v>1389.85</v>
      </c>
      <c r="U137" s="36">
        <f>SUM(BW137:BZ137)</f>
        <v>1389.85</v>
      </c>
      <c r="V137" s="36">
        <f>SUM(CA137:CD137)</f>
        <v>1389.85</v>
      </c>
      <c r="W137" s="36">
        <f>W178*$G$137</f>
        <v>1389.85</v>
      </c>
      <c r="X137" s="36">
        <f>X178*$G$137</f>
        <v>1389.85</v>
      </c>
      <c r="Y137" s="36">
        <f>Y178*$G$137</f>
        <v>1389.85</v>
      </c>
      <c r="Z137" s="36"/>
      <c r="AA137" s="36"/>
      <c r="AB137" s="36"/>
      <c r="AC137" s="36"/>
      <c r="AD137" s="36"/>
      <c r="AE137" s="36"/>
      <c r="AF137" s="36"/>
      <c r="AG137" s="36"/>
      <c r="AH137" s="36"/>
      <c r="AI137" s="36"/>
      <c r="AJ137" s="36"/>
      <c r="AK137" s="36"/>
      <c r="AL137" s="36"/>
      <c r="AM137" s="36"/>
      <c r="AN137" s="36"/>
      <c r="AO137" s="36"/>
      <c r="AP137" s="36"/>
      <c r="AQ137" s="36"/>
      <c r="AR137" s="36"/>
      <c r="AS137" s="36"/>
      <c r="AT137" s="36"/>
      <c r="AU137" s="36"/>
      <c r="AV137" s="36"/>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f t="shared" ref="BS137:CD137" si="204">BS178*$G$137</f>
        <v>347.46249999999998</v>
      </c>
      <c r="BT137" s="36">
        <f t="shared" si="204"/>
        <v>347.46249999999998</v>
      </c>
      <c r="BU137" s="36">
        <f t="shared" si="204"/>
        <v>347.46249999999998</v>
      </c>
      <c r="BV137" s="36">
        <f t="shared" si="204"/>
        <v>347.46249999999998</v>
      </c>
      <c r="BW137" s="36">
        <f t="shared" si="204"/>
        <v>347.46249999999998</v>
      </c>
      <c r="BX137" s="36">
        <f t="shared" si="204"/>
        <v>347.46249999999998</v>
      </c>
      <c r="BY137" s="36">
        <f t="shared" si="204"/>
        <v>347.46249999999998</v>
      </c>
      <c r="BZ137" s="36">
        <f t="shared" si="204"/>
        <v>347.46249999999998</v>
      </c>
      <c r="CA137" s="36">
        <f t="shared" si="204"/>
        <v>347.46249999999998</v>
      </c>
      <c r="CB137" s="36">
        <f t="shared" si="204"/>
        <v>347.46249999999998</v>
      </c>
      <c r="CC137" s="36">
        <f t="shared" si="204"/>
        <v>347.46249999999998</v>
      </c>
      <c r="CD137" s="36">
        <f t="shared" si="204"/>
        <v>347.46249999999998</v>
      </c>
      <c r="CE137" s="5" t="s">
        <v>422</v>
      </c>
    </row>
    <row r="138" spans="1:83">
      <c r="A138" s="34"/>
      <c r="B138" s="266" t="s">
        <v>607</v>
      </c>
      <c r="G138" s="270">
        <v>2.35</v>
      </c>
      <c r="T138" s="36">
        <f>SUM(BS138:BV138)</f>
        <v>906.16000000000008</v>
      </c>
      <c r="U138" s="36">
        <f>SUM(BW138:BZ138)</f>
        <v>906.16000000000008</v>
      </c>
      <c r="V138" s="36">
        <f>SUM(CA138:CD138)</f>
        <v>906.16000000000008</v>
      </c>
      <c r="W138" s="36">
        <f>W187*$G$138</f>
        <v>906.16000000000008</v>
      </c>
      <c r="X138" s="36">
        <f>X187*$G$138</f>
        <v>906.16000000000008</v>
      </c>
      <c r="Y138" s="36">
        <f>Y187*$G$138</f>
        <v>906.16000000000008</v>
      </c>
      <c r="Z138" s="36"/>
      <c r="AA138" s="36"/>
      <c r="AB138" s="36"/>
      <c r="AC138" s="36"/>
      <c r="AD138" s="36"/>
      <c r="AE138" s="36"/>
      <c r="AF138" s="36"/>
      <c r="AG138" s="36"/>
      <c r="AH138" s="36"/>
      <c r="AI138" s="36"/>
      <c r="AJ138" s="36"/>
      <c r="AK138" s="36"/>
      <c r="AL138" s="36"/>
      <c r="AM138" s="36"/>
      <c r="AN138" s="36"/>
      <c r="AO138" s="36"/>
      <c r="AP138" s="36"/>
      <c r="AQ138" s="36"/>
      <c r="AR138" s="36"/>
      <c r="AS138" s="36"/>
      <c r="AT138" s="36"/>
      <c r="AU138" s="36"/>
      <c r="AV138" s="36"/>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f t="shared" ref="BS138:CD138" si="205">BS187*$G$138</f>
        <v>226.54000000000002</v>
      </c>
      <c r="BT138" s="36">
        <f t="shared" si="205"/>
        <v>226.54000000000002</v>
      </c>
      <c r="BU138" s="36">
        <f t="shared" si="205"/>
        <v>226.54000000000002</v>
      </c>
      <c r="BV138" s="36">
        <f t="shared" si="205"/>
        <v>226.54000000000002</v>
      </c>
      <c r="BW138" s="36">
        <f t="shared" si="205"/>
        <v>226.54000000000002</v>
      </c>
      <c r="BX138" s="36">
        <f t="shared" si="205"/>
        <v>226.54000000000002</v>
      </c>
      <c r="BY138" s="36">
        <f t="shared" si="205"/>
        <v>226.54000000000002</v>
      </c>
      <c r="BZ138" s="36">
        <f t="shared" si="205"/>
        <v>226.54000000000002</v>
      </c>
      <c r="CA138" s="36">
        <f t="shared" si="205"/>
        <v>226.54000000000002</v>
      </c>
      <c r="CB138" s="36">
        <f t="shared" si="205"/>
        <v>226.54000000000002</v>
      </c>
      <c r="CC138" s="36">
        <f t="shared" si="205"/>
        <v>226.54000000000002</v>
      </c>
      <c r="CD138" s="36">
        <f t="shared" si="205"/>
        <v>226.54000000000002</v>
      </c>
    </row>
    <row r="139" spans="1:83">
      <c r="A139" s="34"/>
      <c r="B139" s="266" t="s">
        <v>605</v>
      </c>
      <c r="G139" s="270">
        <v>0.73</v>
      </c>
      <c r="T139" s="36">
        <f>SUM(BS139:BV139)</f>
        <v>683.66285305306678</v>
      </c>
      <c r="U139" s="36">
        <f>SUM(BW139:BZ139)</f>
        <v>687.95418937112333</v>
      </c>
      <c r="V139" s="36">
        <f>SUM(CA139:CD139)</f>
        <v>687.95418937112333</v>
      </c>
      <c r="W139" s="36">
        <f>W284*$G$139</f>
        <v>696.80672554962098</v>
      </c>
      <c r="X139" s="36">
        <f>X284*$G$139</f>
        <v>701.0980618676773</v>
      </c>
      <c r="Y139" s="36">
        <f>Y284*$G$139</f>
        <v>705.38939818573408</v>
      </c>
      <c r="Z139" s="36"/>
      <c r="AA139" s="36"/>
      <c r="AB139" s="36"/>
      <c r="AC139" s="36"/>
      <c r="AD139" s="36"/>
      <c r="AE139" s="36"/>
      <c r="AF139" s="36"/>
      <c r="AG139" s="36"/>
      <c r="AH139" s="36"/>
      <c r="AI139" s="36"/>
      <c r="AJ139" s="36"/>
      <c r="AK139" s="36"/>
      <c r="AL139" s="36"/>
      <c r="AM139" s="36"/>
      <c r="AN139" s="36"/>
      <c r="AO139" s="36"/>
      <c r="AP139" s="36"/>
      <c r="AQ139" s="36"/>
      <c r="AR139" s="36"/>
      <c r="AS139" s="36"/>
      <c r="AT139" s="36"/>
      <c r="AU139" s="36"/>
      <c r="AV139" s="36"/>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f t="shared" ref="BS139:CD139" si="206">BS284*$G$139</f>
        <v>170.9157132632667</v>
      </c>
      <c r="BT139" s="36">
        <f t="shared" si="206"/>
        <v>170.9157132632667</v>
      </c>
      <c r="BU139" s="36">
        <f t="shared" si="206"/>
        <v>170.9157132632667</v>
      </c>
      <c r="BV139" s="36">
        <f t="shared" si="206"/>
        <v>170.9157132632667</v>
      </c>
      <c r="BW139" s="36">
        <f t="shared" si="206"/>
        <v>171.98854734278083</v>
      </c>
      <c r="BX139" s="36">
        <f t="shared" si="206"/>
        <v>171.98854734278083</v>
      </c>
      <c r="BY139" s="36">
        <f t="shared" si="206"/>
        <v>171.98854734278083</v>
      </c>
      <c r="BZ139" s="36">
        <f t="shared" si="206"/>
        <v>171.98854734278083</v>
      </c>
      <c r="CA139" s="36">
        <f t="shared" si="206"/>
        <v>171.98854734278083</v>
      </c>
      <c r="CB139" s="36">
        <f t="shared" si="206"/>
        <v>171.98854734278083</v>
      </c>
      <c r="CC139" s="36">
        <f t="shared" si="206"/>
        <v>171.98854734278083</v>
      </c>
      <c r="CD139" s="36">
        <f t="shared" si="206"/>
        <v>171.98854734278083</v>
      </c>
      <c r="CE139" s="5" t="s">
        <v>528</v>
      </c>
    </row>
    <row r="140" spans="1:83">
      <c r="A140" s="34"/>
      <c r="B140" s="266" t="s">
        <v>606</v>
      </c>
      <c r="T140" s="45">
        <f>SUM(BS140:BV140)</f>
        <v>557.72084813989341</v>
      </c>
      <c r="U140" s="45">
        <f>SUM(BW140:BZ140)</f>
        <v>536.34301182183663</v>
      </c>
      <c r="V140" s="36">
        <f>SUM(CA140:CD140)</f>
        <v>693.39301182183704</v>
      </c>
      <c r="W140" s="45">
        <f>W141-SUM(W136:W139)</f>
        <v>811.48922564333952</v>
      </c>
      <c r="X140" s="45">
        <f>X141-SUM(X136:X139)</f>
        <v>859.54788932528345</v>
      </c>
      <c r="Y140" s="45">
        <f>Y141-SUM(Y136:Y139)</f>
        <v>907.60655300722601</v>
      </c>
      <c r="Z140" s="36"/>
      <c r="AA140" s="36"/>
      <c r="AB140" s="36"/>
      <c r="AC140" s="36"/>
      <c r="AD140" s="36"/>
      <c r="AE140" s="36"/>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45">
        <f t="shared" ref="BS140:BZ140" si="207">BS141-SUM(BS136:BS139)</f>
        <v>198.32702453497336</v>
      </c>
      <c r="BT140" s="45">
        <f t="shared" si="207"/>
        <v>118.48602453497324</v>
      </c>
      <c r="BU140" s="45">
        <f t="shared" si="207"/>
        <v>135.54094120163995</v>
      </c>
      <c r="BV140" s="45">
        <f t="shared" si="207"/>
        <v>105.36685786830685</v>
      </c>
      <c r="BW140" s="45">
        <f t="shared" si="207"/>
        <v>140.95669045545912</v>
      </c>
      <c r="BX140" s="45">
        <f t="shared" si="207"/>
        <v>148.80919045545909</v>
      </c>
      <c r="BY140" s="45">
        <f t="shared" si="207"/>
        <v>133.10419045545916</v>
      </c>
      <c r="BZ140" s="45">
        <f t="shared" si="207"/>
        <v>113.47294045545925</v>
      </c>
      <c r="CA140" s="45">
        <f>CA141-SUM(CA136:CA139)</f>
        <v>113.47294045545925</v>
      </c>
      <c r="CB140" s="45">
        <f>CB141-SUM(CB136:CB139)</f>
        <v>186.76294045545922</v>
      </c>
      <c r="CC140" s="45">
        <f>CC141-SUM(CC136:CC139)</f>
        <v>199.85044045545931</v>
      </c>
      <c r="CD140" s="45">
        <f>CD141-SUM(CD136:CD139)</f>
        <v>193.30669045545926</v>
      </c>
      <c r="CE140" s="5" t="s">
        <v>423</v>
      </c>
    </row>
    <row r="141" spans="1:83">
      <c r="A141" s="34"/>
      <c r="B141" s="267" t="s">
        <v>380</v>
      </c>
      <c r="T141" s="401">
        <f t="shared" ref="T141:Y141" si="208">T123</f>
        <v>4444.5877500000006</v>
      </c>
      <c r="U141" s="401">
        <f t="shared" si="208"/>
        <v>4427.5012499999993</v>
      </c>
      <c r="V141" s="401">
        <f t="shared" si="208"/>
        <v>4584.5512500000004</v>
      </c>
      <c r="W141" s="401">
        <f t="shared" si="208"/>
        <v>4711.5</v>
      </c>
      <c r="X141" s="401">
        <f t="shared" si="208"/>
        <v>4763.8500000000004</v>
      </c>
      <c r="Y141" s="401">
        <f t="shared" si="208"/>
        <v>4816.2</v>
      </c>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401">
        <f t="shared" ref="BS141:CD141" si="209">BS123</f>
        <v>1170.04375</v>
      </c>
      <c r="BT141" s="401">
        <f t="shared" si="209"/>
        <v>1090.2027499999999</v>
      </c>
      <c r="BU141" s="401">
        <f t="shared" si="209"/>
        <v>1107.2576666666666</v>
      </c>
      <c r="BV141" s="401">
        <f t="shared" si="209"/>
        <v>1077.0835833333335</v>
      </c>
      <c r="BW141" s="401">
        <f t="shared" si="209"/>
        <v>1113.7462499999999</v>
      </c>
      <c r="BX141" s="401">
        <f t="shared" si="209"/>
        <v>1121.5987499999999</v>
      </c>
      <c r="BY141" s="401">
        <f t="shared" si="209"/>
        <v>1105.89375</v>
      </c>
      <c r="BZ141" s="401">
        <f t="shared" si="209"/>
        <v>1086.2625</v>
      </c>
      <c r="CA141" s="401">
        <f t="shared" si="209"/>
        <v>1086.2625</v>
      </c>
      <c r="CB141" s="401">
        <f t="shared" si="209"/>
        <v>1159.5525</v>
      </c>
      <c r="CC141" s="401">
        <f t="shared" si="209"/>
        <v>1172.6400000000001</v>
      </c>
      <c r="CD141" s="401">
        <f t="shared" si="209"/>
        <v>1166.0962500000001</v>
      </c>
    </row>
    <row r="142" spans="1:83">
      <c r="A142" s="34"/>
      <c r="B142" s="267"/>
      <c r="T142" s="445"/>
      <c r="U142" s="491"/>
      <c r="V142" s="445"/>
      <c r="W142" s="445"/>
      <c r="X142" s="445"/>
      <c r="Y142" s="445"/>
      <c r="Z142" s="36"/>
      <c r="AA142" s="36"/>
      <c r="AB142" s="36"/>
      <c r="AC142" s="36"/>
      <c r="AD142" s="36"/>
      <c r="AE142" s="36"/>
      <c r="AF142" s="36"/>
      <c r="AG142" s="36"/>
      <c r="AH142" s="36"/>
      <c r="AI142" s="36"/>
      <c r="AJ142" s="36"/>
      <c r="AK142" s="36"/>
      <c r="AL142" s="36"/>
      <c r="AM142" s="36"/>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445"/>
      <c r="BT142" s="445"/>
      <c r="BU142" s="445"/>
      <c r="BV142" s="445"/>
      <c r="BW142" s="445"/>
      <c r="BX142" s="445"/>
      <c r="BY142" s="445"/>
      <c r="BZ142" s="445"/>
      <c r="CA142" s="445"/>
      <c r="CB142" s="445"/>
      <c r="CC142" s="445"/>
      <c r="CD142" s="445"/>
    </row>
    <row r="143" spans="1:83" s="7" customFormat="1">
      <c r="B143" s="287" t="s">
        <v>566</v>
      </c>
      <c r="C143" s="5"/>
      <c r="D143" s="5"/>
      <c r="E143" s="5"/>
      <c r="F143" s="5"/>
      <c r="G143" s="5"/>
      <c r="H143" s="5"/>
      <c r="I143" s="5"/>
      <c r="J143" s="5"/>
      <c r="K143" s="5"/>
      <c r="L143" s="280"/>
      <c r="M143" s="280"/>
      <c r="N143" s="280"/>
      <c r="O143" s="280"/>
      <c r="P143" s="280"/>
      <c r="Q143" s="280"/>
      <c r="R143" s="280"/>
      <c r="S143" s="280"/>
      <c r="T143" s="280"/>
      <c r="U143" s="280">
        <f>+U141/T141-1</f>
        <v>-3.8443385441093714E-3</v>
      </c>
      <c r="V143" s="280">
        <f>+V141/U141-1</f>
        <v>3.5471475022169852E-2</v>
      </c>
      <c r="W143" s="280">
        <f>+W141/V141-1</f>
        <v>2.7690550956323001E-2</v>
      </c>
      <c r="X143" s="280">
        <f>+X141/W141-1</f>
        <v>1.1111111111111294E-2</v>
      </c>
      <c r="Y143" s="280">
        <f>+Y141/X141-1</f>
        <v>1.098901098901095E-2</v>
      </c>
      <c r="Z143" s="5"/>
      <c r="AA143" s="5"/>
      <c r="AB143" s="5"/>
      <c r="AC143" s="5"/>
      <c r="AD143" s="5"/>
      <c r="AE143" s="5"/>
      <c r="AF143" s="5"/>
      <c r="AG143" s="5"/>
      <c r="AH143" s="5"/>
      <c r="AI143" s="5"/>
      <c r="AJ143" s="5"/>
      <c r="AK143" s="5"/>
      <c r="AL143" s="5"/>
      <c r="AM143" s="280"/>
      <c r="AN143" s="280"/>
      <c r="AO143" s="280"/>
      <c r="AP143" s="280"/>
      <c r="AQ143" s="280"/>
      <c r="AR143" s="280"/>
      <c r="AS143" s="280"/>
      <c r="AT143" s="280"/>
      <c r="AU143" s="280"/>
      <c r="AV143" s="280"/>
      <c r="AW143" s="280"/>
      <c r="AX143" s="280"/>
      <c r="AY143" s="280"/>
      <c r="AZ143" s="280"/>
      <c r="BA143" s="280"/>
      <c r="BB143" s="280"/>
      <c r="BC143" s="280"/>
      <c r="BD143" s="280"/>
      <c r="BE143" s="280"/>
      <c r="BF143" s="280"/>
      <c r="BG143" s="280"/>
      <c r="BH143" s="280"/>
      <c r="BI143" s="280"/>
      <c r="BJ143" s="280"/>
      <c r="BK143" s="280"/>
      <c r="BL143" s="280"/>
      <c r="BM143" s="280"/>
      <c r="BN143" s="280"/>
      <c r="BO143" s="280"/>
      <c r="BP143" s="280"/>
      <c r="BQ143" s="280"/>
      <c r="BR143" s="280"/>
      <c r="BS143" s="280"/>
      <c r="BT143" s="280"/>
      <c r="BU143" s="280"/>
      <c r="BV143" s="280"/>
      <c r="BW143" s="280">
        <f t="shared" ref="BW143:CD143" si="210">+BW141/BS141-1</f>
        <v>-4.811572216850879E-2</v>
      </c>
      <c r="BX143" s="280">
        <f t="shared" si="210"/>
        <v>2.8798312974352758E-2</v>
      </c>
      <c r="BY143" s="280">
        <f t="shared" si="210"/>
        <v>-1.2317969951589625E-3</v>
      </c>
      <c r="BZ143" s="280">
        <f t="shared" si="210"/>
        <v>8.5220096273863621E-3</v>
      </c>
      <c r="CA143" s="280">
        <f t="shared" si="210"/>
        <v>-2.4676850763807212E-2</v>
      </c>
      <c r="CB143" s="280">
        <f t="shared" si="210"/>
        <v>3.3838973162193753E-2</v>
      </c>
      <c r="CC143" s="280">
        <f t="shared" si="210"/>
        <v>6.0355029585798858E-2</v>
      </c>
      <c r="CD143" s="280">
        <f t="shared" si="210"/>
        <v>7.3493975903614395E-2</v>
      </c>
    </row>
    <row r="144" spans="1:83" s="7" customFormat="1">
      <c r="B144" s="287" t="s">
        <v>567</v>
      </c>
      <c r="C144" s="5"/>
      <c r="D144" s="5"/>
      <c r="E144" s="5"/>
      <c r="F144" s="5"/>
      <c r="G144" s="5"/>
      <c r="H144" s="5"/>
      <c r="I144" s="5"/>
      <c r="J144" s="5"/>
      <c r="K144" s="5"/>
      <c r="L144" s="280"/>
      <c r="M144" s="280"/>
      <c r="N144" s="280"/>
      <c r="O144" s="280"/>
      <c r="P144" s="280"/>
      <c r="Q144" s="280"/>
      <c r="R144" s="280"/>
      <c r="S144" s="280"/>
      <c r="T144" s="280"/>
      <c r="U144" s="280"/>
      <c r="V144" s="280"/>
      <c r="W144" s="280"/>
      <c r="X144" s="280"/>
      <c r="Y144" s="280"/>
      <c r="Z144" s="5"/>
      <c r="AA144" s="5"/>
      <c r="AB144" s="5"/>
      <c r="AC144" s="5"/>
      <c r="AD144" s="5"/>
      <c r="AE144" s="5"/>
      <c r="AF144" s="5"/>
      <c r="AG144" s="5"/>
      <c r="AH144" s="5"/>
      <c r="AI144" s="5"/>
      <c r="AJ144" s="5"/>
      <c r="AK144" s="5"/>
      <c r="AL144" s="5"/>
      <c r="AM144" s="280"/>
      <c r="AN144" s="280"/>
      <c r="AO144" s="280"/>
      <c r="AP144" s="280"/>
      <c r="AQ144" s="280"/>
      <c r="AR144" s="280"/>
      <c r="AS144" s="280"/>
      <c r="AT144" s="280"/>
      <c r="AU144" s="280"/>
      <c r="AV144" s="280"/>
      <c r="AW144" s="280"/>
      <c r="AX144" s="280"/>
      <c r="AY144" s="280"/>
      <c r="AZ144" s="280"/>
      <c r="BA144" s="280"/>
      <c r="BB144" s="280"/>
      <c r="BC144" s="280"/>
      <c r="BD144" s="280"/>
      <c r="BE144" s="280"/>
      <c r="BF144" s="280"/>
      <c r="BG144" s="280"/>
      <c r="BH144" s="280"/>
      <c r="BI144" s="280"/>
      <c r="BJ144" s="280"/>
      <c r="BK144" s="280"/>
      <c r="BL144" s="280"/>
      <c r="BM144" s="280"/>
      <c r="BN144" s="280"/>
      <c r="BO144" s="280"/>
      <c r="BP144" s="280"/>
      <c r="BQ144" s="280"/>
      <c r="BR144" s="280"/>
      <c r="BS144" s="280"/>
      <c r="BT144" s="209">
        <f>BT141/BS141-1</f>
        <v>-6.8237619319790443E-2</v>
      </c>
      <c r="BU144" s="209">
        <f t="shared" ref="BU144:CD144" si="211">BU141/BT141-1</f>
        <v>1.564380264741283E-2</v>
      </c>
      <c r="BV144" s="209">
        <f t="shared" si="211"/>
        <v>-2.7251184834123032E-2</v>
      </c>
      <c r="BW144" s="209">
        <f t="shared" si="211"/>
        <v>3.4038831557717808E-2</v>
      </c>
      <c r="BX144" s="209">
        <f t="shared" si="211"/>
        <v>7.0505287896591717E-3</v>
      </c>
      <c r="BY144" s="209">
        <f t="shared" si="211"/>
        <v>-1.4002333722286986E-2</v>
      </c>
      <c r="BZ144" s="209">
        <f t="shared" si="211"/>
        <v>-1.7751479289940697E-2</v>
      </c>
      <c r="CA144" s="209">
        <f t="shared" si="211"/>
        <v>0</v>
      </c>
      <c r="CB144" s="209">
        <f t="shared" si="211"/>
        <v>6.7469879518072151E-2</v>
      </c>
      <c r="CC144" s="209">
        <f t="shared" si="211"/>
        <v>1.1286681715575675E-2</v>
      </c>
      <c r="CD144" s="209">
        <f t="shared" si="211"/>
        <v>-5.5803571428572063E-3</v>
      </c>
    </row>
    <row r="145" spans="2:89" s="7" customFormat="1" hidden="1" outlineLevel="1">
      <c r="B145" s="287"/>
      <c r="C145" s="5"/>
      <c r="D145" s="5"/>
      <c r="E145" s="5"/>
      <c r="F145" s="5"/>
      <c r="G145" s="5"/>
      <c r="H145" s="5"/>
      <c r="I145" s="5"/>
      <c r="J145" s="5"/>
      <c r="K145" s="5"/>
      <c r="L145" s="280"/>
      <c r="M145" s="280"/>
      <c r="N145" s="280"/>
      <c r="O145" s="280"/>
      <c r="P145" s="280"/>
      <c r="Q145" s="280"/>
      <c r="R145" s="280"/>
      <c r="S145" s="280"/>
      <c r="T145" s="280"/>
      <c r="U145" s="280"/>
      <c r="V145" s="280"/>
      <c r="W145" s="280"/>
      <c r="X145" s="280"/>
      <c r="Y145" s="280"/>
      <c r="Z145" s="5"/>
      <c r="AA145" s="5"/>
      <c r="AB145" s="5"/>
      <c r="AC145" s="5"/>
      <c r="AD145" s="5"/>
      <c r="AE145" s="5"/>
      <c r="AF145" s="5"/>
      <c r="AG145" s="5"/>
      <c r="AH145" s="5"/>
      <c r="AI145" s="5"/>
      <c r="AJ145" s="5"/>
      <c r="AK145" s="5"/>
      <c r="AL145" s="5"/>
      <c r="AM145" s="280"/>
      <c r="AN145" s="280"/>
      <c r="AO145" s="280"/>
      <c r="AP145" s="280"/>
      <c r="AQ145" s="280"/>
      <c r="AR145" s="280"/>
      <c r="AS145" s="280"/>
      <c r="AT145" s="280"/>
      <c r="AU145" s="280"/>
      <c r="AV145" s="280"/>
      <c r="AW145" s="280"/>
      <c r="AX145" s="280"/>
      <c r="AY145" s="280"/>
      <c r="AZ145" s="280"/>
      <c r="BA145" s="280"/>
      <c r="BB145" s="280"/>
      <c r="BC145" s="280"/>
      <c r="BD145" s="280"/>
      <c r="BE145" s="280"/>
      <c r="BF145" s="280"/>
      <c r="BG145" s="280"/>
      <c r="BH145" s="280"/>
      <c r="BI145" s="280"/>
      <c r="BJ145" s="280"/>
      <c r="BK145" s="280"/>
      <c r="BL145" s="280"/>
      <c r="BM145" s="280"/>
      <c r="BN145" s="280"/>
      <c r="BO145" s="280"/>
      <c r="BP145" s="280"/>
      <c r="BQ145" s="280"/>
      <c r="BR145" s="280"/>
      <c r="BS145" s="280"/>
      <c r="BT145" s="280"/>
      <c r="BU145" s="280"/>
      <c r="BV145" s="280"/>
      <c r="BW145" s="280"/>
      <c r="BX145" s="280"/>
      <c r="BY145" s="280"/>
      <c r="BZ145" s="280"/>
      <c r="CA145" s="280"/>
      <c r="CB145" s="280"/>
      <c r="CC145" s="280"/>
      <c r="CD145" s="280"/>
    </row>
    <row r="146" spans="2:89" s="7" customFormat="1" hidden="1" outlineLevel="1">
      <c r="B146" s="287" t="s">
        <v>593</v>
      </c>
      <c r="C146" s="75"/>
      <c r="D146" s="75"/>
      <c r="E146" s="75"/>
      <c r="F146" s="75"/>
      <c r="G146" s="75"/>
      <c r="H146" s="75"/>
      <c r="I146" s="331"/>
      <c r="J146" s="331"/>
      <c r="K146" s="331"/>
      <c r="L146" s="331"/>
      <c r="M146" s="331"/>
      <c r="N146" s="331"/>
      <c r="O146" s="331"/>
      <c r="P146" s="331"/>
      <c r="Q146" s="331"/>
      <c r="R146" s="331"/>
      <c r="S146" s="331"/>
      <c r="T146" s="333"/>
      <c r="U146" s="333"/>
      <c r="V146" s="333"/>
      <c r="W146" s="333"/>
      <c r="X146" s="333"/>
      <c r="Y146" s="333"/>
      <c r="Z146" s="331"/>
      <c r="AA146" s="331"/>
      <c r="AB146" s="331"/>
      <c r="AC146" s="331"/>
      <c r="AD146" s="331"/>
      <c r="AE146" s="331"/>
      <c r="AF146" s="331"/>
      <c r="AG146" s="331"/>
      <c r="AH146" s="331"/>
      <c r="AI146" s="331"/>
      <c r="AJ146" s="331"/>
      <c r="AK146" s="331"/>
      <c r="AL146" s="331"/>
      <c r="AM146" s="334"/>
      <c r="AN146" s="334"/>
      <c r="AO146" s="334"/>
      <c r="AP146" s="334"/>
      <c r="AQ146" s="334"/>
      <c r="AR146" s="334"/>
      <c r="AS146" s="334"/>
      <c r="AT146" s="334"/>
      <c r="AU146" s="334"/>
      <c r="AV146" s="334"/>
      <c r="AW146" s="334"/>
      <c r="AX146" s="334"/>
      <c r="AY146" s="334"/>
      <c r="AZ146" s="334"/>
      <c r="BA146" s="334"/>
      <c r="BB146" s="334"/>
      <c r="BC146" s="334"/>
      <c r="BD146" s="334"/>
      <c r="BE146" s="334"/>
      <c r="BF146" s="334"/>
      <c r="BG146" s="334"/>
      <c r="BH146" s="334"/>
      <c r="BI146" s="334"/>
      <c r="BJ146" s="334"/>
      <c r="BK146" s="334"/>
      <c r="BL146" s="334"/>
      <c r="BM146" s="334"/>
      <c r="BN146" s="334"/>
      <c r="BO146" s="334"/>
      <c r="BP146" s="335"/>
      <c r="BQ146" s="335"/>
      <c r="BR146" s="335"/>
      <c r="BS146" s="400" t="s">
        <v>514</v>
      </c>
      <c r="BT146" s="400" t="s">
        <v>514</v>
      </c>
      <c r="BU146" s="400" t="s">
        <v>515</v>
      </c>
      <c r="BV146" s="400" t="s">
        <v>515</v>
      </c>
      <c r="BW146" s="400" t="s">
        <v>513</v>
      </c>
      <c r="BX146" s="400" t="s">
        <v>513</v>
      </c>
      <c r="BY146" s="400" t="s">
        <v>513</v>
      </c>
      <c r="BZ146" s="400" t="s">
        <v>511</v>
      </c>
    </row>
    <row r="147" spans="2:89" s="7" customFormat="1" hidden="1" outlineLevel="1">
      <c r="B147" s="287" t="s">
        <v>592</v>
      </c>
      <c r="C147" s="75"/>
      <c r="D147" s="75"/>
      <c r="E147" s="75"/>
      <c r="F147" s="75"/>
      <c r="G147" s="75"/>
      <c r="H147" s="75"/>
      <c r="I147" s="331"/>
      <c r="J147" s="331"/>
      <c r="K147" s="331"/>
      <c r="L147" s="331"/>
      <c r="M147" s="331"/>
      <c r="N147" s="331"/>
      <c r="O147" s="331"/>
      <c r="P147" s="331"/>
      <c r="Q147" s="331"/>
      <c r="R147" s="331"/>
      <c r="S147" s="331"/>
      <c r="T147" s="333"/>
      <c r="U147" s="333"/>
      <c r="V147" s="333"/>
      <c r="W147" s="333"/>
      <c r="X147" s="333"/>
      <c r="Y147" s="333"/>
      <c r="Z147" s="331"/>
      <c r="AA147" s="331"/>
      <c r="AB147" s="331"/>
      <c r="AC147" s="331"/>
      <c r="AD147" s="331"/>
      <c r="AE147" s="331"/>
      <c r="AF147" s="331"/>
      <c r="AG147" s="331"/>
      <c r="AH147" s="331"/>
      <c r="AI147" s="331"/>
      <c r="AJ147" s="331"/>
      <c r="AK147" s="331"/>
      <c r="AL147" s="331"/>
      <c r="AM147" s="334"/>
      <c r="AN147" s="334"/>
      <c r="AO147" s="334"/>
      <c r="AP147" s="334"/>
      <c r="AQ147" s="334"/>
      <c r="AR147" s="334"/>
      <c r="AS147" s="334"/>
      <c r="AT147" s="334"/>
      <c r="AU147" s="334"/>
      <c r="AV147" s="334"/>
      <c r="AW147" s="334"/>
      <c r="AX147" s="334"/>
      <c r="AY147" s="334"/>
      <c r="AZ147" s="334"/>
      <c r="BA147" s="334"/>
      <c r="BB147" s="334"/>
      <c r="BC147" s="334"/>
      <c r="BD147" s="334"/>
      <c r="BE147" s="334"/>
      <c r="BF147" s="334"/>
      <c r="BG147" s="334"/>
      <c r="BH147" s="334"/>
      <c r="BI147" s="334"/>
      <c r="BJ147" s="334"/>
      <c r="BK147" s="334"/>
      <c r="BL147" s="334"/>
      <c r="BM147" s="334"/>
      <c r="BN147" s="334"/>
      <c r="BO147" s="334"/>
      <c r="BP147" s="335"/>
      <c r="BQ147" s="335"/>
      <c r="BR147" s="335"/>
      <c r="BS147" s="400" t="s">
        <v>513</v>
      </c>
      <c r="BT147" s="400" t="s">
        <v>514</v>
      </c>
      <c r="BU147" s="400" t="s">
        <v>515</v>
      </c>
      <c r="BV147" s="400" t="s">
        <v>515</v>
      </c>
      <c r="BW147" s="400" t="s">
        <v>514</v>
      </c>
      <c r="BX147" s="400" t="s">
        <v>511</v>
      </c>
      <c r="BY147" s="400" t="s">
        <v>512</v>
      </c>
      <c r="BZ147" s="400" t="s">
        <v>513</v>
      </c>
    </row>
    <row r="148" spans="2:89" s="7" customFormat="1" collapsed="1">
      <c r="B148" s="43"/>
      <c r="I148" s="57"/>
      <c r="J148" s="57"/>
      <c r="K148" s="57"/>
      <c r="L148" s="57"/>
      <c r="M148" s="57"/>
      <c r="N148" s="57"/>
      <c r="O148" s="57"/>
      <c r="P148" s="57"/>
      <c r="Q148" s="57"/>
      <c r="R148" s="57"/>
      <c r="S148" s="57"/>
      <c r="T148" s="245"/>
      <c r="U148" s="245"/>
      <c r="V148" s="245"/>
      <c r="W148" s="245"/>
      <c r="X148" s="245"/>
      <c r="Y148" s="245"/>
      <c r="Z148" s="57"/>
      <c r="AA148" s="57"/>
      <c r="AB148" s="57"/>
      <c r="AC148" s="57"/>
      <c r="AD148" s="57"/>
      <c r="AE148" s="57"/>
      <c r="AF148" s="57"/>
      <c r="AG148" s="57"/>
      <c r="AH148" s="57"/>
      <c r="AI148" s="57"/>
      <c r="AJ148" s="57"/>
      <c r="AK148" s="57"/>
      <c r="AL148" s="57"/>
      <c r="AM148" s="58"/>
      <c r="AN148" s="58"/>
      <c r="AO148" s="58"/>
      <c r="AP148" s="58"/>
      <c r="AQ148" s="58"/>
      <c r="AR148" s="58"/>
      <c r="AS148" s="58"/>
      <c r="AT148" s="58"/>
      <c r="AU148" s="58"/>
      <c r="AV148" s="58"/>
      <c r="AW148" s="58"/>
      <c r="AX148" s="58"/>
      <c r="AY148" s="58"/>
      <c r="AZ148" s="58"/>
      <c r="BA148" s="58"/>
      <c r="BB148" s="58"/>
      <c r="BC148" s="58"/>
      <c r="BD148" s="58"/>
      <c r="BE148" s="58"/>
      <c r="BF148" s="58"/>
      <c r="BG148" s="58"/>
      <c r="BH148" s="58"/>
      <c r="BI148" s="58"/>
      <c r="BJ148" s="58"/>
      <c r="BK148" s="58"/>
      <c r="BL148" s="58"/>
      <c r="BM148" s="58"/>
      <c r="BN148" s="58"/>
      <c r="BO148" s="58"/>
      <c r="BP148" s="65"/>
      <c r="BQ148" s="65"/>
      <c r="BR148" s="65"/>
      <c r="BS148" s="245"/>
      <c r="BT148" s="245"/>
      <c r="BU148" s="245"/>
      <c r="BV148" s="245"/>
      <c r="BW148" s="245"/>
      <c r="BX148" s="245"/>
      <c r="BY148" s="245"/>
      <c r="BZ148" s="245"/>
    </row>
    <row r="149" spans="2:89" s="7" customFormat="1">
      <c r="B149" s="149" t="s">
        <v>474</v>
      </c>
      <c r="I149" s="57"/>
      <c r="J149" s="57"/>
      <c r="K149" s="57"/>
      <c r="L149" s="57"/>
      <c r="M149" s="57"/>
      <c r="N149" s="57"/>
      <c r="O149" s="57"/>
      <c r="P149" s="57"/>
      <c r="Q149" s="57"/>
      <c r="R149" s="57"/>
      <c r="S149" s="57"/>
      <c r="T149" s="245"/>
      <c r="U149" s="245"/>
      <c r="V149" s="245"/>
      <c r="W149" s="245"/>
      <c r="X149" s="245"/>
      <c r="Y149" s="245"/>
      <c r="Z149" s="57"/>
      <c r="AA149" s="57"/>
      <c r="AB149" s="57"/>
      <c r="AC149" s="57"/>
      <c r="AD149" s="57"/>
      <c r="AE149" s="57"/>
      <c r="AF149" s="57"/>
      <c r="AG149" s="57"/>
      <c r="AH149" s="57"/>
      <c r="AI149" s="57"/>
      <c r="AJ149" s="57"/>
      <c r="AK149" s="57"/>
      <c r="AL149" s="57"/>
      <c r="AM149" s="58"/>
      <c r="AN149" s="58"/>
      <c r="AO149" s="58"/>
      <c r="AP149" s="58"/>
      <c r="AQ149" s="58"/>
      <c r="AR149" s="58"/>
      <c r="AS149" s="58"/>
      <c r="AT149" s="58"/>
      <c r="AU149" s="58"/>
      <c r="AV149" s="58"/>
      <c r="AW149" s="58"/>
      <c r="AX149" s="58"/>
      <c r="AY149" s="58"/>
      <c r="AZ149" s="58"/>
      <c r="BA149" s="58"/>
      <c r="BB149" s="58"/>
      <c r="BC149" s="58"/>
      <c r="BD149" s="58"/>
      <c r="BE149" s="58"/>
      <c r="BF149" s="58"/>
      <c r="BG149" s="58"/>
      <c r="BH149" s="58"/>
      <c r="BI149" s="58"/>
      <c r="BJ149" s="58"/>
      <c r="BK149" s="58"/>
      <c r="BL149" s="58"/>
      <c r="BM149" s="58"/>
      <c r="BN149" s="58"/>
      <c r="BO149" s="58"/>
      <c r="BP149" s="65"/>
      <c r="BQ149" s="65"/>
      <c r="BR149" s="65"/>
      <c r="BS149" s="245"/>
      <c r="BT149" s="245"/>
      <c r="BU149" s="245"/>
      <c r="BV149" s="245"/>
      <c r="BW149" s="245"/>
      <c r="BX149" s="245"/>
      <c r="BY149" s="245"/>
      <c r="BZ149" s="245"/>
    </row>
    <row r="150" spans="2:89" s="7" customFormat="1">
      <c r="B150" s="266" t="s">
        <v>416</v>
      </c>
      <c r="I150" s="57"/>
      <c r="J150" s="57"/>
      <c r="K150" s="57"/>
      <c r="L150" s="57"/>
      <c r="M150" s="57"/>
      <c r="N150" s="57"/>
      <c r="O150" s="57"/>
      <c r="P150" s="57"/>
      <c r="Q150" s="57"/>
      <c r="R150" s="57"/>
      <c r="S150" s="57"/>
      <c r="T150" s="404">
        <f t="shared" ref="T150:Y150" si="212">+T170</f>
        <v>324.48956250000003</v>
      </c>
      <c r="U150" s="404">
        <f t="shared" si="212"/>
        <v>351.81741666666665</v>
      </c>
      <c r="V150" s="404">
        <f t="shared" si="212"/>
        <v>366.51474999999999</v>
      </c>
      <c r="W150" s="404">
        <f>+W170</f>
        <v>366.51474999999999</v>
      </c>
      <c r="X150" s="404">
        <f t="shared" si="212"/>
        <v>366.51474999999999</v>
      </c>
      <c r="Y150" s="404">
        <f t="shared" si="212"/>
        <v>366.51474999999999</v>
      </c>
      <c r="Z150" s="14"/>
      <c r="AA150" s="405"/>
      <c r="AB150" s="405"/>
      <c r="AC150" s="405"/>
      <c r="AD150" s="405"/>
      <c r="AE150" s="405"/>
      <c r="AF150" s="405"/>
      <c r="AG150" s="405"/>
      <c r="AH150" s="405"/>
      <c r="AI150" s="405"/>
      <c r="AJ150" s="405"/>
      <c r="AK150" s="405"/>
      <c r="AL150" s="405"/>
      <c r="AM150" s="406"/>
      <c r="AN150" s="406"/>
      <c r="AO150" s="406"/>
      <c r="AP150" s="406"/>
      <c r="AQ150" s="406"/>
      <c r="AR150" s="406"/>
      <c r="AS150" s="406"/>
      <c r="AT150" s="406"/>
      <c r="AU150" s="406"/>
      <c r="AV150" s="406"/>
      <c r="AW150" s="406"/>
      <c r="AX150" s="406"/>
      <c r="AY150" s="406"/>
      <c r="AZ150" s="406"/>
      <c r="BA150" s="406"/>
      <c r="BB150" s="406"/>
      <c r="BC150" s="406"/>
      <c r="BD150" s="406"/>
      <c r="BE150" s="406"/>
      <c r="BF150" s="406"/>
      <c r="BG150" s="406"/>
      <c r="BH150" s="406"/>
      <c r="BI150" s="406"/>
      <c r="BJ150" s="406"/>
      <c r="BK150" s="406"/>
      <c r="BL150" s="406"/>
      <c r="BM150" s="406"/>
      <c r="BN150" s="406"/>
      <c r="BO150" s="406"/>
      <c r="BP150" s="407"/>
      <c r="BQ150" s="407"/>
      <c r="BR150" s="407"/>
      <c r="BS150" s="404">
        <f t="shared" ref="BS150:BZ150" si="213">+BS170</f>
        <v>314.15550000000002</v>
      </c>
      <c r="BT150" s="404">
        <f t="shared" si="213"/>
        <v>317.82983333333334</v>
      </c>
      <c r="BU150" s="404">
        <f t="shared" si="213"/>
        <v>329.77141666666665</v>
      </c>
      <c r="BV150" s="404">
        <f t="shared" si="213"/>
        <v>336.20150000000001</v>
      </c>
      <c r="BW150" s="404">
        <f t="shared" si="213"/>
        <v>336.20150000000001</v>
      </c>
      <c r="BX150" s="404">
        <f>+BX170</f>
        <v>343.55016666666666</v>
      </c>
      <c r="BY150" s="404">
        <f t="shared" si="213"/>
        <v>361.00324999999998</v>
      </c>
      <c r="BZ150" s="404">
        <f t="shared" si="213"/>
        <v>366.51474999999999</v>
      </c>
      <c r="CA150" s="404">
        <f>+CA170</f>
        <v>366.51474999999999</v>
      </c>
      <c r="CB150" s="404">
        <f>+CB170</f>
        <v>366.51474999999999</v>
      </c>
      <c r="CC150" s="404">
        <f>+CC170</f>
        <v>366.51474999999999</v>
      </c>
      <c r="CD150" s="404">
        <f>+CD170</f>
        <v>366.51474999999999</v>
      </c>
    </row>
    <row r="151" spans="2:89" s="7" customFormat="1">
      <c r="B151" s="266" t="s">
        <v>395</v>
      </c>
      <c r="I151" s="57"/>
      <c r="J151" s="57"/>
      <c r="K151" s="57"/>
      <c r="L151" s="57"/>
      <c r="M151" s="57"/>
      <c r="N151" s="57"/>
      <c r="O151" s="57"/>
      <c r="P151" s="57"/>
      <c r="Q151" s="57"/>
      <c r="R151" s="57"/>
      <c r="S151" s="57"/>
      <c r="T151" s="405">
        <f>+T182</f>
        <v>149.75317238809521</v>
      </c>
      <c r="U151" s="405">
        <f t="shared" ref="U151:Y151" si="214">+U182</f>
        <v>158.28423956666663</v>
      </c>
      <c r="V151" s="405">
        <f t="shared" si="214"/>
        <v>160.04400812142856</v>
      </c>
      <c r="W151" s="405">
        <f>+W182</f>
        <v>158.83531486671384</v>
      </c>
      <c r="X151" s="405">
        <f t="shared" si="214"/>
        <v>168.46299224247161</v>
      </c>
      <c r="Y151" s="405">
        <f t="shared" si="214"/>
        <v>170.38374493003349</v>
      </c>
      <c r="Z151" s="405"/>
      <c r="AA151" s="405"/>
      <c r="AB151" s="405"/>
      <c r="AC151" s="405"/>
      <c r="AD151" s="405"/>
      <c r="AE151" s="405"/>
      <c r="AF151" s="405"/>
      <c r="AG151" s="405"/>
      <c r="AH151" s="405"/>
      <c r="AI151" s="405"/>
      <c r="AJ151" s="405"/>
      <c r="AK151" s="405"/>
      <c r="AL151" s="405"/>
      <c r="AM151" s="406"/>
      <c r="AN151" s="406"/>
      <c r="AO151" s="406"/>
      <c r="AP151" s="406"/>
      <c r="AQ151" s="406"/>
      <c r="AR151" s="406"/>
      <c r="AS151" s="406"/>
      <c r="AT151" s="406"/>
      <c r="AU151" s="406"/>
      <c r="AV151" s="406"/>
      <c r="AW151" s="406"/>
      <c r="AX151" s="406"/>
      <c r="AY151" s="406"/>
      <c r="AZ151" s="406"/>
      <c r="BA151" s="406"/>
      <c r="BB151" s="406"/>
      <c r="BC151" s="406"/>
      <c r="BD151" s="406"/>
      <c r="BE151" s="406"/>
      <c r="BF151" s="406"/>
      <c r="BG151" s="406"/>
      <c r="BH151" s="406"/>
      <c r="BI151" s="406"/>
      <c r="BJ151" s="406"/>
      <c r="BK151" s="406"/>
      <c r="BL151" s="406"/>
      <c r="BM151" s="406"/>
      <c r="BN151" s="406"/>
      <c r="BO151" s="406"/>
      <c r="BP151" s="407"/>
      <c r="BQ151" s="407"/>
      <c r="BR151" s="407"/>
      <c r="BS151" s="405">
        <f>+BS182</f>
        <v>145.57690050476188</v>
      </c>
      <c r="BT151" s="405">
        <f t="shared" ref="BT151:BZ151" si="215">+BT182</f>
        <v>144.11084005714281</v>
      </c>
      <c r="BU151" s="405">
        <f t="shared" si="215"/>
        <v>152.08938954285713</v>
      </c>
      <c r="BV151" s="405">
        <f t="shared" si="215"/>
        <v>157.23555944761907</v>
      </c>
      <c r="BW151" s="405">
        <f t="shared" si="215"/>
        <v>161.32656091428566</v>
      </c>
      <c r="BX151" s="405">
        <f>+BX182</f>
        <v>159.64308599999998</v>
      </c>
      <c r="BY151" s="405">
        <f t="shared" si="215"/>
        <v>155.86723753333331</v>
      </c>
      <c r="BZ151" s="405">
        <f t="shared" si="215"/>
        <v>156.30007381904758</v>
      </c>
      <c r="CA151" s="405">
        <f>+CA182</f>
        <v>162.05859309523808</v>
      </c>
      <c r="CB151" s="405">
        <f>+CB182</f>
        <v>157.63847417142856</v>
      </c>
      <c r="CC151" s="405">
        <f>+CC182</f>
        <v>158.69164308571425</v>
      </c>
      <c r="CD151" s="405">
        <f>+CD182</f>
        <v>161.7873221333333</v>
      </c>
    </row>
    <row r="152" spans="2:89" s="7" customFormat="1">
      <c r="B152" s="266" t="s">
        <v>607</v>
      </c>
      <c r="I152" s="57"/>
      <c r="J152" s="57"/>
      <c r="K152" s="57"/>
      <c r="L152" s="57"/>
      <c r="M152" s="57"/>
      <c r="N152" s="57"/>
      <c r="O152" s="57"/>
      <c r="P152" s="57"/>
      <c r="Q152" s="57"/>
      <c r="R152" s="57"/>
      <c r="S152" s="57"/>
      <c r="T152" s="404">
        <f t="shared" ref="T152:Y152" si="216">T191</f>
        <v>124.79431032341267</v>
      </c>
      <c r="U152" s="404">
        <f t="shared" si="216"/>
        <v>131.90353297222222</v>
      </c>
      <c r="V152" s="404">
        <f t="shared" si="216"/>
        <v>133.37000676785712</v>
      </c>
      <c r="W152" s="404">
        <f t="shared" si="216"/>
        <v>132.36276238892819</v>
      </c>
      <c r="X152" s="404">
        <f t="shared" si="216"/>
        <v>140.38582686872633</v>
      </c>
      <c r="Y152" s="404">
        <f t="shared" si="216"/>
        <v>141.98645410836122</v>
      </c>
      <c r="Z152" s="57"/>
      <c r="AA152" s="57"/>
      <c r="AB152" s="57"/>
      <c r="AC152" s="57"/>
      <c r="AD152" s="57"/>
      <c r="AE152" s="57"/>
      <c r="AF152" s="57"/>
      <c r="AG152" s="57"/>
      <c r="AH152" s="57"/>
      <c r="AI152" s="57"/>
      <c r="AJ152" s="57"/>
      <c r="AK152" s="57"/>
      <c r="AL152" s="57"/>
      <c r="AM152" s="58"/>
      <c r="AN152" s="58"/>
      <c r="AO152" s="58"/>
      <c r="AP152" s="58"/>
      <c r="AQ152" s="58"/>
      <c r="AR152" s="58"/>
      <c r="AS152" s="58"/>
      <c r="AT152" s="58"/>
      <c r="AU152" s="58"/>
      <c r="AV152" s="58"/>
      <c r="AW152" s="58"/>
      <c r="AX152" s="58"/>
      <c r="AY152" s="58"/>
      <c r="AZ152" s="58"/>
      <c r="BA152" s="58"/>
      <c r="BB152" s="58"/>
      <c r="BC152" s="58"/>
      <c r="BD152" s="58"/>
      <c r="BE152" s="58"/>
      <c r="BF152" s="58"/>
      <c r="BG152" s="58"/>
      <c r="BH152" s="58"/>
      <c r="BI152" s="58"/>
      <c r="BJ152" s="58"/>
      <c r="BK152" s="58"/>
      <c r="BL152" s="58"/>
      <c r="BM152" s="58"/>
      <c r="BN152" s="58"/>
      <c r="BO152" s="58"/>
      <c r="BP152" s="65"/>
      <c r="BQ152" s="65"/>
      <c r="BR152" s="65"/>
      <c r="BS152" s="404">
        <f>BS191</f>
        <v>121.31408375396825</v>
      </c>
      <c r="BT152" s="404">
        <f t="shared" ref="BT152:BZ152" si="217">BT191</f>
        <v>120.09236671428569</v>
      </c>
      <c r="BU152" s="404">
        <f t="shared" si="217"/>
        <v>126.74115795238095</v>
      </c>
      <c r="BV152" s="404">
        <f t="shared" si="217"/>
        <v>131.02963287301588</v>
      </c>
      <c r="BW152" s="404">
        <f t="shared" si="217"/>
        <v>134.43880076190473</v>
      </c>
      <c r="BX152" s="404">
        <f>BX191</f>
        <v>133.03590499999999</v>
      </c>
      <c r="BY152" s="404">
        <f t="shared" si="217"/>
        <v>129.88936461111109</v>
      </c>
      <c r="BZ152" s="404">
        <f t="shared" si="217"/>
        <v>130.250061515873</v>
      </c>
      <c r="CA152" s="404">
        <f>CA191</f>
        <v>135.04882757936508</v>
      </c>
      <c r="CB152" s="404">
        <f>CB191</f>
        <v>131.36539514285712</v>
      </c>
      <c r="CC152" s="404">
        <f>CC191</f>
        <v>132.24303590476188</v>
      </c>
      <c r="CD152" s="404">
        <f>CD191</f>
        <v>134.82276844444442</v>
      </c>
    </row>
    <row r="153" spans="2:89" s="7" customFormat="1">
      <c r="B153" s="266" t="s">
        <v>605</v>
      </c>
      <c r="I153" s="57"/>
      <c r="J153" s="57"/>
      <c r="K153" s="57"/>
      <c r="L153" s="57"/>
      <c r="M153" s="57"/>
      <c r="N153" s="57"/>
      <c r="O153" s="57"/>
      <c r="P153" s="57"/>
      <c r="Q153" s="57"/>
      <c r="R153" s="57"/>
      <c r="S153" s="57"/>
      <c r="T153" s="219">
        <f t="shared" ref="T153:V154" si="218">T115/T139*1000</f>
        <v>124.7943103234127</v>
      </c>
      <c r="U153" s="219">
        <f t="shared" si="218"/>
        <v>131.90353297222219</v>
      </c>
      <c r="V153" s="219">
        <f t="shared" si="218"/>
        <v>133.37000676785709</v>
      </c>
      <c r="W153" s="404">
        <f t="shared" ref="W153:Y154" si="219">+V153</f>
        <v>133.37000676785709</v>
      </c>
      <c r="X153" s="404">
        <f t="shared" si="219"/>
        <v>133.37000676785709</v>
      </c>
      <c r="Y153" s="404">
        <f t="shared" si="219"/>
        <v>133.37000676785709</v>
      </c>
      <c r="Z153" s="57"/>
      <c r="AA153" s="57"/>
      <c r="AB153" s="57"/>
      <c r="AC153" s="57"/>
      <c r="AD153" s="57"/>
      <c r="AE153" s="57"/>
      <c r="AF153" s="57"/>
      <c r="AG153" s="57"/>
      <c r="AH153" s="57"/>
      <c r="AI153" s="57"/>
      <c r="AJ153" s="57"/>
      <c r="AK153" s="57"/>
      <c r="AL153" s="57"/>
      <c r="AM153" s="58"/>
      <c r="AN153" s="58"/>
      <c r="AO153" s="58"/>
      <c r="AP153" s="58"/>
      <c r="AQ153" s="58"/>
      <c r="AR153" s="58"/>
      <c r="AS153" s="58"/>
      <c r="AT153" s="58"/>
      <c r="AU153" s="58"/>
      <c r="AV153" s="58"/>
      <c r="AW153" s="58"/>
      <c r="AX153" s="58"/>
      <c r="AY153" s="58"/>
      <c r="AZ153" s="58"/>
      <c r="BA153" s="58"/>
      <c r="BB153" s="58"/>
      <c r="BC153" s="58"/>
      <c r="BD153" s="58"/>
      <c r="BE153" s="58"/>
      <c r="BF153" s="58"/>
      <c r="BG153" s="58"/>
      <c r="BH153" s="58"/>
      <c r="BI153" s="58"/>
      <c r="BJ153" s="58"/>
      <c r="BK153" s="58"/>
      <c r="BL153" s="58"/>
      <c r="BM153" s="58"/>
      <c r="BN153" s="58"/>
      <c r="BO153" s="58"/>
      <c r="BP153" s="65"/>
      <c r="BQ153" s="65"/>
      <c r="BR153" s="65"/>
      <c r="BS153" s="404">
        <f>BS191</f>
        <v>121.31408375396825</v>
      </c>
      <c r="BT153" s="404">
        <f t="shared" ref="BT153:CD153" si="220">BT191</f>
        <v>120.09236671428569</v>
      </c>
      <c r="BU153" s="404">
        <f t="shared" si="220"/>
        <v>126.74115795238095</v>
      </c>
      <c r="BV153" s="404">
        <f t="shared" si="220"/>
        <v>131.02963287301588</v>
      </c>
      <c r="BW153" s="404">
        <f t="shared" si="220"/>
        <v>134.43880076190473</v>
      </c>
      <c r="BX153" s="404">
        <f t="shared" si="220"/>
        <v>133.03590499999999</v>
      </c>
      <c r="BY153" s="404">
        <f t="shared" si="220"/>
        <v>129.88936461111109</v>
      </c>
      <c r="BZ153" s="404">
        <f t="shared" si="220"/>
        <v>130.250061515873</v>
      </c>
      <c r="CA153" s="404">
        <f t="shared" si="220"/>
        <v>135.04882757936508</v>
      </c>
      <c r="CB153" s="404">
        <f t="shared" si="220"/>
        <v>131.36539514285712</v>
      </c>
      <c r="CC153" s="404">
        <f t="shared" si="220"/>
        <v>132.24303590476188</v>
      </c>
      <c r="CD153" s="404">
        <f t="shared" si="220"/>
        <v>134.82276844444442</v>
      </c>
    </row>
    <row r="154" spans="2:89" s="7" customFormat="1">
      <c r="B154" s="266" t="s">
        <v>606</v>
      </c>
      <c r="I154" s="57"/>
      <c r="J154" s="57"/>
      <c r="K154" s="57"/>
      <c r="L154" s="57"/>
      <c r="M154" s="57"/>
      <c r="N154" s="57"/>
      <c r="O154" s="57"/>
      <c r="P154" s="57"/>
      <c r="Q154" s="57"/>
      <c r="R154" s="57"/>
      <c r="S154" s="57"/>
      <c r="T154" s="219">
        <f t="shared" si="218"/>
        <v>124.20895712692784</v>
      </c>
      <c r="U154" s="219">
        <f t="shared" si="218"/>
        <v>132.03432950167428</v>
      </c>
      <c r="V154" s="219">
        <f t="shared" si="218"/>
        <v>133.18499841467522</v>
      </c>
      <c r="W154" s="425">
        <f t="shared" si="219"/>
        <v>133.18499841467522</v>
      </c>
      <c r="X154" s="425">
        <f t="shared" si="219"/>
        <v>133.18499841467522</v>
      </c>
      <c r="Y154" s="425">
        <f t="shared" si="219"/>
        <v>133.18499841467522</v>
      </c>
      <c r="Z154" s="57"/>
      <c r="AA154" s="57"/>
      <c r="AB154" s="57"/>
      <c r="AC154" s="57"/>
      <c r="AD154" s="57"/>
      <c r="AE154" s="57"/>
      <c r="AF154" s="57"/>
      <c r="AG154" s="57"/>
      <c r="AH154" s="57"/>
      <c r="AI154" s="57"/>
      <c r="AJ154" s="57"/>
      <c r="AK154" s="57"/>
      <c r="AL154" s="57"/>
      <c r="AM154" s="58"/>
      <c r="AN154" s="58"/>
      <c r="AO154" s="58"/>
      <c r="AP154" s="58"/>
      <c r="AQ154" s="58"/>
      <c r="AR154" s="58"/>
      <c r="AS154" s="58"/>
      <c r="AT154" s="58"/>
      <c r="AU154" s="58"/>
      <c r="AV154" s="58"/>
      <c r="AW154" s="58"/>
      <c r="AX154" s="58"/>
      <c r="AY154" s="58"/>
      <c r="AZ154" s="58"/>
      <c r="BA154" s="58"/>
      <c r="BB154" s="58"/>
      <c r="BC154" s="58"/>
      <c r="BD154" s="58"/>
      <c r="BE154" s="58"/>
      <c r="BF154" s="58"/>
      <c r="BG154" s="58"/>
      <c r="BH154" s="58"/>
      <c r="BI154" s="58"/>
      <c r="BJ154" s="58"/>
      <c r="BK154" s="58"/>
      <c r="BL154" s="58"/>
      <c r="BM154" s="58"/>
      <c r="BN154" s="58"/>
      <c r="BO154" s="58"/>
      <c r="BP154" s="65"/>
      <c r="BQ154" s="65"/>
      <c r="BR154" s="65"/>
      <c r="BS154" s="404">
        <f>BS191</f>
        <v>121.31408375396825</v>
      </c>
      <c r="BT154" s="404">
        <f t="shared" ref="BT154:CD154" si="221">BT191</f>
        <v>120.09236671428569</v>
      </c>
      <c r="BU154" s="404">
        <f t="shared" si="221"/>
        <v>126.74115795238095</v>
      </c>
      <c r="BV154" s="404">
        <f t="shared" si="221"/>
        <v>131.02963287301588</v>
      </c>
      <c r="BW154" s="404">
        <f t="shared" si="221"/>
        <v>134.43880076190473</v>
      </c>
      <c r="BX154" s="404">
        <f t="shared" si="221"/>
        <v>133.03590499999999</v>
      </c>
      <c r="BY154" s="404">
        <f t="shared" si="221"/>
        <v>129.88936461111109</v>
      </c>
      <c r="BZ154" s="404">
        <f t="shared" si="221"/>
        <v>130.250061515873</v>
      </c>
      <c r="CA154" s="404">
        <f t="shared" si="221"/>
        <v>135.04882757936508</v>
      </c>
      <c r="CB154" s="404">
        <f t="shared" si="221"/>
        <v>131.36539514285712</v>
      </c>
      <c r="CC154" s="404">
        <f t="shared" si="221"/>
        <v>132.24303590476188</v>
      </c>
      <c r="CD154" s="404">
        <f t="shared" si="221"/>
        <v>134.82276844444442</v>
      </c>
    </row>
    <row r="155" spans="2:89" s="7" customFormat="1">
      <c r="B155" s="267" t="s">
        <v>380</v>
      </c>
      <c r="I155" s="57"/>
      <c r="J155" s="57"/>
      <c r="K155" s="57"/>
      <c r="L155" s="57"/>
      <c r="M155" s="57"/>
      <c r="N155" s="57"/>
      <c r="O155" s="57"/>
      <c r="P155" s="57"/>
      <c r="Q155" s="57"/>
      <c r="R155" s="57"/>
      <c r="S155" s="57"/>
      <c r="T155" s="277">
        <f t="shared" ref="T155:Y155" si="222">+T117/T141*1000</f>
        <v>173.28586167348223</v>
      </c>
      <c r="U155" s="277">
        <f t="shared" si="222"/>
        <v>185.26093030835492</v>
      </c>
      <c r="V155" s="277">
        <f t="shared" si="222"/>
        <v>187.56333721713096</v>
      </c>
      <c r="W155" s="277">
        <f t="shared" si="222"/>
        <v>185.54821438334477</v>
      </c>
      <c r="X155" s="277">
        <f t="shared" si="222"/>
        <v>189.30794382210041</v>
      </c>
      <c r="Y155" s="277">
        <f t="shared" si="222"/>
        <v>189.55351922247041</v>
      </c>
      <c r="Z155" s="14"/>
      <c r="AA155" s="57"/>
      <c r="AB155" s="57"/>
      <c r="AC155" s="57"/>
      <c r="AD155" s="57"/>
      <c r="AE155" s="57"/>
      <c r="AF155" s="57"/>
      <c r="AG155" s="57"/>
      <c r="AH155" s="57"/>
      <c r="AI155" s="57"/>
      <c r="AJ155" s="57"/>
      <c r="AK155" s="57"/>
      <c r="AL155" s="57"/>
      <c r="AM155" s="58"/>
      <c r="AN155" s="58"/>
      <c r="AO155" s="58"/>
      <c r="AP155" s="58"/>
      <c r="AQ155" s="58"/>
      <c r="AR155" s="58"/>
      <c r="AS155" s="58"/>
      <c r="AT155" s="58"/>
      <c r="AU155" s="58"/>
      <c r="AV155" s="58"/>
      <c r="AW155" s="58"/>
      <c r="AX155" s="58"/>
      <c r="AY155" s="58"/>
      <c r="AZ155" s="58"/>
      <c r="BA155" s="58"/>
      <c r="BB155" s="58"/>
      <c r="BC155" s="58"/>
      <c r="BD155" s="58"/>
      <c r="BE155" s="58"/>
      <c r="BF155" s="58"/>
      <c r="BG155" s="58"/>
      <c r="BH155" s="58"/>
      <c r="BI155" s="58"/>
      <c r="BJ155" s="58"/>
      <c r="BK155" s="58"/>
      <c r="BL155" s="58"/>
      <c r="BM155" s="58"/>
      <c r="BN155" s="58"/>
      <c r="BO155" s="58"/>
      <c r="BP155" s="65"/>
      <c r="BQ155" s="65"/>
      <c r="BR155" s="65"/>
      <c r="BS155" s="277">
        <f>+BS117/BS141*1000</f>
        <v>165.89922448973383</v>
      </c>
      <c r="BT155" s="277">
        <f t="shared" ref="BT155:CD155" si="223">+BT117/BT141*1000</f>
        <v>168.8833663972691</v>
      </c>
      <c r="BU155" s="277">
        <f t="shared" si="223"/>
        <v>176.28203915709682</v>
      </c>
      <c r="BV155" s="277">
        <f t="shared" si="223"/>
        <v>182.68602410710869</v>
      </c>
      <c r="BW155" s="277">
        <f t="shared" si="223"/>
        <v>183.91323748118242</v>
      </c>
      <c r="BX155" s="277">
        <f t="shared" si="223"/>
        <v>183.8466953753142</v>
      </c>
      <c r="BY155" s="277">
        <f t="shared" si="223"/>
        <v>185.44860981491638</v>
      </c>
      <c r="BZ155" s="277">
        <f t="shared" si="223"/>
        <v>187.91189024871062</v>
      </c>
      <c r="CA155" s="277">
        <f t="shared" si="223"/>
        <v>192.01572782766326</v>
      </c>
      <c r="CB155" s="277">
        <f t="shared" si="223"/>
        <v>185.2313766734637</v>
      </c>
      <c r="CC155" s="277">
        <f t="shared" si="223"/>
        <v>185.39010182470977</v>
      </c>
      <c r="CD155" s="277">
        <f t="shared" si="223"/>
        <v>187.92007318408591</v>
      </c>
    </row>
    <row r="156" spans="2:89" s="7" customFormat="1">
      <c r="B156" s="267" t="s">
        <v>509</v>
      </c>
      <c r="I156" s="57"/>
      <c r="J156" s="57"/>
      <c r="K156" s="57"/>
      <c r="L156" s="57"/>
      <c r="M156" s="57"/>
      <c r="N156" s="57"/>
      <c r="O156" s="57"/>
      <c r="P156" s="57"/>
      <c r="Q156" s="57"/>
      <c r="R156" s="57"/>
      <c r="S156" s="57"/>
      <c r="T156" s="94">
        <f t="shared" ref="T156:Y156" si="224">T112/T136*1000</f>
        <v>324.48956250000003</v>
      </c>
      <c r="U156" s="94">
        <f t="shared" si="224"/>
        <v>351.81741666666665</v>
      </c>
      <c r="V156" s="94">
        <f t="shared" si="224"/>
        <v>366.51474999999999</v>
      </c>
      <c r="W156" s="94">
        <f>W112/W136*1000</f>
        <v>366.51474999999999</v>
      </c>
      <c r="X156" s="94">
        <f t="shared" si="224"/>
        <v>366.51474999999999</v>
      </c>
      <c r="Y156" s="94">
        <f t="shared" si="224"/>
        <v>366.51474999999999</v>
      </c>
      <c r="Z156" s="14"/>
      <c r="AA156" s="57"/>
      <c r="AB156" s="57"/>
      <c r="AC156" s="57"/>
      <c r="AD156" s="57"/>
      <c r="AE156" s="57"/>
      <c r="AF156" s="57"/>
      <c r="AG156" s="57"/>
      <c r="AH156" s="57"/>
      <c r="AI156" s="57"/>
      <c r="AJ156" s="57"/>
      <c r="AK156" s="57"/>
      <c r="AL156" s="57"/>
      <c r="AM156" s="58"/>
      <c r="AN156" s="58"/>
      <c r="AO156" s="58"/>
      <c r="AP156" s="58"/>
      <c r="AQ156" s="58"/>
      <c r="AR156" s="58"/>
      <c r="AS156" s="58"/>
      <c r="AT156" s="58"/>
      <c r="AU156" s="58"/>
      <c r="AV156" s="58"/>
      <c r="AW156" s="58"/>
      <c r="AX156" s="58"/>
      <c r="AY156" s="58"/>
      <c r="AZ156" s="58"/>
      <c r="BA156" s="58"/>
      <c r="BB156" s="58"/>
      <c r="BC156" s="58"/>
      <c r="BD156" s="58"/>
      <c r="BE156" s="58"/>
      <c r="BF156" s="58"/>
      <c r="BG156" s="58"/>
      <c r="BH156" s="58"/>
      <c r="BI156" s="58"/>
      <c r="BJ156" s="58"/>
      <c r="BK156" s="58"/>
      <c r="BL156" s="58"/>
      <c r="BM156" s="58"/>
      <c r="BN156" s="58"/>
      <c r="BO156" s="58"/>
      <c r="BP156" s="65"/>
      <c r="BQ156" s="65"/>
      <c r="BR156" s="65"/>
      <c r="BS156" s="94">
        <f>BS112/BS136*1000</f>
        <v>314.15550000000002</v>
      </c>
      <c r="BT156" s="94">
        <f t="shared" ref="BT156:CD156" si="225">BT112/BT136*1000</f>
        <v>317.82983333333334</v>
      </c>
      <c r="BU156" s="94">
        <f t="shared" si="225"/>
        <v>329.77141666666665</v>
      </c>
      <c r="BV156" s="94">
        <f t="shared" si="225"/>
        <v>336.20150000000007</v>
      </c>
      <c r="BW156" s="94">
        <f t="shared" si="225"/>
        <v>336.20150000000007</v>
      </c>
      <c r="BX156" s="94">
        <f t="shared" si="225"/>
        <v>343.55016666666666</v>
      </c>
      <c r="BY156" s="94">
        <f t="shared" si="225"/>
        <v>361.00324999999998</v>
      </c>
      <c r="BZ156" s="94">
        <f t="shared" si="225"/>
        <v>366.51474999999999</v>
      </c>
      <c r="CA156" s="94">
        <f t="shared" si="225"/>
        <v>366.51474999999999</v>
      </c>
      <c r="CB156" s="94">
        <f t="shared" si="225"/>
        <v>366.51474999999999</v>
      </c>
      <c r="CC156" s="94">
        <f t="shared" si="225"/>
        <v>366.51474999999999</v>
      </c>
      <c r="CD156" s="94">
        <f t="shared" si="225"/>
        <v>366.51474999999999</v>
      </c>
    </row>
    <row r="157" spans="2:89" s="7" customFormat="1">
      <c r="B157" s="267"/>
      <c r="I157" s="57"/>
      <c r="J157" s="57"/>
      <c r="K157" s="57"/>
      <c r="L157" s="57"/>
      <c r="M157" s="57"/>
      <c r="N157" s="57"/>
      <c r="O157" s="57"/>
      <c r="P157" s="57"/>
      <c r="Q157" s="57"/>
      <c r="R157" s="57"/>
      <c r="S157" s="57"/>
      <c r="T157" s="94"/>
      <c r="U157" s="94"/>
      <c r="V157" s="94"/>
      <c r="W157" s="94"/>
      <c r="X157" s="94"/>
      <c r="Y157" s="94"/>
      <c r="Z157" s="57"/>
      <c r="AA157" s="57"/>
      <c r="AB157" s="57"/>
      <c r="AC157" s="57"/>
      <c r="AD157" s="57"/>
      <c r="AE157" s="57"/>
      <c r="AF157" s="57"/>
      <c r="AG157" s="57"/>
      <c r="AH157" s="57"/>
      <c r="AI157" s="57"/>
      <c r="AJ157" s="57"/>
      <c r="AK157" s="57"/>
      <c r="AL157" s="57"/>
      <c r="AM157" s="58"/>
      <c r="AN157" s="58"/>
      <c r="AO157" s="58"/>
      <c r="AP157" s="58"/>
      <c r="AQ157" s="58"/>
      <c r="AR157" s="58"/>
      <c r="AS157" s="58"/>
      <c r="AT157" s="58"/>
      <c r="AU157" s="58"/>
      <c r="AV157" s="58"/>
      <c r="AW157" s="58"/>
      <c r="AX157" s="58"/>
      <c r="AY157" s="58"/>
      <c r="AZ157" s="58"/>
      <c r="BA157" s="58"/>
      <c r="BB157" s="58"/>
      <c r="BC157" s="58"/>
      <c r="BD157" s="58"/>
      <c r="BE157" s="58"/>
      <c r="BF157" s="58"/>
      <c r="BG157" s="58"/>
      <c r="BH157" s="58"/>
      <c r="BI157" s="58"/>
      <c r="BJ157" s="58"/>
      <c r="BK157" s="58"/>
      <c r="BL157" s="58"/>
      <c r="BM157" s="58"/>
      <c r="BN157" s="58"/>
      <c r="BO157" s="58"/>
      <c r="BP157" s="65"/>
      <c r="BQ157" s="65"/>
      <c r="BR157" s="65"/>
      <c r="BS157" s="94"/>
      <c r="BT157" s="94"/>
      <c r="BU157" s="94"/>
      <c r="BV157" s="94"/>
      <c r="BW157" s="94"/>
      <c r="BX157" s="94"/>
      <c r="BY157" s="94"/>
      <c r="BZ157" s="94"/>
      <c r="CA157" s="94"/>
      <c r="CB157" s="94"/>
      <c r="CC157" s="94"/>
      <c r="CD157" s="94"/>
    </row>
    <row r="158" spans="2:89" s="7" customFormat="1">
      <c r="B158" s="287" t="s">
        <v>588</v>
      </c>
      <c r="I158" s="57"/>
      <c r="J158" s="57"/>
      <c r="K158" s="57"/>
      <c r="L158" s="57"/>
      <c r="M158" s="57"/>
      <c r="N158" s="57"/>
      <c r="O158" s="57"/>
      <c r="P158" s="57"/>
      <c r="Q158" s="57"/>
      <c r="R158" s="57"/>
      <c r="S158" s="57"/>
      <c r="T158" s="245"/>
      <c r="U158" s="288">
        <f t="shared" ref="U158:Y159" si="226">+U155/T155-1</f>
        <v>6.9105860796866203E-2</v>
      </c>
      <c r="V158" s="288">
        <f t="shared" si="226"/>
        <v>1.242791399645804E-2</v>
      </c>
      <c r="W158" s="288">
        <f t="shared" si="226"/>
        <v>-1.0743692577048769E-2</v>
      </c>
      <c r="X158" s="288">
        <f t="shared" si="226"/>
        <v>2.0262816601338995E-2</v>
      </c>
      <c r="Y158" s="288">
        <f t="shared" si="226"/>
        <v>1.297227128518097E-3</v>
      </c>
      <c r="Z158" s="69"/>
      <c r="AA158" s="69"/>
      <c r="AB158" s="69"/>
      <c r="AC158" s="69"/>
      <c r="AD158" s="69"/>
      <c r="AE158" s="69"/>
      <c r="AF158" s="69"/>
      <c r="AG158" s="69"/>
      <c r="AH158" s="69"/>
      <c r="AI158" s="69"/>
      <c r="AJ158" s="69"/>
      <c r="AK158" s="69"/>
      <c r="AL158" s="69"/>
      <c r="AM158" s="69"/>
      <c r="AN158" s="69"/>
      <c r="AO158" s="69"/>
      <c r="AP158" s="69"/>
      <c r="AQ158" s="69"/>
      <c r="AR158" s="69"/>
      <c r="AS158" s="69"/>
      <c r="AT158" s="69"/>
      <c r="AU158" s="69"/>
      <c r="AV158" s="69"/>
      <c r="AW158" s="69"/>
      <c r="AX158" s="69"/>
      <c r="AY158" s="69"/>
      <c r="AZ158" s="69"/>
      <c r="BA158" s="69"/>
      <c r="BB158" s="69"/>
      <c r="BC158" s="294"/>
      <c r="BD158" s="294"/>
      <c r="BE158" s="294"/>
      <c r="BF158" s="294"/>
      <c r="BG158" s="294"/>
      <c r="BH158" s="294"/>
      <c r="BI158" s="294"/>
      <c r="BJ158" s="294"/>
      <c r="BK158" s="294"/>
      <c r="BL158" s="294"/>
      <c r="BM158" s="294"/>
      <c r="BN158" s="294"/>
      <c r="BO158" s="294"/>
      <c r="BP158" s="294"/>
      <c r="BQ158" s="294"/>
      <c r="BR158" s="294"/>
      <c r="BS158" s="297"/>
      <c r="BT158" s="297"/>
      <c r="BU158" s="297"/>
      <c r="BV158" s="288"/>
      <c r="BW158" s="288">
        <f t="shared" ref="BW158:CD158" si="227">+BW155/BS155-1</f>
        <v>0.1085840699186833</v>
      </c>
      <c r="BX158" s="288">
        <f t="shared" si="227"/>
        <v>8.8601555601671489E-2</v>
      </c>
      <c r="BY158" s="288">
        <f t="shared" si="227"/>
        <v>5.1999458944598453E-2</v>
      </c>
      <c r="BZ158" s="288">
        <f t="shared" si="227"/>
        <v>2.8605724861240578E-2</v>
      </c>
      <c r="CA158" s="288">
        <f t="shared" si="227"/>
        <v>4.4056047609459581E-2</v>
      </c>
      <c r="CB158" s="288">
        <f t="shared" si="227"/>
        <v>7.5317170935422784E-3</v>
      </c>
      <c r="CC158" s="288">
        <f t="shared" si="227"/>
        <v>-3.1549435859890007E-4</v>
      </c>
      <c r="CD158" s="288">
        <f t="shared" si="227"/>
        <v>4.3546660961402139E-5</v>
      </c>
      <c r="CK158" s="289"/>
    </row>
    <row r="159" spans="2:89" s="7" customFormat="1">
      <c r="B159" s="287" t="s">
        <v>589</v>
      </c>
      <c r="I159" s="57"/>
      <c r="J159" s="57"/>
      <c r="K159" s="57"/>
      <c r="L159" s="57"/>
      <c r="M159" s="57"/>
      <c r="N159" s="57"/>
      <c r="O159" s="57"/>
      <c r="P159" s="57"/>
      <c r="Q159" s="57"/>
      <c r="R159" s="57"/>
      <c r="S159" s="57"/>
      <c r="T159" s="245"/>
      <c r="U159" s="288">
        <f t="shared" si="226"/>
        <v>8.4217975937721068E-2</v>
      </c>
      <c r="V159" s="288">
        <f t="shared" si="226"/>
        <v>4.1775456919060039E-2</v>
      </c>
      <c r="W159" s="288">
        <f t="shared" si="226"/>
        <v>0</v>
      </c>
      <c r="X159" s="288">
        <f t="shared" si="226"/>
        <v>0</v>
      </c>
      <c r="Y159" s="288">
        <f t="shared" si="226"/>
        <v>0</v>
      </c>
      <c r="Z159" s="69"/>
      <c r="AA159" s="69"/>
      <c r="AB159" s="69"/>
      <c r="AC159" s="69"/>
      <c r="AD159" s="69"/>
      <c r="AE159" s="69"/>
      <c r="AF159" s="69"/>
      <c r="AG159" s="69"/>
      <c r="AH159" s="69"/>
      <c r="AI159" s="69"/>
      <c r="AJ159" s="69"/>
      <c r="AK159" s="69"/>
      <c r="AL159" s="69"/>
      <c r="AM159" s="69"/>
      <c r="AN159" s="69"/>
      <c r="AO159" s="69"/>
      <c r="AP159" s="69"/>
      <c r="AQ159" s="69"/>
      <c r="AR159" s="69"/>
      <c r="AS159" s="69"/>
      <c r="AT159" s="69"/>
      <c r="AU159" s="69"/>
      <c r="AV159" s="69"/>
      <c r="AW159" s="69"/>
      <c r="AX159" s="69"/>
      <c r="AY159" s="69"/>
      <c r="AZ159" s="69"/>
      <c r="BA159" s="69"/>
      <c r="BB159" s="69"/>
      <c r="BC159" s="294"/>
      <c r="BD159" s="294"/>
      <c r="BE159" s="294"/>
      <c r="BF159" s="294"/>
      <c r="BG159" s="294"/>
      <c r="BH159" s="294"/>
      <c r="BI159" s="294"/>
      <c r="BJ159" s="294"/>
      <c r="BK159" s="294"/>
      <c r="BL159" s="294"/>
      <c r="BM159" s="294"/>
      <c r="BN159" s="294"/>
      <c r="BO159" s="294"/>
      <c r="BP159" s="294"/>
      <c r="BQ159" s="294"/>
      <c r="BR159" s="294"/>
      <c r="BS159" s="297"/>
      <c r="BT159" s="288">
        <f t="shared" ref="BT159:CD159" si="228">+BT155/BS155-1</f>
        <v>1.7987678463921464E-2</v>
      </c>
      <c r="BU159" s="288">
        <f t="shared" si="228"/>
        <v>4.3809363335543638E-2</v>
      </c>
      <c r="BV159" s="288">
        <f t="shared" si="228"/>
        <v>3.6328062578768083E-2</v>
      </c>
      <c r="BW159" s="288">
        <f t="shared" si="228"/>
        <v>6.717609516501355E-3</v>
      </c>
      <c r="BX159" s="288">
        <f t="shared" si="228"/>
        <v>-3.6181248712474634E-4</v>
      </c>
      <c r="BY159" s="288">
        <f t="shared" si="228"/>
        <v>8.713316474532995E-3</v>
      </c>
      <c r="BZ159" s="288">
        <f t="shared" si="228"/>
        <v>1.3282819624545361E-2</v>
      </c>
      <c r="CA159" s="288">
        <f t="shared" si="228"/>
        <v>2.1839158626529631E-2</v>
      </c>
      <c r="CB159" s="288">
        <f t="shared" si="228"/>
        <v>-3.5332267991550204E-2</v>
      </c>
      <c r="CC159" s="288">
        <f t="shared" si="228"/>
        <v>8.5690207618482894E-4</v>
      </c>
      <c r="CD159" s="288">
        <f t="shared" si="228"/>
        <v>1.3646744537463285E-2</v>
      </c>
      <c r="CK159" s="289"/>
    </row>
    <row r="160" spans="2:89" s="7" customFormat="1">
      <c r="B160" s="286"/>
      <c r="I160" s="57"/>
      <c r="J160" s="57"/>
      <c r="K160" s="57"/>
      <c r="L160" s="57"/>
      <c r="M160" s="57"/>
      <c r="N160" s="57"/>
      <c r="O160" s="57"/>
      <c r="P160" s="57"/>
      <c r="Q160" s="57"/>
      <c r="R160" s="57"/>
      <c r="S160" s="57"/>
      <c r="T160" s="245"/>
      <c r="U160" s="294"/>
      <c r="V160" s="294"/>
      <c r="W160" s="294"/>
      <c r="X160" s="294"/>
      <c r="Y160" s="294"/>
      <c r="Z160" s="69"/>
      <c r="AA160" s="69"/>
      <c r="AB160" s="69"/>
      <c r="AC160" s="69"/>
      <c r="AD160" s="69"/>
      <c r="AE160" s="69"/>
      <c r="AF160" s="69"/>
      <c r="AG160" s="69"/>
      <c r="AH160" s="69"/>
      <c r="AI160" s="69"/>
      <c r="AJ160" s="69"/>
      <c r="AK160" s="69"/>
      <c r="AL160" s="69"/>
      <c r="AM160" s="69"/>
      <c r="AN160" s="69"/>
      <c r="AO160" s="69"/>
      <c r="AP160" s="69"/>
      <c r="AQ160" s="69"/>
      <c r="AR160" s="69"/>
      <c r="AS160" s="69"/>
      <c r="AT160" s="69"/>
      <c r="AU160" s="69"/>
      <c r="AV160" s="69"/>
      <c r="AW160" s="69"/>
      <c r="AX160" s="69"/>
      <c r="AY160" s="69"/>
      <c r="AZ160" s="69"/>
      <c r="BA160" s="69"/>
      <c r="BB160" s="69"/>
      <c r="BC160" s="294"/>
      <c r="BD160" s="294"/>
      <c r="BE160" s="294"/>
      <c r="BF160" s="294"/>
      <c r="BG160" s="294"/>
      <c r="BH160" s="294"/>
      <c r="BI160" s="294"/>
      <c r="BJ160" s="294"/>
      <c r="BK160" s="294"/>
      <c r="BL160" s="294"/>
      <c r="BM160" s="294"/>
      <c r="BN160" s="294"/>
      <c r="BO160" s="294"/>
      <c r="BP160" s="294"/>
      <c r="BQ160" s="294"/>
      <c r="BR160" s="294"/>
      <c r="BS160" s="297"/>
      <c r="CK160" s="289"/>
    </row>
    <row r="161" spans="1:89" s="7" customFormat="1">
      <c r="B161" s="287" t="s">
        <v>591</v>
      </c>
      <c r="I161" s="57"/>
      <c r="J161" s="57"/>
      <c r="K161" s="57"/>
      <c r="L161" s="57"/>
      <c r="M161" s="57"/>
      <c r="N161" s="57"/>
      <c r="O161" s="57"/>
      <c r="P161" s="57"/>
      <c r="Q161" s="57"/>
      <c r="R161" s="57"/>
      <c r="S161" s="57"/>
      <c r="T161" s="245"/>
      <c r="U161" s="288">
        <f>+U156/T156-1</f>
        <v>8.4217975937721068E-2</v>
      </c>
      <c r="V161" s="288">
        <f t="shared" ref="V161:Y161" si="229">+V156/U156-1</f>
        <v>4.1775456919060039E-2</v>
      </c>
      <c r="W161" s="288">
        <f t="shared" si="229"/>
        <v>0</v>
      </c>
      <c r="X161" s="288">
        <f t="shared" si="229"/>
        <v>0</v>
      </c>
      <c r="Y161" s="288">
        <f t="shared" si="229"/>
        <v>0</v>
      </c>
      <c r="Z161" s="69"/>
      <c r="AA161" s="69"/>
      <c r="AB161" s="69"/>
      <c r="AC161" s="69"/>
      <c r="AD161" s="69"/>
      <c r="AE161" s="69"/>
      <c r="AF161" s="69"/>
      <c r="AG161" s="69"/>
      <c r="AH161" s="69"/>
      <c r="AI161" s="69"/>
      <c r="AJ161" s="69"/>
      <c r="AK161" s="69"/>
      <c r="AL161" s="69"/>
      <c r="AM161" s="69"/>
      <c r="AN161" s="69"/>
      <c r="AO161" s="69"/>
      <c r="AP161" s="69"/>
      <c r="AQ161" s="69"/>
      <c r="AR161" s="69"/>
      <c r="AS161" s="69"/>
      <c r="AT161" s="69"/>
      <c r="AU161" s="69"/>
      <c r="AV161" s="69"/>
      <c r="AW161" s="69"/>
      <c r="AX161" s="69"/>
      <c r="AY161" s="69"/>
      <c r="AZ161" s="69"/>
      <c r="BA161" s="69"/>
      <c r="BB161" s="69"/>
      <c r="BC161" s="294"/>
      <c r="BD161" s="294"/>
      <c r="BE161" s="294"/>
      <c r="BF161" s="294"/>
      <c r="BG161" s="294"/>
      <c r="BH161" s="294"/>
      <c r="BI161" s="294"/>
      <c r="BJ161" s="294"/>
      <c r="BK161" s="294"/>
      <c r="BL161" s="294"/>
      <c r="BM161" s="294"/>
      <c r="BN161" s="294"/>
      <c r="BO161" s="294"/>
      <c r="BP161" s="294"/>
      <c r="BQ161" s="294"/>
      <c r="BR161" s="294"/>
      <c r="BS161" s="297"/>
      <c r="BT161" s="297"/>
      <c r="BU161" s="297"/>
      <c r="BV161" s="288"/>
      <c r="BW161" s="288">
        <f>+BW155/BS155-1</f>
        <v>0.1085840699186833</v>
      </c>
      <c r="BX161" s="288">
        <f t="shared" ref="BX161:CD161" si="230">+BX155/BT155-1</f>
        <v>8.8601555601671489E-2</v>
      </c>
      <c r="BY161" s="288">
        <f t="shared" si="230"/>
        <v>5.1999458944598453E-2</v>
      </c>
      <c r="BZ161" s="288">
        <f t="shared" si="230"/>
        <v>2.8605724861240578E-2</v>
      </c>
      <c r="CA161" s="288">
        <f t="shared" si="230"/>
        <v>4.4056047609459581E-2</v>
      </c>
      <c r="CB161" s="288">
        <f t="shared" si="230"/>
        <v>7.5317170935422784E-3</v>
      </c>
      <c r="CC161" s="288">
        <f t="shared" si="230"/>
        <v>-3.1549435859890007E-4</v>
      </c>
      <c r="CD161" s="288">
        <f t="shared" si="230"/>
        <v>4.3546660961402139E-5</v>
      </c>
      <c r="CK161" s="289"/>
    </row>
    <row r="162" spans="1:89" s="7" customFormat="1">
      <c r="B162" s="287" t="s">
        <v>590</v>
      </c>
      <c r="I162" s="57"/>
      <c r="J162" s="57"/>
      <c r="K162" s="57"/>
      <c r="L162" s="57"/>
      <c r="M162" s="57"/>
      <c r="N162" s="57"/>
      <c r="O162" s="57"/>
      <c r="P162" s="57"/>
      <c r="Q162" s="57"/>
      <c r="R162" s="57"/>
      <c r="S162" s="57"/>
      <c r="T162" s="245"/>
      <c r="U162" s="294"/>
      <c r="V162" s="294"/>
      <c r="W162" s="294"/>
      <c r="X162" s="294"/>
      <c r="Y162" s="294"/>
      <c r="Z162" s="69"/>
      <c r="AA162" s="69"/>
      <c r="AB162" s="69"/>
      <c r="AC162" s="69"/>
      <c r="AD162" s="69"/>
      <c r="AE162" s="69"/>
      <c r="AF162" s="69"/>
      <c r="AG162" s="69"/>
      <c r="AH162" s="69"/>
      <c r="AI162" s="69"/>
      <c r="AJ162" s="69"/>
      <c r="AK162" s="69"/>
      <c r="AL162" s="69"/>
      <c r="AM162" s="69"/>
      <c r="AN162" s="69"/>
      <c r="AO162" s="69"/>
      <c r="AP162" s="69"/>
      <c r="AQ162" s="69"/>
      <c r="AR162" s="69"/>
      <c r="AS162" s="69"/>
      <c r="AT162" s="69"/>
      <c r="AU162" s="69"/>
      <c r="AV162" s="69"/>
      <c r="AW162" s="69"/>
      <c r="AX162" s="69"/>
      <c r="AY162" s="69"/>
      <c r="AZ162" s="69"/>
      <c r="BA162" s="69"/>
      <c r="BB162" s="69"/>
      <c r="BC162" s="294"/>
      <c r="BD162" s="294"/>
      <c r="BE162" s="294"/>
      <c r="BF162" s="294"/>
      <c r="BG162" s="294"/>
      <c r="BH162" s="294"/>
      <c r="BI162" s="294"/>
      <c r="BJ162" s="294"/>
      <c r="BK162" s="294"/>
      <c r="BL162" s="294"/>
      <c r="BM162" s="294"/>
      <c r="BN162" s="294"/>
      <c r="BO162" s="294"/>
      <c r="BP162" s="294"/>
      <c r="BQ162" s="294"/>
      <c r="BR162" s="294"/>
      <c r="BS162" s="297"/>
      <c r="BT162" s="288">
        <f t="shared" ref="BT162:CD162" si="231">+BT156/BS156-1</f>
        <v>1.1695906432748426E-2</v>
      </c>
      <c r="BU162" s="288">
        <f t="shared" si="231"/>
        <v>3.7572254335260125E-2</v>
      </c>
      <c r="BV162" s="288">
        <f t="shared" si="231"/>
        <v>1.9498607242339983E-2</v>
      </c>
      <c r="BW162" s="288">
        <f t="shared" si="231"/>
        <v>0</v>
      </c>
      <c r="BX162" s="288">
        <f t="shared" si="231"/>
        <v>2.1857923497267562E-2</v>
      </c>
      <c r="BY162" s="288">
        <f t="shared" si="231"/>
        <v>5.0802139037433136E-2</v>
      </c>
      <c r="BZ162" s="288">
        <f t="shared" si="231"/>
        <v>1.5267175572519109E-2</v>
      </c>
      <c r="CA162" s="288">
        <f t="shared" si="231"/>
        <v>0</v>
      </c>
      <c r="CB162" s="288">
        <f t="shared" si="231"/>
        <v>0</v>
      </c>
      <c r="CC162" s="288">
        <f t="shared" si="231"/>
        <v>0</v>
      </c>
      <c r="CD162" s="288">
        <f t="shared" si="231"/>
        <v>0</v>
      </c>
      <c r="CK162" s="289"/>
    </row>
    <row r="163" spans="1:89" s="7" customFormat="1" hidden="1" outlineLevel="1">
      <c r="B163" s="286"/>
      <c r="I163" s="57"/>
      <c r="J163" s="57"/>
      <c r="K163" s="57"/>
      <c r="L163" s="57"/>
      <c r="M163" s="57"/>
      <c r="N163" s="57"/>
      <c r="O163" s="57"/>
      <c r="P163" s="57"/>
      <c r="Q163" s="57"/>
      <c r="R163" s="57"/>
      <c r="S163" s="57"/>
      <c r="T163" s="245"/>
      <c r="U163" s="294"/>
      <c r="V163" s="294"/>
      <c r="W163" s="294"/>
      <c r="X163" s="294"/>
      <c r="Y163" s="294"/>
      <c r="Z163" s="69"/>
      <c r="AA163" s="69"/>
      <c r="AB163" s="69"/>
      <c r="AC163" s="69"/>
      <c r="AD163" s="69"/>
      <c r="AE163" s="69"/>
      <c r="AF163" s="69"/>
      <c r="AG163" s="69"/>
      <c r="AH163" s="69"/>
      <c r="AI163" s="69"/>
      <c r="AJ163" s="69"/>
      <c r="AK163" s="69"/>
      <c r="AL163" s="69"/>
      <c r="AM163" s="69"/>
      <c r="AN163" s="69"/>
      <c r="AO163" s="69"/>
      <c r="AP163" s="69"/>
      <c r="AQ163" s="69"/>
      <c r="AR163" s="69"/>
      <c r="AS163" s="69"/>
      <c r="AT163" s="69"/>
      <c r="AU163" s="69"/>
      <c r="AV163" s="69"/>
      <c r="AW163" s="69"/>
      <c r="AX163" s="69"/>
      <c r="AY163" s="69"/>
      <c r="AZ163" s="69"/>
      <c r="BA163" s="69"/>
      <c r="BB163" s="69"/>
      <c r="BC163" s="294"/>
      <c r="BD163" s="294"/>
      <c r="BE163" s="294"/>
      <c r="BF163" s="294"/>
      <c r="BG163" s="294"/>
      <c r="BH163" s="294"/>
      <c r="BI163" s="294"/>
      <c r="BJ163" s="294"/>
      <c r="BK163" s="294"/>
      <c r="BL163" s="294"/>
      <c r="BM163" s="294"/>
      <c r="BN163" s="294"/>
      <c r="BO163" s="294"/>
      <c r="BP163" s="294"/>
      <c r="BQ163" s="294"/>
      <c r="BR163" s="294"/>
      <c r="BS163" s="297"/>
      <c r="BT163" s="288"/>
      <c r="BU163" s="288"/>
      <c r="BV163" s="288"/>
      <c r="BW163" s="288"/>
      <c r="BX163" s="288"/>
      <c r="BY163" s="288"/>
      <c r="BZ163" s="288"/>
      <c r="CA163" s="288"/>
      <c r="CB163" s="288"/>
      <c r="CC163" s="288"/>
      <c r="CD163" s="288"/>
      <c r="CK163" s="289"/>
    </row>
    <row r="164" spans="1:89" s="75" customFormat="1" hidden="1" outlineLevel="1">
      <c r="B164" s="287" t="s">
        <v>593</v>
      </c>
      <c r="I164" s="331"/>
      <c r="J164" s="331"/>
      <c r="K164" s="331"/>
      <c r="L164" s="331"/>
      <c r="M164" s="331"/>
      <c r="N164" s="331"/>
      <c r="O164" s="331"/>
      <c r="P164" s="331"/>
      <c r="Q164" s="331"/>
      <c r="R164" s="331"/>
      <c r="S164" s="331"/>
      <c r="T164" s="333"/>
      <c r="U164" s="333"/>
      <c r="V164" s="333"/>
      <c r="W164" s="333"/>
      <c r="X164" s="333"/>
      <c r="Y164" s="333"/>
      <c r="Z164" s="331"/>
      <c r="AA164" s="331"/>
      <c r="AB164" s="331"/>
      <c r="AC164" s="331"/>
      <c r="AD164" s="331"/>
      <c r="AE164" s="331"/>
      <c r="AF164" s="331"/>
      <c r="AG164" s="331"/>
      <c r="AH164" s="331"/>
      <c r="AI164" s="331"/>
      <c r="AJ164" s="331"/>
      <c r="AK164" s="331"/>
      <c r="AL164" s="331"/>
      <c r="AM164" s="334"/>
      <c r="AN164" s="334"/>
      <c r="AO164" s="334"/>
      <c r="AP164" s="334"/>
      <c r="AQ164" s="334"/>
      <c r="AR164" s="334"/>
      <c r="AS164" s="334"/>
      <c r="AT164" s="334"/>
      <c r="AU164" s="334"/>
      <c r="AV164" s="334"/>
      <c r="AW164" s="334"/>
      <c r="AX164" s="334"/>
      <c r="AY164" s="334"/>
      <c r="AZ164" s="334"/>
      <c r="BA164" s="334"/>
      <c r="BB164" s="334"/>
      <c r="BC164" s="334"/>
      <c r="BD164" s="334"/>
      <c r="BE164" s="334"/>
      <c r="BF164" s="334"/>
      <c r="BG164" s="334"/>
      <c r="BH164" s="334"/>
      <c r="BI164" s="334"/>
      <c r="BJ164" s="334"/>
      <c r="BK164" s="334"/>
      <c r="BL164" s="334"/>
      <c r="BM164" s="334"/>
      <c r="BN164" s="334"/>
      <c r="BO164" s="334"/>
      <c r="BP164" s="335"/>
      <c r="BQ164" s="335"/>
      <c r="BR164" s="335"/>
      <c r="BS164" s="400" t="s">
        <v>511</v>
      </c>
      <c r="BT164" s="400" t="s">
        <v>514</v>
      </c>
      <c r="BU164" s="400" t="s">
        <v>514</v>
      </c>
      <c r="BV164" s="400" t="s">
        <v>514</v>
      </c>
      <c r="BW164" s="400" t="s">
        <v>511</v>
      </c>
      <c r="BX164" s="400" t="s">
        <v>514</v>
      </c>
      <c r="BY164" s="400" t="s">
        <v>513</v>
      </c>
      <c r="BZ164" s="400" t="s">
        <v>511</v>
      </c>
    </row>
    <row r="165" spans="1:89" s="75" customFormat="1" hidden="1" outlineLevel="1">
      <c r="B165" s="287" t="s">
        <v>592</v>
      </c>
      <c r="I165" s="331"/>
      <c r="J165" s="331"/>
      <c r="K165" s="331"/>
      <c r="L165" s="331"/>
      <c r="M165" s="331"/>
      <c r="N165" s="331"/>
      <c r="O165" s="331"/>
      <c r="P165" s="331"/>
      <c r="Q165" s="331"/>
      <c r="R165" s="331"/>
      <c r="S165" s="331"/>
      <c r="T165" s="333"/>
      <c r="U165" s="333"/>
      <c r="V165" s="333"/>
      <c r="W165" s="333"/>
      <c r="X165" s="333"/>
      <c r="Y165" s="333"/>
      <c r="Z165" s="331"/>
      <c r="AA165" s="331"/>
      <c r="AB165" s="331"/>
      <c r="AC165" s="331"/>
      <c r="AD165" s="331"/>
      <c r="AE165" s="331"/>
      <c r="AF165" s="331"/>
      <c r="AG165" s="331"/>
      <c r="AH165" s="331"/>
      <c r="AI165" s="331"/>
      <c r="AJ165" s="331"/>
      <c r="AK165" s="331"/>
      <c r="AL165" s="331"/>
      <c r="AM165" s="334"/>
      <c r="AN165" s="334"/>
      <c r="AO165" s="334"/>
      <c r="AP165" s="334"/>
      <c r="AQ165" s="334"/>
      <c r="AR165" s="334"/>
      <c r="AS165" s="334"/>
      <c r="AT165" s="334"/>
      <c r="AU165" s="334"/>
      <c r="AV165" s="334"/>
      <c r="AW165" s="334"/>
      <c r="AX165" s="334"/>
      <c r="AY165" s="334"/>
      <c r="AZ165" s="334"/>
      <c r="BA165" s="334"/>
      <c r="BB165" s="334"/>
      <c r="BC165" s="334"/>
      <c r="BD165" s="334"/>
      <c r="BE165" s="334"/>
      <c r="BF165" s="334"/>
      <c r="BG165" s="334"/>
      <c r="BH165" s="334"/>
      <c r="BI165" s="334"/>
      <c r="BJ165" s="334"/>
      <c r="BK165" s="334"/>
      <c r="BL165" s="334"/>
      <c r="BM165" s="334"/>
      <c r="BN165" s="334"/>
      <c r="BO165" s="334"/>
      <c r="BP165" s="335"/>
      <c r="BQ165" s="335"/>
      <c r="BR165" s="335"/>
      <c r="BS165" s="400" t="s">
        <v>514</v>
      </c>
      <c r="BT165" s="400" t="s">
        <v>514</v>
      </c>
      <c r="BU165" s="400" t="s">
        <v>514</v>
      </c>
      <c r="BV165" s="400" t="s">
        <v>515</v>
      </c>
      <c r="BW165" s="400" t="s">
        <v>514</v>
      </c>
      <c r="BX165" s="400" t="s">
        <v>513</v>
      </c>
      <c r="BY165" s="400" t="s">
        <v>513</v>
      </c>
      <c r="BZ165" s="400" t="s">
        <v>511</v>
      </c>
      <c r="CB165" s="400"/>
    </row>
    <row r="166" spans="1:89" s="7" customFormat="1" collapsed="1">
      <c r="B166" s="267"/>
      <c r="I166" s="57"/>
      <c r="J166" s="57"/>
      <c r="K166" s="57"/>
      <c r="L166" s="57"/>
      <c r="M166" s="57"/>
      <c r="N166" s="57"/>
      <c r="O166" s="57"/>
      <c r="P166" s="57"/>
      <c r="Q166" s="57"/>
      <c r="R166" s="57"/>
      <c r="S166" s="57"/>
      <c r="T166" s="245"/>
      <c r="U166" s="245"/>
      <c r="V166" s="245"/>
      <c r="W166" s="245"/>
      <c r="X166" s="245"/>
      <c r="Y166" s="245"/>
      <c r="Z166" s="57"/>
      <c r="AA166" s="57"/>
      <c r="AB166" s="57"/>
      <c r="AC166" s="57"/>
      <c r="AD166" s="57"/>
      <c r="AE166" s="57"/>
      <c r="AF166" s="57"/>
      <c r="AG166" s="57"/>
      <c r="AH166" s="57"/>
      <c r="AI166" s="57"/>
      <c r="AJ166" s="57"/>
      <c r="AK166" s="57"/>
      <c r="AL166" s="57"/>
      <c r="AM166" s="58"/>
      <c r="AN166" s="58"/>
      <c r="AO166" s="58"/>
      <c r="AP166" s="58"/>
      <c r="AQ166" s="58"/>
      <c r="AR166" s="58"/>
      <c r="AS166" s="58"/>
      <c r="AT166" s="58"/>
      <c r="AU166" s="58"/>
      <c r="AV166" s="58"/>
      <c r="AW166" s="58"/>
      <c r="AX166" s="58"/>
      <c r="AY166" s="58"/>
      <c r="AZ166" s="58"/>
      <c r="BA166" s="58"/>
      <c r="BB166" s="58"/>
      <c r="BC166" s="58"/>
      <c r="BD166" s="58"/>
      <c r="BE166" s="58"/>
      <c r="BF166" s="58"/>
      <c r="BG166" s="58"/>
      <c r="BH166" s="58"/>
      <c r="BI166" s="58"/>
      <c r="BJ166" s="58"/>
      <c r="BK166" s="58"/>
      <c r="BL166" s="58"/>
      <c r="BM166" s="58"/>
      <c r="BN166" s="58"/>
      <c r="BO166" s="58"/>
      <c r="BP166" s="65"/>
      <c r="BQ166" s="65"/>
      <c r="BR166" s="65"/>
      <c r="BS166" s="245"/>
      <c r="BT166" s="245"/>
      <c r="BU166" s="245"/>
      <c r="BV166" s="245"/>
      <c r="BW166" s="245"/>
      <c r="BX166" s="245"/>
      <c r="BY166" s="245"/>
      <c r="BZ166" s="245"/>
    </row>
    <row r="167" spans="1:89">
      <c r="A167" s="36"/>
      <c r="B167" s="149" t="s">
        <v>429</v>
      </c>
      <c r="V167" s="442"/>
      <c r="W167" s="442"/>
      <c r="X167" s="442"/>
      <c r="Y167" s="442"/>
      <c r="BW167" s="77"/>
      <c r="BX167" s="77"/>
      <c r="BY167" s="77"/>
      <c r="BZ167" s="77"/>
    </row>
    <row r="168" spans="1:89">
      <c r="B168" s="266" t="s">
        <v>430</v>
      </c>
      <c r="C168" s="18"/>
      <c r="D168" s="18"/>
      <c r="E168" s="18"/>
      <c r="F168" s="18"/>
      <c r="G168" s="18"/>
      <c r="H168" s="248"/>
      <c r="I168" s="248"/>
      <c r="J168" s="248"/>
      <c r="K168" s="248"/>
      <c r="L168" s="248"/>
      <c r="M168" s="248"/>
      <c r="N168" s="248"/>
      <c r="O168" s="248"/>
      <c r="P168" s="248"/>
      <c r="Q168" s="248"/>
      <c r="R168" s="248"/>
      <c r="S168" s="248"/>
      <c r="T168" s="408">
        <f t="shared" ref="T168:Y168" si="232">+T376</f>
        <v>328.16389583333336</v>
      </c>
      <c r="U168" s="408">
        <f t="shared" si="232"/>
        <v>356.86962499999998</v>
      </c>
      <c r="V168" s="408">
        <f t="shared" si="232"/>
        <v>366.51474999999999</v>
      </c>
      <c r="W168" s="408">
        <f t="shared" si="232"/>
        <v>366.51474999999999</v>
      </c>
      <c r="X168" s="408">
        <f t="shared" si="232"/>
        <v>366.51474999999999</v>
      </c>
      <c r="Y168" s="408">
        <f t="shared" si="232"/>
        <v>366.51474999999999</v>
      </c>
      <c r="Z168" s="416"/>
      <c r="AA168" s="416"/>
      <c r="AB168" s="416"/>
      <c r="AC168" s="416"/>
      <c r="AD168" s="416"/>
      <c r="AE168" s="416"/>
      <c r="AF168" s="416"/>
      <c r="AG168" s="416"/>
      <c r="AH168" s="416"/>
      <c r="AI168" s="416"/>
      <c r="AJ168" s="416"/>
      <c r="AK168" s="416"/>
      <c r="AL168" s="416"/>
      <c r="AM168" s="416"/>
      <c r="AN168" s="416"/>
      <c r="AO168" s="416"/>
      <c r="AP168" s="416"/>
      <c r="AQ168" s="416"/>
      <c r="AR168" s="416"/>
      <c r="AS168" s="416"/>
      <c r="AT168" s="416"/>
      <c r="AU168" s="416"/>
      <c r="AV168" s="416"/>
      <c r="AW168" s="416"/>
      <c r="AX168" s="416"/>
      <c r="AY168" s="416"/>
      <c r="AZ168" s="416"/>
      <c r="BA168" s="416"/>
      <c r="BB168" s="416"/>
      <c r="BC168" s="417"/>
      <c r="BD168" s="417"/>
      <c r="BE168" s="417"/>
      <c r="BF168" s="418"/>
      <c r="BG168" s="408">
        <f t="shared" ref="BG168:BY168" si="233">+BG377</f>
        <v>281.0865</v>
      </c>
      <c r="BH168" s="408">
        <f t="shared" si="233"/>
        <v>281.0865</v>
      </c>
      <c r="BI168" s="408">
        <f t="shared" si="233"/>
        <v>281.0865</v>
      </c>
      <c r="BJ168" s="408">
        <f t="shared" si="233"/>
        <v>270.06349999999998</v>
      </c>
      <c r="BK168" s="408">
        <f t="shared" si="233"/>
        <v>270.06349999999998</v>
      </c>
      <c r="BL168" s="408">
        <f t="shared" si="233"/>
        <v>256.28474999999997</v>
      </c>
      <c r="BM168" s="408">
        <f t="shared" si="233"/>
        <v>256.28474999999997</v>
      </c>
      <c r="BN168" s="408">
        <f t="shared" si="233"/>
        <v>256.28474999999997</v>
      </c>
      <c r="BO168" s="408">
        <f t="shared" si="233"/>
        <v>256.28474999999997</v>
      </c>
      <c r="BP168" s="408">
        <f t="shared" si="233"/>
        <v>276.49358333333333</v>
      </c>
      <c r="BQ168" s="408">
        <f t="shared" si="233"/>
        <v>298.53958333333327</v>
      </c>
      <c r="BR168" s="408">
        <f t="shared" si="233"/>
        <v>306.80683333333332</v>
      </c>
      <c r="BS168" s="408">
        <f t="shared" si="233"/>
        <v>314.15550000000002</v>
      </c>
      <c r="BT168" s="408">
        <f t="shared" si="233"/>
        <v>317.82983333333334</v>
      </c>
      <c r="BU168" s="408">
        <f t="shared" si="233"/>
        <v>329.77141666666665</v>
      </c>
      <c r="BV168" s="408">
        <f t="shared" si="233"/>
        <v>336.20150000000001</v>
      </c>
      <c r="BW168" s="408">
        <f t="shared" si="233"/>
        <v>336.20150000000001</v>
      </c>
      <c r="BX168" s="408">
        <f t="shared" si="233"/>
        <v>343.55016666666666</v>
      </c>
      <c r="BY168" s="408">
        <f t="shared" si="233"/>
        <v>361.00324999999998</v>
      </c>
      <c r="BZ168" s="408">
        <f>+BZ377</f>
        <v>366.51474999999999</v>
      </c>
      <c r="CA168" s="408">
        <f>+CA377</f>
        <v>366.51474999999999</v>
      </c>
      <c r="CB168" s="408">
        <f>+CB377</f>
        <v>366.51474999999999</v>
      </c>
      <c r="CC168" s="408">
        <f>+CC377</f>
        <v>366.51474999999999</v>
      </c>
      <c r="CD168" s="408">
        <f>+CD377</f>
        <v>366.51474999999999</v>
      </c>
    </row>
    <row r="169" spans="1:89">
      <c r="B169" s="240" t="s">
        <v>615</v>
      </c>
      <c r="C169" s="18"/>
      <c r="D169" s="18"/>
      <c r="E169" s="18"/>
      <c r="F169" s="18"/>
      <c r="G169" s="18"/>
      <c r="H169" s="248"/>
      <c r="I169" s="248"/>
      <c r="J169" s="248"/>
      <c r="K169" s="248"/>
      <c r="L169" s="248"/>
      <c r="M169" s="248"/>
      <c r="N169" s="248"/>
      <c r="O169" s="248"/>
      <c r="P169" s="248"/>
      <c r="Q169" s="248"/>
      <c r="R169" s="248"/>
      <c r="S169" s="248"/>
      <c r="T169" s="292">
        <f>+T170/T168-1</f>
        <v>-1.1196641007697683E-2</v>
      </c>
      <c r="U169" s="292">
        <f>+U170/U168-1</f>
        <v>-1.4157014157014203E-2</v>
      </c>
      <c r="V169" s="292">
        <f>+V170/V168-1</f>
        <v>0</v>
      </c>
      <c r="W169" s="291">
        <v>0</v>
      </c>
      <c r="X169" s="291">
        <v>0</v>
      </c>
      <c r="Y169" s="291">
        <v>0</v>
      </c>
      <c r="Z169" s="248"/>
      <c r="AA169" s="248"/>
      <c r="AB169" s="248"/>
      <c r="AC169" s="248"/>
      <c r="AD169" s="248"/>
      <c r="AE169" s="248"/>
      <c r="AF169" s="248"/>
      <c r="AG169" s="248"/>
      <c r="AH169" s="248"/>
      <c r="AI169" s="248"/>
      <c r="AJ169" s="248"/>
      <c r="AK169" s="248"/>
      <c r="AL169" s="248"/>
      <c r="AM169" s="248"/>
      <c r="AN169" s="248"/>
      <c r="AO169" s="248"/>
      <c r="AP169" s="248"/>
      <c r="AQ169" s="248"/>
      <c r="AR169" s="248"/>
      <c r="AS169" s="248"/>
      <c r="AT169" s="248"/>
      <c r="AU169" s="248"/>
      <c r="AV169" s="248"/>
      <c r="AW169" s="248"/>
      <c r="AX169" s="248"/>
      <c r="AY169" s="248"/>
      <c r="AZ169" s="248"/>
      <c r="BA169" s="248"/>
      <c r="BB169" s="248"/>
      <c r="BC169" s="249"/>
      <c r="BD169" s="249"/>
      <c r="BE169" s="249"/>
      <c r="BF169" s="250"/>
      <c r="BG169" s="249"/>
      <c r="BH169" s="249"/>
      <c r="BI169" s="249"/>
      <c r="BJ169" s="249"/>
      <c r="BK169" s="249"/>
      <c r="BL169" s="249"/>
      <c r="BM169" s="249"/>
      <c r="BN169" s="249"/>
      <c r="BO169" s="249"/>
      <c r="BP169" s="249"/>
      <c r="BQ169" s="249"/>
      <c r="BR169" s="249"/>
      <c r="BS169" s="291">
        <v>0</v>
      </c>
      <c r="BT169" s="291">
        <v>0</v>
      </c>
      <c r="BU169" s="291">
        <v>0</v>
      </c>
      <c r="BV169" s="291">
        <v>0</v>
      </c>
      <c r="BW169" s="291">
        <v>0</v>
      </c>
      <c r="BX169" s="291">
        <v>0</v>
      </c>
      <c r="BY169" s="291">
        <v>0</v>
      </c>
      <c r="BZ169" s="291">
        <v>0</v>
      </c>
      <c r="CA169" s="291">
        <v>0</v>
      </c>
      <c r="CB169" s="291">
        <v>0</v>
      </c>
      <c r="CC169" s="291">
        <v>0</v>
      </c>
      <c r="CD169" s="291">
        <v>0</v>
      </c>
    </row>
    <row r="170" spans="1:89">
      <c r="B170" s="244" t="s">
        <v>453</v>
      </c>
      <c r="C170" s="18"/>
      <c r="D170" s="18"/>
      <c r="E170" s="18"/>
      <c r="F170" s="18"/>
      <c r="G170" s="18"/>
      <c r="H170" s="248"/>
      <c r="I170" s="248"/>
      <c r="J170" s="248"/>
      <c r="K170" s="248"/>
      <c r="L170" s="248"/>
      <c r="M170" s="248"/>
      <c r="N170" s="248"/>
      <c r="O170" s="248"/>
      <c r="P170" s="248"/>
      <c r="Q170" s="248"/>
      <c r="R170" s="248"/>
      <c r="S170" s="248"/>
      <c r="T170" s="293">
        <f>T112/T136*1000</f>
        <v>324.48956250000003</v>
      </c>
      <c r="U170" s="293">
        <f>U112/U136*1000</f>
        <v>351.81741666666665</v>
      </c>
      <c r="V170" s="293">
        <f>V112/V136*1000</f>
        <v>366.51474999999999</v>
      </c>
      <c r="W170" s="293">
        <f>W168*(1+W169)</f>
        <v>366.51474999999999</v>
      </c>
      <c r="X170" s="293">
        <f>X168*(1+X169)</f>
        <v>366.51474999999999</v>
      </c>
      <c r="Y170" s="293">
        <f>Y168*(1+Y169)</f>
        <v>366.51474999999999</v>
      </c>
      <c r="Z170" s="248"/>
      <c r="AA170" s="248"/>
      <c r="AB170" s="248"/>
      <c r="AC170" s="248"/>
      <c r="AD170" s="248"/>
      <c r="AE170" s="248"/>
      <c r="AF170" s="248"/>
      <c r="AG170" s="248"/>
      <c r="AH170" s="248"/>
      <c r="AI170" s="248"/>
      <c r="AJ170" s="248"/>
      <c r="AK170" s="248"/>
      <c r="AL170" s="248"/>
      <c r="AM170" s="248"/>
      <c r="AN170" s="248"/>
      <c r="AO170" s="248"/>
      <c r="AP170" s="248"/>
      <c r="AQ170" s="248"/>
      <c r="AR170" s="248"/>
      <c r="AS170" s="248"/>
      <c r="AT170" s="248"/>
      <c r="AU170" s="248"/>
      <c r="AV170" s="248"/>
      <c r="AW170" s="248"/>
      <c r="AX170" s="248"/>
      <c r="AY170" s="248"/>
      <c r="AZ170" s="248"/>
      <c r="BA170" s="248"/>
      <c r="BB170" s="248"/>
      <c r="BC170" s="249"/>
      <c r="BD170" s="249"/>
      <c r="BE170" s="249"/>
      <c r="BF170" s="250"/>
      <c r="BG170" s="249"/>
      <c r="BH170" s="249"/>
      <c r="BI170" s="249"/>
      <c r="BJ170" s="249"/>
      <c r="BK170" s="249"/>
      <c r="BL170" s="249"/>
      <c r="BM170" s="249"/>
      <c r="BN170" s="249"/>
      <c r="BO170" s="249"/>
      <c r="BP170" s="249"/>
      <c r="BQ170" s="249"/>
      <c r="BR170" s="249"/>
      <c r="BS170" s="293">
        <f>BS168*(1+BS169)</f>
        <v>314.15550000000002</v>
      </c>
      <c r="BT170" s="293">
        <f t="shared" ref="BT170:BZ170" si="234">BT168*(1+BT169)</f>
        <v>317.82983333333334</v>
      </c>
      <c r="BU170" s="293">
        <f t="shared" si="234"/>
        <v>329.77141666666665</v>
      </c>
      <c r="BV170" s="293">
        <f t="shared" si="234"/>
        <v>336.20150000000001</v>
      </c>
      <c r="BW170" s="293">
        <f t="shared" si="234"/>
        <v>336.20150000000001</v>
      </c>
      <c r="BX170" s="293">
        <f t="shared" si="234"/>
        <v>343.55016666666666</v>
      </c>
      <c r="BY170" s="293">
        <f t="shared" si="234"/>
        <v>361.00324999999998</v>
      </c>
      <c r="BZ170" s="293">
        <f t="shared" si="234"/>
        <v>366.51474999999999</v>
      </c>
      <c r="CA170" s="293">
        <f>CA168*(1+CA169)</f>
        <v>366.51474999999999</v>
      </c>
      <c r="CB170" s="293">
        <f>CB168*(1+CB169)</f>
        <v>366.51474999999999</v>
      </c>
      <c r="CC170" s="293">
        <f>CC168*(1+CC169)</f>
        <v>366.51474999999999</v>
      </c>
      <c r="CD170" s="293">
        <f>CD168*(1+CD169)</f>
        <v>366.51474999999999</v>
      </c>
    </row>
    <row r="171" spans="1:89">
      <c r="B171" s="266"/>
      <c r="C171" s="18"/>
      <c r="D171" s="18"/>
      <c r="E171" s="18"/>
      <c r="F171" s="18"/>
      <c r="G171" s="18"/>
      <c r="H171" s="248"/>
      <c r="I171" s="248"/>
      <c r="J171" s="248"/>
      <c r="K171" s="248"/>
      <c r="L171" s="248"/>
      <c r="M171" s="248"/>
      <c r="N171" s="248"/>
      <c r="O171" s="248"/>
      <c r="P171" s="248"/>
      <c r="Q171" s="248"/>
      <c r="R171" s="248"/>
      <c r="S171" s="248"/>
      <c r="T171" s="79"/>
      <c r="Z171" s="248"/>
      <c r="AA171" s="248"/>
      <c r="AB171" s="248"/>
      <c r="AC171" s="248"/>
      <c r="AD171" s="248"/>
      <c r="AE171" s="248"/>
      <c r="AF171" s="248"/>
      <c r="AG171" s="248"/>
      <c r="AH171" s="248"/>
      <c r="AI171" s="248"/>
      <c r="AJ171" s="248"/>
      <c r="AK171" s="248"/>
      <c r="AL171" s="248"/>
      <c r="AM171" s="248"/>
      <c r="AN171" s="248"/>
      <c r="AO171" s="248"/>
      <c r="AP171" s="248"/>
      <c r="AQ171" s="248"/>
      <c r="AR171" s="248"/>
      <c r="AS171" s="248"/>
      <c r="AT171" s="248"/>
      <c r="AU171" s="248"/>
      <c r="AV171" s="248"/>
      <c r="AW171" s="248"/>
      <c r="AX171" s="248"/>
      <c r="AY171" s="248"/>
      <c r="AZ171" s="248"/>
      <c r="BA171" s="248"/>
      <c r="BB171" s="248"/>
      <c r="BC171" s="249"/>
      <c r="BD171" s="249"/>
      <c r="BE171" s="249"/>
      <c r="BF171" s="250"/>
      <c r="BG171" s="249"/>
      <c r="BH171" s="249"/>
      <c r="BI171" s="249"/>
      <c r="BJ171" s="249"/>
      <c r="BK171" s="249"/>
      <c r="BL171" s="249"/>
      <c r="BM171" s="249"/>
      <c r="BN171" s="249"/>
      <c r="BO171" s="249"/>
      <c r="BP171" s="249"/>
      <c r="BQ171" s="249"/>
      <c r="BR171" s="249"/>
      <c r="BS171" s="79"/>
      <c r="BT171" s="79"/>
      <c r="BU171" s="79"/>
      <c r="BV171" s="79"/>
      <c r="BW171" s="79"/>
      <c r="BX171" s="79"/>
      <c r="BY171" s="79"/>
      <c r="BZ171" s="79"/>
    </row>
    <row r="172" spans="1:89">
      <c r="B172" s="286" t="s">
        <v>432</v>
      </c>
      <c r="C172" s="18"/>
      <c r="D172" s="18"/>
      <c r="E172" s="18"/>
      <c r="F172" s="18"/>
      <c r="G172" s="18"/>
      <c r="H172" s="248"/>
      <c r="I172" s="248"/>
      <c r="J172" s="248"/>
      <c r="K172" s="248"/>
      <c r="L172" s="248"/>
      <c r="M172" s="248"/>
      <c r="N172" s="248"/>
      <c r="O172" s="248"/>
      <c r="P172" s="248"/>
      <c r="Q172" s="248"/>
      <c r="R172" s="248"/>
      <c r="S172" s="248"/>
      <c r="T172" s="79"/>
      <c r="U172" s="288">
        <f>+U170/T170-1</f>
        <v>8.4217975937721068E-2</v>
      </c>
      <c r="V172" s="288">
        <f>+V170/U170-1</f>
        <v>4.1775456919060039E-2</v>
      </c>
      <c r="W172" s="288">
        <f>+W170/V170-1</f>
        <v>0</v>
      </c>
      <c r="X172" s="288">
        <f>+X170/W170-1</f>
        <v>0</v>
      </c>
      <c r="Y172" s="288">
        <f>+Y170/X170-1</f>
        <v>0</v>
      </c>
      <c r="Z172" s="248"/>
      <c r="AA172" s="248"/>
      <c r="AB172" s="248"/>
      <c r="AC172" s="248"/>
      <c r="AD172" s="248"/>
      <c r="AE172" s="248"/>
      <c r="AF172" s="248"/>
      <c r="AG172" s="248"/>
      <c r="AH172" s="248"/>
      <c r="AI172" s="248"/>
      <c r="AJ172" s="248"/>
      <c r="AK172" s="248"/>
      <c r="AL172" s="248"/>
      <c r="AM172" s="248"/>
      <c r="AN172" s="248"/>
      <c r="AO172" s="248"/>
      <c r="AP172" s="248"/>
      <c r="AQ172" s="248"/>
      <c r="AR172" s="248"/>
      <c r="AS172" s="248"/>
      <c r="AT172" s="248"/>
      <c r="AU172" s="248"/>
      <c r="AV172" s="248"/>
      <c r="AW172" s="248"/>
      <c r="AX172" s="248"/>
      <c r="AY172" s="248"/>
      <c r="AZ172" s="248"/>
      <c r="BA172" s="248"/>
      <c r="BB172" s="248"/>
      <c r="BC172" s="249"/>
      <c r="BD172" s="249"/>
      <c r="BE172" s="249"/>
      <c r="BF172" s="250"/>
      <c r="BG172" s="249"/>
      <c r="BH172" s="249"/>
      <c r="BI172" s="249"/>
      <c r="BJ172" s="249"/>
      <c r="BK172" s="249"/>
      <c r="BL172" s="249"/>
      <c r="BM172" s="249"/>
      <c r="BN172" s="249"/>
      <c r="BO172" s="249"/>
      <c r="BP172" s="249"/>
      <c r="BQ172" s="249"/>
      <c r="BR172" s="249"/>
      <c r="BS172" s="79"/>
      <c r="BT172" s="79"/>
      <c r="BU172" s="79"/>
      <c r="BV172" s="79"/>
      <c r="BW172" s="288">
        <f t="shared" ref="BW172:CD172" si="235">+BW170/BS170-1</f>
        <v>7.0175438596491224E-2</v>
      </c>
      <c r="BX172" s="288">
        <f t="shared" si="235"/>
        <v>8.0924855491329328E-2</v>
      </c>
      <c r="BY172" s="288">
        <f t="shared" si="235"/>
        <v>9.4707520891364805E-2</v>
      </c>
      <c r="BZ172" s="288">
        <f t="shared" si="235"/>
        <v>9.0163934426229497E-2</v>
      </c>
      <c r="CA172" s="288">
        <f t="shared" si="235"/>
        <v>9.0163934426229497E-2</v>
      </c>
      <c r="CB172" s="288">
        <f t="shared" si="235"/>
        <v>6.6844919786096302E-2</v>
      </c>
      <c r="CC172" s="288">
        <f t="shared" si="235"/>
        <v>1.5267175572519109E-2</v>
      </c>
      <c r="CD172" s="288">
        <f t="shared" si="235"/>
        <v>0</v>
      </c>
    </row>
    <row r="173" spans="1:89">
      <c r="B173" s="286" t="s">
        <v>433</v>
      </c>
      <c r="C173" s="18"/>
      <c r="D173" s="18"/>
      <c r="E173" s="18"/>
      <c r="F173" s="18"/>
      <c r="G173" s="18"/>
      <c r="H173" s="248"/>
      <c r="I173" s="248"/>
      <c r="J173" s="248"/>
      <c r="K173" s="248"/>
      <c r="L173" s="248"/>
      <c r="M173" s="248"/>
      <c r="N173" s="248"/>
      <c r="O173" s="248"/>
      <c r="P173" s="248"/>
      <c r="Q173" s="248"/>
      <c r="R173" s="248"/>
      <c r="S173" s="248"/>
      <c r="T173" s="79"/>
      <c r="U173" s="79"/>
      <c r="V173" s="79"/>
      <c r="W173" s="79"/>
      <c r="X173" s="79"/>
      <c r="Y173" s="79"/>
      <c r="Z173" s="248"/>
      <c r="AA173" s="248"/>
      <c r="AB173" s="248"/>
      <c r="AC173" s="248"/>
      <c r="AD173" s="248"/>
      <c r="AE173" s="248"/>
      <c r="AF173" s="248"/>
      <c r="AG173" s="248"/>
      <c r="AH173" s="248"/>
      <c r="AI173" s="248"/>
      <c r="AJ173" s="248"/>
      <c r="AK173" s="248"/>
      <c r="AL173" s="248"/>
      <c r="AM173" s="248"/>
      <c r="AN173" s="248"/>
      <c r="AO173" s="248"/>
      <c r="AP173" s="248"/>
      <c r="AQ173" s="248"/>
      <c r="AR173" s="248"/>
      <c r="AS173" s="248"/>
      <c r="AT173" s="248"/>
      <c r="AU173" s="248"/>
      <c r="AV173" s="248"/>
      <c r="AW173" s="248"/>
      <c r="AX173" s="248"/>
      <c r="AY173" s="248"/>
      <c r="AZ173" s="248"/>
      <c r="BA173" s="248"/>
      <c r="BB173" s="248"/>
      <c r="BC173" s="249"/>
      <c r="BD173" s="249"/>
      <c r="BE173" s="249"/>
      <c r="BF173" s="250"/>
      <c r="BG173" s="249"/>
      <c r="BH173" s="249"/>
      <c r="BI173" s="249"/>
      <c r="BJ173" s="249"/>
      <c r="BK173" s="249"/>
      <c r="BL173" s="249"/>
      <c r="BM173" s="249"/>
      <c r="BN173" s="249"/>
      <c r="BO173" s="249"/>
      <c r="BP173" s="249"/>
      <c r="BQ173" s="249"/>
      <c r="BR173" s="249"/>
      <c r="BS173" s="79"/>
      <c r="BT173" s="290">
        <f t="shared" ref="BT173:CD173" si="236">+BT170/BS170-1</f>
        <v>1.1695906432748426E-2</v>
      </c>
      <c r="BU173" s="290">
        <f t="shared" si="236"/>
        <v>3.7572254335260125E-2</v>
      </c>
      <c r="BV173" s="290">
        <f t="shared" si="236"/>
        <v>1.9498607242339983E-2</v>
      </c>
      <c r="BW173" s="290">
        <f t="shared" si="236"/>
        <v>0</v>
      </c>
      <c r="BX173" s="290">
        <f t="shared" si="236"/>
        <v>2.1857923497267784E-2</v>
      </c>
      <c r="BY173" s="290">
        <f t="shared" si="236"/>
        <v>5.0802139037433136E-2</v>
      </c>
      <c r="BZ173" s="290">
        <f t="shared" si="236"/>
        <v>1.5267175572519109E-2</v>
      </c>
      <c r="CA173" s="290">
        <f t="shared" si="236"/>
        <v>0</v>
      </c>
      <c r="CB173" s="290">
        <f t="shared" si="236"/>
        <v>0</v>
      </c>
      <c r="CC173" s="290">
        <f t="shared" si="236"/>
        <v>0</v>
      </c>
      <c r="CD173" s="290">
        <f t="shared" si="236"/>
        <v>0</v>
      </c>
    </row>
    <row r="174" spans="1:89">
      <c r="B174" s="243"/>
      <c r="C174" s="18"/>
      <c r="D174" s="18"/>
      <c r="E174" s="18"/>
      <c r="F174" s="18"/>
      <c r="G174" s="18"/>
      <c r="H174" s="248"/>
      <c r="I174" s="248"/>
      <c r="J174" s="248"/>
      <c r="K174" s="248"/>
      <c r="L174" s="248"/>
      <c r="M174" s="248"/>
      <c r="N174" s="248"/>
      <c r="O174" s="248"/>
      <c r="P174" s="248"/>
      <c r="Q174" s="248"/>
      <c r="R174" s="248"/>
      <c r="S174" s="248"/>
      <c r="T174" s="79"/>
      <c r="U174" s="79"/>
      <c r="V174" s="79"/>
      <c r="W174" s="79"/>
      <c r="X174" s="79"/>
      <c r="Y174" s="79"/>
      <c r="Z174" s="248"/>
      <c r="AA174" s="248"/>
      <c r="AB174" s="248"/>
      <c r="AC174" s="248"/>
      <c r="AD174" s="248"/>
      <c r="AE174" s="248"/>
      <c r="AF174" s="248"/>
      <c r="AG174" s="248"/>
      <c r="AH174" s="248"/>
      <c r="AI174" s="248"/>
      <c r="AJ174" s="248"/>
      <c r="AK174" s="248"/>
      <c r="AL174" s="248"/>
      <c r="AM174" s="248"/>
      <c r="AN174" s="248"/>
      <c r="AO174" s="248"/>
      <c r="AP174" s="248"/>
      <c r="AQ174" s="248"/>
      <c r="AR174" s="248"/>
      <c r="AS174" s="248"/>
      <c r="AT174" s="248"/>
      <c r="AU174" s="248"/>
      <c r="AV174" s="248"/>
      <c r="AW174" s="248"/>
      <c r="AX174" s="248"/>
      <c r="AY174" s="248"/>
      <c r="AZ174" s="248"/>
      <c r="BA174" s="248"/>
      <c r="BB174" s="248"/>
      <c r="BC174" s="249"/>
      <c r="BD174" s="249"/>
      <c r="BE174" s="249"/>
      <c r="BF174" s="250"/>
      <c r="BG174" s="249"/>
      <c r="BH174" s="249"/>
      <c r="BI174" s="249"/>
      <c r="BJ174" s="249"/>
      <c r="BK174" s="249"/>
      <c r="BL174" s="249"/>
      <c r="BM174" s="249"/>
      <c r="BN174" s="249"/>
      <c r="BO174" s="249"/>
      <c r="BP174" s="249"/>
      <c r="BQ174" s="249"/>
      <c r="BR174" s="249"/>
      <c r="BS174" s="79"/>
      <c r="BT174" s="79"/>
      <c r="BU174" s="79"/>
      <c r="BV174" s="79"/>
      <c r="BW174" s="79"/>
      <c r="BX174" s="79"/>
      <c r="BY174" s="79"/>
      <c r="BZ174" s="79"/>
    </row>
    <row r="175" spans="1:89">
      <c r="B175" s="149" t="s">
        <v>428</v>
      </c>
      <c r="H175" s="69"/>
      <c r="I175" s="69"/>
      <c r="J175" s="69"/>
      <c r="K175" s="69"/>
      <c r="L175" s="69"/>
      <c r="M175" s="69"/>
      <c r="N175" s="69"/>
      <c r="O175" s="69"/>
      <c r="P175" s="69"/>
      <c r="Q175" s="69"/>
      <c r="R175" s="69"/>
      <c r="S175" s="69"/>
      <c r="T175" s="69"/>
      <c r="U175" s="69"/>
      <c r="V175" s="69"/>
      <c r="W175" s="69"/>
      <c r="X175" s="69"/>
      <c r="Y175" s="69"/>
      <c r="Z175" s="69"/>
      <c r="AA175" s="69"/>
      <c r="AB175" s="69"/>
      <c r="AC175" s="69"/>
      <c r="AD175" s="69"/>
      <c r="AE175" s="69"/>
      <c r="AF175" s="69"/>
      <c r="AG175" s="69"/>
      <c r="AH175" s="69"/>
      <c r="AI175" s="69"/>
      <c r="AJ175" s="69"/>
      <c r="AK175" s="69"/>
      <c r="AL175" s="69"/>
      <c r="AM175" s="69"/>
      <c r="AN175" s="69"/>
      <c r="AO175" s="69"/>
      <c r="AP175" s="69"/>
      <c r="AQ175" s="69"/>
      <c r="AR175" s="69"/>
      <c r="AS175" s="69"/>
      <c r="AT175" s="69"/>
      <c r="AU175" s="69"/>
      <c r="AV175" s="69"/>
      <c r="AW175" s="69"/>
      <c r="AX175" s="69"/>
      <c r="AY175" s="69"/>
      <c r="AZ175" s="69"/>
      <c r="BA175" s="69"/>
      <c r="BB175" s="69"/>
      <c r="BC175" s="69"/>
      <c r="BD175" s="69"/>
      <c r="BE175" s="69"/>
      <c r="BF175" s="69"/>
      <c r="BG175" s="69"/>
      <c r="BH175" s="69"/>
      <c r="BI175" s="69"/>
      <c r="BJ175" s="69"/>
      <c r="BK175" s="69"/>
      <c r="BL175" s="69"/>
      <c r="BM175" s="69"/>
      <c r="BN175" s="69"/>
      <c r="BO175" s="69"/>
      <c r="BP175" s="69"/>
      <c r="BQ175" s="69"/>
      <c r="BR175" s="69"/>
      <c r="BS175" s="69"/>
      <c r="BT175" s="69"/>
      <c r="BU175" s="69"/>
      <c r="BV175" s="69"/>
      <c r="BW175" s="69"/>
      <c r="BX175" s="69"/>
      <c r="BY175" s="69"/>
      <c r="BZ175" s="69"/>
    </row>
    <row r="176" spans="1:89">
      <c r="B176" s="5" t="s">
        <v>420</v>
      </c>
      <c r="H176" s="69"/>
      <c r="I176" s="69"/>
      <c r="J176" s="69"/>
      <c r="K176" s="69"/>
      <c r="L176" s="69"/>
      <c r="M176" s="69"/>
      <c r="N176" s="69"/>
      <c r="O176" s="69"/>
      <c r="P176" s="69"/>
      <c r="Q176" s="69"/>
      <c r="R176" s="69"/>
      <c r="S176" s="69"/>
      <c r="T176" s="419">
        <f t="shared" ref="T176:Y176" si="237">T467</f>
        <v>1045</v>
      </c>
      <c r="U176" s="419">
        <f t="shared" si="237"/>
        <v>1045</v>
      </c>
      <c r="V176" s="419">
        <f t="shared" si="237"/>
        <v>1045</v>
      </c>
      <c r="W176" s="419">
        <f t="shared" si="237"/>
        <v>1045</v>
      </c>
      <c r="X176" s="419">
        <f t="shared" si="237"/>
        <v>1045</v>
      </c>
      <c r="Y176" s="419">
        <f t="shared" si="237"/>
        <v>1045</v>
      </c>
      <c r="Z176" s="69"/>
      <c r="AA176" s="69"/>
      <c r="AB176" s="69"/>
      <c r="AC176" s="69"/>
      <c r="AD176" s="69"/>
      <c r="AE176" s="69"/>
      <c r="AF176" s="69"/>
      <c r="AG176" s="69"/>
      <c r="AH176" s="69"/>
      <c r="AI176" s="69"/>
      <c r="AJ176" s="69"/>
      <c r="AK176" s="69"/>
      <c r="AL176" s="69"/>
      <c r="AM176" s="69"/>
      <c r="AN176" s="69"/>
      <c r="AO176" s="69"/>
      <c r="AP176" s="69"/>
      <c r="AQ176" s="69"/>
      <c r="AR176" s="69"/>
      <c r="AS176" s="69"/>
      <c r="AT176" s="69"/>
      <c r="AU176" s="69"/>
      <c r="AV176" s="69"/>
      <c r="AW176" s="69"/>
      <c r="AX176" s="69"/>
      <c r="AY176" s="69"/>
      <c r="AZ176" s="69"/>
      <c r="BA176" s="69"/>
      <c r="BB176" s="69"/>
      <c r="BC176" s="69"/>
      <c r="BD176" s="69"/>
      <c r="BE176" s="69"/>
      <c r="BF176" s="69"/>
      <c r="BG176" s="69"/>
      <c r="BH176" s="69"/>
      <c r="BI176" s="69"/>
      <c r="BJ176" s="69"/>
      <c r="BK176" s="69"/>
      <c r="BL176" s="69"/>
      <c r="BM176" s="69"/>
      <c r="BN176" s="69"/>
      <c r="BO176" s="69"/>
      <c r="BP176" s="69"/>
      <c r="BQ176" s="69"/>
      <c r="BR176" s="69"/>
      <c r="BS176" s="419">
        <f>BS467</f>
        <v>261.25</v>
      </c>
      <c r="BT176" s="419">
        <f t="shared" ref="BT176:BZ176" si="238">BT467</f>
        <v>261.25</v>
      </c>
      <c r="BU176" s="419">
        <f t="shared" si="238"/>
        <v>261.25</v>
      </c>
      <c r="BV176" s="419">
        <f t="shared" si="238"/>
        <v>261.25</v>
      </c>
      <c r="BW176" s="419">
        <f t="shared" si="238"/>
        <v>261.25</v>
      </c>
      <c r="BX176" s="419">
        <f>BX467</f>
        <v>261.25</v>
      </c>
      <c r="BY176" s="419">
        <f t="shared" si="238"/>
        <v>261.25</v>
      </c>
      <c r="BZ176" s="419">
        <f t="shared" si="238"/>
        <v>261.25</v>
      </c>
      <c r="CA176" s="419">
        <f>CA467</f>
        <v>261.25</v>
      </c>
      <c r="CB176" s="419">
        <f>CB467</f>
        <v>261.25</v>
      </c>
      <c r="CC176" s="419">
        <f>CC467</f>
        <v>261.25</v>
      </c>
      <c r="CD176" s="419">
        <f>CD467</f>
        <v>261.25</v>
      </c>
      <c r="CE176" s="5" t="s">
        <v>419</v>
      </c>
    </row>
    <row r="177" spans="1:83">
      <c r="B177" s="238" t="s">
        <v>415</v>
      </c>
      <c r="H177" s="69"/>
      <c r="I177" s="69"/>
      <c r="J177" s="69"/>
      <c r="K177" s="69"/>
      <c r="L177" s="69"/>
      <c r="M177" s="69"/>
      <c r="N177" s="69"/>
      <c r="O177" s="69"/>
      <c r="P177" s="69"/>
      <c r="Q177" s="69"/>
      <c r="R177" s="69"/>
      <c r="S177" s="69"/>
      <c r="T177" s="276">
        <f>+T178/T176</f>
        <v>0.95</v>
      </c>
      <c r="U177" s="276">
        <f>+U178/U176</f>
        <v>0.95</v>
      </c>
      <c r="V177" s="276">
        <f>+V178/V176</f>
        <v>0.95</v>
      </c>
      <c r="W177" s="402">
        <f>+V177</f>
        <v>0.95</v>
      </c>
      <c r="X177" s="402">
        <f>+W177</f>
        <v>0.95</v>
      </c>
      <c r="Y177" s="402">
        <f>+X177</f>
        <v>0.95</v>
      </c>
      <c r="Z177" s="48"/>
      <c r="AA177" s="48"/>
      <c r="AB177" s="48"/>
      <c r="AC177" s="48"/>
      <c r="AD177" s="48"/>
      <c r="AE177" s="48"/>
      <c r="AF177" s="48"/>
      <c r="AG177" s="48"/>
      <c r="AH177" s="48"/>
      <c r="AI177" s="48"/>
      <c r="AJ177" s="48"/>
      <c r="AK177" s="48"/>
      <c r="AL177" s="48"/>
      <c r="AM177" s="48"/>
      <c r="AN177" s="48"/>
      <c r="AO177" s="48"/>
      <c r="AP177" s="48"/>
      <c r="AQ177" s="48"/>
      <c r="AR177" s="48"/>
      <c r="AS177" s="48"/>
      <c r="AT177" s="48"/>
      <c r="AU177" s="48"/>
      <c r="AV177" s="48"/>
      <c r="AW177" s="48"/>
      <c r="AX177" s="48"/>
      <c r="AY177" s="48"/>
      <c r="AZ177" s="48"/>
      <c r="BA177" s="48"/>
      <c r="BB177" s="48"/>
      <c r="BC177" s="48"/>
      <c r="BD177" s="48"/>
      <c r="BE177" s="48"/>
      <c r="BF177" s="48"/>
      <c r="BG177" s="48"/>
      <c r="BH177" s="48"/>
      <c r="BI177" s="48"/>
      <c r="BJ177" s="48"/>
      <c r="BK177" s="48"/>
      <c r="BL177" s="48"/>
      <c r="BM177" s="48"/>
      <c r="BN177" s="48"/>
      <c r="BO177" s="48"/>
      <c r="BP177" s="48"/>
      <c r="BQ177" s="48"/>
      <c r="BR177" s="48"/>
      <c r="BS177" s="467">
        <v>0.95</v>
      </c>
      <c r="BT177" s="402">
        <f>+BS177</f>
        <v>0.95</v>
      </c>
      <c r="BU177" s="402">
        <f t="shared" ref="BU177:BZ177" si="239">+BT177</f>
        <v>0.95</v>
      </c>
      <c r="BV177" s="402">
        <f t="shared" si="239"/>
        <v>0.95</v>
      </c>
      <c r="BW177" s="402">
        <f t="shared" si="239"/>
        <v>0.95</v>
      </c>
      <c r="BX177" s="402">
        <f>+BW177</f>
        <v>0.95</v>
      </c>
      <c r="BY177" s="402">
        <f>+BX177</f>
        <v>0.95</v>
      </c>
      <c r="BZ177" s="402">
        <f t="shared" si="239"/>
        <v>0.95</v>
      </c>
      <c r="CA177" s="402">
        <f>+BZ177</f>
        <v>0.95</v>
      </c>
      <c r="CB177" s="402">
        <f>+CA177</f>
        <v>0.95</v>
      </c>
      <c r="CC177" s="402">
        <f>+CB177</f>
        <v>0.95</v>
      </c>
      <c r="CD177" s="402">
        <f>+CC177</f>
        <v>0.95</v>
      </c>
      <c r="CE177" s="5" t="s">
        <v>581</v>
      </c>
    </row>
    <row r="178" spans="1:83">
      <c r="B178" s="18" t="s">
        <v>421</v>
      </c>
      <c r="H178" s="69"/>
      <c r="I178" s="69"/>
      <c r="J178" s="69"/>
      <c r="K178" s="69"/>
      <c r="L178" s="69"/>
      <c r="M178" s="69"/>
      <c r="N178" s="69"/>
      <c r="O178" s="69"/>
      <c r="P178" s="69"/>
      <c r="Q178" s="69"/>
      <c r="R178" s="69"/>
      <c r="S178" s="69"/>
      <c r="T178" s="274">
        <f>+SUM(BS178:BV178)</f>
        <v>992.75</v>
      </c>
      <c r="U178" s="274">
        <f>SUM(BW178:BZ178)</f>
        <v>992.75</v>
      </c>
      <c r="V178" s="274">
        <f>SUM(CA178:CD178)</f>
        <v>992.75</v>
      </c>
      <c r="W178" s="274">
        <f>+W176*W177</f>
        <v>992.75</v>
      </c>
      <c r="X178" s="274">
        <f>+X176*X177</f>
        <v>992.75</v>
      </c>
      <c r="Y178" s="274">
        <f>+Y176*Y177</f>
        <v>992.75</v>
      </c>
      <c r="Z178" s="57"/>
      <c r="AA178" s="57"/>
      <c r="AB178" s="57"/>
      <c r="AC178" s="57"/>
      <c r="AD178" s="57"/>
      <c r="AE178" s="57"/>
      <c r="AF178" s="57"/>
      <c r="AG178" s="57"/>
      <c r="AH178" s="57"/>
      <c r="AI178" s="57"/>
      <c r="AJ178" s="57"/>
      <c r="AK178" s="57"/>
      <c r="AL178" s="57"/>
      <c r="AM178" s="58"/>
      <c r="AN178" s="58"/>
      <c r="AO178" s="58"/>
      <c r="AP178" s="58"/>
      <c r="AQ178" s="58"/>
      <c r="AR178" s="58"/>
      <c r="AS178" s="58"/>
      <c r="AT178" s="58"/>
      <c r="AU178" s="58"/>
      <c r="AV178" s="58"/>
      <c r="AW178" s="58"/>
      <c r="AX178" s="58"/>
      <c r="AY178" s="58"/>
      <c r="AZ178" s="58"/>
      <c r="BA178" s="58"/>
      <c r="BB178" s="58"/>
      <c r="BC178" s="58"/>
      <c r="BD178" s="58"/>
      <c r="BE178" s="58"/>
      <c r="BF178" s="58"/>
      <c r="BG178" s="58"/>
      <c r="BH178" s="58"/>
      <c r="BI178" s="58"/>
      <c r="BJ178" s="58"/>
      <c r="BK178" s="58"/>
      <c r="BL178" s="58"/>
      <c r="BM178" s="58"/>
      <c r="BN178" s="58"/>
      <c r="BO178" s="58"/>
      <c r="BP178" s="65"/>
      <c r="BQ178" s="65"/>
      <c r="BR178" s="65"/>
      <c r="BS178" s="274">
        <f>+BS176*BS177</f>
        <v>248.1875</v>
      </c>
      <c r="BT178" s="274">
        <f t="shared" ref="BT178:BZ178" si="240">+BT176*BT177</f>
        <v>248.1875</v>
      </c>
      <c r="BU178" s="274">
        <f t="shared" si="240"/>
        <v>248.1875</v>
      </c>
      <c r="BV178" s="274">
        <f t="shared" si="240"/>
        <v>248.1875</v>
      </c>
      <c r="BW178" s="274">
        <f t="shared" si="240"/>
        <v>248.1875</v>
      </c>
      <c r="BX178" s="274">
        <f t="shared" si="240"/>
        <v>248.1875</v>
      </c>
      <c r="BY178" s="274">
        <f t="shared" si="240"/>
        <v>248.1875</v>
      </c>
      <c r="BZ178" s="274">
        <f t="shared" si="240"/>
        <v>248.1875</v>
      </c>
      <c r="CA178" s="274">
        <f>+CA176*CA177</f>
        <v>248.1875</v>
      </c>
      <c r="CB178" s="274">
        <f>+CB176*CB177</f>
        <v>248.1875</v>
      </c>
      <c r="CC178" s="274">
        <f>+CC176*CC177</f>
        <v>248.1875</v>
      </c>
      <c r="CD178" s="274">
        <f>+CD176*CD177</f>
        <v>248.1875</v>
      </c>
    </row>
    <row r="179" spans="1:83">
      <c r="U179" s="69"/>
      <c r="V179" s="69"/>
      <c r="W179" s="69"/>
      <c r="X179" s="69"/>
      <c r="Y179" s="69"/>
      <c r="Z179" s="69"/>
      <c r="AA179" s="69"/>
      <c r="AB179" s="69"/>
      <c r="AC179" s="69"/>
      <c r="AD179" s="69"/>
      <c r="AE179" s="69"/>
      <c r="AF179" s="69"/>
      <c r="AG179" s="69"/>
      <c r="AH179" s="69"/>
      <c r="AI179" s="69"/>
      <c r="AJ179" s="69"/>
      <c r="AK179" s="69"/>
      <c r="AL179" s="69"/>
      <c r="AM179" s="69"/>
      <c r="AN179" s="69"/>
      <c r="AO179" s="69"/>
      <c r="AP179" s="69"/>
      <c r="AQ179" s="69"/>
      <c r="AR179" s="69"/>
      <c r="AS179" s="69"/>
      <c r="AT179" s="69"/>
      <c r="AU179" s="69"/>
      <c r="AV179" s="69"/>
      <c r="AW179" s="69"/>
      <c r="AX179" s="69"/>
      <c r="AY179" s="69"/>
      <c r="AZ179" s="69"/>
      <c r="BA179" s="69"/>
      <c r="BB179" s="69"/>
      <c r="BC179" s="69"/>
      <c r="BD179" s="69"/>
      <c r="BE179" s="69"/>
      <c r="BF179" s="69"/>
      <c r="BG179" s="69"/>
      <c r="BH179" s="69"/>
      <c r="BI179" s="69"/>
      <c r="BJ179" s="69"/>
      <c r="BK179" s="69"/>
      <c r="BL179" s="69"/>
      <c r="BM179" s="69"/>
      <c r="BN179" s="69"/>
      <c r="BO179" s="69"/>
      <c r="BP179" s="69"/>
      <c r="BQ179" s="69"/>
      <c r="BR179" s="69"/>
      <c r="BS179" s="69"/>
      <c r="BT179" s="69"/>
      <c r="BU179" s="69"/>
      <c r="BV179" s="69"/>
      <c r="BW179" s="69"/>
      <c r="BX179" s="69"/>
      <c r="BY179" s="69"/>
      <c r="BZ179" s="69"/>
    </row>
    <row r="180" spans="1:83">
      <c r="A180" s="34"/>
      <c r="B180" s="5" t="s">
        <v>424</v>
      </c>
      <c r="C180" s="242"/>
      <c r="D180" s="242"/>
      <c r="E180" s="242"/>
      <c r="F180" s="242"/>
      <c r="H180" s="242"/>
      <c r="I180" s="242"/>
      <c r="J180" s="242"/>
      <c r="K180" s="242"/>
      <c r="L180" s="242"/>
      <c r="M180" s="242"/>
      <c r="N180" s="242"/>
      <c r="O180" s="242"/>
      <c r="P180" s="242"/>
      <c r="Q180" s="242"/>
      <c r="R180" s="242"/>
      <c r="S180" s="242"/>
      <c r="T180" s="408">
        <f t="shared" ref="T180:Y180" si="241">+T61</f>
        <v>124.72085836350819</v>
      </c>
      <c r="U180" s="408">
        <f t="shared" si="241"/>
        <v>131.91937753116892</v>
      </c>
      <c r="V180" s="408">
        <f t="shared" si="241"/>
        <v>133.3420250762521</v>
      </c>
      <c r="W180" s="408">
        <f t="shared" si="241"/>
        <v>132.33499202220997</v>
      </c>
      <c r="X180" s="408">
        <f t="shared" si="241"/>
        <v>140.35637322312525</v>
      </c>
      <c r="Y180" s="408">
        <f t="shared" si="241"/>
        <v>141.9566646431941</v>
      </c>
      <c r="Z180" s="420"/>
      <c r="AA180" s="420"/>
      <c r="AB180" s="420"/>
      <c r="AC180" s="420"/>
      <c r="AD180" s="420"/>
      <c r="AE180" s="420"/>
      <c r="AF180" s="420"/>
      <c r="AG180" s="420"/>
      <c r="AH180" s="420"/>
      <c r="AI180" s="420"/>
      <c r="AJ180" s="420"/>
      <c r="AK180" s="420"/>
      <c r="AL180" s="420"/>
      <c r="AM180" s="420"/>
      <c r="AN180" s="420"/>
      <c r="AO180" s="420"/>
      <c r="AP180" s="420"/>
      <c r="AQ180" s="420"/>
      <c r="AR180" s="420"/>
      <c r="AS180" s="420"/>
      <c r="AT180" s="420"/>
      <c r="AU180" s="420"/>
      <c r="AV180" s="420"/>
      <c r="AW180" s="420"/>
      <c r="AX180" s="420"/>
      <c r="AY180" s="420"/>
      <c r="AZ180" s="420"/>
      <c r="BA180" s="420"/>
      <c r="BB180" s="420"/>
      <c r="BC180" s="420"/>
      <c r="BD180" s="420"/>
      <c r="BE180" s="420"/>
      <c r="BF180" s="420"/>
      <c r="BG180" s="408"/>
      <c r="BH180" s="408"/>
      <c r="BI180" s="408"/>
      <c r="BJ180" s="408"/>
      <c r="BK180" s="408"/>
      <c r="BL180" s="408"/>
      <c r="BM180" s="408"/>
      <c r="BN180" s="408"/>
      <c r="BO180" s="408"/>
      <c r="BP180" s="408"/>
      <c r="BQ180" s="408"/>
      <c r="BR180" s="408"/>
      <c r="BS180" s="408">
        <f t="shared" ref="BS180:CD180" si="242">+BS61</f>
        <v>121.31408375396825</v>
      </c>
      <c r="BT180" s="408">
        <f t="shared" si="242"/>
        <v>120.09236671428569</v>
      </c>
      <c r="BU180" s="408">
        <f t="shared" si="242"/>
        <v>126.74115795238095</v>
      </c>
      <c r="BV180" s="408">
        <f t="shared" si="242"/>
        <v>131.02963287301588</v>
      </c>
      <c r="BW180" s="408">
        <f t="shared" si="242"/>
        <v>134.43880076190473</v>
      </c>
      <c r="BX180" s="408">
        <f t="shared" si="242"/>
        <v>133.03590499999999</v>
      </c>
      <c r="BY180" s="408">
        <f t="shared" si="242"/>
        <v>129.88936461111109</v>
      </c>
      <c r="BZ180" s="408">
        <f t="shared" si="242"/>
        <v>130.250061515873</v>
      </c>
      <c r="CA180" s="408">
        <f t="shared" si="242"/>
        <v>135.04882757936508</v>
      </c>
      <c r="CB180" s="408">
        <f t="shared" si="242"/>
        <v>131.36539514285712</v>
      </c>
      <c r="CC180" s="408">
        <f t="shared" si="242"/>
        <v>132.24303590476188</v>
      </c>
      <c r="CD180" s="408">
        <f t="shared" si="242"/>
        <v>134.82276844444442</v>
      </c>
    </row>
    <row r="181" spans="1:83">
      <c r="B181" s="238" t="s">
        <v>383</v>
      </c>
      <c r="E181" s="69"/>
      <c r="F181" s="69"/>
      <c r="G181" s="69"/>
      <c r="H181" s="69"/>
      <c r="I181" s="69"/>
      <c r="J181" s="69"/>
      <c r="K181" s="69"/>
      <c r="L181" s="69"/>
      <c r="M181" s="69"/>
      <c r="N181" s="69"/>
      <c r="O181" s="69"/>
      <c r="P181" s="69"/>
      <c r="Q181" s="69"/>
      <c r="R181" s="69"/>
      <c r="S181" s="69"/>
      <c r="T181" s="276">
        <f>+T182/T180-1</f>
        <v>0.20070671700822085</v>
      </c>
      <c r="U181" s="276">
        <f>+U182/U180-1</f>
        <v>0.19985587052416487</v>
      </c>
      <c r="V181" s="276">
        <f>+V182/V180-1</f>
        <v>0.20025181880886267</v>
      </c>
      <c r="W181" s="402">
        <f>+V181</f>
        <v>0.20025181880886267</v>
      </c>
      <c r="X181" s="402">
        <f>+W181</f>
        <v>0.20025181880886267</v>
      </c>
      <c r="Y181" s="402">
        <f>+X181</f>
        <v>0.20025181880886267</v>
      </c>
      <c r="Z181" s="48"/>
      <c r="AA181" s="48"/>
      <c r="AB181" s="48"/>
      <c r="AC181" s="48"/>
      <c r="AD181" s="48"/>
      <c r="AE181" s="48"/>
      <c r="AF181" s="48"/>
      <c r="AG181" s="48"/>
      <c r="AH181" s="48"/>
      <c r="AI181" s="48"/>
      <c r="AJ181" s="48"/>
      <c r="AK181" s="48"/>
      <c r="AL181" s="48"/>
      <c r="AM181" s="48"/>
      <c r="AN181" s="48"/>
      <c r="AO181" s="48"/>
      <c r="AP181" s="48"/>
      <c r="AQ181" s="48"/>
      <c r="AR181" s="48"/>
      <c r="AS181" s="48"/>
      <c r="AT181" s="48"/>
      <c r="AU181" s="48"/>
      <c r="AV181" s="48"/>
      <c r="AW181" s="48"/>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261">
        <v>0.2</v>
      </c>
      <c r="BT181" s="402">
        <f>+BS181</f>
        <v>0.2</v>
      </c>
      <c r="BU181" s="402">
        <f t="shared" ref="BU181:BZ181" si="243">+BT181</f>
        <v>0.2</v>
      </c>
      <c r="BV181" s="402">
        <f t="shared" si="243"/>
        <v>0.2</v>
      </c>
      <c r="BW181" s="402">
        <f t="shared" si="243"/>
        <v>0.2</v>
      </c>
      <c r="BX181" s="402">
        <f>+BW181</f>
        <v>0.2</v>
      </c>
      <c r="BY181" s="402">
        <f>+BX181</f>
        <v>0.2</v>
      </c>
      <c r="BZ181" s="402">
        <f t="shared" si="243"/>
        <v>0.2</v>
      </c>
      <c r="CA181" s="402">
        <f>+BZ181</f>
        <v>0.2</v>
      </c>
      <c r="CB181" s="402">
        <f>+CA181</f>
        <v>0.2</v>
      </c>
      <c r="CC181" s="402">
        <f>+CB181</f>
        <v>0.2</v>
      </c>
      <c r="CD181" s="402">
        <f>+CC181</f>
        <v>0.2</v>
      </c>
      <c r="CE181" s="5" t="s">
        <v>425</v>
      </c>
    </row>
    <row r="182" spans="1:83">
      <c r="B182" s="244" t="s">
        <v>454</v>
      </c>
      <c r="H182" s="69"/>
      <c r="I182" s="69"/>
      <c r="J182" s="69"/>
      <c r="K182" s="69"/>
      <c r="L182" s="69"/>
      <c r="M182" s="69"/>
      <c r="N182" s="69"/>
      <c r="O182" s="69"/>
      <c r="P182" s="69"/>
      <c r="Q182" s="69"/>
      <c r="R182" s="69"/>
      <c r="S182" s="69"/>
      <c r="T182" s="277">
        <f>+T113/T137*1000</f>
        <v>149.75317238809521</v>
      </c>
      <c r="U182" s="277">
        <f>+U113/U137*1000</f>
        <v>158.28423956666663</v>
      </c>
      <c r="V182" s="277">
        <f>+V113/V137*1000</f>
        <v>160.04400812142856</v>
      </c>
      <c r="W182" s="277">
        <f>+W180*(1+W181)</f>
        <v>158.83531486671384</v>
      </c>
      <c r="X182" s="277">
        <f>+X180*(1+X181)</f>
        <v>168.46299224247161</v>
      </c>
      <c r="Y182" s="277">
        <f>+Y180*(1+Y181)</f>
        <v>170.38374493003349</v>
      </c>
      <c r="Z182" s="69"/>
      <c r="AA182" s="69"/>
      <c r="AB182" s="69"/>
      <c r="AC182" s="69"/>
      <c r="AD182" s="69"/>
      <c r="AE182" s="69"/>
      <c r="AF182" s="69"/>
      <c r="AG182" s="69"/>
      <c r="AH182" s="69"/>
      <c r="AI182" s="69"/>
      <c r="AJ182" s="69"/>
      <c r="AK182" s="69"/>
      <c r="AL182" s="69"/>
      <c r="AM182" s="69"/>
      <c r="AN182" s="69"/>
      <c r="AO182" s="69"/>
      <c r="AP182" s="69"/>
      <c r="AQ182" s="69"/>
      <c r="AR182" s="69"/>
      <c r="AS182" s="69"/>
      <c r="AT182" s="69"/>
      <c r="AU182" s="69"/>
      <c r="AV182" s="69"/>
      <c r="AW182" s="69"/>
      <c r="AX182" s="69"/>
      <c r="AY182" s="69"/>
      <c r="AZ182" s="69"/>
      <c r="BA182" s="69"/>
      <c r="BB182" s="69"/>
      <c r="BC182" s="79"/>
      <c r="BD182" s="79"/>
      <c r="BE182" s="79"/>
      <c r="BF182" s="79"/>
      <c r="BG182" s="79"/>
      <c r="BH182" s="79"/>
      <c r="BI182" s="79"/>
      <c r="BJ182" s="79"/>
      <c r="BK182" s="79"/>
      <c r="BL182" s="79"/>
      <c r="BM182" s="79"/>
      <c r="BN182" s="79"/>
      <c r="BO182" s="79"/>
      <c r="BP182" s="79"/>
      <c r="BQ182" s="79"/>
      <c r="BR182" s="79"/>
      <c r="BS182" s="277">
        <f t="shared" ref="BS182:BZ182" si="244">+BS180*(1+BS181)</f>
        <v>145.57690050476188</v>
      </c>
      <c r="BT182" s="277">
        <f t="shared" si="244"/>
        <v>144.11084005714281</v>
      </c>
      <c r="BU182" s="277">
        <f t="shared" si="244"/>
        <v>152.08938954285713</v>
      </c>
      <c r="BV182" s="277">
        <f t="shared" si="244"/>
        <v>157.23555944761907</v>
      </c>
      <c r="BW182" s="277">
        <f t="shared" si="244"/>
        <v>161.32656091428566</v>
      </c>
      <c r="BX182" s="277">
        <f t="shared" si="244"/>
        <v>159.64308599999998</v>
      </c>
      <c r="BY182" s="277">
        <f t="shared" si="244"/>
        <v>155.86723753333331</v>
      </c>
      <c r="BZ182" s="277">
        <f t="shared" si="244"/>
        <v>156.30007381904758</v>
      </c>
      <c r="CA182" s="277">
        <f>+CA180*(1+CA181)</f>
        <v>162.05859309523808</v>
      </c>
      <c r="CB182" s="277">
        <f>+CB180*(1+CB181)</f>
        <v>157.63847417142856</v>
      </c>
      <c r="CC182" s="277">
        <f>+CC180*(1+CC181)</f>
        <v>158.69164308571425</v>
      </c>
      <c r="CD182" s="277">
        <f>+CD180*(1+CD181)</f>
        <v>161.7873221333333</v>
      </c>
    </row>
    <row r="183" spans="1:83">
      <c r="B183" s="54"/>
      <c r="H183" s="69"/>
      <c r="I183" s="69"/>
      <c r="J183" s="69"/>
      <c r="K183" s="69"/>
      <c r="L183" s="69"/>
      <c r="M183" s="69"/>
      <c r="N183" s="69"/>
      <c r="O183" s="69"/>
      <c r="P183" s="69"/>
      <c r="Q183" s="69"/>
      <c r="R183" s="69"/>
      <c r="S183" s="69"/>
      <c r="T183" s="69"/>
      <c r="U183" s="69"/>
      <c r="V183" s="69"/>
      <c r="W183" s="69"/>
      <c r="X183" s="69"/>
      <c r="Y183" s="69"/>
      <c r="Z183" s="69"/>
      <c r="AA183" s="69"/>
      <c r="AB183" s="69"/>
      <c r="AC183" s="69"/>
      <c r="AD183" s="69"/>
      <c r="AE183" s="69"/>
      <c r="AF183" s="69"/>
      <c r="AG183" s="69"/>
      <c r="AH183" s="69"/>
      <c r="AI183" s="69"/>
      <c r="AJ183" s="69"/>
      <c r="AK183" s="69"/>
      <c r="AL183" s="69"/>
      <c r="AM183" s="69"/>
      <c r="AN183" s="69"/>
      <c r="AO183" s="69"/>
      <c r="AP183" s="69"/>
      <c r="AQ183" s="69"/>
      <c r="AR183" s="69"/>
      <c r="AS183" s="69"/>
      <c r="AT183" s="69"/>
      <c r="AU183" s="69"/>
      <c r="AV183" s="69"/>
      <c r="AW183" s="69"/>
      <c r="AX183" s="69"/>
      <c r="AY183" s="69"/>
      <c r="AZ183" s="69"/>
      <c r="BA183" s="69"/>
      <c r="BB183" s="69"/>
      <c r="BC183" s="69"/>
      <c r="BD183" s="69"/>
      <c r="BE183" s="69"/>
      <c r="BF183" s="69"/>
      <c r="BG183" s="69"/>
      <c r="BH183" s="69"/>
      <c r="BI183" s="69"/>
      <c r="BJ183" s="69"/>
      <c r="BK183" s="69"/>
      <c r="BL183" s="69"/>
      <c r="BM183" s="69"/>
      <c r="BN183" s="69"/>
      <c r="BO183" s="69"/>
      <c r="BP183" s="69"/>
      <c r="BQ183" s="69"/>
      <c r="BR183" s="69"/>
      <c r="BS183" s="69"/>
      <c r="BT183" s="69"/>
      <c r="BU183" s="69"/>
      <c r="BV183" s="69"/>
      <c r="BW183" s="69"/>
      <c r="BX183" s="17"/>
      <c r="BY183" s="69"/>
      <c r="BZ183" s="69"/>
    </row>
    <row r="184" spans="1:83">
      <c r="B184" s="149" t="s">
        <v>608</v>
      </c>
      <c r="H184" s="69"/>
      <c r="I184" s="69"/>
      <c r="J184" s="69"/>
      <c r="K184" s="69"/>
      <c r="L184" s="69"/>
      <c r="M184" s="69"/>
      <c r="N184" s="69"/>
      <c r="O184" s="69"/>
      <c r="P184" s="69"/>
      <c r="Q184" s="69"/>
      <c r="R184" s="69"/>
      <c r="S184" s="69"/>
      <c r="T184" s="69"/>
      <c r="U184" s="69"/>
      <c r="V184" s="69"/>
      <c r="W184" s="69"/>
      <c r="X184" s="69"/>
      <c r="Y184" s="69"/>
      <c r="Z184" s="69"/>
      <c r="AA184" s="69"/>
      <c r="AB184" s="69"/>
      <c r="AC184" s="69"/>
      <c r="AD184" s="69"/>
      <c r="AE184" s="69"/>
      <c r="AF184" s="69"/>
      <c r="AG184" s="69"/>
      <c r="AH184" s="69"/>
      <c r="AI184" s="69"/>
      <c r="AJ184" s="69"/>
      <c r="AK184" s="69"/>
      <c r="AL184" s="69"/>
      <c r="AM184" s="69"/>
      <c r="AN184" s="69"/>
      <c r="AO184" s="69"/>
      <c r="AP184" s="69"/>
      <c r="AQ184" s="69"/>
      <c r="AR184" s="69"/>
      <c r="AS184" s="69"/>
      <c r="AT184" s="69"/>
      <c r="AU184" s="69"/>
      <c r="AV184" s="69"/>
      <c r="AW184" s="69"/>
      <c r="AX184" s="69"/>
      <c r="AY184" s="69"/>
      <c r="AZ184" s="69"/>
      <c r="BA184" s="69"/>
      <c r="BB184" s="69"/>
      <c r="BC184" s="69"/>
      <c r="BD184" s="69"/>
      <c r="BE184" s="69"/>
      <c r="BF184" s="69"/>
      <c r="BG184" s="69"/>
      <c r="BH184" s="69"/>
      <c r="BI184" s="69"/>
      <c r="BJ184" s="69"/>
      <c r="BK184" s="69"/>
      <c r="BL184" s="69"/>
      <c r="BM184" s="69"/>
      <c r="BN184" s="69"/>
      <c r="BO184" s="69"/>
      <c r="BP184" s="69"/>
      <c r="BQ184" s="69"/>
      <c r="BR184" s="69"/>
      <c r="BS184" s="69"/>
      <c r="BT184" s="69"/>
      <c r="BU184" s="69"/>
      <c r="BV184" s="69"/>
      <c r="BW184" s="69"/>
      <c r="BX184" s="17"/>
      <c r="BY184" s="69"/>
      <c r="BZ184" s="69"/>
    </row>
    <row r="185" spans="1:83">
      <c r="B185" s="34" t="s">
        <v>583</v>
      </c>
      <c r="H185" s="69"/>
      <c r="I185" s="69"/>
      <c r="J185" s="69"/>
      <c r="K185" s="69"/>
      <c r="L185" s="69"/>
      <c r="M185" s="69"/>
      <c r="N185" s="69"/>
      <c r="O185" s="69"/>
      <c r="P185" s="69"/>
      <c r="Q185" s="69"/>
      <c r="R185" s="69"/>
      <c r="S185" s="69"/>
      <c r="T185" s="412">
        <f t="shared" ref="T185:Y185" si="245">T461</f>
        <v>482</v>
      </c>
      <c r="U185" s="412">
        <f t="shared" si="245"/>
        <v>482</v>
      </c>
      <c r="V185" s="412">
        <f t="shared" si="245"/>
        <v>482</v>
      </c>
      <c r="W185" s="412">
        <f t="shared" si="245"/>
        <v>482</v>
      </c>
      <c r="X185" s="412">
        <f t="shared" si="245"/>
        <v>482</v>
      </c>
      <c r="Y185" s="412">
        <f t="shared" si="245"/>
        <v>482</v>
      </c>
      <c r="Z185" s="348"/>
      <c r="AA185" s="348"/>
      <c r="AB185" s="348"/>
      <c r="AC185" s="348"/>
      <c r="AD185" s="348"/>
      <c r="AE185" s="348"/>
      <c r="AF185" s="348"/>
      <c r="AG185" s="348"/>
      <c r="AH185" s="348"/>
      <c r="AI185" s="348"/>
      <c r="AJ185" s="348"/>
      <c r="AK185" s="348"/>
      <c r="AL185" s="348"/>
      <c r="AM185" s="348"/>
      <c r="AN185" s="348"/>
      <c r="AO185" s="348"/>
      <c r="AP185" s="348"/>
      <c r="AQ185" s="348"/>
      <c r="AR185" s="348"/>
      <c r="AS185" s="348"/>
      <c r="AT185" s="348"/>
      <c r="AU185" s="348"/>
      <c r="AV185" s="348"/>
      <c r="AW185" s="348"/>
      <c r="AX185" s="348"/>
      <c r="AY185" s="348"/>
      <c r="AZ185" s="348"/>
      <c r="BA185" s="348"/>
      <c r="BB185" s="348"/>
      <c r="BC185" s="403"/>
      <c r="BD185" s="403"/>
      <c r="BE185" s="403"/>
      <c r="BF185" s="403"/>
      <c r="BG185" s="403"/>
      <c r="BH185" s="403"/>
      <c r="BI185" s="403"/>
      <c r="BJ185" s="403"/>
      <c r="BK185" s="403"/>
      <c r="BL185" s="403"/>
      <c r="BM185" s="403"/>
      <c r="BN185" s="403"/>
      <c r="BO185" s="403"/>
      <c r="BP185" s="403"/>
      <c r="BQ185" s="403"/>
      <c r="BR185" s="403"/>
      <c r="BS185" s="412">
        <f t="shared" ref="BS185:BZ185" si="246">BS461</f>
        <v>120.5</v>
      </c>
      <c r="BT185" s="412">
        <f t="shared" si="246"/>
        <v>120.5</v>
      </c>
      <c r="BU185" s="412">
        <f t="shared" si="246"/>
        <v>120.5</v>
      </c>
      <c r="BV185" s="412">
        <f t="shared" si="246"/>
        <v>120.5</v>
      </c>
      <c r="BW185" s="412">
        <f t="shared" si="246"/>
        <v>120.5</v>
      </c>
      <c r="BX185" s="412">
        <f t="shared" si="246"/>
        <v>120.5</v>
      </c>
      <c r="BY185" s="412">
        <f t="shared" si="246"/>
        <v>120.5</v>
      </c>
      <c r="BZ185" s="412">
        <f t="shared" si="246"/>
        <v>120.5</v>
      </c>
      <c r="CA185" s="412">
        <f>CA461</f>
        <v>120.5</v>
      </c>
      <c r="CB185" s="412">
        <f>CB461</f>
        <v>120.5</v>
      </c>
      <c r="CC185" s="412">
        <f>CC461</f>
        <v>120.5</v>
      </c>
      <c r="CD185" s="412">
        <f>CD461</f>
        <v>120.5</v>
      </c>
    </row>
    <row r="186" spans="1:83">
      <c r="B186" s="5" t="s">
        <v>584</v>
      </c>
      <c r="H186" s="69"/>
      <c r="I186" s="69"/>
      <c r="J186" s="69"/>
      <c r="K186" s="69"/>
      <c r="L186" s="69"/>
      <c r="M186" s="69"/>
      <c r="N186" s="69"/>
      <c r="O186" s="69"/>
      <c r="P186" s="69"/>
      <c r="Q186" s="69"/>
      <c r="R186" s="69"/>
      <c r="S186" s="69"/>
      <c r="T186" s="411">
        <f>+T187/T185</f>
        <v>0.8</v>
      </c>
      <c r="U186" s="411">
        <f>+U187/U185</f>
        <v>0.8</v>
      </c>
      <c r="V186" s="411">
        <f>+V187/V185</f>
        <v>0.8</v>
      </c>
      <c r="W186" s="174">
        <f>+V186</f>
        <v>0.8</v>
      </c>
      <c r="X186" s="174">
        <f>+W186</f>
        <v>0.8</v>
      </c>
      <c r="Y186" s="174">
        <f>+X186</f>
        <v>0.8</v>
      </c>
      <c r="Z186" s="48"/>
      <c r="AA186" s="48"/>
      <c r="AB186" s="48"/>
      <c r="AC186" s="48"/>
      <c r="AD186" s="48"/>
      <c r="AE186" s="48"/>
      <c r="AF186" s="48"/>
      <c r="AG186" s="48"/>
      <c r="AH186" s="48"/>
      <c r="AI186" s="48"/>
      <c r="AJ186" s="48"/>
      <c r="AK186" s="48"/>
      <c r="AL186" s="48"/>
      <c r="AM186" s="48"/>
      <c r="AN186" s="48"/>
      <c r="AO186" s="48"/>
      <c r="AP186" s="48"/>
      <c r="AQ186" s="48"/>
      <c r="AR186" s="48"/>
      <c r="AS186" s="48"/>
      <c r="AT186" s="48"/>
      <c r="AU186" s="48"/>
      <c r="AV186" s="48"/>
      <c r="AW186" s="48"/>
      <c r="AX186" s="48"/>
      <c r="AY186" s="48"/>
      <c r="AZ186" s="48"/>
      <c r="BA186" s="48"/>
      <c r="BB186" s="48"/>
      <c r="BC186" s="439"/>
      <c r="BD186" s="439"/>
      <c r="BE186" s="439"/>
      <c r="BF186" s="439"/>
      <c r="BG186" s="439"/>
      <c r="BH186" s="439"/>
      <c r="BI186" s="439"/>
      <c r="BJ186" s="439"/>
      <c r="BK186" s="439"/>
      <c r="BL186" s="439"/>
      <c r="BM186" s="439"/>
      <c r="BN186" s="439"/>
      <c r="BO186" s="439"/>
      <c r="BP186" s="439"/>
      <c r="BQ186" s="439"/>
      <c r="BR186" s="439"/>
      <c r="BS186" s="174">
        <v>0.8</v>
      </c>
      <c r="BT186" s="174">
        <v>0.8</v>
      </c>
      <c r="BU186" s="174">
        <v>0.8</v>
      </c>
      <c r="BV186" s="174">
        <v>0.8</v>
      </c>
      <c r="BW186" s="174">
        <v>0.8</v>
      </c>
      <c r="BX186" s="174">
        <v>0.8</v>
      </c>
      <c r="BY186" s="174">
        <v>0.8</v>
      </c>
      <c r="BZ186" s="174">
        <v>0.8</v>
      </c>
      <c r="CA186" s="174">
        <v>0.8</v>
      </c>
      <c r="CB186" s="174">
        <v>0.8</v>
      </c>
      <c r="CC186" s="174">
        <v>0.8</v>
      </c>
      <c r="CD186" s="174">
        <v>0.8</v>
      </c>
    </row>
    <row r="187" spans="1:83">
      <c r="A187" s="36"/>
      <c r="B187" s="18" t="s">
        <v>585</v>
      </c>
      <c r="T187" s="306">
        <f>SUM(BS187:BV187)</f>
        <v>385.6</v>
      </c>
      <c r="U187" s="306">
        <f>SUM(BW187:BZ187)</f>
        <v>385.6</v>
      </c>
      <c r="V187" s="306">
        <f>SUM(CA187:CD187)</f>
        <v>385.6</v>
      </c>
      <c r="W187" s="306">
        <f>+W185*W186</f>
        <v>385.6</v>
      </c>
      <c r="X187" s="306">
        <f>+X185*X186</f>
        <v>385.6</v>
      </c>
      <c r="Y187" s="306">
        <f>+Y185*Y186</f>
        <v>385.6</v>
      </c>
      <c r="BS187" s="306">
        <f t="shared" ref="BS187:BZ187" si="247">BS185*BS186</f>
        <v>96.4</v>
      </c>
      <c r="BT187" s="306">
        <f t="shared" si="247"/>
        <v>96.4</v>
      </c>
      <c r="BU187" s="306">
        <f t="shared" si="247"/>
        <v>96.4</v>
      </c>
      <c r="BV187" s="306">
        <f t="shared" si="247"/>
        <v>96.4</v>
      </c>
      <c r="BW187" s="306">
        <f t="shared" si="247"/>
        <v>96.4</v>
      </c>
      <c r="BX187" s="306">
        <f t="shared" si="247"/>
        <v>96.4</v>
      </c>
      <c r="BY187" s="306">
        <f t="shared" si="247"/>
        <v>96.4</v>
      </c>
      <c r="BZ187" s="306">
        <f t="shared" si="247"/>
        <v>96.4</v>
      </c>
      <c r="CA187" s="306">
        <f>CA185*CA186</f>
        <v>96.4</v>
      </c>
      <c r="CB187" s="306">
        <f>CB185*CB186</f>
        <v>96.4</v>
      </c>
      <c r="CC187" s="306">
        <f>CC185*CC186</f>
        <v>96.4</v>
      </c>
      <c r="CD187" s="306">
        <f>CD185*CD186</f>
        <v>96.4</v>
      </c>
    </row>
    <row r="188" spans="1:83">
      <c r="B188" s="54"/>
      <c r="H188" s="69"/>
      <c r="I188" s="69"/>
      <c r="J188" s="69"/>
      <c r="K188" s="69"/>
      <c r="L188" s="69"/>
      <c r="M188" s="69"/>
      <c r="N188" s="69"/>
      <c r="O188" s="69"/>
      <c r="P188" s="69"/>
      <c r="Q188" s="69"/>
      <c r="R188" s="69"/>
      <c r="S188" s="69"/>
      <c r="T188" s="69"/>
      <c r="U188" s="69"/>
      <c r="V188" s="69"/>
      <c r="W188" s="69"/>
      <c r="X188" s="69"/>
      <c r="Y188" s="69"/>
      <c r="Z188" s="69"/>
      <c r="AA188" s="69"/>
      <c r="AB188" s="69"/>
      <c r="AC188" s="69"/>
      <c r="AD188" s="69"/>
      <c r="AE188" s="69"/>
      <c r="AF188" s="69"/>
      <c r="AG188" s="69"/>
      <c r="AH188" s="69"/>
      <c r="AI188" s="69"/>
      <c r="AJ188" s="69"/>
      <c r="AK188" s="69"/>
      <c r="AL188" s="69"/>
      <c r="AM188" s="69"/>
      <c r="AN188" s="69"/>
      <c r="AO188" s="69"/>
      <c r="AP188" s="69"/>
      <c r="AQ188" s="69"/>
      <c r="AR188" s="69"/>
      <c r="AS188" s="69"/>
      <c r="AT188" s="69"/>
      <c r="AU188" s="69"/>
      <c r="AV188" s="69"/>
      <c r="AW188" s="69"/>
      <c r="AX188" s="69"/>
      <c r="AY188" s="69"/>
      <c r="AZ188" s="69"/>
      <c r="BA188" s="69"/>
      <c r="BB188" s="69"/>
      <c r="BC188" s="69"/>
      <c r="BD188" s="69"/>
      <c r="BE188" s="69"/>
      <c r="BF188" s="69"/>
      <c r="BG188" s="69"/>
      <c r="BH188" s="69"/>
      <c r="BI188" s="69"/>
      <c r="BJ188" s="69"/>
      <c r="BK188" s="69"/>
      <c r="BL188" s="69"/>
      <c r="BM188" s="69"/>
      <c r="BN188" s="69"/>
      <c r="BO188" s="69"/>
      <c r="BP188" s="69"/>
      <c r="BQ188" s="69"/>
      <c r="BR188" s="69"/>
      <c r="BS188" s="69"/>
      <c r="BT188" s="69"/>
      <c r="BU188" s="69"/>
      <c r="BV188" s="69"/>
      <c r="BW188" s="69"/>
      <c r="BX188" s="17"/>
      <c r="BY188" s="69"/>
      <c r="BZ188" s="69"/>
    </row>
    <row r="189" spans="1:83">
      <c r="B189" s="5" t="s">
        <v>424</v>
      </c>
      <c r="C189" s="242"/>
      <c r="D189" s="242"/>
      <c r="E189" s="242"/>
      <c r="F189" s="242"/>
      <c r="H189" s="242"/>
      <c r="I189" s="242"/>
      <c r="J189" s="242"/>
      <c r="K189" s="242"/>
      <c r="L189" s="242"/>
      <c r="M189" s="242"/>
      <c r="N189" s="242"/>
      <c r="O189" s="242"/>
      <c r="P189" s="242"/>
      <c r="Q189" s="242"/>
      <c r="R189" s="242"/>
      <c r="S189" s="242"/>
      <c r="T189" s="408">
        <f t="shared" ref="T189:Y189" si="248">+T61</f>
        <v>124.72085836350819</v>
      </c>
      <c r="U189" s="408">
        <f t="shared" si="248"/>
        <v>131.91937753116892</v>
      </c>
      <c r="V189" s="408">
        <f t="shared" si="248"/>
        <v>133.3420250762521</v>
      </c>
      <c r="W189" s="408">
        <f t="shared" si="248"/>
        <v>132.33499202220997</v>
      </c>
      <c r="X189" s="408">
        <f t="shared" si="248"/>
        <v>140.35637322312525</v>
      </c>
      <c r="Y189" s="408">
        <f t="shared" si="248"/>
        <v>141.9566646431941</v>
      </c>
      <c r="Z189" s="420"/>
      <c r="AA189" s="420"/>
      <c r="AB189" s="420"/>
      <c r="AC189" s="420"/>
      <c r="AD189" s="420"/>
      <c r="AE189" s="420"/>
      <c r="AF189" s="420"/>
      <c r="AG189" s="420"/>
      <c r="AH189" s="420"/>
      <c r="AI189" s="420"/>
      <c r="AJ189" s="420"/>
      <c r="AK189" s="420"/>
      <c r="AL189" s="420"/>
      <c r="AM189" s="420"/>
      <c r="AN189" s="420"/>
      <c r="AO189" s="420"/>
      <c r="AP189" s="420"/>
      <c r="AQ189" s="420"/>
      <c r="AR189" s="420"/>
      <c r="AS189" s="420"/>
      <c r="AT189" s="420"/>
      <c r="AU189" s="420"/>
      <c r="AV189" s="420"/>
      <c r="AW189" s="420"/>
      <c r="AX189" s="420"/>
      <c r="AY189" s="420"/>
      <c r="AZ189" s="420"/>
      <c r="BA189" s="420"/>
      <c r="BB189" s="420"/>
      <c r="BC189" s="420"/>
      <c r="BD189" s="420"/>
      <c r="BE189" s="420"/>
      <c r="BF189" s="420"/>
      <c r="BG189" s="408"/>
      <c r="BH189" s="408"/>
      <c r="BI189" s="408"/>
      <c r="BJ189" s="408"/>
      <c r="BK189" s="408"/>
      <c r="BL189" s="408"/>
      <c r="BM189" s="408"/>
      <c r="BN189" s="408"/>
      <c r="BO189" s="408"/>
      <c r="BP189" s="408"/>
      <c r="BQ189" s="408"/>
      <c r="BR189" s="408"/>
      <c r="BS189" s="408">
        <f t="shared" ref="BS189:CD189" si="249">+BS61</f>
        <v>121.31408375396825</v>
      </c>
      <c r="BT189" s="408">
        <f t="shared" si="249"/>
        <v>120.09236671428569</v>
      </c>
      <c r="BU189" s="408">
        <f t="shared" si="249"/>
        <v>126.74115795238095</v>
      </c>
      <c r="BV189" s="408">
        <f t="shared" si="249"/>
        <v>131.02963287301588</v>
      </c>
      <c r="BW189" s="408">
        <f t="shared" si="249"/>
        <v>134.43880076190473</v>
      </c>
      <c r="BX189" s="408">
        <f t="shared" si="249"/>
        <v>133.03590499999999</v>
      </c>
      <c r="BY189" s="408">
        <f t="shared" si="249"/>
        <v>129.88936461111109</v>
      </c>
      <c r="BZ189" s="408">
        <f t="shared" si="249"/>
        <v>130.250061515873</v>
      </c>
      <c r="CA189" s="408">
        <f t="shared" si="249"/>
        <v>135.04882757936508</v>
      </c>
      <c r="CB189" s="408">
        <f t="shared" si="249"/>
        <v>131.36539514285712</v>
      </c>
      <c r="CC189" s="408">
        <f t="shared" si="249"/>
        <v>132.24303590476188</v>
      </c>
      <c r="CD189" s="408">
        <f t="shared" si="249"/>
        <v>134.82276844444442</v>
      </c>
    </row>
    <row r="190" spans="1:83">
      <c r="B190" s="238" t="s">
        <v>383</v>
      </c>
      <c r="E190" s="69"/>
      <c r="F190" s="69"/>
      <c r="G190" s="69"/>
      <c r="H190" s="69"/>
      <c r="I190" s="69"/>
      <c r="J190" s="69"/>
      <c r="K190" s="69"/>
      <c r="L190" s="69"/>
      <c r="M190" s="69"/>
      <c r="N190" s="69"/>
      <c r="O190" s="69"/>
      <c r="P190" s="69"/>
      <c r="Q190" s="69"/>
      <c r="R190" s="69"/>
      <c r="S190" s="69"/>
      <c r="T190" s="276">
        <f>+T191/T189-1</f>
        <v>5.8893084018407649E-4</v>
      </c>
      <c r="U190" s="276">
        <f>+U191/U189-1</f>
        <v>-1.2010789652905363E-4</v>
      </c>
      <c r="V190" s="276">
        <f>+V191/V189-1</f>
        <v>2.0984900738540979E-4</v>
      </c>
      <c r="W190" s="402">
        <f>+V190</f>
        <v>2.0984900738540979E-4</v>
      </c>
      <c r="X190" s="402">
        <f>+W190</f>
        <v>2.0984900738540979E-4</v>
      </c>
      <c r="Y190" s="402">
        <f>+X190</f>
        <v>2.0984900738540979E-4</v>
      </c>
      <c r="Z190" s="48"/>
      <c r="AA190" s="48"/>
      <c r="AB190" s="48"/>
      <c r="AC190" s="48"/>
      <c r="AD190" s="48"/>
      <c r="AE190" s="48"/>
      <c r="AF190" s="48"/>
      <c r="AG190" s="48"/>
      <c r="AH190" s="48"/>
      <c r="AI190" s="48"/>
      <c r="AJ190" s="48"/>
      <c r="AK190" s="48"/>
      <c r="AL190" s="48"/>
      <c r="AM190" s="48"/>
      <c r="AN190" s="48"/>
      <c r="AO190" s="48"/>
      <c r="AP190" s="48"/>
      <c r="AQ190" s="48"/>
      <c r="AR190" s="48"/>
      <c r="AS190" s="48"/>
      <c r="AT190" s="48"/>
      <c r="AU190" s="48"/>
      <c r="AV190" s="48"/>
      <c r="AW190" s="48"/>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261">
        <v>0</v>
      </c>
      <c r="BT190" s="402">
        <f t="shared" ref="BT190:BZ190" si="250">+BS190</f>
        <v>0</v>
      </c>
      <c r="BU190" s="402">
        <f t="shared" si="250"/>
        <v>0</v>
      </c>
      <c r="BV190" s="402">
        <f t="shared" si="250"/>
        <v>0</v>
      </c>
      <c r="BW190" s="402">
        <f t="shared" si="250"/>
        <v>0</v>
      </c>
      <c r="BX190" s="402">
        <f t="shared" si="250"/>
        <v>0</v>
      </c>
      <c r="BY190" s="402">
        <f t="shared" si="250"/>
        <v>0</v>
      </c>
      <c r="BZ190" s="402">
        <f t="shared" si="250"/>
        <v>0</v>
      </c>
      <c r="CA190" s="402">
        <f>+BZ190</f>
        <v>0</v>
      </c>
      <c r="CB190" s="402">
        <f>+CA190</f>
        <v>0</v>
      </c>
      <c r="CC190" s="402">
        <f>+CB190</f>
        <v>0</v>
      </c>
      <c r="CD190" s="402">
        <f>+CC190</f>
        <v>0</v>
      </c>
      <c r="CE190" s="5" t="s">
        <v>580</v>
      </c>
    </row>
    <row r="191" spans="1:83">
      <c r="B191" s="244" t="s">
        <v>582</v>
      </c>
      <c r="H191" s="69"/>
      <c r="I191" s="69"/>
      <c r="J191" s="69"/>
      <c r="K191" s="69"/>
      <c r="L191" s="69"/>
      <c r="M191" s="69"/>
      <c r="N191" s="69"/>
      <c r="O191" s="69"/>
      <c r="P191" s="69"/>
      <c r="Q191" s="69"/>
      <c r="R191" s="69"/>
      <c r="S191" s="69"/>
      <c r="T191" s="277">
        <f>+T114/T138*1000</f>
        <v>124.79431032341267</v>
      </c>
      <c r="U191" s="277">
        <f>+U114/U138*1000</f>
        <v>131.90353297222222</v>
      </c>
      <c r="V191" s="277">
        <f>+V114/V138*1000</f>
        <v>133.37000676785712</v>
      </c>
      <c r="W191" s="277">
        <f>+W189*(1+W190)</f>
        <v>132.36276238892819</v>
      </c>
      <c r="X191" s="277">
        <f>+X189*(1+X190)</f>
        <v>140.38582686872633</v>
      </c>
      <c r="Y191" s="277">
        <f>+Y189*(1+Y190)</f>
        <v>141.98645410836122</v>
      </c>
      <c r="Z191" s="69"/>
      <c r="AA191" s="69"/>
      <c r="AB191" s="69"/>
      <c r="AC191" s="69"/>
      <c r="AD191" s="69"/>
      <c r="AE191" s="69"/>
      <c r="AF191" s="69"/>
      <c r="AG191" s="69"/>
      <c r="AH191" s="69"/>
      <c r="AI191" s="69"/>
      <c r="AJ191" s="69"/>
      <c r="AK191" s="69"/>
      <c r="AL191" s="69"/>
      <c r="AM191" s="69"/>
      <c r="AN191" s="69"/>
      <c r="AO191" s="69"/>
      <c r="AP191" s="69"/>
      <c r="AQ191" s="69"/>
      <c r="AR191" s="69"/>
      <c r="AS191" s="69"/>
      <c r="AT191" s="69"/>
      <c r="AU191" s="69"/>
      <c r="AV191" s="69"/>
      <c r="AW191" s="69"/>
      <c r="AX191" s="69"/>
      <c r="AY191" s="69"/>
      <c r="AZ191" s="69"/>
      <c r="BA191" s="69"/>
      <c r="BB191" s="69"/>
      <c r="BC191" s="79"/>
      <c r="BD191" s="79"/>
      <c r="BE191" s="79"/>
      <c r="BF191" s="79"/>
      <c r="BG191" s="79"/>
      <c r="BH191" s="79"/>
      <c r="BI191" s="79"/>
      <c r="BJ191" s="79"/>
      <c r="BK191" s="79"/>
      <c r="BL191" s="79"/>
      <c r="BM191" s="79"/>
      <c r="BN191" s="79"/>
      <c r="BO191" s="79"/>
      <c r="BP191" s="79"/>
      <c r="BQ191" s="79"/>
      <c r="BR191" s="79"/>
      <c r="BS191" s="277">
        <f t="shared" ref="BS191:BZ191" si="251">+BS189*(1+BS190)</f>
        <v>121.31408375396825</v>
      </c>
      <c r="BT191" s="277">
        <f t="shared" si="251"/>
        <v>120.09236671428569</v>
      </c>
      <c r="BU191" s="277">
        <f t="shared" si="251"/>
        <v>126.74115795238095</v>
      </c>
      <c r="BV191" s="277">
        <f t="shared" si="251"/>
        <v>131.02963287301588</v>
      </c>
      <c r="BW191" s="277">
        <f t="shared" si="251"/>
        <v>134.43880076190473</v>
      </c>
      <c r="BX191" s="277">
        <f t="shared" si="251"/>
        <v>133.03590499999999</v>
      </c>
      <c r="BY191" s="277">
        <f t="shared" si="251"/>
        <v>129.88936461111109</v>
      </c>
      <c r="BZ191" s="277">
        <f t="shared" si="251"/>
        <v>130.250061515873</v>
      </c>
      <c r="CA191" s="277">
        <f>+CA189*(1+CA190)</f>
        <v>135.04882757936508</v>
      </c>
      <c r="CB191" s="277">
        <f>+CB189*(1+CB190)</f>
        <v>131.36539514285712</v>
      </c>
      <c r="CC191" s="277">
        <f>+CC189*(1+CC190)</f>
        <v>132.24303590476188</v>
      </c>
      <c r="CD191" s="277">
        <f>+CD189*(1+CD190)</f>
        <v>134.82276844444442</v>
      </c>
    </row>
    <row r="192" spans="1:83">
      <c r="B192" s="54"/>
      <c r="H192" s="69"/>
      <c r="I192" s="69"/>
      <c r="J192" s="69"/>
      <c r="K192" s="69"/>
      <c r="L192" s="69"/>
      <c r="M192" s="69"/>
      <c r="N192" s="69"/>
      <c r="O192" s="69"/>
      <c r="P192" s="69"/>
      <c r="Q192" s="69"/>
      <c r="R192" s="69"/>
      <c r="S192" s="69"/>
      <c r="T192" s="69"/>
      <c r="U192" s="69"/>
      <c r="V192" s="69"/>
      <c r="W192" s="69"/>
      <c r="X192" s="69"/>
      <c r="Y192" s="69"/>
      <c r="Z192" s="69"/>
      <c r="AA192" s="69"/>
      <c r="AB192" s="69"/>
      <c r="AC192" s="69"/>
      <c r="AD192" s="69"/>
      <c r="AE192" s="69"/>
      <c r="AF192" s="69"/>
      <c r="AG192" s="69"/>
      <c r="AH192" s="69"/>
      <c r="AI192" s="69"/>
      <c r="AJ192" s="69"/>
      <c r="AK192" s="69"/>
      <c r="AL192" s="69"/>
      <c r="AM192" s="69"/>
      <c r="AN192" s="69"/>
      <c r="AO192" s="69"/>
      <c r="AP192" s="69"/>
      <c r="AQ192" s="69"/>
      <c r="AR192" s="69"/>
      <c r="AS192" s="69"/>
      <c r="AT192" s="69"/>
      <c r="AU192" s="69"/>
      <c r="AV192" s="69"/>
      <c r="AW192" s="69"/>
      <c r="AX192" s="69"/>
      <c r="AY192" s="69"/>
      <c r="AZ192" s="69"/>
      <c r="BA192" s="69"/>
      <c r="BB192" s="69"/>
      <c r="BC192" s="69"/>
      <c r="BD192" s="69"/>
      <c r="BE192" s="69"/>
      <c r="BF192" s="69"/>
      <c r="BG192" s="69"/>
      <c r="BH192" s="69"/>
      <c r="BI192" s="69"/>
      <c r="BJ192" s="69"/>
      <c r="BK192" s="69"/>
      <c r="BL192" s="69"/>
      <c r="BM192" s="69"/>
      <c r="BN192" s="69"/>
      <c r="BO192" s="69"/>
      <c r="BP192" s="69"/>
      <c r="BQ192" s="69"/>
      <c r="BR192" s="69"/>
      <c r="BS192" s="69"/>
      <c r="BT192" s="69"/>
      <c r="BU192" s="69"/>
      <c r="BV192" s="69"/>
      <c r="BW192" s="69"/>
      <c r="BX192" s="17"/>
      <c r="BY192" s="69"/>
      <c r="BZ192" s="69"/>
    </row>
    <row r="193" spans="1:254">
      <c r="A193" s="36" t="s">
        <v>150</v>
      </c>
      <c r="B193" s="27" t="s">
        <v>376</v>
      </c>
      <c r="C193" s="28"/>
      <c r="D193" s="28"/>
      <c r="E193" s="28"/>
      <c r="F193" s="28"/>
      <c r="G193" s="28"/>
      <c r="H193" s="28"/>
      <c r="I193" s="28"/>
      <c r="J193" s="28"/>
      <c r="K193" s="28"/>
      <c r="L193" s="28"/>
      <c r="M193" s="28"/>
      <c r="N193" s="28"/>
      <c r="O193" s="28"/>
      <c r="P193" s="28"/>
      <c r="Q193" s="28"/>
      <c r="R193" s="28"/>
      <c r="S193" s="28"/>
      <c r="T193" s="251"/>
      <c r="U193" s="251"/>
      <c r="V193" s="251"/>
      <c r="W193" s="251"/>
      <c r="X193" s="251"/>
      <c r="Y193" s="251"/>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51"/>
      <c r="BT193" s="251"/>
      <c r="BU193" s="251"/>
      <c r="BV193" s="251"/>
      <c r="BW193" s="251"/>
      <c r="BX193" s="251"/>
      <c r="BY193" s="251"/>
      <c r="BZ193" s="251"/>
      <c r="CA193" s="251"/>
      <c r="CB193" s="251"/>
      <c r="CC193" s="251"/>
      <c r="CD193" s="251"/>
    </row>
    <row r="194" spans="1:254">
      <c r="B194" s="149" t="s">
        <v>374</v>
      </c>
      <c r="T194" s="69"/>
      <c r="U194" s="69"/>
      <c r="V194" s="69"/>
      <c r="W194" s="69"/>
      <c r="X194" s="69"/>
      <c r="Y194" s="69"/>
      <c r="BS194" s="69"/>
      <c r="BT194" s="69"/>
      <c r="BU194" s="69"/>
    </row>
    <row r="195" spans="1:254">
      <c r="B195" s="266" t="s">
        <v>375</v>
      </c>
      <c r="T195" s="34">
        <f>SUM(BS195:BV195)</f>
        <v>105.32522906649731</v>
      </c>
      <c r="U195" s="34">
        <f>SUM(BW195:BZ195)</f>
        <v>211.58940397350995</v>
      </c>
      <c r="V195" s="34">
        <f>SUM(CA195:CD195)</f>
        <v>367.06403655992011</v>
      </c>
      <c r="W195" s="34">
        <f>(W215*W228)/1000</f>
        <v>390.60952533053768</v>
      </c>
      <c r="X195" s="34">
        <f t="shared" ref="W195:Y198" si="252">(X215*X228)/1000</f>
        <v>411.56688570786105</v>
      </c>
      <c r="Y195" s="34">
        <f t="shared" si="252"/>
        <v>434.30785122368002</v>
      </c>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f t="shared" ref="BS195:CD195" si="253">(BS215*BS228)/1000</f>
        <v>24.341150322053888</v>
      </c>
      <c r="BT195" s="34">
        <f t="shared" si="253"/>
        <v>22.810260364692006</v>
      </c>
      <c r="BU195" s="34">
        <f t="shared" si="253"/>
        <v>26.943663249569084</v>
      </c>
      <c r="BV195" s="34">
        <f t="shared" si="253"/>
        <v>31.230155130182347</v>
      </c>
      <c r="BW195" s="34">
        <f t="shared" si="253"/>
        <v>36.328018688197403</v>
      </c>
      <c r="BX195" s="34">
        <f t="shared" si="253"/>
        <v>40.4767304726481</v>
      </c>
      <c r="BY195" s="34">
        <f t="shared" si="253"/>
        <v>57.76558105778826</v>
      </c>
      <c r="BZ195" s="34">
        <f>(BZ215*BZ228)/1000</f>
        <v>77.019073754876175</v>
      </c>
      <c r="CA195" s="34">
        <f>(CA215*CA228)/1000</f>
        <v>88.556881066860214</v>
      </c>
      <c r="CB195" s="34">
        <f t="shared" si="253"/>
        <v>92.835718497686642</v>
      </c>
      <c r="CC195" s="34">
        <f>(CC215*CC228)/1000</f>
        <v>92.835718497686642</v>
      </c>
      <c r="CD195" s="34">
        <f t="shared" si="253"/>
        <v>92.835718497686642</v>
      </c>
    </row>
    <row r="196" spans="1:254">
      <c r="B196" s="266" t="s">
        <v>440</v>
      </c>
      <c r="T196" s="36">
        <f>SUM(BS196:BV196)</f>
        <v>585.07958218044087</v>
      </c>
      <c r="U196" s="36">
        <f>SUM(BW196:BZ196)</f>
        <v>748.3372167853579</v>
      </c>
      <c r="V196" s="36">
        <f>SUM(CA196:CD196)</f>
        <v>914.76699287852671</v>
      </c>
      <c r="W196" s="36">
        <f t="shared" si="252"/>
        <v>982.29150476431664</v>
      </c>
      <c r="X196" s="36">
        <f t="shared" si="252"/>
        <v>1055.7415041926395</v>
      </c>
      <c r="Y196" s="36">
        <f t="shared" si="252"/>
        <v>1135.4425674020963</v>
      </c>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f t="shared" ref="BS196:CD196" si="254">(BS216*BS229)/1000</f>
        <v>137.96911429511022</v>
      </c>
      <c r="BT196" s="36">
        <f t="shared" si="254"/>
        <v>133.45348929511022</v>
      </c>
      <c r="BU196" s="36">
        <f t="shared" si="254"/>
        <v>147.79723929511022</v>
      </c>
      <c r="BV196" s="36">
        <f t="shared" si="254"/>
        <v>165.85973929511022</v>
      </c>
      <c r="BW196" s="36">
        <f t="shared" si="254"/>
        <v>179.77602654676582</v>
      </c>
      <c r="BX196" s="36">
        <f t="shared" si="254"/>
        <v>186.60981583960807</v>
      </c>
      <c r="BY196" s="36">
        <f t="shared" si="254"/>
        <v>188.60564274698359</v>
      </c>
      <c r="BZ196" s="36">
        <f t="shared" si="254"/>
        <v>193.34573165200035</v>
      </c>
      <c r="CA196" s="36">
        <f t="shared" si="254"/>
        <v>214.37207996915541</v>
      </c>
      <c r="CB196" s="36">
        <f t="shared" si="254"/>
        <v>232.49824231153042</v>
      </c>
      <c r="CC196" s="36">
        <f t="shared" si="254"/>
        <v>233.94833529892043</v>
      </c>
      <c r="CD196" s="36">
        <f t="shared" si="254"/>
        <v>233.94833529892043</v>
      </c>
    </row>
    <row r="197" spans="1:254">
      <c r="B197" s="266" t="s">
        <v>382</v>
      </c>
      <c r="T197" s="36">
        <f>SUM(BS197:BV197)</f>
        <v>178.28455406915361</v>
      </c>
      <c r="U197" s="36">
        <f>SUM(BW197:BZ197)</f>
        <v>187.10619141934504</v>
      </c>
      <c r="V197" s="36">
        <f>SUM(CA197:CD197)</f>
        <v>204.24838713014037</v>
      </c>
      <c r="W197" s="36">
        <f t="shared" si="252"/>
        <v>214.89947754928531</v>
      </c>
      <c r="X197" s="36">
        <f t="shared" si="252"/>
        <v>233.25852591911797</v>
      </c>
      <c r="Y197" s="36">
        <f t="shared" si="252"/>
        <v>241.31194514988638</v>
      </c>
      <c r="Z197" s="36"/>
      <c r="AA197" s="36"/>
      <c r="AB197" s="36"/>
      <c r="AC197" s="36"/>
      <c r="AD197" s="36"/>
      <c r="AE197" s="36"/>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f t="shared" ref="BS197:CD197" si="255">(BS217*BS230)/1000</f>
        <v>48.573031925931964</v>
      </c>
      <c r="BT197" s="36">
        <f t="shared" si="255"/>
        <v>41.122765858515358</v>
      </c>
      <c r="BU197" s="36">
        <f t="shared" si="255"/>
        <v>44.968778271448997</v>
      </c>
      <c r="BV197" s="36">
        <f t="shared" si="255"/>
        <v>43.619978013257295</v>
      </c>
      <c r="BW197" s="36">
        <f t="shared" si="255"/>
        <v>48.333266017349899</v>
      </c>
      <c r="BX197" s="36">
        <f t="shared" si="255"/>
        <v>48.587325110403135</v>
      </c>
      <c r="BY197" s="36">
        <f t="shared" si="255"/>
        <v>45.957170313445417</v>
      </c>
      <c r="BZ197" s="36">
        <f t="shared" si="255"/>
        <v>44.228429978146579</v>
      </c>
      <c r="CA197" s="36">
        <f t="shared" si="255"/>
        <v>45.857925475888059</v>
      </c>
      <c r="CB197" s="36">
        <f t="shared" si="255"/>
        <v>51.596919704178923</v>
      </c>
      <c r="CC197" s="36">
        <f t="shared" si="255"/>
        <v>53.198144741916408</v>
      </c>
      <c r="CD197" s="36">
        <f t="shared" si="255"/>
        <v>53.595397208156982</v>
      </c>
    </row>
    <row r="198" spans="1:254">
      <c r="B198" s="266" t="s">
        <v>508</v>
      </c>
      <c r="T198" s="36">
        <f>SUM(BS198:BV198)</f>
        <v>148.57046172429469</v>
      </c>
      <c r="U198" s="36">
        <f>SUM(BW198:BZ198)</f>
        <v>155.92182618278753</v>
      </c>
      <c r="V198" s="36">
        <f>SUM(CA198:CD198)</f>
        <v>170.206989275117</v>
      </c>
      <c r="W198" s="36">
        <f t="shared" si="252"/>
        <v>179.08289795773783</v>
      </c>
      <c r="X198" s="36">
        <f t="shared" si="252"/>
        <v>194.38210493259837</v>
      </c>
      <c r="Y198" s="36">
        <f t="shared" si="252"/>
        <v>201.09328762490537</v>
      </c>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f t="shared" ref="BS198:CD198" si="256">(BS218*BS231)/1000</f>
        <v>40.477526604943307</v>
      </c>
      <c r="BT198" s="36">
        <f t="shared" si="256"/>
        <v>34.268971548762799</v>
      </c>
      <c r="BU198" s="36">
        <f t="shared" si="256"/>
        <v>37.473981892874164</v>
      </c>
      <c r="BV198" s="36">
        <f t="shared" si="256"/>
        <v>36.349981677714418</v>
      </c>
      <c r="BW198" s="36">
        <f t="shared" si="256"/>
        <v>40.277721681124916</v>
      </c>
      <c r="BX198" s="36">
        <f t="shared" si="256"/>
        <v>40.489437592002616</v>
      </c>
      <c r="BY198" s="36">
        <f t="shared" si="256"/>
        <v>38.297641927871176</v>
      </c>
      <c r="BZ198" s="36">
        <f t="shared" si="256"/>
        <v>36.857024981788818</v>
      </c>
      <c r="CA198" s="36">
        <f t="shared" si="256"/>
        <v>38.214937896573382</v>
      </c>
      <c r="CB198" s="36">
        <f t="shared" si="256"/>
        <v>42.997433086815768</v>
      </c>
      <c r="CC198" s="36">
        <f t="shared" si="256"/>
        <v>44.331787284930343</v>
      </c>
      <c r="CD198" s="36">
        <f t="shared" si="256"/>
        <v>44.662831006797489</v>
      </c>
    </row>
    <row r="199" spans="1:254" s="7" customFormat="1">
      <c r="B199" s="244" t="s">
        <v>380</v>
      </c>
      <c r="I199" s="57"/>
      <c r="J199" s="57"/>
      <c r="K199" s="57"/>
      <c r="L199" s="57"/>
      <c r="M199" s="57"/>
      <c r="N199" s="57"/>
      <c r="O199" s="57"/>
      <c r="P199" s="57"/>
      <c r="Q199" s="57"/>
      <c r="R199" s="57"/>
      <c r="S199" s="57"/>
      <c r="T199" s="93">
        <f>SUM(T195:T198)</f>
        <v>1017.2598270403864</v>
      </c>
      <c r="U199" s="93">
        <f t="shared" ref="U199:Y199" si="257">SUM(U195:U198)</f>
        <v>1302.9546383610004</v>
      </c>
      <c r="V199" s="93">
        <f t="shared" si="257"/>
        <v>1656.2864058437042</v>
      </c>
      <c r="W199" s="93">
        <f>SUM(W195:W198)</f>
        <v>1766.8834056018777</v>
      </c>
      <c r="X199" s="93">
        <f t="shared" si="257"/>
        <v>1894.9490207522169</v>
      </c>
      <c r="Y199" s="93">
        <f t="shared" si="257"/>
        <v>2012.1556514005681</v>
      </c>
      <c r="Z199" s="51"/>
      <c r="AA199" s="51"/>
      <c r="AB199" s="51"/>
      <c r="AC199" s="51"/>
      <c r="AD199" s="51"/>
      <c r="AE199" s="51"/>
      <c r="AF199" s="51"/>
      <c r="AG199" s="51"/>
      <c r="AH199" s="51"/>
      <c r="AI199" s="51"/>
      <c r="AJ199" s="51"/>
      <c r="AK199" s="51"/>
      <c r="AL199" s="51"/>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93">
        <f>SUM(BS195:BS198)</f>
        <v>251.36082314803937</v>
      </c>
      <c r="BT199" s="93">
        <f t="shared" ref="BT199:CD199" si="258">SUM(BT195:BT198)</f>
        <v>231.65548706708037</v>
      </c>
      <c r="BU199" s="93">
        <f t="shared" si="258"/>
        <v>257.18366270900248</v>
      </c>
      <c r="BV199" s="93">
        <f t="shared" si="258"/>
        <v>277.05985411626426</v>
      </c>
      <c r="BW199" s="93">
        <f t="shared" si="258"/>
        <v>304.71503293343801</v>
      </c>
      <c r="BX199" s="93">
        <f t="shared" si="258"/>
        <v>316.16330901466193</v>
      </c>
      <c r="BY199" s="93">
        <f t="shared" si="258"/>
        <v>330.62603604608842</v>
      </c>
      <c r="BZ199" s="93">
        <f t="shared" si="258"/>
        <v>351.45026036681196</v>
      </c>
      <c r="CA199" s="93">
        <f t="shared" si="258"/>
        <v>387.00182440847703</v>
      </c>
      <c r="CB199" s="93">
        <f t="shared" si="258"/>
        <v>419.92831360021171</v>
      </c>
      <c r="CC199" s="93">
        <f t="shared" si="258"/>
        <v>424.31398582345378</v>
      </c>
      <c r="CD199" s="93">
        <f t="shared" si="258"/>
        <v>425.04228201156155</v>
      </c>
    </row>
    <row r="200" spans="1:254" s="7" customFormat="1">
      <c r="B200" s="287" t="s">
        <v>141</v>
      </c>
      <c r="C200" s="5"/>
      <c r="D200" s="5"/>
      <c r="E200" s="5"/>
      <c r="F200" s="5"/>
      <c r="G200" s="5"/>
      <c r="H200" s="5"/>
      <c r="I200" s="5"/>
      <c r="J200" s="5"/>
      <c r="K200" s="5"/>
      <c r="L200" s="280"/>
      <c r="M200" s="280"/>
      <c r="N200" s="280"/>
      <c r="O200" s="280"/>
      <c r="P200" s="280"/>
      <c r="Q200" s="280"/>
      <c r="R200" s="280"/>
      <c r="S200" s="280"/>
      <c r="T200" s="280"/>
      <c r="U200" s="280">
        <f>+U199/T199-1</f>
        <v>0.28084743319886507</v>
      </c>
      <c r="V200" s="280">
        <f>+V199/U199-1</f>
        <v>0.27117733578750158</v>
      </c>
      <c r="W200" s="280">
        <f>+W199/V199-1</f>
        <v>6.6774079270327524E-2</v>
      </c>
      <c r="X200" s="280">
        <f>+X199/W199-1</f>
        <v>7.2481078685955769E-2</v>
      </c>
      <c r="Y200" s="280">
        <f>+Y199/X199-1</f>
        <v>6.1852128666672446E-2</v>
      </c>
      <c r="Z200" s="5"/>
      <c r="AA200" s="5"/>
      <c r="AB200" s="5"/>
      <c r="AC200" s="5"/>
      <c r="AD200" s="5"/>
      <c r="AE200" s="5"/>
      <c r="AF200" s="5"/>
      <c r="AG200" s="5"/>
      <c r="AH200" s="5"/>
      <c r="AI200" s="5"/>
      <c r="AJ200" s="5"/>
      <c r="AK200" s="5"/>
      <c r="AL200" s="5"/>
      <c r="AM200" s="280"/>
      <c r="AN200" s="280"/>
      <c r="AO200" s="280"/>
      <c r="AP200" s="280"/>
      <c r="AQ200" s="280"/>
      <c r="AR200" s="280"/>
      <c r="AS200" s="280"/>
      <c r="AT200" s="280"/>
      <c r="AU200" s="280"/>
      <c r="AV200" s="280"/>
      <c r="AW200" s="280"/>
      <c r="AX200" s="280"/>
      <c r="AY200" s="280"/>
      <c r="AZ200" s="280"/>
      <c r="BA200" s="280"/>
      <c r="BB200" s="280"/>
      <c r="BC200" s="280"/>
      <c r="BD200" s="280"/>
      <c r="BE200" s="280"/>
      <c r="BF200" s="280"/>
      <c r="BG200" s="280"/>
      <c r="BH200" s="280"/>
      <c r="BI200" s="280"/>
      <c r="BJ200" s="280"/>
      <c r="BK200" s="280"/>
      <c r="BL200" s="280"/>
      <c r="BM200" s="280"/>
      <c r="BN200" s="280"/>
      <c r="BO200" s="280"/>
      <c r="BP200" s="280"/>
      <c r="BQ200" s="280"/>
      <c r="BR200" s="280"/>
      <c r="BS200" s="280"/>
      <c r="BT200" s="280"/>
      <c r="BU200" s="280"/>
      <c r="BV200" s="280"/>
      <c r="BW200" s="280">
        <f t="shared" ref="BW200:CD200" si="259">+BW199/BS199-1</f>
        <v>0.21226143802837405</v>
      </c>
      <c r="BX200" s="280">
        <f t="shared" si="259"/>
        <v>0.36479956947063674</v>
      </c>
      <c r="BY200" s="280">
        <f t="shared" si="259"/>
        <v>0.28556391398851932</v>
      </c>
      <c r="BZ200" s="280">
        <f t="shared" si="259"/>
        <v>0.26849940597792576</v>
      </c>
      <c r="CA200" s="280">
        <f t="shared" si="259"/>
        <v>0.27004506696922226</v>
      </c>
      <c r="CB200" s="280">
        <f t="shared" si="259"/>
        <v>0.32820065335518644</v>
      </c>
      <c r="CC200" s="280">
        <f t="shared" si="259"/>
        <v>0.2833653117515087</v>
      </c>
      <c r="CD200" s="280">
        <f t="shared" si="259"/>
        <v>0.20939526853086088</v>
      </c>
    </row>
    <row r="201" spans="1:254">
      <c r="A201" s="34"/>
      <c r="B201" s="243"/>
      <c r="T201" s="247"/>
      <c r="U201" s="247"/>
      <c r="V201" s="247"/>
      <c r="W201" s="247"/>
      <c r="X201" s="247"/>
      <c r="Y201" s="247"/>
      <c r="BS201" s="247"/>
      <c r="BT201" s="247"/>
      <c r="BU201" s="247"/>
      <c r="BV201" s="247"/>
      <c r="BW201" s="247"/>
      <c r="BX201" s="247"/>
      <c r="BY201" s="247"/>
      <c r="BZ201" s="247"/>
    </row>
    <row r="202" spans="1:254">
      <c r="A202" s="34"/>
      <c r="B202" s="149" t="s">
        <v>434</v>
      </c>
      <c r="T202" s="247"/>
      <c r="U202" s="247"/>
      <c r="V202" s="247"/>
      <c r="W202" s="247"/>
      <c r="X202" s="247"/>
      <c r="Y202" s="247"/>
      <c r="BW202" s="36"/>
      <c r="BX202" s="36"/>
      <c r="BY202" s="36"/>
    </row>
    <row r="203" spans="1:254">
      <c r="A203" s="34"/>
      <c r="B203" s="34" t="s">
        <v>435</v>
      </c>
      <c r="G203" s="269"/>
      <c r="T203" s="349">
        <f t="shared" ref="T203:Y203" si="260">+T416</f>
        <v>5758</v>
      </c>
      <c r="U203" s="349">
        <f t="shared" si="260"/>
        <v>5647</v>
      </c>
      <c r="V203" s="349">
        <f t="shared" si="260"/>
        <v>5647</v>
      </c>
      <c r="W203" s="349">
        <f t="shared" si="260"/>
        <v>5647</v>
      </c>
      <c r="X203" s="349">
        <f t="shared" si="260"/>
        <v>5647</v>
      </c>
      <c r="Y203" s="349">
        <f t="shared" si="260"/>
        <v>5647</v>
      </c>
      <c r="BS203" s="349">
        <f>+BS416</f>
        <v>1531.25</v>
      </c>
      <c r="BT203" s="349">
        <f t="shared" ref="BT203:BZ203" si="261">+BT416</f>
        <v>1408.9166666666667</v>
      </c>
      <c r="BU203" s="349">
        <f t="shared" si="261"/>
        <v>1408.9166666666667</v>
      </c>
      <c r="BV203" s="349">
        <f t="shared" si="261"/>
        <v>1408.9166666666667</v>
      </c>
      <c r="BW203" s="349">
        <f t="shared" si="261"/>
        <v>1411.75</v>
      </c>
      <c r="BX203" s="349">
        <f>+BX416</f>
        <v>1411.75</v>
      </c>
      <c r="BY203" s="349">
        <f t="shared" si="261"/>
        <v>1411.75</v>
      </c>
      <c r="BZ203" s="349">
        <f t="shared" si="261"/>
        <v>1411.75</v>
      </c>
      <c r="CA203" s="349">
        <f>+CA416</f>
        <v>1411.75</v>
      </c>
      <c r="CB203" s="349">
        <f>+CB416</f>
        <v>1411.75</v>
      </c>
      <c r="CC203" s="349">
        <f>+CC416</f>
        <v>1411.75</v>
      </c>
      <c r="CD203" s="349">
        <f>+CD416</f>
        <v>1411.75</v>
      </c>
    </row>
    <row r="204" spans="1:254">
      <c r="A204" s="34"/>
      <c r="B204" s="238" t="s">
        <v>364</v>
      </c>
      <c r="G204" s="269"/>
      <c r="T204" s="283">
        <f t="shared" ref="T204:Y204" si="262">+T205/T203</f>
        <v>0.84908762156998974</v>
      </c>
      <c r="U204" s="283">
        <f>+U205/U203</f>
        <v>0.86244933150345315</v>
      </c>
      <c r="V204" s="283">
        <f t="shared" si="262"/>
        <v>0.89304168142376494</v>
      </c>
      <c r="W204" s="283">
        <f t="shared" si="262"/>
        <v>0.91777049760935014</v>
      </c>
      <c r="X204" s="283">
        <f t="shared" si="262"/>
        <v>0.92796794758278744</v>
      </c>
      <c r="Y204" s="283">
        <f t="shared" si="262"/>
        <v>0.93816539755622463</v>
      </c>
      <c r="BS204" s="283">
        <f>+BS205/BS203</f>
        <v>0.84052122448979605</v>
      </c>
      <c r="BT204" s="283">
        <f t="shared" ref="BT204:BZ204" si="263">+BT205/BT203</f>
        <v>0.85116675341574488</v>
      </c>
      <c r="BU204" s="283">
        <f t="shared" si="263"/>
        <v>0.86448223812621983</v>
      </c>
      <c r="BV204" s="283">
        <f t="shared" si="263"/>
        <v>0.84092407286922599</v>
      </c>
      <c r="BW204" s="283">
        <f t="shared" si="263"/>
        <v>0.86780299273950778</v>
      </c>
      <c r="BX204" s="283">
        <f t="shared" si="263"/>
        <v>0.87392146272356996</v>
      </c>
      <c r="BY204" s="283">
        <f>+BY205/BY203</f>
        <v>0.86168452275544538</v>
      </c>
      <c r="BZ204" s="283">
        <f t="shared" si="263"/>
        <v>0.8463883477952896</v>
      </c>
      <c r="CA204" s="283">
        <f>+CA205/CA203</f>
        <v>0.8463883477952896</v>
      </c>
      <c r="CB204" s="283">
        <f>+CB205/CB203</f>
        <v>0.90349406764653817</v>
      </c>
      <c r="CC204" s="283">
        <f>+CC205/CC203</f>
        <v>0.91369151761997536</v>
      </c>
      <c r="CD204" s="283">
        <f>+CD205/CD203</f>
        <v>0.90859279263325665</v>
      </c>
    </row>
    <row r="205" spans="1:254">
      <c r="A205" s="34"/>
      <c r="B205" s="18" t="s">
        <v>436</v>
      </c>
      <c r="G205" s="309">
        <v>1.1000000000000001</v>
      </c>
      <c r="T205" s="254">
        <f>SUM(BS205:BV205)</f>
        <v>4889.0465250000007</v>
      </c>
      <c r="U205" s="254">
        <f>SUM(BW205:BZ205)</f>
        <v>4870.2513749999998</v>
      </c>
      <c r="V205" s="254">
        <f>SUM(CA205:CD205)</f>
        <v>5043.0063750000008</v>
      </c>
      <c r="W205" s="254">
        <f>+$G$205*W141</f>
        <v>5182.6500000000005</v>
      </c>
      <c r="X205" s="254">
        <f>+$G$205*X141</f>
        <v>5240.2350000000006</v>
      </c>
      <c r="Y205" s="254">
        <f>+$G$205*Y141</f>
        <v>5297.8200000000006</v>
      </c>
      <c r="BS205" s="254">
        <f t="shared" ref="BS205:CD205" si="264">+$G$205*BS141</f>
        <v>1287.0481250000003</v>
      </c>
      <c r="BT205" s="254">
        <f t="shared" si="264"/>
        <v>1199.223025</v>
      </c>
      <c r="BU205" s="254">
        <f t="shared" si="264"/>
        <v>1217.9834333333333</v>
      </c>
      <c r="BV205" s="254">
        <f t="shared" si="264"/>
        <v>1184.7919416666671</v>
      </c>
      <c r="BW205" s="254">
        <f t="shared" si="264"/>
        <v>1225.1208750000001</v>
      </c>
      <c r="BX205" s="254">
        <f t="shared" si="264"/>
        <v>1233.7586249999999</v>
      </c>
      <c r="BY205" s="254">
        <f t="shared" si="264"/>
        <v>1216.483125</v>
      </c>
      <c r="BZ205" s="254">
        <f t="shared" si="264"/>
        <v>1194.8887500000001</v>
      </c>
      <c r="CA205" s="254">
        <f t="shared" si="264"/>
        <v>1194.8887500000001</v>
      </c>
      <c r="CB205" s="254">
        <f t="shared" si="264"/>
        <v>1275.5077500000002</v>
      </c>
      <c r="CC205" s="254">
        <f t="shared" si="264"/>
        <v>1289.9040000000002</v>
      </c>
      <c r="CD205" s="254">
        <f t="shared" si="264"/>
        <v>1282.7058750000001</v>
      </c>
    </row>
    <row r="206" spans="1:254" s="229" customFormat="1">
      <c r="A206" s="153"/>
      <c r="B206" s="153"/>
      <c r="C206" s="153"/>
      <c r="D206" s="153"/>
      <c r="E206" s="153"/>
      <c r="F206" s="153"/>
      <c r="G206" s="269"/>
      <c r="H206" s="153"/>
      <c r="I206" s="153"/>
      <c r="J206" s="153"/>
      <c r="K206" s="153"/>
      <c r="L206" s="153"/>
      <c r="M206" s="153"/>
      <c r="N206" s="153"/>
      <c r="O206" s="153"/>
      <c r="P206" s="153"/>
      <c r="Q206" s="153"/>
      <c r="R206" s="153"/>
      <c r="S206" s="153"/>
      <c r="T206" s="153"/>
      <c r="U206" s="153"/>
      <c r="V206" s="153"/>
      <c r="W206" s="153"/>
      <c r="X206" s="153"/>
      <c r="Y206" s="153"/>
      <c r="Z206" s="153"/>
      <c r="AA206" s="153"/>
      <c r="AB206" s="153"/>
      <c r="AC206" s="153"/>
      <c r="AD206" s="153"/>
      <c r="AE206" s="153"/>
      <c r="AF206" s="153"/>
      <c r="AG206" s="153"/>
      <c r="AH206" s="153"/>
      <c r="AI206" s="153"/>
      <c r="AJ206" s="153"/>
      <c r="AK206" s="153"/>
      <c r="AL206" s="153"/>
      <c r="AM206" s="153"/>
      <c r="AN206" s="153"/>
      <c r="AO206" s="153"/>
      <c r="AP206" s="153"/>
      <c r="AQ206" s="153"/>
      <c r="AR206" s="153"/>
      <c r="AS206" s="153"/>
      <c r="AT206" s="153"/>
      <c r="AU206" s="153"/>
      <c r="AV206" s="153"/>
      <c r="AW206" s="153"/>
      <c r="AX206" s="153"/>
      <c r="AY206" s="153"/>
      <c r="AZ206" s="153"/>
      <c r="BA206" s="153"/>
      <c r="BB206" s="153"/>
      <c r="BC206" s="153"/>
      <c r="BD206" s="153"/>
      <c r="BE206" s="153"/>
      <c r="BF206" s="153"/>
      <c r="BG206" s="153"/>
      <c r="BH206" s="153"/>
      <c r="BI206" s="153"/>
      <c r="BJ206" s="153"/>
      <c r="BK206" s="153"/>
      <c r="BL206" s="153"/>
      <c r="BM206" s="153"/>
      <c r="BN206" s="153"/>
      <c r="BO206" s="153"/>
      <c r="BP206" s="153"/>
      <c r="BQ206" s="153"/>
      <c r="BR206" s="153"/>
      <c r="BS206" s="153"/>
      <c r="BT206" s="153"/>
      <c r="BU206" s="153"/>
      <c r="BV206" s="153"/>
      <c r="BW206" s="209"/>
      <c r="BX206" s="209"/>
      <c r="BY206" s="153"/>
      <c r="BZ206" s="153"/>
      <c r="CA206" s="153"/>
      <c r="CB206" s="153"/>
      <c r="CC206" s="153"/>
      <c r="CD206" s="153"/>
      <c r="CE206" s="153"/>
      <c r="CF206" s="153"/>
      <c r="CG206" s="153"/>
      <c r="CH206" s="153"/>
      <c r="CI206" s="153"/>
      <c r="CJ206" s="153"/>
      <c r="CK206" s="153"/>
      <c r="CL206" s="153"/>
      <c r="CM206" s="153"/>
      <c r="CN206" s="153"/>
      <c r="CO206" s="153"/>
      <c r="CP206" s="153"/>
      <c r="CQ206" s="153"/>
      <c r="CR206" s="153"/>
      <c r="CS206" s="153"/>
      <c r="CT206" s="153"/>
      <c r="CU206" s="153"/>
      <c r="CV206" s="153"/>
      <c r="CW206" s="153"/>
      <c r="CX206" s="153"/>
      <c r="CY206" s="153"/>
      <c r="CZ206" s="153"/>
      <c r="DA206" s="153"/>
      <c r="DB206" s="153"/>
      <c r="DC206" s="153"/>
      <c r="DD206" s="153"/>
      <c r="DE206" s="153"/>
      <c r="DF206" s="153"/>
      <c r="DG206" s="153"/>
      <c r="DH206" s="153"/>
      <c r="DI206" s="153"/>
      <c r="DJ206" s="153"/>
      <c r="DK206" s="153"/>
      <c r="DL206" s="153"/>
      <c r="DM206" s="153"/>
      <c r="DN206" s="153"/>
      <c r="DO206" s="153"/>
      <c r="DP206" s="153"/>
      <c r="DQ206" s="153"/>
      <c r="DR206" s="153"/>
      <c r="DS206" s="153"/>
      <c r="DT206" s="153"/>
      <c r="DU206" s="153"/>
      <c r="DV206" s="153"/>
      <c r="DW206" s="153"/>
      <c r="DX206" s="153"/>
      <c r="DY206" s="153"/>
      <c r="DZ206" s="153"/>
      <c r="EA206" s="153"/>
      <c r="EB206" s="153"/>
      <c r="EC206" s="153"/>
      <c r="ED206" s="153"/>
      <c r="EE206" s="153"/>
      <c r="EF206" s="153"/>
      <c r="EG206" s="153"/>
      <c r="EH206" s="153"/>
      <c r="EI206" s="153"/>
      <c r="EJ206" s="153"/>
      <c r="EK206" s="153"/>
      <c r="EL206" s="153"/>
      <c r="EM206" s="153"/>
      <c r="EN206" s="153"/>
      <c r="EO206" s="153"/>
      <c r="EP206" s="153"/>
      <c r="EQ206" s="153"/>
      <c r="ER206" s="153"/>
      <c r="ES206" s="153"/>
      <c r="ET206" s="153"/>
      <c r="EU206" s="153"/>
      <c r="EV206" s="153"/>
      <c r="EW206" s="153"/>
      <c r="EX206" s="153"/>
      <c r="EY206" s="153"/>
      <c r="EZ206" s="153"/>
      <c r="FA206" s="153"/>
      <c r="FB206" s="153"/>
      <c r="FC206" s="153"/>
      <c r="FD206" s="153"/>
      <c r="FE206" s="153"/>
      <c r="FF206" s="153"/>
      <c r="FG206" s="153"/>
      <c r="FH206" s="153"/>
      <c r="FI206" s="153"/>
      <c r="FJ206" s="153"/>
      <c r="FK206" s="153"/>
      <c r="FL206" s="153"/>
      <c r="FM206" s="153"/>
      <c r="FN206" s="153"/>
      <c r="FO206" s="153"/>
      <c r="FP206" s="153"/>
      <c r="FQ206" s="153"/>
      <c r="FR206" s="153"/>
      <c r="FS206" s="153"/>
      <c r="FT206" s="153"/>
      <c r="FU206" s="153"/>
      <c r="FV206" s="153"/>
      <c r="FW206" s="153"/>
      <c r="FX206" s="153"/>
      <c r="FY206" s="153"/>
      <c r="FZ206" s="153"/>
      <c r="GA206" s="153"/>
      <c r="GB206" s="153"/>
      <c r="GC206" s="153"/>
      <c r="GD206" s="153"/>
      <c r="GE206" s="153"/>
      <c r="GF206" s="153"/>
      <c r="GG206" s="153"/>
      <c r="GH206" s="153"/>
      <c r="GI206" s="153"/>
      <c r="GJ206" s="153"/>
      <c r="GK206" s="153"/>
      <c r="GL206" s="153"/>
      <c r="GM206" s="153"/>
      <c r="GN206" s="153"/>
      <c r="GO206" s="153"/>
      <c r="GP206" s="153"/>
      <c r="GQ206" s="153"/>
      <c r="GR206" s="153"/>
      <c r="GS206" s="153"/>
      <c r="GT206" s="153"/>
      <c r="GU206" s="153"/>
      <c r="GV206" s="153"/>
      <c r="GW206" s="153"/>
      <c r="GX206" s="153"/>
      <c r="GY206" s="153"/>
      <c r="GZ206" s="153"/>
      <c r="HA206" s="153"/>
      <c r="HB206" s="153"/>
      <c r="HC206" s="153"/>
      <c r="HD206" s="153"/>
      <c r="HE206" s="153"/>
      <c r="HF206" s="153"/>
      <c r="HG206" s="153"/>
      <c r="HH206" s="153"/>
      <c r="HI206" s="153"/>
      <c r="HJ206" s="153"/>
      <c r="HK206" s="153"/>
      <c r="HL206" s="153"/>
      <c r="HM206" s="153"/>
      <c r="HN206" s="153"/>
      <c r="HO206" s="153"/>
      <c r="HP206" s="153"/>
      <c r="HQ206" s="153"/>
      <c r="HR206" s="153"/>
      <c r="HS206" s="153"/>
      <c r="HT206" s="153"/>
      <c r="HU206" s="153"/>
      <c r="HV206" s="153"/>
      <c r="HW206" s="153"/>
      <c r="HX206" s="153"/>
      <c r="HY206" s="153"/>
      <c r="HZ206" s="153"/>
      <c r="IA206" s="153"/>
      <c r="IB206" s="153"/>
      <c r="IC206" s="153"/>
      <c r="ID206" s="153"/>
      <c r="IE206" s="153"/>
      <c r="IF206" s="153"/>
      <c r="IG206" s="153"/>
      <c r="IH206" s="153"/>
      <c r="II206" s="153"/>
      <c r="IJ206" s="153"/>
      <c r="IK206" s="153"/>
      <c r="IL206" s="153"/>
      <c r="IM206" s="153"/>
      <c r="IN206" s="153"/>
      <c r="IO206" s="153"/>
      <c r="IP206" s="153"/>
      <c r="IQ206" s="153"/>
      <c r="IR206" s="153"/>
      <c r="IS206" s="153"/>
      <c r="IT206" s="153"/>
    </row>
    <row r="207" spans="1:254">
      <c r="A207" s="36"/>
      <c r="B207" s="149" t="s">
        <v>437</v>
      </c>
      <c r="C207" s="36"/>
      <c r="D207" s="36"/>
      <c r="E207" s="36"/>
      <c r="F207" s="36"/>
      <c r="G207" s="269"/>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c r="BT207" s="36"/>
      <c r="BU207" s="36"/>
      <c r="BV207" s="36"/>
      <c r="BW207" s="36"/>
      <c r="BX207" s="36"/>
      <c r="BY207" s="36"/>
      <c r="BZ207" s="36"/>
      <c r="CA207" s="36"/>
      <c r="CB207" s="36"/>
      <c r="CC207" s="36"/>
      <c r="CD207" s="36"/>
      <c r="CE207" s="36"/>
      <c r="CF207" s="36"/>
      <c r="CG207" s="36"/>
      <c r="CH207" s="36"/>
      <c r="CI207" s="36"/>
      <c r="CJ207" s="36"/>
      <c r="CK207" s="36"/>
      <c r="CL207" s="36"/>
      <c r="CM207" s="36"/>
      <c r="CN207" s="36"/>
      <c r="CO207" s="36"/>
      <c r="CP207" s="36"/>
      <c r="CQ207" s="36"/>
      <c r="CR207" s="36"/>
      <c r="CS207" s="36"/>
      <c r="CT207" s="36"/>
      <c r="CU207" s="36"/>
      <c r="CV207" s="36"/>
      <c r="CW207" s="36"/>
      <c r="CX207" s="36"/>
      <c r="CY207" s="36"/>
      <c r="CZ207" s="36"/>
      <c r="DA207" s="36"/>
      <c r="DB207" s="36"/>
      <c r="DC207" s="36"/>
      <c r="DD207" s="36"/>
      <c r="DE207" s="36"/>
      <c r="DF207" s="36"/>
      <c r="DG207" s="36"/>
      <c r="DH207" s="36"/>
      <c r="DI207" s="36"/>
      <c r="DJ207" s="36"/>
      <c r="DK207" s="36"/>
      <c r="DL207" s="36"/>
      <c r="DM207" s="36"/>
      <c r="DN207" s="36"/>
      <c r="DO207" s="36"/>
      <c r="DP207" s="36"/>
      <c r="DQ207" s="36"/>
      <c r="DR207" s="36"/>
      <c r="DS207" s="36"/>
      <c r="DT207" s="36"/>
      <c r="DU207" s="36"/>
      <c r="DV207" s="36"/>
      <c r="DW207" s="36"/>
      <c r="DX207" s="36"/>
      <c r="DY207" s="36"/>
      <c r="DZ207" s="36"/>
      <c r="EA207" s="36"/>
      <c r="EB207" s="36"/>
      <c r="EC207" s="36"/>
      <c r="ED207" s="36"/>
      <c r="EE207" s="36"/>
      <c r="EF207" s="36"/>
      <c r="EG207" s="36"/>
      <c r="EH207" s="36"/>
      <c r="EI207" s="36"/>
      <c r="EJ207" s="36"/>
      <c r="EK207" s="36"/>
      <c r="EL207" s="36"/>
      <c r="EM207" s="36"/>
      <c r="EN207" s="36"/>
      <c r="EO207" s="36"/>
      <c r="EP207" s="36"/>
      <c r="EQ207" s="36"/>
      <c r="ER207" s="36"/>
      <c r="ES207" s="36"/>
      <c r="ET207" s="36"/>
      <c r="EU207" s="36"/>
      <c r="EV207" s="36"/>
      <c r="EW207" s="36"/>
      <c r="EX207" s="36"/>
      <c r="EY207" s="36"/>
      <c r="EZ207" s="36"/>
      <c r="FA207" s="36"/>
      <c r="FB207" s="36"/>
      <c r="FC207" s="36"/>
      <c r="FD207" s="36"/>
      <c r="FE207" s="36"/>
      <c r="FF207" s="36"/>
      <c r="FG207" s="36"/>
      <c r="FH207" s="36"/>
      <c r="FI207" s="36"/>
      <c r="FJ207" s="36"/>
      <c r="FK207" s="36"/>
      <c r="FL207" s="36"/>
      <c r="FM207" s="36"/>
      <c r="FN207" s="36"/>
      <c r="FO207" s="36"/>
      <c r="FP207" s="36"/>
      <c r="FQ207" s="36"/>
      <c r="FR207" s="36"/>
      <c r="FS207" s="36"/>
      <c r="FT207" s="36"/>
      <c r="FU207" s="36"/>
      <c r="FV207" s="36"/>
      <c r="FW207" s="36"/>
      <c r="FX207" s="36"/>
      <c r="FY207" s="36"/>
      <c r="FZ207" s="36"/>
      <c r="GA207" s="36"/>
      <c r="GB207" s="36"/>
      <c r="GC207" s="36"/>
      <c r="GD207" s="36"/>
      <c r="GE207" s="36"/>
      <c r="GF207" s="36"/>
      <c r="GG207" s="36"/>
      <c r="GH207" s="36"/>
      <c r="GI207" s="36"/>
      <c r="GJ207" s="36"/>
      <c r="GK207" s="36"/>
      <c r="GL207" s="36"/>
      <c r="GM207" s="36"/>
      <c r="GN207" s="36"/>
      <c r="GO207" s="36"/>
      <c r="GP207" s="36"/>
      <c r="GQ207" s="36"/>
      <c r="GR207" s="36"/>
      <c r="GS207" s="36"/>
      <c r="GT207" s="36"/>
      <c r="GU207" s="36"/>
      <c r="GV207" s="36"/>
      <c r="GW207" s="36"/>
      <c r="GX207" s="36"/>
      <c r="GY207" s="36"/>
      <c r="GZ207" s="36"/>
      <c r="HA207" s="36"/>
      <c r="HB207" s="36"/>
      <c r="HC207" s="36"/>
      <c r="HD207" s="36"/>
      <c r="HE207" s="36"/>
      <c r="HF207" s="36"/>
      <c r="HG207" s="36"/>
      <c r="HH207" s="36"/>
      <c r="HI207" s="36"/>
      <c r="HJ207" s="36"/>
      <c r="HK207" s="36"/>
      <c r="HL207" s="36"/>
      <c r="HM207" s="36"/>
      <c r="HN207" s="36"/>
      <c r="HO207" s="36"/>
      <c r="HP207" s="36"/>
      <c r="HQ207" s="36"/>
      <c r="HR207" s="36"/>
      <c r="HS207" s="36"/>
      <c r="HT207" s="36"/>
      <c r="HU207" s="36"/>
      <c r="HV207" s="36"/>
      <c r="HW207" s="36"/>
      <c r="HX207" s="36"/>
      <c r="HY207" s="36"/>
      <c r="HZ207" s="36"/>
      <c r="IA207" s="36"/>
      <c r="IB207" s="36"/>
      <c r="IC207" s="36"/>
      <c r="ID207" s="36"/>
      <c r="IE207" s="36"/>
      <c r="IF207" s="36"/>
      <c r="IG207" s="36"/>
      <c r="IH207" s="36"/>
      <c r="II207" s="36"/>
      <c r="IJ207" s="36"/>
      <c r="IK207" s="36"/>
      <c r="IL207" s="36"/>
      <c r="IM207" s="36"/>
      <c r="IN207" s="36"/>
      <c r="IO207" s="36"/>
      <c r="IP207" s="36"/>
      <c r="IQ207" s="36"/>
      <c r="IR207" s="36"/>
      <c r="IS207" s="36"/>
      <c r="IT207" s="36"/>
    </row>
    <row r="208" spans="1:254" s="66" customFormat="1">
      <c r="B208" s="266" t="s">
        <v>375</v>
      </c>
      <c r="T208" s="411">
        <f t="shared" ref="T208:Y211" si="265">T215/T$219</f>
        <v>8.3500396217474709E-2</v>
      </c>
      <c r="U208" s="411">
        <f t="shared" si="265"/>
        <v>0.10128568857266179</v>
      </c>
      <c r="V208" s="411">
        <f t="shared" si="265"/>
        <v>0.12142677153461892</v>
      </c>
      <c r="W208" s="411">
        <f t="shared" ref="W208:Y208" si="266">W215/W$219</f>
        <v>0.11815499463493614</v>
      </c>
      <c r="X208" s="411">
        <f t="shared" si="266"/>
        <v>0.1168565881004863</v>
      </c>
      <c r="Y208" s="411">
        <f t="shared" si="266"/>
        <v>0.11558640779504623</v>
      </c>
      <c r="Z208" s="339"/>
      <c r="AA208" s="339"/>
      <c r="AB208" s="339"/>
      <c r="AC208" s="339"/>
      <c r="AD208" s="339"/>
      <c r="AE208" s="339"/>
      <c r="AF208" s="339"/>
      <c r="AG208" s="339"/>
      <c r="AH208" s="339"/>
      <c r="AI208" s="339"/>
      <c r="AJ208" s="339"/>
      <c r="AK208" s="339"/>
      <c r="AL208" s="339"/>
      <c r="AM208" s="174"/>
      <c r="AN208" s="174"/>
      <c r="AO208" s="174"/>
      <c r="AP208" s="174"/>
      <c r="AQ208" s="174"/>
      <c r="AR208" s="174"/>
      <c r="AS208" s="174"/>
      <c r="AT208" s="174"/>
      <c r="AU208" s="174"/>
      <c r="AV208" s="174"/>
      <c r="AW208" s="174"/>
      <c r="AX208" s="174"/>
      <c r="AY208" s="174"/>
      <c r="AZ208" s="174"/>
      <c r="BA208" s="174"/>
      <c r="BB208" s="174"/>
      <c r="BC208" s="174"/>
      <c r="BD208" s="174"/>
      <c r="BE208" s="174"/>
      <c r="BF208" s="174"/>
      <c r="BG208" s="48"/>
      <c r="BH208" s="48"/>
      <c r="BI208" s="48"/>
      <c r="BJ208" s="48"/>
      <c r="BK208" s="48"/>
      <c r="BL208" s="48"/>
      <c r="BM208" s="48"/>
      <c r="BN208" s="48"/>
      <c r="BO208" s="48"/>
      <c r="BP208" s="48"/>
      <c r="BQ208" s="48"/>
      <c r="BR208" s="48"/>
      <c r="BS208" s="411">
        <f t="shared" ref="BS208:CD208" si="267">BS215/BS$219</f>
        <v>7.9297213917927087E-2</v>
      </c>
      <c r="BT208" s="411">
        <f t="shared" si="267"/>
        <v>8.5104545495857178E-2</v>
      </c>
      <c r="BU208" s="411">
        <f t="shared" si="267"/>
        <v>8.3793693491774082E-2</v>
      </c>
      <c r="BV208" s="411">
        <f t="shared" si="267"/>
        <v>8.6141141665112414E-2</v>
      </c>
      <c r="BW208" s="411">
        <f t="shared" si="267"/>
        <v>8.3305519131564851E-2</v>
      </c>
      <c r="BX208" s="411">
        <f t="shared" si="267"/>
        <v>8.2722283291670598E-2</v>
      </c>
      <c r="BY208" s="411">
        <f t="shared" si="267"/>
        <v>0.11186271681414074</v>
      </c>
      <c r="BZ208" s="411">
        <f t="shared" si="267"/>
        <v>0.12811987370053318</v>
      </c>
      <c r="CA208" s="411">
        <f t="shared" si="267"/>
        <v>0.12811987370053318</v>
      </c>
      <c r="CB208" s="411">
        <f t="shared" si="267"/>
        <v>0.12002200357950624</v>
      </c>
      <c r="CC208" s="411">
        <f t="shared" si="267"/>
        <v>0.11868247228955639</v>
      </c>
      <c r="CD208" s="411">
        <f t="shared" si="267"/>
        <v>0.11934847942922844</v>
      </c>
      <c r="CE208" s="66" t="s">
        <v>587</v>
      </c>
    </row>
    <row r="209" spans="1:83" s="66" customFormat="1">
      <c r="B209" s="266" t="s">
        <v>440</v>
      </c>
      <c r="T209" s="411">
        <f t="shared" si="265"/>
        <v>0.47316891189902327</v>
      </c>
      <c r="U209" s="411">
        <f t="shared" si="265"/>
        <v>0.45753190355236878</v>
      </c>
      <c r="V209" s="411">
        <f t="shared" si="265"/>
        <v>0.41824776861924301</v>
      </c>
      <c r="W209" s="411">
        <f t="shared" ref="W209:Y209" si="268">W216/W$219</f>
        <v>0.40697831485366898</v>
      </c>
      <c r="X209" s="411">
        <f t="shared" si="268"/>
        <v>0.40250602567945282</v>
      </c>
      <c r="Y209" s="411">
        <f t="shared" si="268"/>
        <v>0.39813096018293703</v>
      </c>
      <c r="Z209" s="339"/>
      <c r="AA209" s="339"/>
      <c r="AB209" s="339"/>
      <c r="AC209" s="339"/>
      <c r="AD209" s="339"/>
      <c r="AE209" s="339"/>
      <c r="AF209" s="339"/>
      <c r="AG209" s="339"/>
      <c r="AH209" s="339"/>
      <c r="AI209" s="339"/>
      <c r="AJ209" s="339"/>
      <c r="AK209" s="339"/>
      <c r="AL209" s="339"/>
      <c r="AM209" s="174"/>
      <c r="AN209" s="174"/>
      <c r="AO209" s="174"/>
      <c r="AP209" s="174"/>
      <c r="AQ209" s="174"/>
      <c r="AR209" s="174"/>
      <c r="AS209" s="174"/>
      <c r="AT209" s="174"/>
      <c r="AU209" s="174"/>
      <c r="AV209" s="174"/>
      <c r="AW209" s="174"/>
      <c r="AX209" s="174"/>
      <c r="AY209" s="174"/>
      <c r="AZ209" s="174"/>
      <c r="BA209" s="174"/>
      <c r="BB209" s="174"/>
      <c r="BC209" s="174"/>
      <c r="BD209" s="174"/>
      <c r="BE209" s="174"/>
      <c r="BF209" s="174"/>
      <c r="BG209" s="48"/>
      <c r="BH209" s="48"/>
      <c r="BI209" s="48"/>
      <c r="BJ209" s="48"/>
      <c r="BK209" s="48"/>
      <c r="BL209" s="48"/>
      <c r="BM209" s="48"/>
      <c r="BN209" s="48"/>
      <c r="BO209" s="48"/>
      <c r="BP209" s="48"/>
      <c r="BQ209" s="48"/>
      <c r="BR209" s="48"/>
      <c r="BS209" s="411">
        <f t="shared" ref="BS209:CD210" si="269">BS216/BS$219</f>
        <v>0.44935087886825342</v>
      </c>
      <c r="BT209" s="411">
        <f t="shared" si="269"/>
        <v>0.48225909114319065</v>
      </c>
      <c r="BU209" s="411">
        <f t="shared" si="269"/>
        <v>0.4748309297867197</v>
      </c>
      <c r="BV209" s="411">
        <f t="shared" si="269"/>
        <v>0.48813313610230369</v>
      </c>
      <c r="BW209" s="411">
        <f t="shared" si="269"/>
        <v>0.47206460841220077</v>
      </c>
      <c r="BX209" s="411">
        <f t="shared" si="269"/>
        <v>0.46875960531946664</v>
      </c>
      <c r="BY209" s="411">
        <f t="shared" si="269"/>
        <v>0.44745086725656297</v>
      </c>
      <c r="BZ209" s="411">
        <f t="shared" si="269"/>
        <v>0.44130178719072538</v>
      </c>
      <c r="CA209" s="411">
        <f t="shared" si="269"/>
        <v>0.44130178719072538</v>
      </c>
      <c r="CB209" s="411">
        <f t="shared" si="269"/>
        <v>0.4134091234405215</v>
      </c>
      <c r="CC209" s="411">
        <f t="shared" si="269"/>
        <v>0.40879518233069423</v>
      </c>
      <c r="CD209" s="411">
        <f t="shared" si="269"/>
        <v>0.41108920692289797</v>
      </c>
      <c r="CE209" s="66" t="s">
        <v>379</v>
      </c>
    </row>
    <row r="210" spans="1:83" s="66" customFormat="1">
      <c r="B210" s="266" t="s">
        <v>382</v>
      </c>
      <c r="T210" s="411">
        <f t="shared" si="265"/>
        <v>0.22166534594175097</v>
      </c>
      <c r="U210" s="411">
        <f t="shared" si="265"/>
        <v>0.22059120393748469</v>
      </c>
      <c r="V210" s="411">
        <f t="shared" si="265"/>
        <v>0.23016272992306905</v>
      </c>
      <c r="W210" s="411">
        <f t="shared" si="265"/>
        <v>0.23743334525569745</v>
      </c>
      <c r="X210" s="411">
        <f t="shared" si="265"/>
        <v>0.24031869311003046</v>
      </c>
      <c r="Y210" s="411">
        <f t="shared" si="265"/>
        <v>0.24314131601100838</v>
      </c>
      <c r="Z210" s="339"/>
      <c r="AA210" s="339"/>
      <c r="AB210" s="339"/>
      <c r="AC210" s="339"/>
      <c r="AD210" s="339"/>
      <c r="AE210" s="339"/>
      <c r="AF210" s="339"/>
      <c r="AG210" s="339"/>
      <c r="AH210" s="339"/>
      <c r="AI210" s="339"/>
      <c r="AJ210" s="339"/>
      <c r="AK210" s="339"/>
      <c r="AL210" s="339"/>
      <c r="AM210" s="174"/>
      <c r="AN210" s="174"/>
      <c r="AO210" s="174"/>
      <c r="AP210" s="174"/>
      <c r="AQ210" s="174"/>
      <c r="AR210" s="174"/>
      <c r="AS210" s="174"/>
      <c r="AT210" s="174"/>
      <c r="AU210" s="174"/>
      <c r="AV210" s="174"/>
      <c r="AW210" s="174"/>
      <c r="AX210" s="174"/>
      <c r="AY210" s="174"/>
      <c r="AZ210" s="174"/>
      <c r="BA210" s="174"/>
      <c r="BB210" s="174"/>
      <c r="BC210" s="174"/>
      <c r="BD210" s="174"/>
      <c r="BE210" s="174"/>
      <c r="BF210" s="174"/>
      <c r="BG210" s="48"/>
      <c r="BH210" s="48"/>
      <c r="BI210" s="48"/>
      <c r="BJ210" s="48"/>
      <c r="BK210" s="48"/>
      <c r="BL210" s="48"/>
      <c r="BM210" s="48"/>
      <c r="BN210" s="48"/>
      <c r="BO210" s="48"/>
      <c r="BP210" s="48"/>
      <c r="BQ210" s="48"/>
      <c r="BR210" s="48"/>
      <c r="BS210" s="411">
        <f t="shared" si="269"/>
        <v>0.23567595360690971</v>
      </c>
      <c r="BT210" s="411">
        <f t="shared" si="269"/>
        <v>0.21631818168047606</v>
      </c>
      <c r="BU210" s="411">
        <f t="shared" si="269"/>
        <v>0.22068768836075309</v>
      </c>
      <c r="BV210" s="411">
        <f t="shared" si="269"/>
        <v>0.21286286111629193</v>
      </c>
      <c r="BW210" s="411">
        <f t="shared" si="269"/>
        <v>0.22231493622811715</v>
      </c>
      <c r="BX210" s="411">
        <f t="shared" si="269"/>
        <v>0.22425905569443136</v>
      </c>
      <c r="BY210" s="411">
        <f t="shared" si="269"/>
        <v>0.22034320796464815</v>
      </c>
      <c r="BZ210" s="411">
        <f t="shared" si="269"/>
        <v>0.21528916955437072</v>
      </c>
      <c r="CA210" s="411">
        <f t="shared" si="269"/>
        <v>0.21528916955437072</v>
      </c>
      <c r="CB210" s="411">
        <f t="shared" si="269"/>
        <v>0.23328443648998615</v>
      </c>
      <c r="CC210" s="411">
        <f t="shared" si="269"/>
        <v>0.2362611726898747</v>
      </c>
      <c r="CD210" s="411">
        <f t="shared" si="269"/>
        <v>0.23478115682393683</v>
      </c>
      <c r="CE210" s="66" t="s">
        <v>610</v>
      </c>
    </row>
    <row r="211" spans="1:83" s="66" customFormat="1">
      <c r="B211" s="266" t="s">
        <v>508</v>
      </c>
      <c r="T211" s="411">
        <f t="shared" si="265"/>
        <v>0.22166534594175097</v>
      </c>
      <c r="U211" s="411">
        <f t="shared" si="265"/>
        <v>0.22059120393748469</v>
      </c>
      <c r="V211" s="411">
        <f t="shared" si="265"/>
        <v>0.23016272992306905</v>
      </c>
      <c r="W211" s="411">
        <f t="shared" ref="W211:Y211" si="270">W218/W$219</f>
        <v>0.23743334525569745</v>
      </c>
      <c r="X211" s="411">
        <f t="shared" si="270"/>
        <v>0.24031869311003046</v>
      </c>
      <c r="Y211" s="411">
        <f t="shared" si="270"/>
        <v>0.24314131601100838</v>
      </c>
      <c r="Z211" s="339"/>
      <c r="AA211" s="339"/>
      <c r="AB211" s="339"/>
      <c r="AC211" s="339"/>
      <c r="AD211" s="339"/>
      <c r="AE211" s="339"/>
      <c r="AF211" s="339"/>
      <c r="AG211" s="339"/>
      <c r="AH211" s="339"/>
      <c r="AI211" s="339"/>
      <c r="AJ211" s="339"/>
      <c r="AK211" s="339"/>
      <c r="AL211" s="339"/>
      <c r="AM211" s="174"/>
      <c r="AN211" s="174"/>
      <c r="AO211" s="174"/>
      <c r="AP211" s="174"/>
      <c r="AQ211" s="174"/>
      <c r="AR211" s="174"/>
      <c r="AS211" s="174"/>
      <c r="AT211" s="174"/>
      <c r="AU211" s="174"/>
      <c r="AV211" s="174"/>
      <c r="AW211" s="174"/>
      <c r="AX211" s="174"/>
      <c r="AY211" s="174"/>
      <c r="AZ211" s="174"/>
      <c r="BA211" s="174"/>
      <c r="BB211" s="174"/>
      <c r="BC211" s="174"/>
      <c r="BD211" s="174"/>
      <c r="BE211" s="174"/>
      <c r="BF211" s="174"/>
      <c r="BG211" s="48"/>
      <c r="BH211" s="48"/>
      <c r="BI211" s="48"/>
      <c r="BJ211" s="48"/>
      <c r="BK211" s="48"/>
      <c r="BL211" s="48"/>
      <c r="BM211" s="48"/>
      <c r="BN211" s="48"/>
      <c r="BO211" s="48"/>
      <c r="BP211" s="48"/>
      <c r="BQ211" s="48"/>
      <c r="BR211" s="48"/>
      <c r="BS211" s="411">
        <f t="shared" ref="BS211:CD211" si="271">BS218/BS$219</f>
        <v>0.23567595360690971</v>
      </c>
      <c r="BT211" s="411">
        <f t="shared" si="271"/>
        <v>0.21631818168047606</v>
      </c>
      <c r="BU211" s="411">
        <f t="shared" si="271"/>
        <v>0.22068768836075309</v>
      </c>
      <c r="BV211" s="411">
        <f t="shared" si="271"/>
        <v>0.21286286111629193</v>
      </c>
      <c r="BW211" s="411">
        <f t="shared" si="271"/>
        <v>0.22231493622811715</v>
      </c>
      <c r="BX211" s="411">
        <f t="shared" si="271"/>
        <v>0.22425905569443136</v>
      </c>
      <c r="BY211" s="411">
        <f t="shared" si="271"/>
        <v>0.22034320796464815</v>
      </c>
      <c r="BZ211" s="411">
        <f t="shared" si="271"/>
        <v>0.21528916955437072</v>
      </c>
      <c r="CA211" s="411">
        <f t="shared" si="271"/>
        <v>0.21528916955437072</v>
      </c>
      <c r="CB211" s="411">
        <f t="shared" si="271"/>
        <v>0.23328443648998615</v>
      </c>
      <c r="CC211" s="411">
        <f t="shared" si="271"/>
        <v>0.2362611726898747</v>
      </c>
      <c r="CD211" s="411">
        <f t="shared" si="271"/>
        <v>0.23478115682393683</v>
      </c>
    </row>
    <row r="212" spans="1:83" s="66" customFormat="1">
      <c r="B212" s="267" t="s">
        <v>380</v>
      </c>
      <c r="T212" s="453">
        <f t="shared" ref="T212:Y212" si="272">SUM(T208:T211)</f>
        <v>1</v>
      </c>
      <c r="U212" s="453">
        <f t="shared" si="272"/>
        <v>0.99999999999999989</v>
      </c>
      <c r="V212" s="453">
        <f t="shared" si="272"/>
        <v>1</v>
      </c>
      <c r="W212" s="453">
        <f t="shared" si="272"/>
        <v>1</v>
      </c>
      <c r="X212" s="453">
        <f t="shared" si="272"/>
        <v>1</v>
      </c>
      <c r="Y212" s="453">
        <f t="shared" si="272"/>
        <v>1</v>
      </c>
      <c r="Z212" s="339"/>
      <c r="AA212" s="339"/>
      <c r="AB212" s="339"/>
      <c r="AC212" s="339"/>
      <c r="AD212" s="339"/>
      <c r="AE212" s="339"/>
      <c r="AF212" s="339"/>
      <c r="AG212" s="339"/>
      <c r="AH212" s="339"/>
      <c r="AI212" s="339"/>
      <c r="AJ212" s="339"/>
      <c r="AK212" s="339"/>
      <c r="AL212" s="339"/>
      <c r="AM212" s="433"/>
      <c r="AN212" s="433"/>
      <c r="AO212" s="433"/>
      <c r="AP212" s="433"/>
      <c r="AQ212" s="433"/>
      <c r="AR212" s="433"/>
      <c r="AS212" s="433"/>
      <c r="AT212" s="433"/>
      <c r="AU212" s="433"/>
      <c r="AV212" s="433"/>
      <c r="AW212" s="433"/>
      <c r="AX212" s="433"/>
      <c r="AY212" s="433"/>
      <c r="AZ212" s="433"/>
      <c r="BA212" s="433"/>
      <c r="BB212" s="433"/>
      <c r="BC212" s="433"/>
      <c r="BD212" s="433"/>
      <c r="BE212" s="433"/>
      <c r="BF212" s="433"/>
      <c r="BG212" s="48"/>
      <c r="BH212" s="48"/>
      <c r="BI212" s="48"/>
      <c r="BJ212" s="48"/>
      <c r="BK212" s="48"/>
      <c r="BL212" s="48"/>
      <c r="BM212" s="48"/>
      <c r="BN212" s="48"/>
      <c r="BO212" s="48"/>
      <c r="BP212" s="48"/>
      <c r="BQ212" s="48"/>
      <c r="BR212" s="48"/>
      <c r="BS212" s="453">
        <f t="shared" ref="BS212:CD212" si="273">SUM(BS208:BS211)</f>
        <v>1</v>
      </c>
      <c r="BT212" s="453">
        <f t="shared" si="273"/>
        <v>1</v>
      </c>
      <c r="BU212" s="453">
        <f t="shared" si="273"/>
        <v>1</v>
      </c>
      <c r="BV212" s="453">
        <f t="shared" si="273"/>
        <v>1</v>
      </c>
      <c r="BW212" s="453">
        <f t="shared" si="273"/>
        <v>0.99999999999999989</v>
      </c>
      <c r="BX212" s="453">
        <f t="shared" si="273"/>
        <v>1</v>
      </c>
      <c r="BY212" s="453">
        <f t="shared" si="273"/>
        <v>1</v>
      </c>
      <c r="BZ212" s="453">
        <f t="shared" si="273"/>
        <v>1</v>
      </c>
      <c r="CA212" s="453">
        <f t="shared" si="273"/>
        <v>1</v>
      </c>
      <c r="CB212" s="453">
        <f t="shared" si="273"/>
        <v>1</v>
      </c>
      <c r="CC212" s="453">
        <f t="shared" si="273"/>
        <v>1</v>
      </c>
      <c r="CD212" s="453">
        <f t="shared" si="273"/>
        <v>1</v>
      </c>
    </row>
    <row r="213" spans="1:83" s="66" customFormat="1">
      <c r="B213" s="267"/>
      <c r="G213" s="269"/>
      <c r="T213" s="67"/>
      <c r="U213" s="67"/>
      <c r="V213" s="67"/>
      <c r="W213" s="67"/>
      <c r="X213" s="67"/>
      <c r="Y213" s="67"/>
      <c r="AM213" s="67"/>
      <c r="AN213" s="67"/>
      <c r="AO213" s="67"/>
      <c r="AP213" s="67"/>
      <c r="AQ213" s="67"/>
      <c r="AR213" s="67"/>
      <c r="AS213" s="67"/>
      <c r="AT213" s="67"/>
      <c r="AU213" s="67"/>
      <c r="AV213" s="67"/>
      <c r="AW213" s="67"/>
      <c r="AX213" s="67"/>
      <c r="AY213" s="67"/>
      <c r="AZ213" s="67"/>
      <c r="BA213" s="67"/>
      <c r="BB213" s="67"/>
      <c r="BC213" s="67"/>
      <c r="BD213" s="67"/>
      <c r="BE213" s="67"/>
      <c r="BF213" s="67"/>
      <c r="BG213" s="36"/>
      <c r="BH213" s="36"/>
      <c r="BI213" s="36"/>
      <c r="BJ213" s="36"/>
      <c r="BK213" s="36"/>
      <c r="BL213" s="36"/>
      <c r="BM213" s="36"/>
      <c r="BN213" s="36"/>
      <c r="BO213" s="36"/>
      <c r="BP213" s="36"/>
      <c r="BQ213" s="36"/>
      <c r="BR213" s="36"/>
      <c r="BS213" s="67"/>
      <c r="BT213" s="67"/>
      <c r="BU213" s="67"/>
      <c r="BV213" s="67"/>
      <c r="BW213" s="67"/>
      <c r="BX213" s="67"/>
      <c r="BY213" s="67"/>
      <c r="BZ213" s="67"/>
      <c r="CA213" s="5"/>
    </row>
    <row r="214" spans="1:83">
      <c r="A214" s="34"/>
      <c r="B214" s="149" t="s">
        <v>365</v>
      </c>
      <c r="G214" s="269"/>
      <c r="T214" s="36"/>
      <c r="U214" s="24"/>
      <c r="V214" s="24"/>
      <c r="W214" s="36"/>
      <c r="X214" s="36"/>
      <c r="Y214" s="36"/>
      <c r="BG214" s="36"/>
      <c r="BH214" s="36"/>
      <c r="BI214" s="36"/>
      <c r="BJ214" s="36"/>
      <c r="BK214" s="36"/>
      <c r="BL214" s="36"/>
      <c r="BM214" s="36"/>
      <c r="BN214" s="36"/>
      <c r="BO214" s="36"/>
      <c r="BP214" s="36"/>
      <c r="BQ214" s="36"/>
      <c r="BR214" s="36"/>
      <c r="BS214" s="246"/>
      <c r="BT214" s="246"/>
      <c r="BU214" s="246"/>
      <c r="BV214" s="246"/>
      <c r="BW214" s="246"/>
      <c r="BX214" s="246"/>
      <c r="BY214" s="246"/>
      <c r="BZ214" s="246"/>
      <c r="CA214" s="34"/>
    </row>
    <row r="215" spans="1:83">
      <c r="A215" s="34"/>
      <c r="B215" s="266" t="s">
        <v>375</v>
      </c>
      <c r="G215" s="269"/>
      <c r="T215" s="36">
        <f>SUM(BS215:BV215)</f>
        <v>408.23732196316791</v>
      </c>
      <c r="U215" s="36">
        <f>SUM(BW215:BZ215)</f>
        <v>493.28676403882787</v>
      </c>
      <c r="V215" s="36">
        <f>SUM(CA215:CD215)</f>
        <v>612.35598294475187</v>
      </c>
      <c r="W215" s="40">
        <f>(3000/1.1023)*0.225</f>
        <v>612.35598294475187</v>
      </c>
      <c r="X215" s="40">
        <f>(3000/1.1023)*0.225</f>
        <v>612.35598294475187</v>
      </c>
      <c r="Y215" s="40">
        <f>(3000/1.1023)*0.225</f>
        <v>612.35598294475187</v>
      </c>
      <c r="Z215" s="36"/>
      <c r="BG215" s="36"/>
      <c r="BH215" s="36"/>
      <c r="BI215" s="36"/>
      <c r="BJ215" s="36"/>
      <c r="BK215" s="36"/>
      <c r="BL215" s="36"/>
      <c r="BM215" s="36"/>
      <c r="BN215" s="36"/>
      <c r="BO215" s="36"/>
      <c r="BP215" s="36"/>
      <c r="BQ215" s="36"/>
      <c r="BR215" s="36"/>
      <c r="BS215" s="40">
        <f t="shared" ref="BS215:BX215" si="274">((3000/4)/1.1023)*0.15</f>
        <v>102.05933049079198</v>
      </c>
      <c r="BT215" s="40">
        <f t="shared" si="274"/>
        <v>102.05933049079198</v>
      </c>
      <c r="BU215" s="40">
        <f t="shared" si="274"/>
        <v>102.05933049079198</v>
      </c>
      <c r="BV215" s="40">
        <f t="shared" si="274"/>
        <v>102.05933049079198</v>
      </c>
      <c r="BW215" s="40">
        <f t="shared" si="274"/>
        <v>102.05933049079198</v>
      </c>
      <c r="BX215" s="40">
        <f t="shared" si="274"/>
        <v>102.05933049079198</v>
      </c>
      <c r="BY215" s="40">
        <f>((3000/4)/1.1023)*0.2</f>
        <v>136.07910732105597</v>
      </c>
      <c r="BZ215" s="155">
        <f>((3000/4)/1.1023)*0.225</f>
        <v>153.08899573618797</v>
      </c>
      <c r="CA215" s="155">
        <f>((3000/4)/1.1023)*0.225</f>
        <v>153.08899573618797</v>
      </c>
      <c r="CB215" s="155">
        <f>((3000/4)/1.1023)*0.225</f>
        <v>153.08899573618797</v>
      </c>
      <c r="CC215" s="155">
        <f>((3000/4)/1.1023)*0.225</f>
        <v>153.08899573618797</v>
      </c>
      <c r="CD215" s="155">
        <f>((3000/4)/1.1023)*0.225</f>
        <v>153.08899573618797</v>
      </c>
    </row>
    <row r="216" spans="1:83">
      <c r="A216" s="34"/>
      <c r="B216" s="266" t="s">
        <v>440</v>
      </c>
      <c r="G216" s="269"/>
      <c r="T216" s="36">
        <f>SUM(BS216:BV216)</f>
        <v>2313.3448244579513</v>
      </c>
      <c r="U216" s="36">
        <f>SUM(BW216:BZ216)</f>
        <v>2228.2953823822913</v>
      </c>
      <c r="V216" s="36">
        <f>SUM(CA216:CD216)</f>
        <v>2109.2261634763677</v>
      </c>
      <c r="W216" s="40">
        <f>((3000/1.1023)-W215)</f>
        <v>2109.2261634763677</v>
      </c>
      <c r="X216" s="40">
        <f t="shared" ref="X216:Y216" si="275">((3000/1.1023)-X215)</f>
        <v>2109.2261634763677</v>
      </c>
      <c r="Y216" s="40">
        <f t="shared" si="275"/>
        <v>2109.2261634763677</v>
      </c>
      <c r="Z216" s="36"/>
      <c r="BS216" s="40">
        <f t="shared" ref="BS216:BY216" si="276">((3000/4)/1.1023)-BS215</f>
        <v>578.33620611448782</v>
      </c>
      <c r="BT216" s="40">
        <f t="shared" si="276"/>
        <v>578.33620611448782</v>
      </c>
      <c r="BU216" s="40">
        <f t="shared" si="276"/>
        <v>578.33620611448782</v>
      </c>
      <c r="BV216" s="40">
        <f t="shared" si="276"/>
        <v>578.33620611448782</v>
      </c>
      <c r="BW216" s="40">
        <f t="shared" si="276"/>
        <v>578.33620611448782</v>
      </c>
      <c r="BX216" s="40">
        <f t="shared" si="276"/>
        <v>578.33620611448782</v>
      </c>
      <c r="BY216" s="40">
        <f t="shared" si="276"/>
        <v>544.31642928422389</v>
      </c>
      <c r="BZ216" s="40">
        <f t="shared" ref="BZ216:CD216" si="277">((3000/4)/1.1023)-BZ215</f>
        <v>527.30654086909192</v>
      </c>
      <c r="CA216" s="40">
        <f t="shared" si="277"/>
        <v>527.30654086909192</v>
      </c>
      <c r="CB216" s="40">
        <f t="shared" si="277"/>
        <v>527.30654086909192</v>
      </c>
      <c r="CC216" s="40">
        <f t="shared" si="277"/>
        <v>527.30654086909192</v>
      </c>
      <c r="CD216" s="40">
        <f t="shared" si="277"/>
        <v>527.30654086909192</v>
      </c>
    </row>
    <row r="217" spans="1:83">
      <c r="A217" s="34"/>
      <c r="B217" s="266" t="s">
        <v>382</v>
      </c>
      <c r="T217" s="36">
        <f>SUM(BS217:BV217)</f>
        <v>1083.7321892894406</v>
      </c>
      <c r="U217" s="36">
        <f>SUM(BW217:BZ217)</f>
        <v>1074.3346142894402</v>
      </c>
      <c r="V217" s="36">
        <f>SUM(CA217:CD217)</f>
        <v>1160.7121142894407</v>
      </c>
      <c r="W217" s="36">
        <f>(W205-SUM(W215:W216))/2</f>
        <v>1230.5339267894406</v>
      </c>
      <c r="X217" s="36">
        <f t="shared" ref="X217:Y217" si="278">(X205-SUM(X215:X216))/2</f>
        <v>1259.3264267894406</v>
      </c>
      <c r="Y217" s="36">
        <f t="shared" si="278"/>
        <v>1288.1189267894406</v>
      </c>
      <c r="Z217" s="36"/>
      <c r="BS217" s="36">
        <f>(BS205-SUM(BS215:BS216))/2</f>
        <v>303.3262941973602</v>
      </c>
      <c r="BT217" s="36">
        <f t="shared" ref="BT217:CD217" si="279">(BT205-SUM(BT215:BT216))/2</f>
        <v>259.41374419736007</v>
      </c>
      <c r="BU217" s="36">
        <f t="shared" si="279"/>
        <v>268.79394836402673</v>
      </c>
      <c r="BV217" s="36">
        <f t="shared" si="279"/>
        <v>252.19820253069361</v>
      </c>
      <c r="BW217" s="36">
        <f t="shared" si="279"/>
        <v>272.36266919736011</v>
      </c>
      <c r="BX217" s="36">
        <f t="shared" si="279"/>
        <v>276.68154419736004</v>
      </c>
      <c r="BY217" s="36">
        <f t="shared" si="279"/>
        <v>268.04379419736006</v>
      </c>
      <c r="BZ217" s="36">
        <f t="shared" si="279"/>
        <v>257.24660669736011</v>
      </c>
      <c r="CA217" s="36">
        <f t="shared" si="279"/>
        <v>257.24660669736011</v>
      </c>
      <c r="CB217" s="36">
        <f t="shared" si="279"/>
        <v>297.55610669736018</v>
      </c>
      <c r="CC217" s="36">
        <f t="shared" si="279"/>
        <v>304.75423169736018</v>
      </c>
      <c r="CD217" s="36">
        <f t="shared" si="279"/>
        <v>301.15516919736012</v>
      </c>
    </row>
    <row r="218" spans="1:83">
      <c r="A218" s="34"/>
      <c r="B218" s="266" t="s">
        <v>508</v>
      </c>
      <c r="T218" s="36">
        <f>SUM(BS218:BV218)</f>
        <v>1083.7321892894406</v>
      </c>
      <c r="U218" s="36">
        <f>SUM(BW218:BZ218)</f>
        <v>1074.3346142894402</v>
      </c>
      <c r="V218" s="36">
        <f>SUM(CA218:CD218)</f>
        <v>1160.7121142894407</v>
      </c>
      <c r="W218" s="36">
        <f t="shared" ref="W218" si="280">W205-SUM(W215:W217)</f>
        <v>1230.5339267894406</v>
      </c>
      <c r="X218" s="36">
        <f t="shared" ref="X218" si="281">X205-SUM(X215:X217)</f>
        <v>1259.3264267894406</v>
      </c>
      <c r="Y218" s="36">
        <f t="shared" ref="Y218" si="282">Y205-SUM(Y215:Y217)</f>
        <v>1288.1189267894406</v>
      </c>
      <c r="Z218" s="36"/>
      <c r="BS218" s="36">
        <f t="shared" ref="BS218:CD218" si="283">BS205-SUM(BS215:BS217)</f>
        <v>303.3262941973602</v>
      </c>
      <c r="BT218" s="36">
        <f t="shared" si="283"/>
        <v>259.41374419736007</v>
      </c>
      <c r="BU218" s="36">
        <f t="shared" si="283"/>
        <v>268.79394836402673</v>
      </c>
      <c r="BV218" s="36">
        <f t="shared" si="283"/>
        <v>252.19820253069361</v>
      </c>
      <c r="BW218" s="36">
        <f t="shared" si="283"/>
        <v>272.36266919736011</v>
      </c>
      <c r="BX218" s="36">
        <f t="shared" si="283"/>
        <v>276.68154419736004</v>
      </c>
      <c r="BY218" s="36">
        <f t="shared" si="283"/>
        <v>268.04379419736006</v>
      </c>
      <c r="BZ218" s="36">
        <f t="shared" si="283"/>
        <v>257.24660669736011</v>
      </c>
      <c r="CA218" s="36">
        <f t="shared" si="283"/>
        <v>257.24660669736011</v>
      </c>
      <c r="CB218" s="36">
        <f t="shared" si="283"/>
        <v>297.55610669736018</v>
      </c>
      <c r="CC218" s="36">
        <f t="shared" si="283"/>
        <v>304.75423169736018</v>
      </c>
      <c r="CD218" s="36">
        <f t="shared" si="283"/>
        <v>301.15516919736012</v>
      </c>
    </row>
    <row r="219" spans="1:83">
      <c r="A219" s="34"/>
      <c r="B219" s="244" t="s">
        <v>380</v>
      </c>
      <c r="T219" s="254">
        <f t="shared" ref="T219:Y219" si="284">SUM(T215:T218)</f>
        <v>4889.0465250000007</v>
      </c>
      <c r="U219" s="254">
        <f t="shared" si="284"/>
        <v>4870.2513749999998</v>
      </c>
      <c r="V219" s="254">
        <f t="shared" si="284"/>
        <v>5043.0063750000008</v>
      </c>
      <c r="W219" s="254">
        <f t="shared" si="284"/>
        <v>5182.6500000000005</v>
      </c>
      <c r="X219" s="254">
        <f t="shared" si="284"/>
        <v>5240.2350000000006</v>
      </c>
      <c r="Y219" s="254">
        <f t="shared" si="284"/>
        <v>5297.8200000000006</v>
      </c>
      <c r="Z219" s="36"/>
      <c r="BS219" s="254">
        <f t="shared" ref="BS219:CD219" si="285">SUM(BS215:BS218)</f>
        <v>1287.0481250000003</v>
      </c>
      <c r="BT219" s="254">
        <f t="shared" si="285"/>
        <v>1199.223025</v>
      </c>
      <c r="BU219" s="254">
        <f t="shared" si="285"/>
        <v>1217.9834333333333</v>
      </c>
      <c r="BV219" s="254">
        <f t="shared" si="285"/>
        <v>1184.7919416666671</v>
      </c>
      <c r="BW219" s="254">
        <f t="shared" si="285"/>
        <v>1225.1208750000001</v>
      </c>
      <c r="BX219" s="254">
        <f t="shared" si="285"/>
        <v>1233.7586249999999</v>
      </c>
      <c r="BY219" s="254">
        <f t="shared" si="285"/>
        <v>1216.483125</v>
      </c>
      <c r="BZ219" s="254">
        <f t="shared" si="285"/>
        <v>1194.8887500000001</v>
      </c>
      <c r="CA219" s="254">
        <f t="shared" si="285"/>
        <v>1194.8887500000001</v>
      </c>
      <c r="CB219" s="254">
        <f t="shared" si="285"/>
        <v>1275.5077500000002</v>
      </c>
      <c r="CC219" s="254">
        <f t="shared" si="285"/>
        <v>1289.9040000000002</v>
      </c>
      <c r="CD219" s="254">
        <f t="shared" si="285"/>
        <v>1282.7058750000001</v>
      </c>
    </row>
    <row r="220" spans="1:83">
      <c r="A220" s="34"/>
      <c r="B220" s="244"/>
      <c r="T220" s="91"/>
      <c r="U220" s="91"/>
      <c r="V220" s="91"/>
      <c r="W220" s="91"/>
      <c r="X220" s="91"/>
      <c r="Y220" s="91"/>
      <c r="Z220" s="36"/>
      <c r="BS220" s="91"/>
      <c r="BT220" s="91"/>
      <c r="BU220" s="91"/>
      <c r="BV220" s="91"/>
      <c r="BW220" s="91"/>
      <c r="BX220" s="91"/>
      <c r="BY220" s="91"/>
      <c r="BZ220" s="91"/>
      <c r="CA220" s="91"/>
      <c r="CB220" s="91"/>
      <c r="CC220" s="91"/>
      <c r="CD220" s="91"/>
    </row>
    <row r="221" spans="1:83" s="7" customFormat="1">
      <c r="B221" s="287" t="s">
        <v>566</v>
      </c>
      <c r="C221" s="5"/>
      <c r="D221" s="5"/>
      <c r="E221" s="5"/>
      <c r="F221" s="5"/>
      <c r="G221" s="5"/>
      <c r="H221" s="5"/>
      <c r="I221" s="5"/>
      <c r="J221" s="5"/>
      <c r="K221" s="5"/>
      <c r="L221" s="280"/>
      <c r="M221" s="280"/>
      <c r="N221" s="280"/>
      <c r="O221" s="280"/>
      <c r="P221" s="280"/>
      <c r="Q221" s="280"/>
      <c r="R221" s="280"/>
      <c r="S221" s="280"/>
      <c r="T221" s="280"/>
      <c r="U221" s="280">
        <f>+U219/T219-1</f>
        <v>-3.8443385441092603E-3</v>
      </c>
      <c r="V221" s="280">
        <f>+V219/U219-1</f>
        <v>3.5471475022169852E-2</v>
      </c>
      <c r="W221" s="280">
        <f>+W219/V219-1</f>
        <v>2.7690550956323001E-2</v>
      </c>
      <c r="X221" s="280">
        <f>+X219/W219-1</f>
        <v>1.1111111111111072E-2</v>
      </c>
      <c r="Y221" s="280">
        <f>+Y219/X219-1</f>
        <v>1.098901098901095E-2</v>
      </c>
      <c r="Z221" s="48"/>
      <c r="AA221" s="48"/>
      <c r="AB221" s="48"/>
      <c r="AC221" s="48"/>
      <c r="AD221" s="48"/>
      <c r="AE221" s="48"/>
      <c r="AF221" s="48"/>
      <c r="AG221" s="48"/>
      <c r="AH221" s="48"/>
      <c r="AI221" s="48"/>
      <c r="AJ221" s="48"/>
      <c r="AK221" s="48"/>
      <c r="AL221" s="48"/>
      <c r="AM221" s="280"/>
      <c r="AN221" s="280"/>
      <c r="AO221" s="280"/>
      <c r="AP221" s="280"/>
      <c r="AQ221" s="280"/>
      <c r="AR221" s="280"/>
      <c r="AS221" s="280"/>
      <c r="AT221" s="280"/>
      <c r="AU221" s="280"/>
      <c r="AV221" s="280"/>
      <c r="AW221" s="280"/>
      <c r="AX221" s="280"/>
      <c r="AY221" s="280"/>
      <c r="AZ221" s="280"/>
      <c r="BA221" s="280"/>
      <c r="BB221" s="280"/>
      <c r="BC221" s="280"/>
      <c r="BD221" s="280"/>
      <c r="BE221" s="280"/>
      <c r="BF221" s="280"/>
      <c r="BG221" s="280"/>
      <c r="BH221" s="280"/>
      <c r="BI221" s="280"/>
      <c r="BJ221" s="280"/>
      <c r="BK221" s="280"/>
      <c r="BL221" s="280"/>
      <c r="BM221" s="280"/>
      <c r="BN221" s="280"/>
      <c r="BO221" s="280"/>
      <c r="BP221" s="280"/>
      <c r="BQ221" s="280"/>
      <c r="BR221" s="280"/>
      <c r="BS221" s="280"/>
      <c r="BT221" s="280"/>
      <c r="BU221" s="280"/>
      <c r="BV221" s="280"/>
      <c r="BW221" s="280">
        <f t="shared" ref="BW221" si="286">+BW219/BS219-1</f>
        <v>-4.811572216850879E-2</v>
      </c>
      <c r="BX221" s="280">
        <f t="shared" ref="BX221" si="287">+BX219/BT219-1</f>
        <v>2.8798312974352758E-2</v>
      </c>
      <c r="BY221" s="280">
        <f t="shared" ref="BY221" si="288">+BY219/BU219-1</f>
        <v>-1.2317969951589625E-3</v>
      </c>
      <c r="BZ221" s="280">
        <f t="shared" ref="BZ221" si="289">+BZ219/BV219-1</f>
        <v>8.5220096273863621E-3</v>
      </c>
      <c r="CA221" s="280">
        <f t="shared" ref="CA221" si="290">+CA219/BW219-1</f>
        <v>-2.4676850763807323E-2</v>
      </c>
      <c r="CB221" s="280">
        <f t="shared" ref="CB221" si="291">+CB219/BX219-1</f>
        <v>3.3838973162193975E-2</v>
      </c>
      <c r="CC221" s="280">
        <f t="shared" ref="CC221" si="292">+CC219/BY219-1</f>
        <v>6.035502958579908E-2</v>
      </c>
      <c r="CD221" s="280">
        <f t="shared" ref="CD221" si="293">+CD219/BZ219-1</f>
        <v>7.3493975903614395E-2</v>
      </c>
    </row>
    <row r="222" spans="1:83" s="7" customFormat="1">
      <c r="B222" s="287" t="s">
        <v>567</v>
      </c>
      <c r="C222" s="5"/>
      <c r="D222" s="5"/>
      <c r="E222" s="5"/>
      <c r="F222" s="5"/>
      <c r="G222" s="5"/>
      <c r="H222" s="5"/>
      <c r="I222" s="5"/>
      <c r="J222" s="5"/>
      <c r="K222" s="5"/>
      <c r="L222" s="280"/>
      <c r="M222" s="280"/>
      <c r="N222" s="280"/>
      <c r="O222" s="280"/>
      <c r="P222" s="280"/>
      <c r="Q222" s="280"/>
      <c r="R222" s="280"/>
      <c r="S222" s="280"/>
      <c r="T222" s="280"/>
      <c r="U222" s="280"/>
      <c r="V222" s="280"/>
      <c r="W222" s="280"/>
      <c r="X222" s="280"/>
      <c r="Y222" s="280"/>
      <c r="Z222" s="48"/>
      <c r="AA222" s="48"/>
      <c r="AB222" s="48"/>
      <c r="AC222" s="48"/>
      <c r="AD222" s="48"/>
      <c r="AE222" s="48"/>
      <c r="AF222" s="48"/>
      <c r="AG222" s="48"/>
      <c r="AH222" s="48"/>
      <c r="AI222" s="48"/>
      <c r="AJ222" s="48"/>
      <c r="AK222" s="48"/>
      <c r="AL222" s="48"/>
      <c r="AM222" s="280"/>
      <c r="AN222" s="280"/>
      <c r="AO222" s="280"/>
      <c r="AP222" s="280"/>
      <c r="AQ222" s="280"/>
      <c r="AR222" s="280"/>
      <c r="AS222" s="280"/>
      <c r="AT222" s="280"/>
      <c r="AU222" s="280"/>
      <c r="AV222" s="280"/>
      <c r="AW222" s="280"/>
      <c r="AX222" s="280"/>
      <c r="AY222" s="280"/>
      <c r="AZ222" s="280"/>
      <c r="BA222" s="280"/>
      <c r="BB222" s="280"/>
      <c r="BC222" s="280"/>
      <c r="BD222" s="280"/>
      <c r="BE222" s="280"/>
      <c r="BF222" s="280"/>
      <c r="BG222" s="280"/>
      <c r="BH222" s="280"/>
      <c r="BI222" s="280"/>
      <c r="BJ222" s="280"/>
      <c r="BK222" s="280"/>
      <c r="BL222" s="280"/>
      <c r="BM222" s="280"/>
      <c r="BN222" s="280"/>
      <c r="BO222" s="280"/>
      <c r="BP222" s="280"/>
      <c r="BQ222" s="280"/>
      <c r="BR222" s="280"/>
      <c r="BS222" s="209"/>
      <c r="BT222" s="209">
        <f>BT219/BS219-1</f>
        <v>-6.8237619319790555E-2</v>
      </c>
      <c r="BU222" s="209">
        <f t="shared" ref="BU222:CD222" si="294">BU219/BT219-1</f>
        <v>1.564380264741283E-2</v>
      </c>
      <c r="BV222" s="209">
        <f t="shared" si="294"/>
        <v>-2.7251184834122921E-2</v>
      </c>
      <c r="BW222" s="209">
        <f t="shared" si="294"/>
        <v>3.4038831557717808E-2</v>
      </c>
      <c r="BX222" s="209">
        <f t="shared" si="294"/>
        <v>7.0505287896591717E-3</v>
      </c>
      <c r="BY222" s="209">
        <f t="shared" si="294"/>
        <v>-1.4002333722286986E-2</v>
      </c>
      <c r="BZ222" s="209">
        <f t="shared" si="294"/>
        <v>-1.7751479289940697E-2</v>
      </c>
      <c r="CA222" s="209">
        <f t="shared" si="294"/>
        <v>0</v>
      </c>
      <c r="CB222" s="209">
        <f t="shared" si="294"/>
        <v>6.7469879518072373E-2</v>
      </c>
      <c r="CC222" s="209">
        <f t="shared" si="294"/>
        <v>1.1286681715575675E-2</v>
      </c>
      <c r="CD222" s="209">
        <f t="shared" si="294"/>
        <v>-5.5803571428572063E-3</v>
      </c>
    </row>
    <row r="223" spans="1:83" s="7" customFormat="1" hidden="1" outlineLevel="1">
      <c r="B223" s="287"/>
      <c r="C223" s="5"/>
      <c r="D223" s="5"/>
      <c r="E223" s="5"/>
      <c r="F223" s="5"/>
      <c r="G223" s="5"/>
      <c r="H223" s="5"/>
      <c r="I223" s="5"/>
      <c r="J223" s="5"/>
      <c r="K223" s="5"/>
      <c r="L223" s="280"/>
      <c r="M223" s="280"/>
      <c r="N223" s="280"/>
      <c r="O223" s="280"/>
      <c r="P223" s="280"/>
      <c r="Q223" s="280"/>
      <c r="R223" s="280"/>
      <c r="S223" s="280"/>
      <c r="T223" s="280"/>
      <c r="U223" s="280"/>
      <c r="V223" s="280"/>
      <c r="W223" s="280"/>
      <c r="X223" s="280"/>
      <c r="Y223" s="280"/>
      <c r="Z223" s="5"/>
      <c r="AA223" s="5"/>
      <c r="AB223" s="5"/>
      <c r="AC223" s="5"/>
      <c r="AD223" s="5"/>
      <c r="AE223" s="5"/>
      <c r="AF223" s="5"/>
      <c r="AG223" s="5"/>
      <c r="AH223" s="5"/>
      <c r="AI223" s="5"/>
      <c r="AJ223" s="5"/>
      <c r="AK223" s="5"/>
      <c r="AL223" s="5"/>
      <c r="AM223" s="280"/>
      <c r="AN223" s="280"/>
      <c r="AO223" s="280"/>
      <c r="AP223" s="280"/>
      <c r="AQ223" s="280"/>
      <c r="AR223" s="280"/>
      <c r="AS223" s="280"/>
      <c r="AT223" s="280"/>
      <c r="AU223" s="280"/>
      <c r="AV223" s="280"/>
      <c r="AW223" s="280"/>
      <c r="AX223" s="280"/>
      <c r="AY223" s="280"/>
      <c r="AZ223" s="280"/>
      <c r="BA223" s="280"/>
      <c r="BB223" s="280"/>
      <c r="BC223" s="280"/>
      <c r="BD223" s="280"/>
      <c r="BE223" s="280"/>
      <c r="BF223" s="280"/>
      <c r="BG223" s="280"/>
      <c r="BH223" s="280"/>
      <c r="BI223" s="280"/>
      <c r="BJ223" s="280"/>
      <c r="BK223" s="280"/>
      <c r="BL223" s="280"/>
      <c r="BM223" s="280"/>
      <c r="BN223" s="280"/>
      <c r="BO223" s="280"/>
      <c r="BP223" s="280"/>
      <c r="BQ223" s="280"/>
      <c r="BR223" s="280"/>
      <c r="BS223" s="280"/>
      <c r="BT223" s="209"/>
      <c r="BU223" s="209"/>
      <c r="BV223" s="209"/>
      <c r="BW223" s="209"/>
      <c r="BX223" s="209"/>
      <c r="BY223" s="209"/>
      <c r="BZ223" s="209"/>
      <c r="CA223" s="209"/>
      <c r="CB223" s="209"/>
      <c r="CC223" s="209"/>
      <c r="CD223" s="209"/>
    </row>
    <row r="224" spans="1:83" hidden="1" outlineLevel="1">
      <c r="B224" s="287" t="s">
        <v>593</v>
      </c>
      <c r="C224" s="75"/>
      <c r="D224" s="75"/>
      <c r="E224" s="75"/>
      <c r="F224" s="75"/>
      <c r="G224" s="75"/>
      <c r="H224" s="75"/>
      <c r="I224" s="331"/>
      <c r="J224" s="331"/>
      <c r="K224" s="331"/>
      <c r="L224" s="331"/>
      <c r="M224" s="331"/>
      <c r="N224" s="331"/>
      <c r="O224" s="331"/>
      <c r="P224" s="331"/>
      <c r="Q224" s="331"/>
      <c r="R224" s="331"/>
      <c r="S224" s="331"/>
      <c r="T224" s="333"/>
      <c r="U224" s="333"/>
      <c r="V224" s="333"/>
      <c r="W224" s="333"/>
      <c r="X224" s="333"/>
      <c r="Y224" s="333"/>
      <c r="Z224" s="331"/>
      <c r="AA224" s="331"/>
      <c r="AB224" s="331"/>
      <c r="AC224" s="331"/>
      <c r="AD224" s="331"/>
      <c r="AE224" s="331"/>
      <c r="AF224" s="331"/>
      <c r="AG224" s="331"/>
      <c r="AH224" s="331"/>
      <c r="AI224" s="331"/>
      <c r="AJ224" s="331"/>
      <c r="AK224" s="331"/>
      <c r="AL224" s="331"/>
      <c r="AM224" s="334"/>
      <c r="AN224" s="334"/>
      <c r="AO224" s="334"/>
      <c r="AP224" s="334"/>
      <c r="AQ224" s="334"/>
      <c r="AR224" s="334"/>
      <c r="AS224" s="334"/>
      <c r="AT224" s="334"/>
      <c r="AU224" s="334"/>
      <c r="AV224" s="334"/>
      <c r="AW224" s="334"/>
      <c r="AX224" s="334"/>
      <c r="AY224" s="334"/>
      <c r="AZ224" s="334"/>
      <c r="BA224" s="334"/>
      <c r="BB224" s="334"/>
      <c r="BC224" s="334"/>
      <c r="BD224" s="334"/>
      <c r="BE224" s="334"/>
      <c r="BF224" s="334"/>
      <c r="BG224" s="334"/>
      <c r="BH224" s="334"/>
      <c r="BI224" s="334"/>
      <c r="BJ224" s="334"/>
      <c r="BK224" s="334"/>
      <c r="BL224" s="334"/>
      <c r="BM224" s="334"/>
      <c r="BN224" s="334"/>
      <c r="BO224" s="334"/>
      <c r="BP224" s="335"/>
      <c r="BQ224" s="335"/>
      <c r="BR224" s="335"/>
      <c r="BS224" s="400" t="s">
        <v>516</v>
      </c>
      <c r="BT224" s="400" t="s">
        <v>516</v>
      </c>
      <c r="BU224" s="400" t="s">
        <v>516</v>
      </c>
      <c r="BV224" s="400" t="s">
        <v>514</v>
      </c>
      <c r="BW224" s="400" t="s">
        <v>511</v>
      </c>
      <c r="BX224" s="400" t="s">
        <v>515</v>
      </c>
      <c r="BY224" s="400" t="s">
        <v>512</v>
      </c>
      <c r="BZ224" s="400" t="s">
        <v>514</v>
      </c>
    </row>
    <row r="225" spans="2:90" s="7" customFormat="1" hidden="1" outlineLevel="1">
      <c r="B225" s="287" t="s">
        <v>592</v>
      </c>
      <c r="C225" s="75"/>
      <c r="D225" s="75"/>
      <c r="E225" s="75"/>
      <c r="F225" s="75"/>
      <c r="G225" s="75"/>
      <c r="H225" s="75"/>
      <c r="I225" s="331"/>
      <c r="J225" s="331"/>
      <c r="K225" s="331"/>
      <c r="L225" s="331"/>
      <c r="M225" s="331"/>
      <c r="N225" s="331"/>
      <c r="O225" s="331"/>
      <c r="P225" s="331"/>
      <c r="Q225" s="331"/>
      <c r="R225" s="331"/>
      <c r="S225" s="331"/>
      <c r="T225" s="333"/>
      <c r="U225" s="75"/>
      <c r="V225" s="91"/>
      <c r="W225" s="333"/>
      <c r="X225" s="333"/>
      <c r="Y225" s="75"/>
      <c r="Z225" s="331"/>
      <c r="AA225" s="331"/>
      <c r="AB225" s="331"/>
      <c r="AC225" s="331"/>
      <c r="AD225" s="331"/>
      <c r="AE225" s="331"/>
      <c r="AF225" s="331"/>
      <c r="AG225" s="331"/>
      <c r="AH225" s="331"/>
      <c r="AI225" s="331"/>
      <c r="AJ225" s="331"/>
      <c r="AK225" s="331"/>
      <c r="AL225" s="331"/>
      <c r="AM225" s="334"/>
      <c r="AN225" s="334"/>
      <c r="AO225" s="334"/>
      <c r="AP225" s="334"/>
      <c r="AQ225" s="334"/>
      <c r="AR225" s="334"/>
      <c r="AS225" s="334"/>
      <c r="AT225" s="334"/>
      <c r="AU225" s="334"/>
      <c r="AV225" s="334"/>
      <c r="AW225" s="334"/>
      <c r="AX225" s="334"/>
      <c r="AY225" s="334"/>
      <c r="AZ225" s="334"/>
      <c r="BA225" s="334"/>
      <c r="BB225" s="334"/>
      <c r="BC225" s="334"/>
      <c r="BD225" s="334"/>
      <c r="BE225" s="334"/>
      <c r="BF225" s="334"/>
      <c r="BG225" s="334"/>
      <c r="BH225" s="334"/>
      <c r="BI225" s="334"/>
      <c r="BJ225" s="334"/>
      <c r="BK225" s="334"/>
      <c r="BL225" s="334"/>
      <c r="BM225" s="334"/>
      <c r="BN225" s="334"/>
      <c r="BO225" s="334"/>
      <c r="BP225" s="335"/>
      <c r="BQ225" s="335"/>
      <c r="BR225" s="335"/>
      <c r="BS225" s="400" t="s">
        <v>514</v>
      </c>
      <c r="BT225" s="400" t="s">
        <v>514</v>
      </c>
      <c r="BU225" s="400" t="s">
        <v>511</v>
      </c>
      <c r="BV225" s="400" t="s">
        <v>515</v>
      </c>
      <c r="BW225" s="400" t="s">
        <v>514</v>
      </c>
      <c r="BX225" s="400" t="s">
        <v>515</v>
      </c>
      <c r="BY225" s="400" t="s">
        <v>515</v>
      </c>
      <c r="BZ225" s="400" t="s">
        <v>513</v>
      </c>
      <c r="CA225" s="280"/>
      <c r="CB225" s="280"/>
      <c r="CC225" s="280"/>
      <c r="CD225" s="280"/>
    </row>
    <row r="226" spans="2:90" collapsed="1">
      <c r="B226" s="332"/>
      <c r="C226" s="75"/>
      <c r="D226" s="75"/>
      <c r="E226" s="75"/>
      <c r="F226" s="75"/>
      <c r="G226" s="75"/>
      <c r="H226" s="75"/>
      <c r="I226" s="331"/>
      <c r="J226" s="331"/>
      <c r="K226" s="331"/>
      <c r="L226" s="331"/>
      <c r="M226" s="331"/>
      <c r="N226" s="331"/>
      <c r="O226" s="331"/>
      <c r="P226" s="331"/>
      <c r="Q226" s="331"/>
      <c r="R226" s="331"/>
      <c r="S226" s="331"/>
      <c r="T226" s="333"/>
      <c r="U226" s="333"/>
      <c r="V226" s="333"/>
      <c r="W226" s="505"/>
      <c r="X226" s="333"/>
      <c r="Y226" s="333"/>
      <c r="Z226" s="331"/>
      <c r="AA226" s="331"/>
      <c r="AB226" s="331"/>
      <c r="AC226" s="331"/>
      <c r="AD226" s="331"/>
      <c r="AE226" s="331"/>
      <c r="AF226" s="331"/>
      <c r="AG226" s="331"/>
      <c r="AH226" s="331"/>
      <c r="AI226" s="331"/>
      <c r="AJ226" s="331"/>
      <c r="AK226" s="331"/>
      <c r="AL226" s="331"/>
      <c r="AM226" s="334"/>
      <c r="AN226" s="334"/>
      <c r="AO226" s="334"/>
      <c r="AP226" s="334"/>
      <c r="AQ226" s="334"/>
      <c r="AR226" s="334"/>
      <c r="AS226" s="334"/>
      <c r="AT226" s="334"/>
      <c r="AU226" s="334"/>
      <c r="AV226" s="334"/>
      <c r="AW226" s="334"/>
      <c r="AX226" s="334"/>
      <c r="AY226" s="334"/>
      <c r="AZ226" s="334"/>
      <c r="BA226" s="334"/>
      <c r="BB226" s="334"/>
      <c r="BC226" s="334"/>
      <c r="BD226" s="334"/>
      <c r="BE226" s="334"/>
      <c r="BF226" s="334"/>
      <c r="BG226" s="334"/>
      <c r="BH226" s="334"/>
      <c r="BI226" s="334"/>
      <c r="BJ226" s="334"/>
      <c r="BK226" s="334"/>
      <c r="BL226" s="334"/>
      <c r="BM226" s="334"/>
      <c r="BN226" s="334"/>
      <c r="BO226" s="334"/>
      <c r="BP226" s="335"/>
      <c r="BQ226" s="335"/>
      <c r="BR226" s="335"/>
      <c r="BS226" s="400"/>
      <c r="BT226" s="400"/>
      <c r="BU226" s="400"/>
      <c r="BV226" s="489"/>
      <c r="BW226" s="400"/>
      <c r="BX226" s="489"/>
      <c r="BY226" s="400"/>
      <c r="BZ226" s="489"/>
    </row>
    <row r="227" spans="2:90">
      <c r="B227" s="149" t="s">
        <v>473</v>
      </c>
      <c r="T227" s="17"/>
      <c r="U227" s="426"/>
      <c r="V227" s="470"/>
      <c r="W227" s="470"/>
      <c r="X227" s="470"/>
      <c r="Y227" s="470"/>
      <c r="BS227" s="17"/>
      <c r="BT227" s="17"/>
      <c r="BU227" s="17"/>
      <c r="BW227" s="488"/>
      <c r="BX227" s="488"/>
      <c r="BZ227" s="490"/>
    </row>
    <row r="228" spans="2:90">
      <c r="B228" s="266" t="s">
        <v>375</v>
      </c>
      <c r="T228" s="426">
        <f t="shared" ref="T228:Y228" si="295">+T247</f>
        <v>258</v>
      </c>
      <c r="U228" s="426">
        <f t="shared" si="295"/>
        <v>428.9379310344828</v>
      </c>
      <c r="V228" s="426">
        <f>+V247</f>
        <v>599.42916666666656</v>
      </c>
      <c r="W228" s="426">
        <f t="shared" si="295"/>
        <v>637.87982188422473</v>
      </c>
      <c r="X228" s="426">
        <f t="shared" si="295"/>
        <v>672.10396757892624</v>
      </c>
      <c r="Y228" s="426">
        <f t="shared" si="295"/>
        <v>709.24080652424072</v>
      </c>
      <c r="Z228" s="14"/>
      <c r="AA228" s="397"/>
      <c r="AB228" s="397"/>
      <c r="AC228" s="397"/>
      <c r="AD228" s="397"/>
      <c r="AE228" s="397"/>
      <c r="AF228" s="397"/>
      <c r="AG228" s="397"/>
      <c r="AH228" s="397"/>
      <c r="AI228" s="397"/>
      <c r="AJ228" s="397"/>
      <c r="AK228" s="397"/>
      <c r="AL228" s="397"/>
      <c r="AM228" s="397"/>
      <c r="AN228" s="397"/>
      <c r="AO228" s="397"/>
      <c r="AP228" s="397"/>
      <c r="AQ228" s="397"/>
      <c r="AR228" s="397"/>
      <c r="AS228" s="397"/>
      <c r="AT228" s="397"/>
      <c r="AU228" s="397"/>
      <c r="AV228" s="397"/>
      <c r="AW228" s="397"/>
      <c r="AX228" s="397"/>
      <c r="AY228" s="397"/>
      <c r="AZ228" s="397"/>
      <c r="BA228" s="397"/>
      <c r="BB228" s="397"/>
      <c r="BC228" s="397"/>
      <c r="BD228" s="397"/>
      <c r="BE228" s="397"/>
      <c r="BF228" s="397"/>
      <c r="BG228" s="397"/>
      <c r="BH228" s="397"/>
      <c r="BI228" s="397"/>
      <c r="BJ228" s="397"/>
      <c r="BK228" s="397"/>
      <c r="BL228" s="397"/>
      <c r="BM228" s="397"/>
      <c r="BN228" s="397"/>
      <c r="BO228" s="397"/>
      <c r="BP228" s="397"/>
      <c r="BQ228" s="397"/>
      <c r="BR228" s="397"/>
      <c r="BS228" s="426">
        <f>+BS247</f>
        <v>238.5</v>
      </c>
      <c r="BT228" s="426">
        <f t="shared" ref="BT228:BW228" si="296">+BT247</f>
        <v>223.5</v>
      </c>
      <c r="BU228" s="426">
        <f t="shared" si="296"/>
        <v>264</v>
      </c>
      <c r="BV228" s="426">
        <f t="shared" si="296"/>
        <v>306</v>
      </c>
      <c r="BW228" s="426">
        <f t="shared" si="296"/>
        <v>355.95</v>
      </c>
      <c r="BX228" s="426">
        <f>+BX247</f>
        <v>396.6</v>
      </c>
      <c r="BY228" s="426">
        <f>+BY247</f>
        <v>424.5</v>
      </c>
      <c r="BZ228" s="426">
        <f t="shared" ref="BZ228" si="297">+BZ247</f>
        <v>503.09999999999997</v>
      </c>
      <c r="CA228" s="426">
        <f>+CA247</f>
        <v>578.4666666666667</v>
      </c>
      <c r="CB228" s="426">
        <f t="shared" ref="CB228:CD228" si="298">+CB247</f>
        <v>606.41666666666663</v>
      </c>
      <c r="CC228" s="426">
        <f t="shared" si="298"/>
        <v>606.41666666666663</v>
      </c>
      <c r="CD228" s="426">
        <f t="shared" si="298"/>
        <v>606.41666666666663</v>
      </c>
    </row>
    <row r="229" spans="2:90">
      <c r="B229" s="266" t="s">
        <v>440</v>
      </c>
      <c r="T229" s="426">
        <f t="shared" ref="T229:Y229" si="299">T255</f>
        <v>252.91498958333335</v>
      </c>
      <c r="U229" s="426">
        <f t="shared" si="299"/>
        <v>335.83393956743009</v>
      </c>
      <c r="V229" s="426">
        <f t="shared" si="299"/>
        <v>433.69791666666663</v>
      </c>
      <c r="W229" s="426">
        <f t="shared" si="299"/>
        <v>465.71179600073384</v>
      </c>
      <c r="X229" s="426">
        <f t="shared" si="299"/>
        <v>500.53499357915973</v>
      </c>
      <c r="Y229" s="426">
        <f t="shared" si="299"/>
        <v>538.32186754723898</v>
      </c>
      <c r="Z229" s="14"/>
      <c r="AA229" s="397"/>
      <c r="AB229" s="397"/>
      <c r="AC229" s="397"/>
      <c r="AD229" s="397"/>
      <c r="AE229" s="397"/>
      <c r="AF229" s="397"/>
      <c r="AG229" s="397"/>
      <c r="AH229" s="397"/>
      <c r="AI229" s="397"/>
      <c r="AJ229" s="397"/>
      <c r="AK229" s="397"/>
      <c r="AL229" s="397"/>
      <c r="AM229" s="397"/>
      <c r="AN229" s="397"/>
      <c r="AO229" s="397"/>
      <c r="AP229" s="397"/>
      <c r="AQ229" s="397"/>
      <c r="AR229" s="397"/>
      <c r="AS229" s="397"/>
      <c r="AT229" s="397"/>
      <c r="AU229" s="397"/>
      <c r="AV229" s="397"/>
      <c r="AW229" s="397"/>
      <c r="AX229" s="397"/>
      <c r="AY229" s="397"/>
      <c r="AZ229" s="397"/>
      <c r="BA229" s="397"/>
      <c r="BB229" s="397"/>
      <c r="BC229" s="397"/>
      <c r="BD229" s="397"/>
      <c r="BE229" s="397"/>
      <c r="BF229" s="397"/>
      <c r="BG229" s="397"/>
      <c r="BH229" s="397"/>
      <c r="BI229" s="397"/>
      <c r="BJ229" s="397"/>
      <c r="BK229" s="397"/>
      <c r="BL229" s="397"/>
      <c r="BM229" s="397"/>
      <c r="BN229" s="397"/>
      <c r="BO229" s="397"/>
      <c r="BP229" s="397"/>
      <c r="BQ229" s="397"/>
      <c r="BR229" s="397"/>
      <c r="BS229" s="426">
        <f t="shared" ref="BS229:BW229" si="300">BS255</f>
        <v>238.56212500000001</v>
      </c>
      <c r="BT229" s="426">
        <f t="shared" si="300"/>
        <v>230.75416666666669</v>
      </c>
      <c r="BU229" s="426">
        <f t="shared" si="300"/>
        <v>255.55591666666669</v>
      </c>
      <c r="BV229" s="426">
        <f t="shared" si="300"/>
        <v>286.78775000000002</v>
      </c>
      <c r="BW229" s="426">
        <f t="shared" si="300"/>
        <v>310.85037499999999</v>
      </c>
      <c r="BX229" s="426">
        <f>BX255</f>
        <v>322.66666666666669</v>
      </c>
      <c r="BY229" s="426">
        <f>BY255</f>
        <v>346.5</v>
      </c>
      <c r="BZ229" s="426">
        <f t="shared" ref="BZ229" si="301">BZ255</f>
        <v>366.66666666666669</v>
      </c>
      <c r="CA229" s="426">
        <f t="shared" ref="CA229:CD229" si="302">CA255</f>
        <v>406.54166666666663</v>
      </c>
      <c r="CB229" s="426">
        <f t="shared" si="302"/>
        <v>440.91666666666663</v>
      </c>
      <c r="CC229" s="426">
        <f t="shared" si="302"/>
        <v>443.66666666666663</v>
      </c>
      <c r="CD229" s="426">
        <f t="shared" si="302"/>
        <v>443.66666666666663</v>
      </c>
    </row>
    <row r="230" spans="2:90">
      <c r="B230" s="266" t="s">
        <v>382</v>
      </c>
      <c r="T230" s="426">
        <f t="shared" ref="T230:Y230" si="303">+T263</f>
        <v>164.5097892552657</v>
      </c>
      <c r="U230" s="426">
        <f t="shared" si="303"/>
        <v>174.16006980571521</v>
      </c>
      <c r="V230" s="426">
        <f t="shared" si="303"/>
        <v>175.96817041508712</v>
      </c>
      <c r="W230" s="426">
        <f t="shared" si="303"/>
        <v>174.63921381670059</v>
      </c>
      <c r="X230" s="426">
        <f t="shared" si="303"/>
        <v>185.22483206660985</v>
      </c>
      <c r="Y230" s="426">
        <f t="shared" si="303"/>
        <v>187.3366970481072</v>
      </c>
      <c r="Z230" s="14"/>
      <c r="AA230" s="397"/>
      <c r="AB230" s="397"/>
      <c r="AC230" s="397"/>
      <c r="AD230" s="397"/>
      <c r="AE230" s="397"/>
      <c r="AF230" s="397"/>
      <c r="AG230" s="397"/>
      <c r="AH230" s="397"/>
      <c r="AI230" s="397"/>
      <c r="AJ230" s="397"/>
      <c r="AK230" s="397"/>
      <c r="AL230" s="397"/>
      <c r="AM230" s="397"/>
      <c r="AN230" s="397"/>
      <c r="AO230" s="397"/>
      <c r="AP230" s="397"/>
      <c r="AQ230" s="397"/>
      <c r="AR230" s="397"/>
      <c r="AS230" s="397"/>
      <c r="AT230" s="397"/>
      <c r="AU230" s="397"/>
      <c r="AV230" s="397"/>
      <c r="AW230" s="397"/>
      <c r="AX230" s="397"/>
      <c r="AY230" s="397"/>
      <c r="AZ230" s="397"/>
      <c r="BA230" s="397"/>
      <c r="BB230" s="397"/>
      <c r="BC230" s="397"/>
      <c r="BD230" s="397"/>
      <c r="BE230" s="397"/>
      <c r="BF230" s="397"/>
      <c r="BG230" s="397"/>
      <c r="BH230" s="397"/>
      <c r="BI230" s="397"/>
      <c r="BJ230" s="397"/>
      <c r="BK230" s="397"/>
      <c r="BL230" s="397"/>
      <c r="BM230" s="397"/>
      <c r="BN230" s="397"/>
      <c r="BO230" s="397"/>
      <c r="BP230" s="397"/>
      <c r="BQ230" s="397"/>
      <c r="BR230" s="397"/>
      <c r="BS230" s="426">
        <f t="shared" ref="BS230:CD230" si="304">+BS263</f>
        <v>160.13459055523808</v>
      </c>
      <c r="BT230" s="426">
        <f t="shared" si="304"/>
        <v>158.52192406285712</v>
      </c>
      <c r="BU230" s="426">
        <f t="shared" si="304"/>
        <v>167.29832849714285</v>
      </c>
      <c r="BV230" s="426">
        <f t="shared" si="304"/>
        <v>172.95911539238094</v>
      </c>
      <c r="BW230" s="426">
        <f t="shared" si="304"/>
        <v>177.45921700571429</v>
      </c>
      <c r="BX230" s="426">
        <f t="shared" si="304"/>
        <v>175.60739459999996</v>
      </c>
      <c r="BY230" s="426">
        <f t="shared" si="304"/>
        <v>171.45396128666664</v>
      </c>
      <c r="BZ230" s="426">
        <f t="shared" si="304"/>
        <v>171.93008120095237</v>
      </c>
      <c r="CA230" s="426">
        <f t="shared" si="304"/>
        <v>178.2644524047619</v>
      </c>
      <c r="CB230" s="426">
        <f t="shared" si="304"/>
        <v>173.40232158857143</v>
      </c>
      <c r="CC230" s="426">
        <f t="shared" si="304"/>
        <v>174.56080739428572</v>
      </c>
      <c r="CD230" s="426">
        <f t="shared" si="304"/>
        <v>177.96605434666665</v>
      </c>
    </row>
    <row r="231" spans="2:90">
      <c r="B231" s="266" t="s">
        <v>508</v>
      </c>
      <c r="T231" s="426">
        <f t="shared" ref="T231:Y231" si="305">+T268</f>
        <v>137.09149104605478</v>
      </c>
      <c r="U231" s="426">
        <f t="shared" si="305"/>
        <v>145.13339150476267</v>
      </c>
      <c r="V231" s="426">
        <f t="shared" si="305"/>
        <v>146.64014201257262</v>
      </c>
      <c r="W231" s="426">
        <f t="shared" si="305"/>
        <v>145.53267818058387</v>
      </c>
      <c r="X231" s="426">
        <f t="shared" si="305"/>
        <v>154.35402672217492</v>
      </c>
      <c r="Y231" s="426">
        <f t="shared" si="305"/>
        <v>156.11391420675602</v>
      </c>
      <c r="Z231" s="14"/>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426">
        <f t="shared" ref="BS231:CD231" si="306">+BS268</f>
        <v>133.44549212936508</v>
      </c>
      <c r="BT231" s="426">
        <f t="shared" si="306"/>
        <v>132.10160338571427</v>
      </c>
      <c r="BU231" s="426">
        <f t="shared" si="306"/>
        <v>139.41527374761904</v>
      </c>
      <c r="BV231" s="426">
        <f t="shared" si="306"/>
        <v>144.13259616031746</v>
      </c>
      <c r="BW231" s="426">
        <f t="shared" si="306"/>
        <v>147.88268083809524</v>
      </c>
      <c r="BX231" s="426">
        <f t="shared" si="306"/>
        <v>146.33949549999997</v>
      </c>
      <c r="BY231" s="426">
        <f t="shared" si="306"/>
        <v>142.8783010722222</v>
      </c>
      <c r="BZ231" s="426">
        <f t="shared" si="306"/>
        <v>143.27506766746032</v>
      </c>
      <c r="CA231" s="426">
        <f t="shared" si="306"/>
        <v>148.5537103373016</v>
      </c>
      <c r="CB231" s="426">
        <f t="shared" si="306"/>
        <v>144.50193465714287</v>
      </c>
      <c r="CC231" s="426">
        <f t="shared" si="306"/>
        <v>145.46733949523809</v>
      </c>
      <c r="CD231" s="426">
        <f t="shared" si="306"/>
        <v>148.30504528888889</v>
      </c>
    </row>
    <row r="232" spans="2:90">
      <c r="B232" s="267" t="s">
        <v>380</v>
      </c>
      <c r="T232" s="277">
        <f t="shared" ref="T232:Y232" si="307">+T199/T219*1000</f>
        <v>208.06916478267431</v>
      </c>
      <c r="U232" s="277">
        <f t="shared" si="307"/>
        <v>267.53334438738295</v>
      </c>
      <c r="V232" s="277">
        <f t="shared" si="307"/>
        <v>328.43234425689263</v>
      </c>
      <c r="W232" s="277">
        <f t="shared" si="307"/>
        <v>340.92277225008007</v>
      </c>
      <c r="X232" s="277">
        <f t="shared" si="307"/>
        <v>361.61527503102758</v>
      </c>
      <c r="Y232" s="277">
        <f t="shared" si="307"/>
        <v>379.80823270714518</v>
      </c>
      <c r="Z232" s="14"/>
      <c r="BS232" s="277">
        <f t="shared" ref="BS232:CD232" si="308">+BS199/BS219*1000</f>
        <v>195.30025199954301</v>
      </c>
      <c r="BT232" s="277">
        <f t="shared" si="308"/>
        <v>193.17131362373598</v>
      </c>
      <c r="BU232" s="277">
        <f t="shared" si="308"/>
        <v>211.15530447335516</v>
      </c>
      <c r="BV232" s="277">
        <f t="shared" si="308"/>
        <v>233.84684211011719</v>
      </c>
      <c r="BW232" s="277">
        <f t="shared" si="308"/>
        <v>248.72242335552235</v>
      </c>
      <c r="BX232" s="277">
        <f t="shared" si="308"/>
        <v>256.26026242747599</v>
      </c>
      <c r="BY232" s="277">
        <f t="shared" si="308"/>
        <v>271.78842784694478</v>
      </c>
      <c r="BZ232" s="277">
        <f t="shared" si="308"/>
        <v>294.12801850114664</v>
      </c>
      <c r="CA232" s="277">
        <f t="shared" si="308"/>
        <v>323.88105119282193</v>
      </c>
      <c r="CB232" s="277">
        <f t="shared" si="308"/>
        <v>329.22443129037168</v>
      </c>
      <c r="CC232" s="277">
        <f t="shared" si="308"/>
        <v>328.95005040952947</v>
      </c>
      <c r="CD232" s="277">
        <f t="shared" si="308"/>
        <v>331.36379141598729</v>
      </c>
    </row>
    <row r="233" spans="2:90" s="7" customFormat="1">
      <c r="B233" s="267" t="s">
        <v>509</v>
      </c>
      <c r="I233" s="57"/>
      <c r="J233" s="57"/>
      <c r="K233" s="57"/>
      <c r="L233" s="57"/>
      <c r="M233" s="57"/>
      <c r="N233" s="57"/>
      <c r="O233" s="57"/>
      <c r="P233" s="57"/>
      <c r="Q233" s="57"/>
      <c r="R233" s="57"/>
      <c r="S233" s="57"/>
      <c r="T233" s="94">
        <f t="shared" ref="T233:Y233" si="309">SUM(T195:T196)/SUM(T215:T216)*1000</f>
        <v>253.67774114583329</v>
      </c>
      <c r="U233" s="94">
        <f t="shared" si="309"/>
        <v>352.7090380208333</v>
      </c>
      <c r="V233" s="94">
        <f t="shared" si="309"/>
        <v>470.98744791666667</v>
      </c>
      <c r="W233" s="94">
        <f t="shared" si="309"/>
        <v>504.44960182451939</v>
      </c>
      <c r="X233" s="94">
        <f t="shared" si="309"/>
        <v>539.13801272910723</v>
      </c>
      <c r="Y233" s="94">
        <f t="shared" si="309"/>
        <v>576.77862881706449</v>
      </c>
      <c r="Z233" s="14"/>
      <c r="AA233" s="57"/>
      <c r="AB233" s="57"/>
      <c r="AC233" s="57"/>
      <c r="AD233" s="57"/>
      <c r="AE233" s="57"/>
      <c r="AF233" s="57"/>
      <c r="AG233" s="57"/>
      <c r="AH233" s="57"/>
      <c r="AI233" s="57"/>
      <c r="AJ233" s="57"/>
      <c r="AK233" s="57"/>
      <c r="AL233" s="57"/>
      <c r="AM233" s="58"/>
      <c r="AN233" s="58"/>
      <c r="AO233" s="58"/>
      <c r="AP233" s="58"/>
      <c r="AQ233" s="58"/>
      <c r="AR233" s="58"/>
      <c r="AS233" s="58"/>
      <c r="AT233" s="58"/>
      <c r="AU233" s="58"/>
      <c r="AV233" s="58"/>
      <c r="AW233" s="58"/>
      <c r="AX233" s="58"/>
      <c r="AY233" s="58"/>
      <c r="AZ233" s="58"/>
      <c r="BA233" s="58"/>
      <c r="BB233" s="58"/>
      <c r="BC233" s="58"/>
      <c r="BD233" s="58"/>
      <c r="BE233" s="58"/>
      <c r="BF233" s="58"/>
      <c r="BG233" s="58"/>
      <c r="BH233" s="58"/>
      <c r="BI233" s="58"/>
      <c r="BJ233" s="58"/>
      <c r="BK233" s="58"/>
      <c r="BL233" s="58"/>
      <c r="BM233" s="58"/>
      <c r="BN233" s="58"/>
      <c r="BO233" s="58"/>
      <c r="BP233" s="65"/>
      <c r="BQ233" s="65"/>
      <c r="BR233" s="65"/>
      <c r="BS233" s="94">
        <f t="shared" ref="BS233:CD233" si="310">SUM(BS195:BS196)/SUM(BS215:BS216)*1000</f>
        <v>238.55280625</v>
      </c>
      <c r="BT233" s="94">
        <f t="shared" si="310"/>
        <v>229.66604166666664</v>
      </c>
      <c r="BU233" s="94">
        <f t="shared" si="310"/>
        <v>256.82252916666664</v>
      </c>
      <c r="BV233" s="94">
        <f t="shared" si="310"/>
        <v>289.66958749999998</v>
      </c>
      <c r="BW233" s="94">
        <f t="shared" si="310"/>
        <v>317.61531874999991</v>
      </c>
      <c r="BX233" s="94">
        <f t="shared" si="310"/>
        <v>333.75666666666666</v>
      </c>
      <c r="BY233" s="94">
        <f t="shared" si="310"/>
        <v>362.1</v>
      </c>
      <c r="BZ233" s="94">
        <f t="shared" si="310"/>
        <v>397.36416666666668</v>
      </c>
      <c r="CA233" s="94">
        <f t="shared" si="310"/>
        <v>445.22479166666665</v>
      </c>
      <c r="CB233" s="94">
        <f t="shared" si="310"/>
        <v>478.15416666666658</v>
      </c>
      <c r="CC233" s="94">
        <f t="shared" si="310"/>
        <v>480.28541666666661</v>
      </c>
      <c r="CD233" s="94">
        <f t="shared" si="310"/>
        <v>480.28541666666661</v>
      </c>
    </row>
    <row r="234" spans="2:90">
      <c r="T234" s="17"/>
      <c r="U234" s="17"/>
      <c r="V234" s="17"/>
      <c r="W234" s="17"/>
      <c r="X234" s="17"/>
      <c r="Y234" s="17"/>
      <c r="BS234" s="17"/>
      <c r="BT234" s="17"/>
      <c r="BU234" s="17"/>
      <c r="BX234" s="17"/>
    </row>
    <row r="235" spans="2:90">
      <c r="B235" s="287" t="s">
        <v>588</v>
      </c>
      <c r="T235" s="17"/>
      <c r="U235" s="288">
        <f>+U232/T232-1</f>
        <v>0.28579044697381395</v>
      </c>
      <c r="V235" s="288">
        <f>+V232/U232-1</f>
        <v>0.22763143790154672</v>
      </c>
      <c r="W235" s="288">
        <f>+W232/V232-1</f>
        <v>3.8030444356654813E-2</v>
      </c>
      <c r="X235" s="288">
        <f>+X232/W232-1</f>
        <v>6.0695572326769476E-2</v>
      </c>
      <c r="Y235" s="288">
        <f>+Y232/X232-1</f>
        <v>5.0310257702904204E-2</v>
      </c>
      <c r="Z235" s="69"/>
      <c r="AA235" s="69"/>
      <c r="AB235" s="69"/>
      <c r="AC235" s="69"/>
      <c r="AD235" s="69"/>
      <c r="AE235" s="69"/>
      <c r="AF235" s="69"/>
      <c r="AG235" s="69"/>
      <c r="AH235" s="69"/>
      <c r="AI235" s="69"/>
      <c r="AJ235" s="69"/>
      <c r="AK235" s="69"/>
      <c r="AL235" s="69"/>
      <c r="AM235" s="69"/>
      <c r="AN235" s="69"/>
      <c r="AO235" s="69"/>
      <c r="AP235" s="69"/>
      <c r="AQ235" s="69"/>
      <c r="AR235" s="69"/>
      <c r="AS235" s="69"/>
      <c r="AT235" s="69"/>
      <c r="AU235" s="69"/>
      <c r="AV235" s="69"/>
      <c r="AW235" s="69"/>
      <c r="AX235" s="69"/>
      <c r="AY235" s="69"/>
      <c r="AZ235" s="69"/>
      <c r="BA235" s="69"/>
      <c r="BB235" s="69"/>
      <c r="BC235" s="294"/>
      <c r="BD235" s="294"/>
      <c r="BE235" s="294"/>
      <c r="BF235" s="294"/>
      <c r="BG235" s="294"/>
      <c r="BH235" s="294"/>
      <c r="BI235" s="294"/>
      <c r="BJ235" s="294"/>
      <c r="BK235" s="294"/>
      <c r="BL235" s="294"/>
      <c r="BM235" s="294"/>
      <c r="BN235" s="294"/>
      <c r="BO235" s="294"/>
      <c r="BP235" s="294"/>
      <c r="BQ235" s="294"/>
      <c r="BR235" s="294"/>
      <c r="BS235" s="297"/>
      <c r="BT235" s="297"/>
      <c r="BU235" s="297"/>
      <c r="BV235" s="288"/>
      <c r="BW235" s="288">
        <f t="shared" ref="BW235:CD235" si="311">+BW232/BS232-1</f>
        <v>0.27353867088765638</v>
      </c>
      <c r="BX235" s="288">
        <f t="shared" si="311"/>
        <v>0.32659584707606371</v>
      </c>
      <c r="BY235" s="288">
        <f t="shared" si="311"/>
        <v>0.28714942077735328</v>
      </c>
      <c r="BZ235" s="288">
        <f t="shared" si="311"/>
        <v>0.25778058770040335</v>
      </c>
      <c r="CA235" s="288">
        <f t="shared" si="311"/>
        <v>0.30217873733832312</v>
      </c>
      <c r="CB235" s="288">
        <f t="shared" si="311"/>
        <v>0.28472681707155134</v>
      </c>
      <c r="CC235" s="288">
        <f t="shared" si="311"/>
        <v>0.2103166165513668</v>
      </c>
      <c r="CD235" s="288">
        <f t="shared" si="311"/>
        <v>0.12659716372683993</v>
      </c>
    </row>
    <row r="236" spans="2:90">
      <c r="B236" s="287" t="s">
        <v>589</v>
      </c>
      <c r="T236" s="17"/>
      <c r="U236" s="288"/>
      <c r="V236" s="288"/>
      <c r="W236" s="288"/>
      <c r="X236" s="288"/>
      <c r="Y236" s="288"/>
      <c r="Z236" s="69"/>
      <c r="AA236" s="69"/>
      <c r="AB236" s="69"/>
      <c r="AC236" s="69"/>
      <c r="AD236" s="69"/>
      <c r="AE236" s="69"/>
      <c r="AF236" s="69"/>
      <c r="AG236" s="69"/>
      <c r="AH236" s="69"/>
      <c r="AI236" s="69"/>
      <c r="AJ236" s="69"/>
      <c r="AK236" s="69"/>
      <c r="AL236" s="69"/>
      <c r="AM236" s="69"/>
      <c r="AN236" s="69"/>
      <c r="AO236" s="69"/>
      <c r="AP236" s="69"/>
      <c r="AQ236" s="69"/>
      <c r="AR236" s="69"/>
      <c r="AS236" s="69"/>
      <c r="AT236" s="69"/>
      <c r="AU236" s="69"/>
      <c r="AV236" s="69"/>
      <c r="AW236" s="69"/>
      <c r="AX236" s="69"/>
      <c r="AY236" s="69"/>
      <c r="AZ236" s="69"/>
      <c r="BA236" s="69"/>
      <c r="BB236" s="69"/>
      <c r="BC236" s="294"/>
      <c r="BD236" s="294"/>
      <c r="BE236" s="294"/>
      <c r="BF236" s="294"/>
      <c r="BG236" s="294"/>
      <c r="BH236" s="294"/>
      <c r="BI236" s="294"/>
      <c r="BJ236" s="294"/>
      <c r="BK236" s="294"/>
      <c r="BL236" s="294"/>
      <c r="BM236" s="294"/>
      <c r="BN236" s="294"/>
      <c r="BO236" s="294"/>
      <c r="BP236" s="294"/>
      <c r="BQ236" s="294"/>
      <c r="BR236" s="294"/>
      <c r="BS236" s="297"/>
      <c r="BT236" s="288">
        <f t="shared" ref="BT236:CD236" si="312">+BT232/BS232-1</f>
        <v>-1.0900848073723934E-2</v>
      </c>
      <c r="BU236" s="288">
        <f t="shared" si="312"/>
        <v>9.3098662074891925E-2</v>
      </c>
      <c r="BV236" s="288">
        <f t="shared" si="312"/>
        <v>0.10746373477738236</v>
      </c>
      <c r="BW236" s="288">
        <f t="shared" si="312"/>
        <v>6.3612495730861029E-2</v>
      </c>
      <c r="BX236" s="288">
        <f t="shared" si="312"/>
        <v>3.0306230416463409E-2</v>
      </c>
      <c r="BY236" s="288">
        <f t="shared" si="312"/>
        <v>6.0595291959725461E-2</v>
      </c>
      <c r="BZ236" s="288">
        <f t="shared" si="312"/>
        <v>8.2194782284042534E-2</v>
      </c>
      <c r="CA236" s="288">
        <f t="shared" si="312"/>
        <v>0.10115674407115116</v>
      </c>
      <c r="CB236" s="288">
        <f t="shared" si="312"/>
        <v>1.6497970714466348E-2</v>
      </c>
      <c r="CC236" s="288">
        <f t="shared" si="312"/>
        <v>-8.3341591560137651E-4</v>
      </c>
      <c r="CD236" s="288">
        <f t="shared" si="312"/>
        <v>7.3377128334615183E-3</v>
      </c>
    </row>
    <row r="237" spans="2:90">
      <c r="B237" s="286"/>
      <c r="T237" s="17"/>
      <c r="U237" s="294"/>
      <c r="V237" s="294"/>
      <c r="W237" s="294"/>
      <c r="X237" s="294"/>
      <c r="Y237" s="294"/>
      <c r="Z237" s="69"/>
      <c r="AA237" s="69"/>
      <c r="AB237" s="69"/>
      <c r="AC237" s="69"/>
      <c r="AD237" s="69"/>
      <c r="AE237" s="69"/>
      <c r="AF237" s="69"/>
      <c r="AG237" s="69"/>
      <c r="AH237" s="69"/>
      <c r="AI237" s="69"/>
      <c r="AJ237" s="69"/>
      <c r="AK237" s="69"/>
      <c r="AL237" s="69"/>
      <c r="AM237" s="69"/>
      <c r="AN237" s="69"/>
      <c r="AO237" s="69"/>
      <c r="AP237" s="69"/>
      <c r="AQ237" s="69"/>
      <c r="AR237" s="69"/>
      <c r="AS237" s="69"/>
      <c r="AT237" s="69"/>
      <c r="AU237" s="69"/>
      <c r="AV237" s="69"/>
      <c r="AW237" s="69"/>
      <c r="AX237" s="69"/>
      <c r="AY237" s="69"/>
      <c r="AZ237" s="69"/>
      <c r="BA237" s="69"/>
      <c r="BB237" s="69"/>
      <c r="BC237" s="294"/>
      <c r="BD237" s="294"/>
      <c r="BE237" s="294"/>
      <c r="BF237" s="294"/>
      <c r="BG237" s="294"/>
      <c r="BH237" s="294"/>
      <c r="BI237" s="294"/>
      <c r="BJ237" s="294"/>
      <c r="BK237" s="294"/>
      <c r="BL237" s="294"/>
      <c r="BM237" s="294"/>
      <c r="BN237" s="294"/>
      <c r="BO237" s="294"/>
      <c r="BP237" s="294"/>
      <c r="BQ237" s="294"/>
      <c r="BR237" s="294"/>
      <c r="BS237" s="297"/>
      <c r="BT237" s="288"/>
      <c r="BU237" s="338"/>
      <c r="BV237" s="338"/>
      <c r="BW237" s="288"/>
      <c r="BX237" s="288"/>
      <c r="BY237" s="288"/>
      <c r="BZ237" s="288"/>
    </row>
    <row r="238" spans="2:90">
      <c r="B238" s="287" t="s">
        <v>591</v>
      </c>
      <c r="T238" s="17"/>
      <c r="U238" s="288">
        <f>+U233/T233-1</f>
        <v>0.39038228749470494</v>
      </c>
      <c r="V238" s="288">
        <f t="shared" ref="V238:Y238" si="313">+V233/U233-1</f>
        <v>0.33534272486900973</v>
      </c>
      <c r="W238" s="288">
        <f t="shared" si="313"/>
        <v>7.1046806142853525E-2</v>
      </c>
      <c r="X238" s="288">
        <f t="shared" si="313"/>
        <v>6.8764869233963077E-2</v>
      </c>
      <c r="Y238" s="288">
        <f t="shared" si="313"/>
        <v>6.9816290447451745E-2</v>
      </c>
      <c r="Z238" s="69"/>
      <c r="AA238" s="69"/>
      <c r="AB238" s="69"/>
      <c r="AC238" s="69"/>
      <c r="AD238" s="69"/>
      <c r="AE238" s="69"/>
      <c r="AF238" s="69"/>
      <c r="AG238" s="69"/>
      <c r="AH238" s="69"/>
      <c r="AI238" s="69"/>
      <c r="AJ238" s="69"/>
      <c r="AK238" s="69"/>
      <c r="AL238" s="69"/>
      <c r="AM238" s="69"/>
      <c r="AN238" s="69"/>
      <c r="AO238" s="69"/>
      <c r="AP238" s="69"/>
      <c r="AQ238" s="69"/>
      <c r="AR238" s="69"/>
      <c r="AS238" s="69"/>
      <c r="AT238" s="69"/>
      <c r="AU238" s="69"/>
      <c r="AV238" s="69"/>
      <c r="AW238" s="69"/>
      <c r="AX238" s="69"/>
      <c r="AY238" s="69"/>
      <c r="AZ238" s="69"/>
      <c r="BA238" s="69"/>
      <c r="BB238" s="69"/>
      <c r="BC238" s="294"/>
      <c r="BD238" s="294"/>
      <c r="BE238" s="294"/>
      <c r="BF238" s="294"/>
      <c r="BG238" s="294"/>
      <c r="BH238" s="294"/>
      <c r="BI238" s="294"/>
      <c r="BJ238" s="294"/>
      <c r="BK238" s="294"/>
      <c r="BL238" s="294"/>
      <c r="BM238" s="294"/>
      <c r="BN238" s="294"/>
      <c r="BO238" s="294"/>
      <c r="BP238" s="294"/>
      <c r="BQ238" s="294"/>
      <c r="BR238" s="294"/>
      <c r="BS238" s="297"/>
      <c r="BT238" s="288"/>
      <c r="BU238" s="44"/>
      <c r="BV238" s="44"/>
      <c r="BW238" s="288">
        <f t="shared" ref="BW238:CD238" si="314">BW233/BS233-1</f>
        <v>0.33142562329425496</v>
      </c>
      <c r="BX238" s="288">
        <f t="shared" si="314"/>
        <v>0.4532260156731196</v>
      </c>
      <c r="BY238" s="288">
        <f t="shared" si="314"/>
        <v>0.4099230358603505</v>
      </c>
      <c r="BZ238" s="288">
        <f t="shared" si="314"/>
        <v>0.37178421143941009</v>
      </c>
      <c r="CA238" s="288">
        <f t="shared" si="314"/>
        <v>0.40177367205991144</v>
      </c>
      <c r="CB238" s="288">
        <f t="shared" si="314"/>
        <v>0.43264304333496439</v>
      </c>
      <c r="CC238" s="288">
        <f t="shared" si="314"/>
        <v>0.32638888888888862</v>
      </c>
      <c r="CD238" s="288">
        <f t="shared" si="314"/>
        <v>0.20867822757042753</v>
      </c>
      <c r="CK238" s="289"/>
      <c r="CL238" s="289"/>
    </row>
    <row r="239" spans="2:90">
      <c r="B239" s="287" t="s">
        <v>590</v>
      </c>
      <c r="T239" s="17"/>
      <c r="U239" s="294"/>
      <c r="V239" s="294"/>
      <c r="W239" s="294"/>
      <c r="X239" s="294"/>
      <c r="Y239" s="294"/>
      <c r="Z239" s="69"/>
      <c r="AA239" s="69"/>
      <c r="AB239" s="69"/>
      <c r="AC239" s="69"/>
      <c r="AD239" s="69"/>
      <c r="AE239" s="69"/>
      <c r="AF239" s="69"/>
      <c r="AG239" s="69"/>
      <c r="AH239" s="69"/>
      <c r="AI239" s="69"/>
      <c r="AJ239" s="69"/>
      <c r="AK239" s="69"/>
      <c r="AL239" s="69"/>
      <c r="AM239" s="69"/>
      <c r="AN239" s="69"/>
      <c r="AO239" s="69"/>
      <c r="AP239" s="69"/>
      <c r="AQ239" s="69"/>
      <c r="AR239" s="69"/>
      <c r="AS239" s="69"/>
      <c r="AT239" s="69"/>
      <c r="AU239" s="69"/>
      <c r="AV239" s="69"/>
      <c r="AW239" s="69"/>
      <c r="AX239" s="69"/>
      <c r="AY239" s="69"/>
      <c r="AZ239" s="69"/>
      <c r="BA239" s="69"/>
      <c r="BB239" s="69"/>
      <c r="BC239" s="294"/>
      <c r="BD239" s="294"/>
      <c r="BE239" s="294"/>
      <c r="BF239" s="294"/>
      <c r="BG239" s="294"/>
      <c r="BH239" s="294"/>
      <c r="BI239" s="294"/>
      <c r="BJ239" s="294"/>
      <c r="BK239" s="294"/>
      <c r="BL239" s="294"/>
      <c r="BM239" s="294"/>
      <c r="BN239" s="294"/>
      <c r="BO239" s="294"/>
      <c r="BP239" s="294"/>
      <c r="BQ239" s="294"/>
      <c r="BR239" s="294"/>
      <c r="BS239" s="297"/>
      <c r="BT239" s="288">
        <f t="shared" ref="BT239:CD239" si="315">BT233/BS233-1</f>
        <v>-3.7252819294106954E-2</v>
      </c>
      <c r="BU239" s="288">
        <f t="shared" si="315"/>
        <v>0.11824337330380974</v>
      </c>
      <c r="BV239" s="288">
        <f t="shared" si="315"/>
        <v>0.12789788512680289</v>
      </c>
      <c r="BW239" s="288">
        <f t="shared" si="315"/>
        <v>9.6474509081834192E-2</v>
      </c>
      <c r="BX239" s="288">
        <f t="shared" si="315"/>
        <v>5.082043265479852E-2</v>
      </c>
      <c r="BY239" s="288">
        <f t="shared" si="315"/>
        <v>8.4922148870933967E-2</v>
      </c>
      <c r="BZ239" s="288">
        <f t="shared" si="315"/>
        <v>9.7387922305072205E-2</v>
      </c>
      <c r="CA239" s="288">
        <f t="shared" si="315"/>
        <v>0.12044524648884192</v>
      </c>
      <c r="CB239" s="288">
        <f t="shared" si="315"/>
        <v>7.3961234002112075E-2</v>
      </c>
      <c r="CC239" s="288">
        <f t="shared" si="315"/>
        <v>4.4572444382477983E-3</v>
      </c>
      <c r="CD239" s="288">
        <f t="shared" si="315"/>
        <v>0</v>
      </c>
      <c r="CK239" s="289"/>
      <c r="CL239" s="289"/>
    </row>
    <row r="240" spans="2:90" hidden="1" outlineLevel="1">
      <c r="B240" s="286"/>
      <c r="T240" s="17"/>
      <c r="U240" s="294"/>
      <c r="V240" s="294"/>
      <c r="W240" s="294"/>
      <c r="X240" s="294"/>
      <c r="Y240" s="294"/>
      <c r="Z240" s="69"/>
      <c r="AA240" s="69"/>
      <c r="AB240" s="69"/>
      <c r="AC240" s="69"/>
      <c r="AD240" s="69"/>
      <c r="AE240" s="69"/>
      <c r="AF240" s="69"/>
      <c r="AG240" s="69"/>
      <c r="AH240" s="69"/>
      <c r="AI240" s="69"/>
      <c r="AJ240" s="69"/>
      <c r="AK240" s="69"/>
      <c r="AL240" s="69"/>
      <c r="AM240" s="69"/>
      <c r="AN240" s="69"/>
      <c r="AO240" s="69"/>
      <c r="AP240" s="69"/>
      <c r="AQ240" s="69"/>
      <c r="AR240" s="69"/>
      <c r="AS240" s="69"/>
      <c r="AT240" s="69"/>
      <c r="AU240" s="69"/>
      <c r="AV240" s="69"/>
      <c r="AW240" s="69"/>
      <c r="AX240" s="69"/>
      <c r="AY240" s="69"/>
      <c r="AZ240" s="69"/>
      <c r="BA240" s="69"/>
      <c r="BB240" s="69"/>
      <c r="BC240" s="294"/>
      <c r="BD240" s="294"/>
      <c r="BE240" s="294"/>
      <c r="BF240" s="294"/>
      <c r="BG240" s="294"/>
      <c r="BH240" s="294"/>
      <c r="BI240" s="294"/>
      <c r="BJ240" s="294"/>
      <c r="BK240" s="294"/>
      <c r="BL240" s="294"/>
      <c r="BM240" s="294"/>
      <c r="BN240" s="294"/>
      <c r="BO240" s="294"/>
      <c r="BP240" s="294"/>
      <c r="BQ240" s="294"/>
      <c r="BR240" s="294"/>
      <c r="BS240" s="297"/>
      <c r="BT240" s="288"/>
      <c r="BU240" s="288"/>
      <c r="BV240" s="288"/>
      <c r="BW240" s="288"/>
      <c r="BX240" s="288"/>
      <c r="BY240" s="288"/>
      <c r="BZ240" s="288"/>
      <c r="CG240" s="289"/>
    </row>
    <row r="241" spans="1:83" s="75" customFormat="1" hidden="1" outlineLevel="1">
      <c r="B241" s="287" t="s">
        <v>593</v>
      </c>
      <c r="I241" s="331"/>
      <c r="J241" s="331"/>
      <c r="K241" s="331"/>
      <c r="L241" s="331"/>
      <c r="M241" s="331"/>
      <c r="N241" s="331"/>
      <c r="O241" s="331"/>
      <c r="P241" s="331"/>
      <c r="Q241" s="331"/>
      <c r="R241" s="331"/>
      <c r="S241" s="331"/>
      <c r="T241" s="333"/>
      <c r="U241" s="333"/>
      <c r="V241" s="333"/>
      <c r="W241" s="333"/>
      <c r="X241" s="333"/>
      <c r="Y241" s="333"/>
      <c r="Z241" s="331"/>
      <c r="AA241" s="331"/>
      <c r="AB241" s="331"/>
      <c r="AC241" s="331"/>
      <c r="AD241" s="331"/>
      <c r="AE241" s="331"/>
      <c r="AF241" s="331"/>
      <c r="AG241" s="331"/>
      <c r="AH241" s="331"/>
      <c r="AI241" s="331"/>
      <c r="AJ241" s="331"/>
      <c r="AK241" s="331"/>
      <c r="AL241" s="331"/>
      <c r="AM241" s="334"/>
      <c r="AN241" s="334"/>
      <c r="AO241" s="334"/>
      <c r="AP241" s="334"/>
      <c r="AQ241" s="334"/>
      <c r="AR241" s="334"/>
      <c r="AS241" s="334"/>
      <c r="AT241" s="334"/>
      <c r="AU241" s="334"/>
      <c r="AV241" s="334"/>
      <c r="AW241" s="334"/>
      <c r="AX241" s="334"/>
      <c r="AY241" s="334"/>
      <c r="AZ241" s="334"/>
      <c r="BA241" s="334"/>
      <c r="BB241" s="334"/>
      <c r="BC241" s="334"/>
      <c r="BD241" s="334"/>
      <c r="BE241" s="334"/>
      <c r="BF241" s="334"/>
      <c r="BG241" s="334"/>
      <c r="BH241" s="334"/>
      <c r="BI241" s="334"/>
      <c r="BJ241" s="334"/>
      <c r="BK241" s="334"/>
      <c r="BL241" s="334"/>
      <c r="BM241" s="334"/>
      <c r="BN241" s="334"/>
      <c r="BO241" s="334"/>
      <c r="BP241" s="335"/>
      <c r="BQ241" s="335"/>
      <c r="BR241" s="335"/>
      <c r="BS241" s="400" t="s">
        <v>512</v>
      </c>
      <c r="BT241" s="400" t="s">
        <v>515</v>
      </c>
      <c r="BU241" s="400" t="s">
        <v>513</v>
      </c>
      <c r="BV241" s="400" t="s">
        <v>511</v>
      </c>
      <c r="BW241" s="400" t="s">
        <v>511</v>
      </c>
      <c r="BX241" s="400" t="s">
        <v>511</v>
      </c>
      <c r="BY241" s="400" t="s">
        <v>511</v>
      </c>
      <c r="BZ241" s="400" t="s">
        <v>511</v>
      </c>
    </row>
    <row r="242" spans="1:83" s="75" customFormat="1" hidden="1" outlineLevel="1">
      <c r="B242" s="287" t="s">
        <v>592</v>
      </c>
      <c r="I242" s="331"/>
      <c r="J242" s="331"/>
      <c r="K242" s="331"/>
      <c r="L242" s="331"/>
      <c r="M242" s="331"/>
      <c r="N242" s="331"/>
      <c r="O242" s="331"/>
      <c r="P242" s="331"/>
      <c r="Q242" s="331"/>
      <c r="R242" s="331"/>
      <c r="S242" s="331"/>
      <c r="T242" s="333"/>
      <c r="U242" s="333"/>
      <c r="V242" s="333"/>
      <c r="W242" s="333"/>
      <c r="X242" s="333"/>
      <c r="Y242" s="333"/>
      <c r="Z242" s="331"/>
      <c r="AA242" s="331"/>
      <c r="AB242" s="331"/>
      <c r="AC242" s="331"/>
      <c r="AD242" s="331"/>
      <c r="AE242" s="331"/>
      <c r="AF242" s="331"/>
      <c r="AG242" s="331"/>
      <c r="AH242" s="331"/>
      <c r="AI242" s="331"/>
      <c r="AJ242" s="331"/>
      <c r="AK242" s="331"/>
      <c r="AL242" s="331"/>
      <c r="AM242" s="334"/>
      <c r="AN242" s="334"/>
      <c r="AO242" s="334"/>
      <c r="AP242" s="334"/>
      <c r="AQ242" s="334"/>
      <c r="AR242" s="334"/>
      <c r="AS242" s="334"/>
      <c r="AT242" s="334"/>
      <c r="AU242" s="334"/>
      <c r="AV242" s="334"/>
      <c r="AW242" s="334"/>
      <c r="AX242" s="334"/>
      <c r="AY242" s="334"/>
      <c r="AZ242" s="334"/>
      <c r="BA242" s="334"/>
      <c r="BB242" s="334"/>
      <c r="BC242" s="334"/>
      <c r="BD242" s="334"/>
      <c r="BE242" s="334"/>
      <c r="BF242" s="334"/>
      <c r="BG242" s="334"/>
      <c r="BH242" s="334"/>
      <c r="BI242" s="334"/>
      <c r="BJ242" s="334"/>
      <c r="BK242" s="334"/>
      <c r="BL242" s="334"/>
      <c r="BM242" s="334"/>
      <c r="BN242" s="334"/>
      <c r="BO242" s="334"/>
      <c r="BP242" s="335"/>
      <c r="BQ242" s="335"/>
      <c r="BR242" s="335"/>
      <c r="BS242" s="400" t="s">
        <v>513</v>
      </c>
      <c r="BT242" s="400" t="s">
        <v>515</v>
      </c>
      <c r="BU242" s="400" t="s">
        <v>511</v>
      </c>
      <c r="BV242" s="400" t="s">
        <v>511</v>
      </c>
      <c r="BW242" s="400" t="s">
        <v>514</v>
      </c>
      <c r="BX242" s="400" t="s">
        <v>514</v>
      </c>
      <c r="BY242" s="400" t="s">
        <v>511</v>
      </c>
      <c r="BZ242" s="400" t="s">
        <v>511</v>
      </c>
    </row>
    <row r="243" spans="1:83" collapsed="1">
      <c r="A243" s="34"/>
      <c r="B243" s="34"/>
      <c r="C243" s="34"/>
      <c r="D243" s="34"/>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row>
    <row r="244" spans="1:83">
      <c r="B244" s="149" t="s">
        <v>441</v>
      </c>
      <c r="H244" s="69"/>
      <c r="I244" s="69"/>
      <c r="J244" s="69"/>
      <c r="K244" s="69"/>
      <c r="L244" s="69"/>
      <c r="M244" s="69"/>
      <c r="N244" s="69"/>
      <c r="O244" s="69"/>
      <c r="P244" s="69"/>
      <c r="Q244" s="69"/>
      <c r="R244" s="69"/>
      <c r="S244" s="69"/>
      <c r="T244" s="255"/>
      <c r="U244" s="255"/>
      <c r="V244" s="442"/>
      <c r="W244" s="442"/>
      <c r="X244" s="442"/>
      <c r="Y244" s="442"/>
      <c r="Z244" s="69"/>
      <c r="AA244" s="69"/>
      <c r="AB244" s="69"/>
      <c r="AC244" s="69"/>
      <c r="AD244" s="69"/>
      <c r="AE244" s="69"/>
      <c r="AF244" s="69"/>
      <c r="AG244" s="69"/>
      <c r="AH244" s="69"/>
      <c r="AI244" s="69"/>
      <c r="AJ244" s="69"/>
      <c r="AK244" s="69"/>
      <c r="AL244" s="69"/>
      <c r="AM244" s="69"/>
      <c r="AN244" s="69"/>
      <c r="AO244" s="69"/>
      <c r="AP244" s="69"/>
      <c r="AQ244" s="69"/>
      <c r="AR244" s="69"/>
      <c r="AS244" s="69"/>
      <c r="AT244" s="69"/>
      <c r="AU244" s="69"/>
      <c r="AV244" s="69"/>
      <c r="AW244" s="69"/>
      <c r="AX244" s="69"/>
      <c r="AY244" s="69"/>
      <c r="AZ244" s="69"/>
      <c r="BA244" s="69"/>
      <c r="BB244" s="69"/>
      <c r="BF244" s="79"/>
      <c r="BG244" s="255"/>
      <c r="BH244" s="255"/>
      <c r="BI244" s="255"/>
      <c r="BJ244" s="255"/>
      <c r="BK244" s="255"/>
      <c r="BL244" s="255"/>
      <c r="BM244" s="255"/>
      <c r="BN244" s="255"/>
      <c r="BO244" s="255"/>
      <c r="BP244" s="255"/>
      <c r="BQ244" s="255"/>
      <c r="BR244" s="255"/>
      <c r="BS244" s="255"/>
      <c r="BT244" s="255"/>
      <c r="BU244" s="255"/>
      <c r="BV244" s="255"/>
      <c r="BW244" s="255"/>
      <c r="BX244" s="17"/>
      <c r="BY244" s="255"/>
      <c r="BZ244" s="255"/>
    </row>
    <row r="245" spans="1:83">
      <c r="B245" s="5" t="s">
        <v>596</v>
      </c>
      <c r="H245" s="69"/>
      <c r="I245" s="69"/>
      <c r="J245" s="69"/>
      <c r="K245" s="69"/>
      <c r="L245" s="69"/>
      <c r="M245" s="69"/>
      <c r="N245" s="69"/>
      <c r="O245" s="69"/>
      <c r="P245" s="69"/>
      <c r="Q245" s="294"/>
      <c r="R245" s="294"/>
      <c r="S245" s="294"/>
      <c r="T245" s="408">
        <f t="shared" ref="T245:Y245" si="316">+T373</f>
        <v>286.66666666666669</v>
      </c>
      <c r="U245" s="408">
        <f t="shared" si="316"/>
        <v>466.70833333333331</v>
      </c>
      <c r="V245" s="408">
        <f t="shared" si="316"/>
        <v>638.33333333333337</v>
      </c>
      <c r="W245" s="408">
        <f t="shared" si="316"/>
        <v>671.45244408865767</v>
      </c>
      <c r="X245" s="408">
        <f t="shared" si="316"/>
        <v>707.47786060939609</v>
      </c>
      <c r="Y245" s="408">
        <f t="shared" si="316"/>
        <v>746.56927002551663</v>
      </c>
      <c r="Z245" s="409"/>
      <c r="AA245" s="409"/>
      <c r="AB245" s="409"/>
      <c r="AC245" s="409"/>
      <c r="AD245" s="409"/>
      <c r="AE245" s="409"/>
      <c r="AF245" s="409"/>
      <c r="AG245" s="409"/>
      <c r="AH245" s="409"/>
      <c r="AI245" s="409"/>
      <c r="AJ245" s="409"/>
      <c r="AK245" s="409"/>
      <c r="AL245" s="409"/>
      <c r="AM245" s="409"/>
      <c r="AN245" s="409"/>
      <c r="AO245" s="409"/>
      <c r="AP245" s="409"/>
      <c r="AQ245" s="409"/>
      <c r="AR245" s="409"/>
      <c r="AS245" s="409"/>
      <c r="AT245" s="409"/>
      <c r="AU245" s="409"/>
      <c r="AV245" s="409"/>
      <c r="AW245" s="409"/>
      <c r="AX245" s="409"/>
      <c r="AY245" s="409"/>
      <c r="AZ245" s="409"/>
      <c r="BA245" s="409"/>
      <c r="BB245" s="409"/>
      <c r="BC245" s="408"/>
      <c r="BD245" s="408"/>
      <c r="BE245" s="408"/>
      <c r="BF245" s="408"/>
      <c r="BG245" s="408"/>
      <c r="BH245" s="408"/>
      <c r="BI245" s="408"/>
      <c r="BJ245" s="408"/>
      <c r="BK245" s="408"/>
      <c r="BL245" s="408"/>
      <c r="BM245" s="408"/>
      <c r="BN245" s="408"/>
      <c r="BO245" s="408">
        <f t="shared" ref="BO245:CD245" si="317">+BO373</f>
        <v>302.5</v>
      </c>
      <c r="BP245" s="408">
        <f t="shared" si="317"/>
        <v>269.16666666666669</v>
      </c>
      <c r="BQ245" s="408">
        <f t="shared" si="317"/>
        <v>279.16666666666669</v>
      </c>
      <c r="BR245" s="408">
        <f t="shared" si="317"/>
        <v>272.5</v>
      </c>
      <c r="BS245" s="408">
        <f>+BS373</f>
        <v>265</v>
      </c>
      <c r="BT245" s="408">
        <f t="shared" si="317"/>
        <v>248.33333333333334</v>
      </c>
      <c r="BU245" s="408">
        <f t="shared" si="317"/>
        <v>293.33333333333331</v>
      </c>
      <c r="BV245" s="408">
        <f t="shared" si="317"/>
        <v>340</v>
      </c>
      <c r="BW245" s="408">
        <f t="shared" si="317"/>
        <v>395.5</v>
      </c>
      <c r="BX245" s="408">
        <f t="shared" si="317"/>
        <v>440.66666666666669</v>
      </c>
      <c r="BY245" s="408">
        <f t="shared" si="317"/>
        <v>471.66666666666669</v>
      </c>
      <c r="BZ245" s="408">
        <f t="shared" si="317"/>
        <v>559</v>
      </c>
      <c r="CA245" s="408">
        <f t="shared" si="317"/>
        <v>638.33333333333337</v>
      </c>
      <c r="CB245" s="408">
        <f t="shared" si="317"/>
        <v>638.33333333333337</v>
      </c>
      <c r="CC245" s="408">
        <f t="shared" si="317"/>
        <v>638.33333333333337</v>
      </c>
      <c r="CD245" s="408">
        <f t="shared" si="317"/>
        <v>638.33333333333337</v>
      </c>
      <c r="CE245" s="5" t="s">
        <v>443</v>
      </c>
    </row>
    <row r="246" spans="1:83">
      <c r="B246" s="296" t="s">
        <v>603</v>
      </c>
      <c r="H246" s="69"/>
      <c r="I246" s="69"/>
      <c r="J246" s="69"/>
      <c r="K246" s="69"/>
      <c r="L246" s="69"/>
      <c r="M246" s="69"/>
      <c r="N246" s="69"/>
      <c r="O246" s="69"/>
      <c r="P246" s="69"/>
      <c r="Q246" s="69"/>
      <c r="R246" s="69"/>
      <c r="S246" s="69"/>
      <c r="T246" s="276">
        <f>+T247/T245</f>
        <v>0.89999999999999991</v>
      </c>
      <c r="U246" s="276">
        <f t="shared" ref="U246:V246" si="318">+U247/U245</f>
        <v>0.91907064948018813</v>
      </c>
      <c r="V246" s="276">
        <f t="shared" si="318"/>
        <v>0.93905352480417736</v>
      </c>
      <c r="W246" s="261">
        <v>0.95</v>
      </c>
      <c r="X246" s="261">
        <f>+W246</f>
        <v>0.95</v>
      </c>
      <c r="Y246" s="261">
        <f>+X246</f>
        <v>0.95</v>
      </c>
      <c r="Z246" s="48"/>
      <c r="AA246" s="48"/>
      <c r="AB246" s="48"/>
      <c r="AC246" s="48"/>
      <c r="AD246" s="48"/>
      <c r="AE246" s="48"/>
      <c r="AF246" s="48"/>
      <c r="AG246" s="48"/>
      <c r="AH246" s="48"/>
      <c r="AI246" s="48"/>
      <c r="AJ246" s="48"/>
      <c r="AK246" s="48"/>
      <c r="AL246" s="48"/>
      <c r="AM246" s="48"/>
      <c r="AN246" s="48"/>
      <c r="AO246" s="48"/>
      <c r="AP246" s="48"/>
      <c r="AQ246" s="48"/>
      <c r="AR246" s="48"/>
      <c r="AS246" s="48"/>
      <c r="AT246" s="48"/>
      <c r="AU246" s="48"/>
      <c r="AV246" s="48"/>
      <c r="AW246" s="48"/>
      <c r="AX246" s="48"/>
      <c r="AY246" s="48"/>
      <c r="AZ246" s="48"/>
      <c r="BA246" s="48"/>
      <c r="BB246" s="48"/>
      <c r="BC246" s="292"/>
      <c r="BD246" s="292"/>
      <c r="BE246" s="292"/>
      <c r="BF246" s="292"/>
      <c r="BG246" s="292"/>
      <c r="BH246" s="292"/>
      <c r="BI246" s="292"/>
      <c r="BJ246" s="292"/>
      <c r="BK246" s="292"/>
      <c r="BL246" s="292"/>
      <c r="BM246" s="292"/>
      <c r="BN246" s="292"/>
      <c r="BO246" s="292"/>
      <c r="BP246" s="292"/>
      <c r="BQ246" s="292"/>
      <c r="BR246" s="292"/>
      <c r="BS246" s="261">
        <v>0.9</v>
      </c>
      <c r="BT246" s="402">
        <f>+BS246</f>
        <v>0.9</v>
      </c>
      <c r="BU246" s="402">
        <f t="shared" ref="BU246:CD246" si="319">+BT246</f>
        <v>0.9</v>
      </c>
      <c r="BV246" s="402">
        <f t="shared" si="319"/>
        <v>0.9</v>
      </c>
      <c r="BW246" s="402">
        <f t="shared" si="319"/>
        <v>0.9</v>
      </c>
      <c r="BX246" s="402">
        <f t="shared" si="319"/>
        <v>0.9</v>
      </c>
      <c r="BY246" s="402">
        <f t="shared" si="319"/>
        <v>0.9</v>
      </c>
      <c r="BZ246" s="402">
        <f t="shared" si="319"/>
        <v>0.9</v>
      </c>
      <c r="CA246" s="261">
        <v>0.95</v>
      </c>
      <c r="CB246" s="402">
        <f t="shared" si="319"/>
        <v>0.95</v>
      </c>
      <c r="CC246" s="402">
        <f t="shared" si="319"/>
        <v>0.95</v>
      </c>
      <c r="CD246" s="402">
        <f t="shared" si="319"/>
        <v>0.95</v>
      </c>
      <c r="CE246" s="5" t="s">
        <v>674</v>
      </c>
    </row>
    <row r="247" spans="1:83">
      <c r="B247" s="244" t="s">
        <v>450</v>
      </c>
      <c r="H247" s="69"/>
      <c r="I247" s="69"/>
      <c r="J247" s="69"/>
      <c r="K247" s="69"/>
      <c r="L247" s="69"/>
      <c r="M247" s="69"/>
      <c r="N247" s="69"/>
      <c r="O247" s="69"/>
      <c r="P247" s="69"/>
      <c r="Q247" s="69"/>
      <c r="R247" s="69"/>
      <c r="S247" s="69"/>
      <c r="T247" s="305">
        <f>+T195/T215*1000</f>
        <v>258</v>
      </c>
      <c r="U247" s="305">
        <f>+U195/U215*1000</f>
        <v>428.9379310344828</v>
      </c>
      <c r="V247" s="305">
        <f>+V195/V215*1000</f>
        <v>599.42916666666656</v>
      </c>
      <c r="W247" s="293">
        <f>+W245*W246</f>
        <v>637.87982188422473</v>
      </c>
      <c r="X247" s="293">
        <f t="shared" ref="X247:Y247" si="320">+X245*X246</f>
        <v>672.10396757892624</v>
      </c>
      <c r="Y247" s="293">
        <f t="shared" si="320"/>
        <v>709.24080652424072</v>
      </c>
      <c r="Z247" s="69"/>
      <c r="AA247" s="69"/>
      <c r="AB247" s="69"/>
      <c r="AC247" s="69"/>
      <c r="AD247" s="69"/>
      <c r="AE247" s="69"/>
      <c r="AF247" s="69"/>
      <c r="AG247" s="69"/>
      <c r="AH247" s="69"/>
      <c r="AI247" s="69"/>
      <c r="AJ247" s="69"/>
      <c r="AK247" s="69"/>
      <c r="AL247" s="69"/>
      <c r="AM247" s="69"/>
      <c r="AN247" s="69"/>
      <c r="AO247" s="69"/>
      <c r="AP247" s="69"/>
      <c r="AQ247" s="69"/>
      <c r="AR247" s="69"/>
      <c r="AS247" s="69"/>
      <c r="AT247" s="69"/>
      <c r="AU247" s="69"/>
      <c r="AV247" s="69"/>
      <c r="AW247" s="69"/>
      <c r="AX247" s="69"/>
      <c r="AY247" s="69"/>
      <c r="AZ247" s="69"/>
      <c r="BA247" s="69"/>
      <c r="BB247" s="69"/>
      <c r="BC247" s="294"/>
      <c r="BD247" s="294"/>
      <c r="BE247" s="294"/>
      <c r="BF247" s="294"/>
      <c r="BG247" s="294"/>
      <c r="BH247" s="294"/>
      <c r="BI247" s="294"/>
      <c r="BJ247" s="294"/>
      <c r="BK247" s="294"/>
      <c r="BL247" s="294"/>
      <c r="BM247" s="294"/>
      <c r="BN247" s="294"/>
      <c r="BO247" s="294"/>
      <c r="BP247" s="294"/>
      <c r="BQ247" s="294"/>
      <c r="BR247" s="294"/>
      <c r="BS247" s="293">
        <f>+BS245*BS246</f>
        <v>238.5</v>
      </c>
      <c r="BT247" s="293">
        <f t="shared" ref="BT247:BZ247" si="321">BS247+(BT246*(BT245-BS245))</f>
        <v>223.5</v>
      </c>
      <c r="BU247" s="293">
        <f t="shared" si="321"/>
        <v>264</v>
      </c>
      <c r="BV247" s="293">
        <f t="shared" si="321"/>
        <v>306</v>
      </c>
      <c r="BW247" s="293">
        <f t="shared" si="321"/>
        <v>355.95</v>
      </c>
      <c r="BX247" s="293">
        <f t="shared" si="321"/>
        <v>396.6</v>
      </c>
      <c r="BY247" s="293">
        <f t="shared" si="321"/>
        <v>424.5</v>
      </c>
      <c r="BZ247" s="293">
        <f t="shared" si="321"/>
        <v>503.09999999999997</v>
      </c>
      <c r="CA247" s="293">
        <f>BZ247+(CA246*(CA245-BZ245))</f>
        <v>578.4666666666667</v>
      </c>
      <c r="CB247" s="293">
        <f t="shared" ref="CB247:CD247" si="322">+CB245*CB246</f>
        <v>606.41666666666663</v>
      </c>
      <c r="CC247" s="293">
        <f t="shared" si="322"/>
        <v>606.41666666666663</v>
      </c>
      <c r="CD247" s="293">
        <f t="shared" si="322"/>
        <v>606.41666666666663</v>
      </c>
    </row>
    <row r="248" spans="1:83">
      <c r="B248" s="244"/>
      <c r="H248" s="69"/>
      <c r="I248" s="69"/>
      <c r="J248" s="69"/>
      <c r="K248" s="69"/>
      <c r="L248" s="69"/>
      <c r="M248" s="69"/>
      <c r="N248" s="69"/>
      <c r="O248" s="69"/>
      <c r="P248" s="69"/>
      <c r="Q248" s="69"/>
      <c r="R248" s="69"/>
      <c r="S248" s="69"/>
      <c r="T248" s="294"/>
      <c r="U248" s="294"/>
      <c r="V248" s="294"/>
      <c r="W248" s="294"/>
      <c r="X248" s="294"/>
      <c r="Y248" s="294"/>
      <c r="Z248" s="69"/>
      <c r="AA248" s="69"/>
      <c r="AB248" s="69"/>
      <c r="AC248" s="69"/>
      <c r="AD248" s="69"/>
      <c r="AE248" s="69"/>
      <c r="AF248" s="69"/>
      <c r="AG248" s="69"/>
      <c r="AH248" s="69"/>
      <c r="AI248" s="69"/>
      <c r="AJ248" s="69"/>
      <c r="AK248" s="69"/>
      <c r="AL248" s="69"/>
      <c r="AM248" s="69"/>
      <c r="AN248" s="69"/>
      <c r="AO248" s="69"/>
      <c r="AP248" s="69"/>
      <c r="AQ248" s="69"/>
      <c r="AR248" s="69"/>
      <c r="AS248" s="69"/>
      <c r="AT248" s="69"/>
      <c r="AU248" s="69"/>
      <c r="AV248" s="69"/>
      <c r="AW248" s="69"/>
      <c r="AX248" s="69"/>
      <c r="AY248" s="69"/>
      <c r="AZ248" s="69"/>
      <c r="BA248" s="69"/>
      <c r="BB248" s="69"/>
      <c r="BC248" s="294"/>
      <c r="BD248" s="294"/>
      <c r="BE248" s="294"/>
      <c r="BF248" s="294"/>
      <c r="BG248" s="294"/>
      <c r="BH248" s="294"/>
      <c r="BI248" s="294"/>
      <c r="BJ248" s="294"/>
      <c r="BK248" s="294"/>
      <c r="BL248" s="294"/>
      <c r="BM248" s="294"/>
      <c r="BN248" s="294"/>
      <c r="BO248" s="294"/>
      <c r="BP248" s="294"/>
      <c r="BQ248" s="294"/>
      <c r="BR248" s="294"/>
      <c r="BS248" s="297"/>
      <c r="BT248" s="297"/>
      <c r="BU248" s="297"/>
      <c r="BV248" s="297"/>
      <c r="BW248" s="297"/>
      <c r="BX248" s="297"/>
      <c r="BY248" s="297"/>
      <c r="BZ248" s="297"/>
    </row>
    <row r="249" spans="1:83">
      <c r="B249" s="286" t="s">
        <v>432</v>
      </c>
      <c r="H249" s="69"/>
      <c r="I249" s="69"/>
      <c r="J249" s="69"/>
      <c r="K249" s="69"/>
      <c r="L249" s="69"/>
      <c r="M249" s="69"/>
      <c r="N249" s="69"/>
      <c r="O249" s="69"/>
      <c r="P249" s="69"/>
      <c r="Q249" s="69"/>
      <c r="R249" s="69"/>
      <c r="S249" s="69"/>
      <c r="T249" s="294"/>
      <c r="U249" s="288">
        <f>+U247/T247-1</f>
        <v>0.66255012028869298</v>
      </c>
      <c r="V249" s="288">
        <f>+V247/U247-1</f>
        <v>0.39747297521812719</v>
      </c>
      <c r="W249" s="288">
        <f>+W247/V247-1</f>
        <v>6.414545263350524E-2</v>
      </c>
      <c r="X249" s="288">
        <f>+X247/W247-1</f>
        <v>5.3652968036529636E-2</v>
      </c>
      <c r="Y249" s="288">
        <f>+Y247/X247-1</f>
        <v>5.5254604550379227E-2</v>
      </c>
      <c r="Z249" s="69"/>
      <c r="AA249" s="69"/>
      <c r="AB249" s="69"/>
      <c r="AC249" s="69"/>
      <c r="AD249" s="69"/>
      <c r="AE249" s="69"/>
      <c r="AF249" s="69"/>
      <c r="AG249" s="69"/>
      <c r="AH249" s="69"/>
      <c r="AI249" s="69"/>
      <c r="AJ249" s="69"/>
      <c r="AK249" s="69"/>
      <c r="AL249" s="69"/>
      <c r="AM249" s="69"/>
      <c r="AN249" s="69"/>
      <c r="AO249" s="69"/>
      <c r="AP249" s="69"/>
      <c r="AQ249" s="69"/>
      <c r="AR249" s="69"/>
      <c r="AS249" s="69"/>
      <c r="AT249" s="69"/>
      <c r="AU249" s="69"/>
      <c r="AV249" s="69"/>
      <c r="AW249" s="69"/>
      <c r="AX249" s="69"/>
      <c r="AY249" s="69"/>
      <c r="AZ249" s="69"/>
      <c r="BA249" s="69"/>
      <c r="BB249" s="69"/>
      <c r="BC249" s="294"/>
      <c r="BD249" s="294"/>
      <c r="BE249" s="294"/>
      <c r="BF249" s="294"/>
      <c r="BG249" s="294"/>
      <c r="BH249" s="294"/>
      <c r="BI249" s="294"/>
      <c r="BJ249" s="294"/>
      <c r="BK249" s="294"/>
      <c r="BL249" s="294"/>
      <c r="BM249" s="294"/>
      <c r="BN249" s="294"/>
      <c r="BO249" s="294"/>
      <c r="BP249" s="294"/>
      <c r="BQ249" s="294"/>
      <c r="BR249" s="294"/>
      <c r="BS249" s="297"/>
      <c r="BT249" s="297"/>
      <c r="BU249" s="297"/>
      <c r="BV249" s="288"/>
      <c r="BW249" s="288">
        <f t="shared" ref="BW249:CD249" si="323">+BW247/BS247-1</f>
        <v>0.49245283018867925</v>
      </c>
      <c r="BX249" s="288">
        <f t="shared" si="323"/>
        <v>0.77449664429530207</v>
      </c>
      <c r="BY249" s="288">
        <f t="shared" si="323"/>
        <v>0.60795454545454541</v>
      </c>
      <c r="BZ249" s="288">
        <f t="shared" si="323"/>
        <v>0.64411764705882346</v>
      </c>
      <c r="CA249" s="288">
        <f t="shared" si="323"/>
        <v>0.62513461628505884</v>
      </c>
      <c r="CB249" s="288">
        <f t="shared" si="323"/>
        <v>0.52903849386451496</v>
      </c>
      <c r="CC249" s="288">
        <f t="shared" si="323"/>
        <v>0.42854338437377293</v>
      </c>
      <c r="CD249" s="288">
        <f t="shared" si="323"/>
        <v>0.20536010070893784</v>
      </c>
    </row>
    <row r="250" spans="1:83">
      <c r="B250" s="286" t="s">
        <v>433</v>
      </c>
      <c r="H250" s="69"/>
      <c r="I250" s="69"/>
      <c r="J250" s="69"/>
      <c r="K250" s="69"/>
      <c r="L250" s="69"/>
      <c r="M250" s="69"/>
      <c r="N250" s="69"/>
      <c r="O250" s="69"/>
      <c r="P250" s="69"/>
      <c r="Q250" s="69"/>
      <c r="R250" s="69"/>
      <c r="S250" s="69"/>
      <c r="T250" s="294"/>
      <c r="U250" s="294"/>
      <c r="V250" s="294"/>
      <c r="W250" s="294"/>
      <c r="X250" s="294"/>
      <c r="Y250" s="294"/>
      <c r="Z250" s="69"/>
      <c r="AA250" s="69"/>
      <c r="AB250" s="69"/>
      <c r="AC250" s="69"/>
      <c r="AD250" s="69"/>
      <c r="AE250" s="69"/>
      <c r="AF250" s="69"/>
      <c r="AG250" s="69"/>
      <c r="AH250" s="69"/>
      <c r="AI250" s="69"/>
      <c r="AJ250" s="69"/>
      <c r="AK250" s="69"/>
      <c r="AL250" s="69"/>
      <c r="AM250" s="69"/>
      <c r="AN250" s="69"/>
      <c r="AO250" s="69"/>
      <c r="AP250" s="69"/>
      <c r="AQ250" s="69"/>
      <c r="AR250" s="69"/>
      <c r="AS250" s="69"/>
      <c r="AT250" s="69"/>
      <c r="AU250" s="69"/>
      <c r="AV250" s="69"/>
      <c r="AW250" s="69"/>
      <c r="AX250" s="69"/>
      <c r="AY250" s="69"/>
      <c r="AZ250" s="69"/>
      <c r="BA250" s="69"/>
      <c r="BB250" s="69"/>
      <c r="BC250" s="294"/>
      <c r="BD250" s="294"/>
      <c r="BE250" s="294"/>
      <c r="BF250" s="294"/>
      <c r="BG250" s="294"/>
      <c r="BH250" s="294"/>
      <c r="BI250" s="294"/>
      <c r="BJ250" s="294"/>
      <c r="BK250" s="294"/>
      <c r="BL250" s="294"/>
      <c r="BM250" s="294"/>
      <c r="BN250" s="294"/>
      <c r="BO250" s="294"/>
      <c r="BP250" s="294"/>
      <c r="BQ250" s="294"/>
      <c r="BR250" s="294"/>
      <c r="BS250" s="297"/>
      <c r="BT250" s="288">
        <f t="shared" ref="BT250:CD250" si="324">+BT247/BS247-1</f>
        <v>-6.2893081761006275E-2</v>
      </c>
      <c r="BU250" s="288">
        <f t="shared" si="324"/>
        <v>0.18120805369127524</v>
      </c>
      <c r="BV250" s="288">
        <f t="shared" si="324"/>
        <v>0.15909090909090917</v>
      </c>
      <c r="BW250" s="288">
        <f t="shared" si="324"/>
        <v>0.16323529411764692</v>
      </c>
      <c r="BX250" s="288">
        <f t="shared" si="324"/>
        <v>0.11420143278550365</v>
      </c>
      <c r="BY250" s="288">
        <f t="shared" si="324"/>
        <v>7.0347957639939507E-2</v>
      </c>
      <c r="BZ250" s="288">
        <f t="shared" si="324"/>
        <v>0.18515901060070661</v>
      </c>
      <c r="CA250" s="288">
        <f t="shared" si="324"/>
        <v>0.14980454515338248</v>
      </c>
      <c r="CB250" s="288">
        <f t="shared" si="324"/>
        <v>4.8317390803272797E-2</v>
      </c>
      <c r="CC250" s="288">
        <f t="shared" si="324"/>
        <v>0</v>
      </c>
      <c r="CD250" s="288">
        <f t="shared" si="324"/>
        <v>0</v>
      </c>
    </row>
    <row r="251" spans="1:83">
      <c r="B251" s="286"/>
      <c r="H251" s="69"/>
      <c r="I251" s="69"/>
      <c r="J251" s="69"/>
      <c r="K251" s="69"/>
      <c r="L251" s="69"/>
      <c r="M251" s="69"/>
      <c r="N251" s="69"/>
      <c r="O251" s="69"/>
      <c r="P251" s="69"/>
      <c r="Q251" s="69"/>
      <c r="R251" s="69"/>
      <c r="S251" s="69"/>
      <c r="T251" s="294"/>
      <c r="U251" s="294"/>
      <c r="V251" s="294"/>
      <c r="W251" s="294"/>
      <c r="X251" s="294"/>
      <c r="Y251" s="294"/>
      <c r="Z251" s="69"/>
      <c r="AA251" s="69"/>
      <c r="AB251" s="69"/>
      <c r="AC251" s="69"/>
      <c r="AD251" s="69"/>
      <c r="AE251" s="69"/>
      <c r="AF251" s="69"/>
      <c r="AG251" s="69"/>
      <c r="AH251" s="69"/>
      <c r="AI251" s="69"/>
      <c r="AJ251" s="69"/>
      <c r="AK251" s="69"/>
      <c r="AL251" s="69"/>
      <c r="AM251" s="69"/>
      <c r="AN251" s="69"/>
      <c r="AO251" s="69"/>
      <c r="AP251" s="69"/>
      <c r="AQ251" s="69"/>
      <c r="AR251" s="69"/>
      <c r="AS251" s="69"/>
      <c r="AT251" s="69"/>
      <c r="AU251" s="69"/>
      <c r="AV251" s="69"/>
      <c r="AW251" s="69"/>
      <c r="AX251" s="69"/>
      <c r="AY251" s="69"/>
      <c r="AZ251" s="69"/>
      <c r="BA251" s="69"/>
      <c r="BB251" s="69"/>
      <c r="BC251" s="294"/>
      <c r="BD251" s="294"/>
      <c r="BE251" s="294"/>
      <c r="BF251" s="294"/>
      <c r="BG251" s="294"/>
      <c r="BH251" s="294"/>
      <c r="BI251" s="294"/>
      <c r="BJ251" s="294"/>
      <c r="BK251" s="294"/>
      <c r="BL251" s="294"/>
      <c r="BM251" s="294"/>
      <c r="BN251" s="294"/>
      <c r="BO251" s="294"/>
      <c r="BP251" s="294"/>
      <c r="BQ251" s="294"/>
      <c r="BR251" s="294"/>
      <c r="BS251" s="297"/>
      <c r="BT251" s="297"/>
      <c r="BU251" s="297"/>
      <c r="BV251" s="297"/>
      <c r="BW251" s="297"/>
      <c r="BX251" s="297"/>
      <c r="BY251" s="297"/>
      <c r="BZ251" s="297"/>
    </row>
    <row r="252" spans="1:83">
      <c r="B252" s="149" t="s">
        <v>445</v>
      </c>
      <c r="H252" s="69"/>
      <c r="I252" s="69"/>
      <c r="J252" s="69"/>
      <c r="K252" s="69"/>
      <c r="L252" s="69"/>
      <c r="M252" s="69"/>
      <c r="N252" s="69"/>
      <c r="O252" s="69"/>
      <c r="P252" s="69"/>
      <c r="Q252" s="69"/>
      <c r="R252" s="69"/>
      <c r="S252" s="69"/>
      <c r="T252" s="294"/>
      <c r="U252" s="294"/>
      <c r="V252" s="442"/>
      <c r="W252" s="442"/>
      <c r="X252" s="442"/>
      <c r="Y252" s="442"/>
      <c r="Z252" s="69"/>
      <c r="AA252" s="69"/>
      <c r="AB252" s="69"/>
      <c r="AC252" s="69"/>
      <c r="AD252" s="69"/>
      <c r="AE252" s="69"/>
      <c r="AF252" s="69"/>
      <c r="AG252" s="69"/>
      <c r="AH252" s="69"/>
      <c r="AI252" s="69"/>
      <c r="AJ252" s="69"/>
      <c r="AK252" s="69"/>
      <c r="AL252" s="69"/>
      <c r="AM252" s="69"/>
      <c r="AN252" s="69"/>
      <c r="AO252" s="69"/>
      <c r="AP252" s="69"/>
      <c r="AQ252" s="69"/>
      <c r="AR252" s="69"/>
      <c r="AS252" s="69"/>
      <c r="AT252" s="69"/>
      <c r="AU252" s="69"/>
      <c r="AV252" s="69"/>
      <c r="AW252" s="69"/>
      <c r="AX252" s="69"/>
      <c r="AY252" s="69"/>
      <c r="AZ252" s="69"/>
      <c r="BA252" s="69"/>
      <c r="BB252" s="69"/>
      <c r="BC252" s="294"/>
      <c r="BD252" s="294"/>
      <c r="BE252" s="294"/>
      <c r="BF252" s="294"/>
      <c r="BG252" s="294"/>
      <c r="BH252" s="294"/>
      <c r="BI252" s="294"/>
      <c r="BJ252" s="294"/>
      <c r="BK252" s="294"/>
      <c r="BL252" s="294"/>
      <c r="BM252" s="294"/>
      <c r="BN252" s="294"/>
      <c r="BO252" s="294"/>
      <c r="BP252" s="294"/>
      <c r="BQ252" s="294"/>
      <c r="BR252" s="294"/>
      <c r="BS252" s="294"/>
      <c r="BT252" s="294"/>
      <c r="BU252" s="294"/>
      <c r="BV252" s="294"/>
      <c r="BW252" s="294"/>
      <c r="BX252" s="294"/>
      <c r="BY252" s="294"/>
      <c r="BZ252" s="294"/>
    </row>
    <row r="253" spans="1:83">
      <c r="B253" s="5" t="s">
        <v>595</v>
      </c>
      <c r="H253" s="69"/>
      <c r="I253" s="69"/>
      <c r="J253" s="69"/>
      <c r="K253" s="69"/>
      <c r="L253" s="69"/>
      <c r="M253" s="69"/>
      <c r="N253" s="69"/>
      <c r="O253" s="69"/>
      <c r="P253" s="69"/>
      <c r="Q253" s="69"/>
      <c r="R253" s="69"/>
      <c r="S253" s="69"/>
      <c r="T253" s="408">
        <f t="shared" ref="T253:Y253" si="325">+T369</f>
        <v>505.82997916666665</v>
      </c>
      <c r="U253" s="408">
        <f t="shared" si="325"/>
        <v>673.34185416666662</v>
      </c>
      <c r="V253" s="408">
        <f t="shared" si="325"/>
        <v>822.70833333333337</v>
      </c>
      <c r="W253" s="408">
        <f t="shared" si="325"/>
        <v>865.39350577875632</v>
      </c>
      <c r="X253" s="408">
        <f t="shared" si="325"/>
        <v>911.82443588332421</v>
      </c>
      <c r="Y253" s="408">
        <f t="shared" si="325"/>
        <v>962.20693450742988</v>
      </c>
      <c r="Z253" s="409"/>
      <c r="AA253" s="409"/>
      <c r="AB253" s="409"/>
      <c r="AC253" s="409"/>
      <c r="AD253" s="409"/>
      <c r="AE253" s="409"/>
      <c r="AF253" s="409"/>
      <c r="AG253" s="409"/>
      <c r="AH253" s="409"/>
      <c r="AI253" s="409"/>
      <c r="AJ253" s="409"/>
      <c r="AK253" s="409"/>
      <c r="AL253" s="409"/>
      <c r="AM253" s="409"/>
      <c r="AN253" s="409"/>
      <c r="AO253" s="409"/>
      <c r="AP253" s="409"/>
      <c r="AQ253" s="409"/>
      <c r="AR253" s="409"/>
      <c r="AS253" s="409"/>
      <c r="AT253" s="409"/>
      <c r="AU253" s="409"/>
      <c r="AV253" s="409"/>
      <c r="AW253" s="409"/>
      <c r="AX253" s="409"/>
      <c r="AY253" s="409"/>
      <c r="AZ253" s="409"/>
      <c r="BA253" s="409"/>
      <c r="BB253" s="409"/>
      <c r="BC253" s="408">
        <f t="shared" ref="BC253:BR253" si="326">+BC369</f>
        <v>458.91075000000001</v>
      </c>
      <c r="BD253" s="408">
        <f t="shared" si="326"/>
        <v>436.86475000000002</v>
      </c>
      <c r="BE253" s="408">
        <f t="shared" si="326"/>
        <v>425.84175000000005</v>
      </c>
      <c r="BF253" s="408">
        <f t="shared" si="326"/>
        <v>466.25941666666671</v>
      </c>
      <c r="BG253" s="408">
        <f t="shared" si="326"/>
        <v>482.63575000000009</v>
      </c>
      <c r="BH253" s="408">
        <f t="shared" si="326"/>
        <v>486.31008333333335</v>
      </c>
      <c r="BI253" s="408">
        <f t="shared" si="326"/>
        <v>515.70474999999999</v>
      </c>
      <c r="BJ253" s="408">
        <f t="shared" si="326"/>
        <v>467.93841666666668</v>
      </c>
      <c r="BK253" s="408">
        <f t="shared" si="326"/>
        <v>460.58974999999992</v>
      </c>
      <c r="BL253" s="408">
        <f t="shared" si="326"/>
        <v>461.50833333333338</v>
      </c>
      <c r="BM253" s="408">
        <f t="shared" si="326"/>
        <v>474.36850000000004</v>
      </c>
      <c r="BN253" s="408">
        <f t="shared" si="326"/>
        <v>463.34550000000007</v>
      </c>
      <c r="BO253" s="408">
        <f t="shared" si="326"/>
        <v>481.71716666666663</v>
      </c>
      <c r="BP253" s="408">
        <f t="shared" si="326"/>
        <v>457.834</v>
      </c>
      <c r="BQ253" s="408">
        <f t="shared" si="326"/>
        <v>450.48533333333336</v>
      </c>
      <c r="BR253" s="408">
        <f t="shared" si="326"/>
        <v>445.89241666666675</v>
      </c>
      <c r="BS253" s="408">
        <f>+BS369</f>
        <v>477.12425000000002</v>
      </c>
      <c r="BT253" s="408">
        <f t="shared" ref="BT253:CD253" si="327">+BT369</f>
        <v>461.50833333333338</v>
      </c>
      <c r="BU253" s="408">
        <f t="shared" si="327"/>
        <v>511.11183333333338</v>
      </c>
      <c r="BV253" s="408">
        <f t="shared" si="327"/>
        <v>573.57550000000003</v>
      </c>
      <c r="BW253" s="408">
        <f t="shared" si="327"/>
        <v>621.70074999999997</v>
      </c>
      <c r="BX253" s="408">
        <f t="shared" si="327"/>
        <v>645.33333333333337</v>
      </c>
      <c r="BY253" s="408">
        <f t="shared" si="327"/>
        <v>693</v>
      </c>
      <c r="BZ253" s="408">
        <f t="shared" si="327"/>
        <v>733.33333333333337</v>
      </c>
      <c r="CA253" s="408">
        <f t="shared" si="327"/>
        <v>786.5</v>
      </c>
      <c r="CB253" s="408">
        <f t="shared" si="327"/>
        <v>832.33333333333337</v>
      </c>
      <c r="CC253" s="408">
        <f t="shared" si="327"/>
        <v>836</v>
      </c>
      <c r="CD253" s="408">
        <f t="shared" si="327"/>
        <v>836</v>
      </c>
      <c r="CE253" s="5" t="s">
        <v>444</v>
      </c>
    </row>
    <row r="254" spans="1:83">
      <c r="B254" s="296" t="s">
        <v>603</v>
      </c>
      <c r="H254" s="69"/>
      <c r="I254" s="69"/>
      <c r="J254" s="69"/>
      <c r="K254" s="69"/>
      <c r="L254" s="69"/>
      <c r="M254" s="69"/>
      <c r="N254" s="69"/>
      <c r="O254" s="69"/>
      <c r="P254" s="69"/>
      <c r="Q254" s="69"/>
      <c r="R254" s="69"/>
      <c r="S254" s="69"/>
      <c r="T254" s="276">
        <f>+T255/T253</f>
        <v>0.50000000000000011</v>
      </c>
      <c r="U254" s="276">
        <f t="shared" ref="U254" si="328">+U255/U253</f>
        <v>0.49875696496404626</v>
      </c>
      <c r="V254" s="276">
        <f t="shared" ref="V254" si="329">+V255/V253</f>
        <v>0.52715877437325898</v>
      </c>
      <c r="W254" s="261">
        <v>0.75</v>
      </c>
      <c r="X254" s="291">
        <f>+W254</f>
        <v>0.75</v>
      </c>
      <c r="Y254" s="291">
        <f>+X254</f>
        <v>0.75</v>
      </c>
      <c r="Z254" s="48"/>
      <c r="AA254" s="48"/>
      <c r="AB254" s="48"/>
      <c r="AC254" s="48"/>
      <c r="AD254" s="48"/>
      <c r="AE254" s="48"/>
      <c r="AF254" s="48"/>
      <c r="AG254" s="48"/>
      <c r="AH254" s="48"/>
      <c r="AI254" s="48"/>
      <c r="AJ254" s="48"/>
      <c r="AK254" s="48"/>
      <c r="AL254" s="48"/>
      <c r="AM254" s="48"/>
      <c r="AN254" s="48"/>
      <c r="AO254" s="48"/>
      <c r="AP254" s="48"/>
      <c r="AQ254" s="48"/>
      <c r="AR254" s="48"/>
      <c r="AS254" s="48"/>
      <c r="AT254" s="48"/>
      <c r="AU254" s="48"/>
      <c r="AV254" s="48"/>
      <c r="AW254" s="48"/>
      <c r="AX254" s="48"/>
      <c r="AY254" s="48"/>
      <c r="AZ254" s="48"/>
      <c r="BA254" s="48"/>
      <c r="BB254" s="48"/>
      <c r="BC254" s="48"/>
      <c r="BD254" s="48"/>
      <c r="BE254" s="48"/>
      <c r="BF254" s="48"/>
      <c r="BG254" s="273"/>
      <c r="BH254" s="273"/>
      <c r="BI254" s="273"/>
      <c r="BJ254" s="273"/>
      <c r="BK254" s="273"/>
      <c r="BL254" s="273"/>
      <c r="BM254" s="273"/>
      <c r="BN254" s="273"/>
      <c r="BO254" s="273"/>
      <c r="BP254" s="273"/>
      <c r="BQ254" s="273"/>
      <c r="BR254" s="273"/>
      <c r="BS254" s="261">
        <v>0.5</v>
      </c>
      <c r="BT254" s="402">
        <f>+BS254</f>
        <v>0.5</v>
      </c>
      <c r="BU254" s="402">
        <f t="shared" ref="BU254:CD254" si="330">+BT254</f>
        <v>0.5</v>
      </c>
      <c r="BV254" s="402">
        <f t="shared" si="330"/>
        <v>0.5</v>
      </c>
      <c r="BW254" s="402">
        <f t="shared" si="330"/>
        <v>0.5</v>
      </c>
      <c r="BX254" s="402">
        <f t="shared" si="330"/>
        <v>0.5</v>
      </c>
      <c r="BY254" s="402">
        <f t="shared" si="330"/>
        <v>0.5</v>
      </c>
      <c r="BZ254" s="402">
        <f t="shared" si="330"/>
        <v>0.5</v>
      </c>
      <c r="CA254" s="261">
        <v>0.75</v>
      </c>
      <c r="CB254" s="402">
        <f t="shared" si="330"/>
        <v>0.75</v>
      </c>
      <c r="CC254" s="402">
        <f t="shared" si="330"/>
        <v>0.75</v>
      </c>
      <c r="CD254" s="402">
        <f t="shared" si="330"/>
        <v>0.75</v>
      </c>
      <c r="CE254" s="5" t="s">
        <v>442</v>
      </c>
    </row>
    <row r="255" spans="1:83">
      <c r="B255" s="244" t="s">
        <v>451</v>
      </c>
      <c r="H255" s="69"/>
      <c r="I255" s="69"/>
      <c r="J255" s="69"/>
      <c r="K255" s="69"/>
      <c r="L255" s="69"/>
      <c r="M255" s="69"/>
      <c r="N255" s="69"/>
      <c r="O255" s="69"/>
      <c r="P255" s="69"/>
      <c r="Q255" s="69"/>
      <c r="R255" s="69"/>
      <c r="S255" s="69"/>
      <c r="T255" s="293">
        <f>+T196/T216*1000</f>
        <v>252.91498958333335</v>
      </c>
      <c r="U255" s="293">
        <f>+U196/U216*1000</f>
        <v>335.83393956743009</v>
      </c>
      <c r="V255" s="293">
        <f>+V196/V216*1000</f>
        <v>433.69791666666663</v>
      </c>
      <c r="W255" s="293">
        <f>V255+(W254*(W253-V253))</f>
        <v>465.71179600073384</v>
      </c>
      <c r="X255" s="293">
        <f>W255+(X254*(X253-W253))</f>
        <v>500.53499357915973</v>
      </c>
      <c r="Y255" s="293">
        <f>X255+(Y254*(Y253-X253))</f>
        <v>538.32186754723898</v>
      </c>
      <c r="Z255" s="69"/>
      <c r="AA255" s="69"/>
      <c r="AB255" s="69"/>
      <c r="AC255" s="69"/>
      <c r="AD255" s="69"/>
      <c r="AE255" s="69"/>
      <c r="AF255" s="69"/>
      <c r="AG255" s="69"/>
      <c r="AH255" s="69"/>
      <c r="AI255" s="69"/>
      <c r="AJ255" s="69"/>
      <c r="AK255" s="69"/>
      <c r="AL255" s="69"/>
      <c r="AM255" s="69"/>
      <c r="AN255" s="69"/>
      <c r="AO255" s="69"/>
      <c r="AP255" s="69"/>
      <c r="AQ255" s="69"/>
      <c r="AR255" s="69"/>
      <c r="AS255" s="69"/>
      <c r="AT255" s="69"/>
      <c r="AU255" s="69"/>
      <c r="AV255" s="69"/>
      <c r="AW255" s="69"/>
      <c r="AX255" s="69"/>
      <c r="AY255" s="69"/>
      <c r="AZ255" s="69"/>
      <c r="BA255" s="69"/>
      <c r="BB255" s="69"/>
      <c r="BC255" s="294"/>
      <c r="BD255" s="294"/>
      <c r="BE255" s="294"/>
      <c r="BF255" s="294"/>
      <c r="BG255" s="294"/>
      <c r="BH255" s="294"/>
      <c r="BI255" s="294"/>
      <c r="BJ255" s="294"/>
      <c r="BK255" s="294"/>
      <c r="BL255" s="294"/>
      <c r="BM255" s="294"/>
      <c r="BN255" s="294"/>
      <c r="BO255" s="294"/>
      <c r="BP255" s="294"/>
      <c r="BQ255" s="294"/>
      <c r="BR255" s="294"/>
      <c r="BS255" s="293">
        <f>+BS253*BS254</f>
        <v>238.56212500000001</v>
      </c>
      <c r="BT255" s="293">
        <f t="shared" ref="BT255:CD255" si="331">BS255+(BT254*(BT253-BS253))</f>
        <v>230.75416666666669</v>
      </c>
      <c r="BU255" s="293">
        <f t="shared" si="331"/>
        <v>255.55591666666669</v>
      </c>
      <c r="BV255" s="293">
        <f t="shared" si="331"/>
        <v>286.78775000000002</v>
      </c>
      <c r="BW255" s="293">
        <f t="shared" si="331"/>
        <v>310.85037499999999</v>
      </c>
      <c r="BX255" s="293">
        <f t="shared" si="331"/>
        <v>322.66666666666669</v>
      </c>
      <c r="BY255" s="293">
        <f t="shared" si="331"/>
        <v>346.5</v>
      </c>
      <c r="BZ255" s="293">
        <f t="shared" si="331"/>
        <v>366.66666666666669</v>
      </c>
      <c r="CA255" s="293">
        <f t="shared" si="331"/>
        <v>406.54166666666663</v>
      </c>
      <c r="CB255" s="293">
        <f t="shared" si="331"/>
        <v>440.91666666666663</v>
      </c>
      <c r="CC255" s="293">
        <f t="shared" si="331"/>
        <v>443.66666666666663</v>
      </c>
      <c r="CD255" s="293">
        <f t="shared" si="331"/>
        <v>443.66666666666663</v>
      </c>
    </row>
    <row r="256" spans="1:83">
      <c r="B256" s="54"/>
      <c r="H256" s="69"/>
      <c r="I256" s="69"/>
      <c r="J256" s="69"/>
      <c r="K256" s="69"/>
      <c r="L256" s="69"/>
      <c r="M256" s="69"/>
      <c r="N256" s="69"/>
      <c r="O256" s="69"/>
      <c r="P256" s="69"/>
      <c r="Q256" s="69"/>
      <c r="R256" s="69"/>
      <c r="S256" s="69"/>
      <c r="T256" s="255"/>
      <c r="U256" s="255"/>
      <c r="V256" s="255"/>
      <c r="W256" s="255"/>
      <c r="X256" s="255"/>
      <c r="Y256" s="255"/>
      <c r="Z256" s="69"/>
      <c r="AA256" s="69"/>
      <c r="AB256" s="69"/>
      <c r="AC256" s="69"/>
      <c r="AD256" s="69"/>
      <c r="AE256" s="69"/>
      <c r="AF256" s="69"/>
      <c r="AG256" s="69"/>
      <c r="AH256" s="69"/>
      <c r="AI256" s="69"/>
      <c r="AJ256" s="69"/>
      <c r="AK256" s="69"/>
      <c r="AL256" s="69"/>
      <c r="AM256" s="69"/>
      <c r="AN256" s="69"/>
      <c r="AO256" s="69"/>
      <c r="AP256" s="69"/>
      <c r="AQ256" s="69"/>
      <c r="AR256" s="69"/>
      <c r="AS256" s="69"/>
      <c r="AT256" s="69"/>
      <c r="AU256" s="69"/>
      <c r="AV256" s="69"/>
      <c r="AW256" s="69"/>
      <c r="AX256" s="69"/>
      <c r="AY256" s="69"/>
      <c r="AZ256" s="69"/>
      <c r="BA256" s="69"/>
      <c r="BB256" s="69"/>
      <c r="BC256" s="79"/>
      <c r="BD256" s="79"/>
      <c r="BE256" s="79"/>
      <c r="BF256" s="79"/>
      <c r="BG256" s="255"/>
      <c r="BH256" s="255"/>
      <c r="BI256" s="255"/>
      <c r="BJ256" s="255"/>
      <c r="BK256" s="255"/>
      <c r="BL256" s="255"/>
      <c r="BM256" s="255"/>
      <c r="BN256" s="255"/>
      <c r="BO256" s="255"/>
      <c r="BP256" s="255"/>
      <c r="BQ256" s="255"/>
      <c r="BR256" s="255"/>
      <c r="BS256" s="255"/>
      <c r="BT256" s="255"/>
      <c r="BU256" s="255"/>
      <c r="BV256" s="295"/>
      <c r="BW256" s="295"/>
      <c r="BX256" s="295"/>
      <c r="BY256" s="295"/>
      <c r="BZ256" s="295"/>
      <c r="CC256" s="26"/>
    </row>
    <row r="257" spans="1:82" s="73" customFormat="1">
      <c r="B257" s="286" t="s">
        <v>519</v>
      </c>
      <c r="H257" s="298"/>
      <c r="I257" s="298"/>
      <c r="J257" s="298"/>
      <c r="K257" s="298"/>
      <c r="L257" s="298"/>
      <c r="M257" s="298"/>
      <c r="N257" s="298"/>
      <c r="O257" s="298"/>
      <c r="P257" s="298"/>
      <c r="Q257" s="298"/>
      <c r="R257" s="298"/>
      <c r="S257" s="298"/>
      <c r="T257" s="288"/>
      <c r="U257" s="288">
        <f>+U255/T255-1</f>
        <v>0.32785304706811624</v>
      </c>
      <c r="V257" s="288">
        <f>+V255/U255-1</f>
        <v>0.29140585738680835</v>
      </c>
      <c r="W257" s="288">
        <f>+W255/V255-1</f>
        <v>7.3816078205126701E-2</v>
      </c>
      <c r="X257" s="288">
        <f>+X255/W255-1</f>
        <v>7.4774136874924624E-2</v>
      </c>
      <c r="Y257" s="288">
        <f>+Y255/X255-1</f>
        <v>7.5492971426189159E-2</v>
      </c>
      <c r="Z257" s="298"/>
      <c r="AA257" s="298"/>
      <c r="AB257" s="298"/>
      <c r="AC257" s="298"/>
      <c r="AD257" s="298"/>
      <c r="AE257" s="298"/>
      <c r="AF257" s="298"/>
      <c r="AG257" s="298"/>
      <c r="AH257" s="298"/>
      <c r="AI257" s="298"/>
      <c r="AJ257" s="298"/>
      <c r="AK257" s="298"/>
      <c r="AL257" s="298"/>
      <c r="AM257" s="298"/>
      <c r="AN257" s="298"/>
      <c r="AO257" s="298"/>
      <c r="AP257" s="298"/>
      <c r="AQ257" s="298"/>
      <c r="AR257" s="298"/>
      <c r="AS257" s="298"/>
      <c r="AT257" s="298"/>
      <c r="AU257" s="298"/>
      <c r="AV257" s="298"/>
      <c r="AW257" s="298"/>
      <c r="AX257" s="298"/>
      <c r="AY257" s="298"/>
      <c r="AZ257" s="298"/>
      <c r="BA257" s="298"/>
      <c r="BB257" s="298"/>
      <c r="BC257" s="298"/>
      <c r="BD257" s="298"/>
      <c r="BE257" s="298"/>
      <c r="BF257" s="298"/>
      <c r="BG257" s="288"/>
      <c r="BH257" s="288"/>
      <c r="BI257" s="288"/>
      <c r="BJ257" s="288"/>
      <c r="BK257" s="288"/>
      <c r="BL257" s="288"/>
      <c r="BM257" s="288"/>
      <c r="BN257" s="288"/>
      <c r="BO257" s="288"/>
      <c r="BP257" s="288"/>
      <c r="BQ257" s="288"/>
      <c r="BR257" s="288"/>
      <c r="BS257" s="288"/>
      <c r="BT257" s="288"/>
      <c r="BU257" s="288"/>
      <c r="BV257" s="288"/>
      <c r="BW257" s="288">
        <f t="shared" ref="BW257:CD257" si="332">BW255/BS255-1</f>
        <v>0.30301645745316863</v>
      </c>
      <c r="BX257" s="288">
        <f t="shared" si="332"/>
        <v>0.39831350102020546</v>
      </c>
      <c r="BY257" s="288">
        <f t="shared" si="332"/>
        <v>0.35586764931745196</v>
      </c>
      <c r="BZ257" s="288">
        <f t="shared" si="332"/>
        <v>0.27852973729410224</v>
      </c>
      <c r="CA257" s="288">
        <f t="shared" si="332"/>
        <v>0.30783714404934104</v>
      </c>
      <c r="CB257" s="288">
        <f t="shared" si="332"/>
        <v>0.36647727272727249</v>
      </c>
      <c r="CC257" s="288">
        <f t="shared" si="332"/>
        <v>0.28042328042328024</v>
      </c>
      <c r="CD257" s="288">
        <f t="shared" si="332"/>
        <v>0.20999999999999974</v>
      </c>
    </row>
    <row r="258" spans="1:82" s="73" customFormat="1">
      <c r="B258" s="286" t="s">
        <v>520</v>
      </c>
      <c r="H258" s="298"/>
      <c r="I258" s="298"/>
      <c r="J258" s="298"/>
      <c r="K258" s="298"/>
      <c r="L258" s="298"/>
      <c r="M258" s="298"/>
      <c r="N258" s="298"/>
      <c r="O258" s="298"/>
      <c r="P258" s="298"/>
      <c r="Q258" s="298"/>
      <c r="R258" s="298"/>
      <c r="S258" s="298"/>
      <c r="T258" s="288"/>
      <c r="U258" s="288"/>
      <c r="V258" s="288"/>
      <c r="W258" s="288"/>
      <c r="X258" s="288"/>
      <c r="Y258" s="288"/>
      <c r="Z258" s="298"/>
      <c r="AA258" s="298"/>
      <c r="AB258" s="298"/>
      <c r="AC258" s="298"/>
      <c r="AD258" s="298"/>
      <c r="AE258" s="298"/>
      <c r="AF258" s="298"/>
      <c r="AG258" s="298"/>
      <c r="AH258" s="298"/>
      <c r="AI258" s="298"/>
      <c r="AJ258" s="298"/>
      <c r="AK258" s="298"/>
      <c r="AL258" s="298"/>
      <c r="AM258" s="298"/>
      <c r="AN258" s="298"/>
      <c r="AO258" s="298"/>
      <c r="AP258" s="298"/>
      <c r="AQ258" s="298"/>
      <c r="AR258" s="298"/>
      <c r="AS258" s="298"/>
      <c r="AT258" s="298"/>
      <c r="AU258" s="298"/>
      <c r="AV258" s="298"/>
      <c r="AW258" s="298"/>
      <c r="AX258" s="298"/>
      <c r="AY258" s="298"/>
      <c r="AZ258" s="298"/>
      <c r="BA258" s="298"/>
      <c r="BB258" s="298"/>
      <c r="BC258" s="298"/>
      <c r="BD258" s="298"/>
      <c r="BE258" s="298"/>
      <c r="BF258" s="298"/>
      <c r="BG258" s="288"/>
      <c r="BH258" s="288"/>
      <c r="BI258" s="288"/>
      <c r="BJ258" s="288"/>
      <c r="BK258" s="288"/>
      <c r="BL258" s="288"/>
      <c r="BM258" s="288"/>
      <c r="BN258" s="288"/>
      <c r="BO258" s="288"/>
      <c r="BP258" s="288"/>
      <c r="BQ258" s="288"/>
      <c r="BR258" s="288"/>
      <c r="BS258" s="288"/>
      <c r="BT258" s="288">
        <f t="shared" ref="BT258:CD258" si="333">BT255/BS255-1</f>
        <v>-3.2729245404455209E-2</v>
      </c>
      <c r="BU258" s="288">
        <f t="shared" si="333"/>
        <v>0.1074812661382063</v>
      </c>
      <c r="BV258" s="288">
        <f t="shared" si="333"/>
        <v>0.12221134904918074</v>
      </c>
      <c r="BW258" s="288">
        <f t="shared" si="333"/>
        <v>8.3903949872335737E-2</v>
      </c>
      <c r="BX258" s="288">
        <f t="shared" si="333"/>
        <v>3.8012795277041933E-2</v>
      </c>
      <c r="BY258" s="288">
        <f t="shared" si="333"/>
        <v>7.3863636363636243E-2</v>
      </c>
      <c r="BZ258" s="288">
        <f t="shared" si="333"/>
        <v>5.8201058201058364E-2</v>
      </c>
      <c r="CA258" s="288">
        <f t="shared" si="333"/>
        <v>0.1087499999999999</v>
      </c>
      <c r="CB258" s="288">
        <f t="shared" si="333"/>
        <v>8.4554678692220886E-2</v>
      </c>
      <c r="CC258" s="288">
        <f t="shared" si="333"/>
        <v>6.2370062370062929E-3</v>
      </c>
      <c r="CD258" s="288">
        <f t="shared" si="333"/>
        <v>0</v>
      </c>
    </row>
    <row r="259" spans="1:82">
      <c r="A259" s="34"/>
      <c r="B259" s="243"/>
      <c r="T259" s="247"/>
      <c r="U259" s="247"/>
      <c r="V259" s="247"/>
      <c r="W259" s="247"/>
      <c r="X259" s="247"/>
      <c r="Y259" s="247"/>
      <c r="BS259" s="247"/>
      <c r="BT259" s="247"/>
      <c r="BU259" s="247"/>
      <c r="BV259" s="247"/>
      <c r="BW259" s="247"/>
      <c r="BX259" s="247"/>
      <c r="BY259" s="247"/>
      <c r="BZ259" s="247"/>
    </row>
    <row r="260" spans="1:82">
      <c r="B260" s="149" t="s">
        <v>439</v>
      </c>
      <c r="H260" s="69"/>
      <c r="I260" s="69"/>
      <c r="J260" s="69"/>
      <c r="K260" s="69"/>
      <c r="L260" s="69"/>
      <c r="M260" s="69"/>
      <c r="N260" s="69"/>
      <c r="O260" s="69"/>
      <c r="P260" s="69"/>
      <c r="Q260" s="69"/>
      <c r="R260" s="69"/>
      <c r="S260" s="69"/>
      <c r="T260" s="255"/>
      <c r="U260" s="255"/>
      <c r="V260" s="255"/>
      <c r="W260" s="255"/>
      <c r="X260" s="255"/>
      <c r="Y260" s="255"/>
      <c r="Z260" s="69"/>
      <c r="AA260" s="69"/>
      <c r="AB260" s="69"/>
      <c r="AC260" s="69"/>
      <c r="AD260" s="69"/>
      <c r="AE260" s="69"/>
      <c r="AF260" s="69"/>
      <c r="AG260" s="69"/>
      <c r="AH260" s="69"/>
      <c r="AI260" s="69"/>
      <c r="AJ260" s="69"/>
      <c r="AK260" s="69"/>
      <c r="AL260" s="69"/>
      <c r="AM260" s="69"/>
      <c r="AN260" s="69"/>
      <c r="AO260" s="69"/>
      <c r="AP260" s="69"/>
      <c r="AQ260" s="69"/>
      <c r="AR260" s="69"/>
      <c r="AS260" s="69"/>
      <c r="AT260" s="69"/>
      <c r="AU260" s="69"/>
      <c r="AV260" s="69"/>
      <c r="AW260" s="69"/>
      <c r="AX260" s="69"/>
      <c r="AY260" s="69"/>
      <c r="AZ260" s="69"/>
      <c r="BA260" s="69"/>
      <c r="BB260" s="69"/>
      <c r="BC260" s="79"/>
      <c r="BD260" s="79"/>
      <c r="BE260" s="79"/>
      <c r="BF260" s="79"/>
      <c r="BG260" s="255"/>
      <c r="BH260" s="255"/>
      <c r="BI260" s="255"/>
      <c r="BJ260" s="255"/>
      <c r="BK260" s="255"/>
      <c r="BL260" s="255"/>
      <c r="BM260" s="255"/>
      <c r="BN260" s="255"/>
      <c r="BO260" s="255"/>
      <c r="BP260" s="255"/>
      <c r="BQ260" s="255"/>
      <c r="BR260" s="255"/>
      <c r="BS260" s="255"/>
      <c r="BT260" s="255"/>
      <c r="BU260" s="255"/>
      <c r="BV260" s="255"/>
      <c r="BW260" s="255"/>
      <c r="BX260" s="255"/>
      <c r="BY260" s="255"/>
      <c r="BZ260" s="255"/>
    </row>
    <row r="261" spans="1:82">
      <c r="A261" s="34"/>
      <c r="B261" s="5" t="s">
        <v>446</v>
      </c>
      <c r="C261" s="242"/>
      <c r="D261" s="242"/>
      <c r="E261" s="242"/>
      <c r="F261" s="242"/>
      <c r="H261" s="242"/>
      <c r="I261" s="242"/>
      <c r="J261" s="242"/>
      <c r="K261" s="242"/>
      <c r="L261" s="242"/>
      <c r="M261" s="242"/>
      <c r="N261" s="242"/>
      <c r="O261" s="242"/>
      <c r="P261" s="242"/>
      <c r="Q261" s="242"/>
      <c r="R261" s="242"/>
      <c r="S261" s="242"/>
      <c r="T261" s="408">
        <f t="shared" ref="T261:Y261" si="334">+T62</f>
        <v>137.19294419985903</v>
      </c>
      <c r="U261" s="408">
        <f t="shared" si="334"/>
        <v>145.11131528428584</v>
      </c>
      <c r="V261" s="408">
        <f t="shared" si="334"/>
        <v>146.67622758387731</v>
      </c>
      <c r="W261" s="408">
        <f t="shared" si="334"/>
        <v>145.568491224431</v>
      </c>
      <c r="X261" s="408">
        <f t="shared" si="334"/>
        <v>154.39201054543778</v>
      </c>
      <c r="Y261" s="408">
        <f t="shared" si="334"/>
        <v>156.1523311075135</v>
      </c>
      <c r="Z261" s="420"/>
      <c r="AA261" s="420"/>
      <c r="AB261" s="420"/>
      <c r="AC261" s="420"/>
      <c r="AD261" s="420"/>
      <c r="AE261" s="420"/>
      <c r="AF261" s="420"/>
      <c r="AG261" s="420"/>
      <c r="AH261" s="420"/>
      <c r="AI261" s="420"/>
      <c r="AJ261" s="420"/>
      <c r="AK261" s="420"/>
      <c r="AL261" s="420"/>
      <c r="AM261" s="420"/>
      <c r="AN261" s="420"/>
      <c r="AO261" s="420"/>
      <c r="AP261" s="420"/>
      <c r="AQ261" s="420"/>
      <c r="AR261" s="420"/>
      <c r="AS261" s="420"/>
      <c r="AT261" s="420"/>
      <c r="AU261" s="420"/>
      <c r="AV261" s="420"/>
      <c r="AW261" s="420"/>
      <c r="AX261" s="420"/>
      <c r="AY261" s="420"/>
      <c r="AZ261" s="420"/>
      <c r="BA261" s="420"/>
      <c r="BB261" s="420"/>
      <c r="BC261" s="420"/>
      <c r="BD261" s="420"/>
      <c r="BE261" s="420"/>
      <c r="BF261" s="420"/>
      <c r="BG261" s="408"/>
      <c r="BH261" s="408"/>
      <c r="BI261" s="408"/>
      <c r="BJ261" s="408"/>
      <c r="BK261" s="408"/>
      <c r="BL261" s="408"/>
      <c r="BM261" s="408"/>
      <c r="BN261" s="408"/>
      <c r="BO261" s="408"/>
      <c r="BP261" s="408"/>
      <c r="BQ261" s="408"/>
      <c r="BR261" s="408"/>
      <c r="BS261" s="408">
        <f t="shared" ref="BS261:CD261" si="335">+BS62</f>
        <v>133.44549212936508</v>
      </c>
      <c r="BT261" s="408">
        <f t="shared" si="335"/>
        <v>132.10160338571427</v>
      </c>
      <c r="BU261" s="408">
        <f t="shared" si="335"/>
        <v>139.41527374761904</v>
      </c>
      <c r="BV261" s="408">
        <f t="shared" si="335"/>
        <v>144.13259616031746</v>
      </c>
      <c r="BW261" s="408">
        <f t="shared" si="335"/>
        <v>147.88268083809524</v>
      </c>
      <c r="BX261" s="408">
        <f t="shared" si="335"/>
        <v>146.33949549999997</v>
      </c>
      <c r="BY261" s="408">
        <f t="shared" si="335"/>
        <v>142.8783010722222</v>
      </c>
      <c r="BZ261" s="408">
        <f t="shared" si="335"/>
        <v>143.27506766746032</v>
      </c>
      <c r="CA261" s="408">
        <f t="shared" si="335"/>
        <v>148.5537103373016</v>
      </c>
      <c r="CB261" s="408">
        <f t="shared" si="335"/>
        <v>144.50193465714287</v>
      </c>
      <c r="CC261" s="408">
        <f t="shared" si="335"/>
        <v>145.46733949523809</v>
      </c>
      <c r="CD261" s="408">
        <f t="shared" si="335"/>
        <v>148.30504528888889</v>
      </c>
    </row>
    <row r="262" spans="1:82">
      <c r="B262" s="238" t="s">
        <v>383</v>
      </c>
      <c r="G262" s="256"/>
      <c r="T262" s="276">
        <f>+T263/T261-1</f>
        <v>0.19911260899549044</v>
      </c>
      <c r="U262" s="276">
        <f>+U263/U261-1</f>
        <v>0.20018255960619125</v>
      </c>
      <c r="V262" s="276">
        <f>+V263/V261-1</f>
        <v>0.19970477366183359</v>
      </c>
      <c r="W262" s="402">
        <f>+V262</f>
        <v>0.19970477366183359</v>
      </c>
      <c r="X262" s="402">
        <f>+W262</f>
        <v>0.19970477366183359</v>
      </c>
      <c r="Y262" s="402">
        <f>+X262</f>
        <v>0.19970477366183359</v>
      </c>
      <c r="Z262" s="48"/>
      <c r="AA262" s="48"/>
      <c r="AB262" s="48"/>
      <c r="AC262" s="48"/>
      <c r="AD262" s="48"/>
      <c r="AE262" s="48"/>
      <c r="AF262" s="48"/>
      <c r="AG262" s="48"/>
      <c r="AH262" s="48"/>
      <c r="AI262" s="48"/>
      <c r="AJ262" s="48"/>
      <c r="AK262" s="48"/>
      <c r="AL262" s="48"/>
      <c r="AM262" s="48"/>
      <c r="AN262" s="48"/>
      <c r="AO262" s="48"/>
      <c r="AP262" s="48"/>
      <c r="AQ262" s="48"/>
      <c r="AR262" s="48"/>
      <c r="AS262" s="48"/>
      <c r="AT262" s="48"/>
      <c r="AU262" s="48"/>
      <c r="AV262" s="48"/>
      <c r="AW262" s="48"/>
      <c r="AX262" s="48"/>
      <c r="AY262" s="48"/>
      <c r="AZ262" s="48"/>
      <c r="BA262" s="48"/>
      <c r="BB262" s="48"/>
      <c r="BC262" s="48"/>
      <c r="BD262" s="48"/>
      <c r="BE262" s="48"/>
      <c r="BF262" s="48"/>
      <c r="BG262" s="48"/>
      <c r="BH262" s="48"/>
      <c r="BI262" s="48"/>
      <c r="BJ262" s="48"/>
      <c r="BK262" s="48"/>
      <c r="BL262" s="48"/>
      <c r="BM262" s="48"/>
      <c r="BN262" s="48"/>
      <c r="BO262" s="48"/>
      <c r="BP262" s="48"/>
      <c r="BQ262" s="48"/>
      <c r="BR262" s="48"/>
      <c r="BS262" s="261">
        <v>0.2</v>
      </c>
      <c r="BT262" s="402">
        <f>+BS262</f>
        <v>0.2</v>
      </c>
      <c r="BU262" s="402">
        <f t="shared" ref="BU262:BZ262" si="336">+BT262</f>
        <v>0.2</v>
      </c>
      <c r="BV262" s="402">
        <f t="shared" si="336"/>
        <v>0.2</v>
      </c>
      <c r="BW262" s="402">
        <f t="shared" si="336"/>
        <v>0.2</v>
      </c>
      <c r="BX262" s="402">
        <f>+BW262</f>
        <v>0.2</v>
      </c>
      <c r="BY262" s="402">
        <f>+BX262</f>
        <v>0.2</v>
      </c>
      <c r="BZ262" s="402">
        <f t="shared" si="336"/>
        <v>0.2</v>
      </c>
      <c r="CA262" s="402">
        <f>+BZ262</f>
        <v>0.2</v>
      </c>
      <c r="CB262" s="402">
        <f>+CA262</f>
        <v>0.2</v>
      </c>
      <c r="CC262" s="402">
        <f>+CB262</f>
        <v>0.2</v>
      </c>
      <c r="CD262" s="402">
        <f>+CC262</f>
        <v>0.2</v>
      </c>
    </row>
    <row r="263" spans="1:82">
      <c r="B263" s="244" t="s">
        <v>452</v>
      </c>
      <c r="H263" s="69"/>
      <c r="I263" s="69"/>
      <c r="J263" s="69"/>
      <c r="K263" s="69"/>
      <c r="L263" s="69"/>
      <c r="M263" s="69"/>
      <c r="N263" s="69"/>
      <c r="O263" s="69"/>
      <c r="P263" s="69"/>
      <c r="Q263" s="69"/>
      <c r="R263" s="69"/>
      <c r="S263" s="69"/>
      <c r="T263" s="277">
        <f>+T197/T217*1000</f>
        <v>164.5097892552657</v>
      </c>
      <c r="U263" s="277">
        <f>+U197/U217*1000</f>
        <v>174.16006980571521</v>
      </c>
      <c r="V263" s="277">
        <f>+V197/V217*1000</f>
        <v>175.96817041508712</v>
      </c>
      <c r="W263" s="277">
        <f>+W261*(1+W262)</f>
        <v>174.63921381670059</v>
      </c>
      <c r="X263" s="277">
        <f>+X261*(1+X262)</f>
        <v>185.22483206660985</v>
      </c>
      <c r="Y263" s="277">
        <f>+Y261*(1+Y262)</f>
        <v>187.3366970481072</v>
      </c>
      <c r="Z263" s="69"/>
      <c r="AA263" s="69"/>
      <c r="AB263" s="69"/>
      <c r="AC263" s="69"/>
      <c r="AD263" s="69"/>
      <c r="AE263" s="69"/>
      <c r="AF263" s="69"/>
      <c r="AG263" s="69"/>
      <c r="AH263" s="69"/>
      <c r="AI263" s="69"/>
      <c r="AJ263" s="69"/>
      <c r="AK263" s="69"/>
      <c r="AL263" s="69"/>
      <c r="AM263" s="69"/>
      <c r="AN263" s="69"/>
      <c r="AO263" s="69"/>
      <c r="AP263" s="69"/>
      <c r="AQ263" s="69"/>
      <c r="AR263" s="69"/>
      <c r="AS263" s="69"/>
      <c r="AT263" s="69"/>
      <c r="AU263" s="69"/>
      <c r="AV263" s="69"/>
      <c r="AW263" s="69"/>
      <c r="AX263" s="69"/>
      <c r="AY263" s="69"/>
      <c r="AZ263" s="69"/>
      <c r="BA263" s="69"/>
      <c r="BB263" s="69"/>
      <c r="BC263" s="79"/>
      <c r="BD263" s="79"/>
      <c r="BE263" s="79"/>
      <c r="BF263" s="79"/>
      <c r="BG263" s="79"/>
      <c r="BH263" s="79"/>
      <c r="BI263" s="79"/>
      <c r="BJ263" s="79"/>
      <c r="BK263" s="79"/>
      <c r="BL263" s="79"/>
      <c r="BM263" s="79"/>
      <c r="BN263" s="79"/>
      <c r="BO263" s="79"/>
      <c r="BP263" s="79"/>
      <c r="BQ263" s="79"/>
      <c r="BR263" s="79"/>
      <c r="BS263" s="277">
        <f t="shared" ref="BS263:BZ263" si="337">+BS261*(1+BS262)</f>
        <v>160.13459055523808</v>
      </c>
      <c r="BT263" s="277">
        <f t="shared" si="337"/>
        <v>158.52192406285712</v>
      </c>
      <c r="BU263" s="277">
        <f t="shared" si="337"/>
        <v>167.29832849714285</v>
      </c>
      <c r="BV263" s="277">
        <f t="shared" si="337"/>
        <v>172.95911539238094</v>
      </c>
      <c r="BW263" s="277">
        <f t="shared" si="337"/>
        <v>177.45921700571429</v>
      </c>
      <c r="BX263" s="277">
        <f t="shared" si="337"/>
        <v>175.60739459999996</v>
      </c>
      <c r="BY263" s="277">
        <f t="shared" si="337"/>
        <v>171.45396128666664</v>
      </c>
      <c r="BZ263" s="277">
        <f t="shared" si="337"/>
        <v>171.93008120095237</v>
      </c>
      <c r="CA263" s="277">
        <f>+CA261*(1+CA262)</f>
        <v>178.2644524047619</v>
      </c>
      <c r="CB263" s="277">
        <f>+CB261*(1+CB262)</f>
        <v>173.40232158857143</v>
      </c>
      <c r="CC263" s="277">
        <f>+CC261*(1+CC262)</f>
        <v>174.56080739428572</v>
      </c>
      <c r="CD263" s="277">
        <f>+CD261*(1+CD262)</f>
        <v>177.96605434666665</v>
      </c>
    </row>
    <row r="264" spans="1:82">
      <c r="B264" s="244"/>
      <c r="H264" s="69"/>
      <c r="I264" s="69"/>
      <c r="J264" s="69"/>
      <c r="K264" s="69"/>
      <c r="L264" s="69"/>
      <c r="M264" s="69"/>
      <c r="N264" s="69"/>
      <c r="O264" s="69"/>
      <c r="P264" s="69"/>
      <c r="Q264" s="69"/>
      <c r="R264" s="69"/>
      <c r="S264" s="69"/>
      <c r="T264" s="94"/>
      <c r="U264" s="94"/>
      <c r="V264" s="94"/>
      <c r="W264" s="94"/>
      <c r="X264" s="94"/>
      <c r="Y264" s="94"/>
      <c r="Z264" s="69"/>
      <c r="AA264" s="69"/>
      <c r="AB264" s="69"/>
      <c r="AC264" s="69"/>
      <c r="AD264" s="69"/>
      <c r="AE264" s="69"/>
      <c r="AF264" s="69"/>
      <c r="AG264" s="69"/>
      <c r="AH264" s="69"/>
      <c r="AI264" s="69"/>
      <c r="AJ264" s="69"/>
      <c r="AK264" s="69"/>
      <c r="AL264" s="69"/>
      <c r="AM264" s="69"/>
      <c r="AN264" s="69"/>
      <c r="AO264" s="69"/>
      <c r="AP264" s="69"/>
      <c r="AQ264" s="69"/>
      <c r="AR264" s="69"/>
      <c r="AS264" s="69"/>
      <c r="AT264" s="69"/>
      <c r="AU264" s="69"/>
      <c r="AV264" s="69"/>
      <c r="AW264" s="69"/>
      <c r="AX264" s="69"/>
      <c r="AY264" s="69"/>
      <c r="AZ264" s="69"/>
      <c r="BA264" s="69"/>
      <c r="BB264" s="69"/>
      <c r="BC264" s="79"/>
      <c r="BD264" s="79"/>
      <c r="BE264" s="79"/>
      <c r="BF264" s="79"/>
      <c r="BG264" s="79"/>
      <c r="BH264" s="79"/>
      <c r="BI264" s="79"/>
      <c r="BJ264" s="79"/>
      <c r="BK264" s="79"/>
      <c r="BL264" s="79"/>
      <c r="BM264" s="79"/>
      <c r="BN264" s="79"/>
      <c r="BO264" s="79"/>
      <c r="BP264" s="79"/>
      <c r="BQ264" s="79"/>
      <c r="BR264" s="79"/>
      <c r="BS264" s="94"/>
      <c r="BT264" s="94"/>
      <c r="BU264" s="94"/>
      <c r="BV264" s="94"/>
      <c r="BW264" s="94"/>
      <c r="BX264" s="94"/>
      <c r="BY264" s="94"/>
      <c r="BZ264" s="94"/>
      <c r="CA264" s="94"/>
      <c r="CB264" s="94"/>
      <c r="CC264" s="94"/>
      <c r="CD264" s="94"/>
    </row>
    <row r="265" spans="1:82">
      <c r="A265" s="34"/>
      <c r="B265" s="149" t="s">
        <v>508</v>
      </c>
      <c r="T265" s="247"/>
      <c r="U265" s="247"/>
      <c r="V265" s="247"/>
      <c r="W265" s="247"/>
      <c r="X265" s="247"/>
      <c r="Y265" s="247"/>
      <c r="BS265" s="247"/>
      <c r="BT265" s="247"/>
      <c r="BU265" s="247"/>
      <c r="BV265" s="247"/>
      <c r="BW265" s="247"/>
      <c r="BX265" s="247"/>
      <c r="BY265" s="247"/>
      <c r="BZ265" s="247"/>
    </row>
    <row r="266" spans="1:82">
      <c r="A266" s="34"/>
      <c r="B266" s="5" t="s">
        <v>446</v>
      </c>
      <c r="T266" s="408">
        <f t="shared" ref="T266:Y266" si="338">+T62</f>
        <v>137.19294419985903</v>
      </c>
      <c r="U266" s="408">
        <f t="shared" si="338"/>
        <v>145.11131528428584</v>
      </c>
      <c r="V266" s="408">
        <f t="shared" si="338"/>
        <v>146.67622758387731</v>
      </c>
      <c r="W266" s="408">
        <f t="shared" si="338"/>
        <v>145.568491224431</v>
      </c>
      <c r="X266" s="408">
        <f t="shared" si="338"/>
        <v>154.39201054543778</v>
      </c>
      <c r="Y266" s="408">
        <f t="shared" si="338"/>
        <v>156.1523311075135</v>
      </c>
      <c r="BS266" s="408">
        <f t="shared" ref="BS266:CD266" si="339">+BS62</f>
        <v>133.44549212936508</v>
      </c>
      <c r="BT266" s="408">
        <f t="shared" si="339"/>
        <v>132.10160338571427</v>
      </c>
      <c r="BU266" s="408">
        <f t="shared" si="339"/>
        <v>139.41527374761904</v>
      </c>
      <c r="BV266" s="408">
        <f t="shared" si="339"/>
        <v>144.13259616031746</v>
      </c>
      <c r="BW266" s="408">
        <f t="shared" si="339"/>
        <v>147.88268083809524</v>
      </c>
      <c r="BX266" s="408">
        <f t="shared" si="339"/>
        <v>146.33949549999997</v>
      </c>
      <c r="BY266" s="408">
        <f t="shared" si="339"/>
        <v>142.8783010722222</v>
      </c>
      <c r="BZ266" s="408">
        <f t="shared" si="339"/>
        <v>143.27506766746032</v>
      </c>
      <c r="CA266" s="408">
        <f t="shared" si="339"/>
        <v>148.5537103373016</v>
      </c>
      <c r="CB266" s="408">
        <f t="shared" si="339"/>
        <v>144.50193465714287</v>
      </c>
      <c r="CC266" s="408">
        <f t="shared" si="339"/>
        <v>145.46733949523809</v>
      </c>
      <c r="CD266" s="408">
        <f t="shared" si="339"/>
        <v>148.30504528888889</v>
      </c>
    </row>
    <row r="267" spans="1:82">
      <c r="A267" s="34"/>
      <c r="B267" s="238" t="s">
        <v>383</v>
      </c>
      <c r="T267" s="276">
        <f>+T268/T266-1</f>
        <v>-7.3949250375771047E-4</v>
      </c>
      <c r="U267" s="276">
        <f>+U268/U266-1</f>
        <v>1.5213300515948269E-4</v>
      </c>
      <c r="V267" s="276">
        <f>+V268/V266-1</f>
        <v>-2.4602194847178627E-4</v>
      </c>
      <c r="W267" s="402">
        <f>+V267</f>
        <v>-2.4602194847178627E-4</v>
      </c>
      <c r="X267" s="402">
        <f>+W267</f>
        <v>-2.4602194847178627E-4</v>
      </c>
      <c r="Y267" s="402">
        <f>+X267</f>
        <v>-2.4602194847178627E-4</v>
      </c>
      <c r="BS267" s="261">
        <v>0</v>
      </c>
      <c r="BT267" s="402">
        <f>+BS267</f>
        <v>0</v>
      </c>
      <c r="BU267" s="402">
        <f t="shared" ref="BU267" si="340">+BT267</f>
        <v>0</v>
      </c>
      <c r="BV267" s="402">
        <f t="shared" ref="BV267" si="341">+BU267</f>
        <v>0</v>
      </c>
      <c r="BW267" s="402">
        <f t="shared" ref="BW267" si="342">+BV267</f>
        <v>0</v>
      </c>
      <c r="BX267" s="402">
        <f>+BW267</f>
        <v>0</v>
      </c>
      <c r="BY267" s="402">
        <f>+BX267</f>
        <v>0</v>
      </c>
      <c r="BZ267" s="402">
        <f t="shared" ref="BZ267" si="343">+BY267</f>
        <v>0</v>
      </c>
      <c r="CA267" s="402">
        <f>+BZ267</f>
        <v>0</v>
      </c>
      <c r="CB267" s="402">
        <f>+CA267</f>
        <v>0</v>
      </c>
      <c r="CC267" s="402">
        <f>+CB267</f>
        <v>0</v>
      </c>
      <c r="CD267" s="402">
        <f>+CC267</f>
        <v>0</v>
      </c>
    </row>
    <row r="268" spans="1:82">
      <c r="A268" s="34"/>
      <c r="B268" s="244" t="s">
        <v>594</v>
      </c>
      <c r="T268" s="277">
        <f>+T198/T218*1000</f>
        <v>137.09149104605478</v>
      </c>
      <c r="U268" s="277">
        <f>+U198/U218*1000</f>
        <v>145.13339150476267</v>
      </c>
      <c r="V268" s="277">
        <f>+V198/V218*1000</f>
        <v>146.64014201257262</v>
      </c>
      <c r="W268" s="277">
        <f t="shared" ref="W268:Y268" si="344">+W266*(1+W267)</f>
        <v>145.53267818058387</v>
      </c>
      <c r="X268" s="277">
        <f t="shared" si="344"/>
        <v>154.35402672217492</v>
      </c>
      <c r="Y268" s="277">
        <f t="shared" si="344"/>
        <v>156.11391420675602</v>
      </c>
      <c r="BS268" s="277">
        <f t="shared" ref="BS268:BZ268" si="345">+BS266*(1+BS267)</f>
        <v>133.44549212936508</v>
      </c>
      <c r="BT268" s="277">
        <f t="shared" si="345"/>
        <v>132.10160338571427</v>
      </c>
      <c r="BU268" s="277">
        <f t="shared" si="345"/>
        <v>139.41527374761904</v>
      </c>
      <c r="BV268" s="277">
        <f t="shared" si="345"/>
        <v>144.13259616031746</v>
      </c>
      <c r="BW268" s="277">
        <f t="shared" si="345"/>
        <v>147.88268083809524</v>
      </c>
      <c r="BX268" s="277">
        <f t="shared" si="345"/>
        <v>146.33949549999997</v>
      </c>
      <c r="BY268" s="277">
        <f t="shared" si="345"/>
        <v>142.8783010722222</v>
      </c>
      <c r="BZ268" s="277">
        <f t="shared" si="345"/>
        <v>143.27506766746032</v>
      </c>
      <c r="CA268" s="277">
        <f>+CA266*(1+CA267)</f>
        <v>148.5537103373016</v>
      </c>
      <c r="CB268" s="277">
        <f>+CB266*(1+CB267)</f>
        <v>144.50193465714287</v>
      </c>
      <c r="CC268" s="277">
        <f>+CC266*(1+CC267)</f>
        <v>145.46733949523809</v>
      </c>
      <c r="CD268" s="277">
        <f>+CD266*(1+CD267)</f>
        <v>148.30504528888889</v>
      </c>
    </row>
    <row r="269" spans="1:82">
      <c r="B269" s="266"/>
      <c r="H269" s="69"/>
      <c r="I269" s="69"/>
      <c r="J269" s="69"/>
      <c r="K269" s="69"/>
      <c r="L269" s="69"/>
      <c r="M269" s="69"/>
      <c r="N269" s="69"/>
      <c r="O269" s="69"/>
      <c r="P269" s="69"/>
      <c r="Q269" s="69"/>
      <c r="R269" s="69"/>
      <c r="S269" s="69"/>
      <c r="T269" s="79"/>
      <c r="U269" s="79"/>
      <c r="V269" s="79"/>
      <c r="W269" s="79"/>
      <c r="X269" s="79"/>
      <c r="Y269" s="79"/>
      <c r="Z269" s="69"/>
      <c r="AA269" s="69"/>
      <c r="AB269" s="69"/>
      <c r="AC269" s="69"/>
      <c r="AD269" s="69"/>
      <c r="AE269" s="69"/>
      <c r="AF269" s="69"/>
      <c r="AG269" s="69"/>
      <c r="AH269" s="69"/>
      <c r="AI269" s="69"/>
      <c r="AJ269" s="69"/>
      <c r="AK269" s="69"/>
      <c r="AL269" s="69"/>
      <c r="AM269" s="69"/>
      <c r="AN269" s="69"/>
      <c r="AO269" s="69"/>
      <c r="AP269" s="69"/>
      <c r="AQ269" s="69"/>
      <c r="AR269" s="69"/>
      <c r="AS269" s="69"/>
      <c r="AT269" s="69"/>
      <c r="AU269" s="69"/>
      <c r="AV269" s="69"/>
      <c r="AW269" s="69"/>
      <c r="AX269" s="69"/>
      <c r="AY269" s="69"/>
      <c r="AZ269" s="69"/>
      <c r="BA269" s="69"/>
      <c r="BB269" s="69"/>
      <c r="BC269" s="79"/>
      <c r="BD269" s="79"/>
      <c r="BE269" s="79"/>
      <c r="BF269" s="79"/>
      <c r="BG269" s="79"/>
      <c r="BH269" s="79"/>
      <c r="BI269" s="79"/>
      <c r="BJ269" s="79"/>
      <c r="BK269" s="79"/>
      <c r="BL269" s="79"/>
      <c r="BM269" s="79"/>
      <c r="BN269" s="79"/>
      <c r="BO269" s="79"/>
      <c r="BP269" s="79"/>
      <c r="BQ269" s="79"/>
      <c r="BR269" s="79"/>
      <c r="BS269" s="79"/>
      <c r="BT269" s="258"/>
      <c r="BU269" s="258"/>
      <c r="BV269" s="258"/>
      <c r="BW269" s="258"/>
      <c r="BX269" s="258"/>
      <c r="BY269" s="79"/>
      <c r="BZ269" s="79"/>
    </row>
    <row r="270" spans="1:82">
      <c r="A270" s="36" t="s">
        <v>150</v>
      </c>
      <c r="B270" s="27" t="s">
        <v>321</v>
      </c>
      <c r="C270" s="28"/>
      <c r="D270" s="28"/>
      <c r="E270" s="28"/>
      <c r="F270" s="28"/>
      <c r="G270" s="28"/>
      <c r="H270" s="28"/>
      <c r="I270" s="28"/>
      <c r="J270" s="28"/>
      <c r="K270" s="28"/>
      <c r="L270" s="28"/>
      <c r="M270" s="28"/>
      <c r="N270" s="28"/>
      <c r="O270" s="28"/>
      <c r="P270" s="28"/>
      <c r="Q270" s="28"/>
      <c r="R270" s="28"/>
      <c r="S270" s="28"/>
      <c r="T270" s="251"/>
      <c r="U270" s="251"/>
      <c r="V270" s="251"/>
      <c r="W270" s="251"/>
      <c r="X270" s="251"/>
      <c r="Y270" s="251"/>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51"/>
      <c r="BT270" s="251"/>
      <c r="BU270" s="251"/>
      <c r="BV270" s="251"/>
      <c r="BW270" s="251"/>
      <c r="BX270" s="251"/>
      <c r="BY270" s="251"/>
      <c r="BZ270" s="251"/>
      <c r="CA270" s="251"/>
      <c r="CB270" s="251"/>
      <c r="CC270" s="251"/>
      <c r="CD270" s="251"/>
    </row>
    <row r="271" spans="1:82">
      <c r="A271" s="36"/>
      <c r="B271" s="149" t="s">
        <v>371</v>
      </c>
      <c r="C271" s="36"/>
      <c r="D271" s="36"/>
      <c r="E271" s="36"/>
      <c r="F271" s="36"/>
      <c r="G271" s="36"/>
      <c r="H271" s="36"/>
      <c r="I271" s="36"/>
      <c r="J271" s="36"/>
      <c r="K271" s="36"/>
      <c r="L271" s="36"/>
      <c r="M271" s="36"/>
      <c r="N271" s="36"/>
      <c r="O271" s="36"/>
      <c r="P271" s="36"/>
      <c r="Q271" s="36"/>
      <c r="R271" s="36"/>
      <c r="S271" s="36"/>
      <c r="T271" s="36"/>
      <c r="V271" s="34"/>
      <c r="W271" s="36"/>
      <c r="X271" s="36"/>
      <c r="Z271" s="36"/>
      <c r="AA271" s="36"/>
      <c r="AB271" s="36"/>
      <c r="AC271" s="36"/>
      <c r="AD271" s="36"/>
      <c r="AE271" s="36"/>
      <c r="AF271" s="36"/>
      <c r="AG271" s="36"/>
      <c r="AH271" s="36"/>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c r="BT271" s="36"/>
      <c r="BU271" s="36"/>
      <c r="BV271" s="36"/>
      <c r="BW271" s="36"/>
      <c r="BX271" s="36"/>
      <c r="BY271" s="36"/>
      <c r="BZ271" s="36"/>
      <c r="CA271" s="36"/>
    </row>
    <row r="272" spans="1:82">
      <c r="A272" s="36"/>
      <c r="B272" s="266" t="s">
        <v>456</v>
      </c>
      <c r="C272" s="36"/>
      <c r="D272" s="36"/>
      <c r="E272" s="36"/>
      <c r="F272" s="36"/>
      <c r="G272" s="36"/>
      <c r="H272" s="36"/>
      <c r="I272" s="36"/>
      <c r="J272" s="36"/>
      <c r="K272" s="36"/>
      <c r="L272" s="36"/>
      <c r="M272" s="36"/>
      <c r="N272" s="36"/>
      <c r="O272" s="36"/>
      <c r="P272" s="36"/>
      <c r="Q272" s="36"/>
      <c r="R272" s="36"/>
      <c r="S272" s="36"/>
      <c r="T272" s="34">
        <f>SUM(BS272:BV272)</f>
        <v>152.07421090909088</v>
      </c>
      <c r="U272" s="34">
        <f>SUM(BW272:BZ272)</f>
        <v>167.02527026879372</v>
      </c>
      <c r="V272" s="34">
        <f>SUM(CA272:CD272)</f>
        <v>142.81286086956521</v>
      </c>
      <c r="W272" s="34">
        <f t="shared" ref="W272:Y273" si="346">(W294*W306)/1000</f>
        <v>142.93879813664591</v>
      </c>
      <c r="X272" s="34">
        <f t="shared" si="346"/>
        <v>142.93879813664591</v>
      </c>
      <c r="Y272" s="34">
        <f t="shared" si="346"/>
        <v>142.93879813664591</v>
      </c>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f t="shared" ref="BS272:CD272" si="347">(BS294*BS306)/1000</f>
        <v>30.607532307692306</v>
      </c>
      <c r="BT272" s="34">
        <f t="shared" si="347"/>
        <v>40.104081818181818</v>
      </c>
      <c r="BU272" s="34">
        <f t="shared" si="347"/>
        <v>39.870409090909085</v>
      </c>
      <c r="BV272" s="34">
        <f t="shared" si="347"/>
        <v>41.492187692307695</v>
      </c>
      <c r="BW272" s="34">
        <f t="shared" si="347"/>
        <v>46.372626562500002</v>
      </c>
      <c r="BX272" s="34">
        <f t="shared" si="347"/>
        <v>51.831531818181823</v>
      </c>
      <c r="BY272" s="34">
        <f t="shared" si="347"/>
        <v>37.679727272727277</v>
      </c>
      <c r="BZ272" s="34">
        <f t="shared" si="347"/>
        <v>31.14138461538462</v>
      </c>
      <c r="CA272" s="34">
        <f>(CA294*CA306)/1000</f>
        <v>28.430060869565217</v>
      </c>
      <c r="CB272" s="34">
        <f t="shared" si="347"/>
        <v>39.841200000000001</v>
      </c>
      <c r="CC272" s="34">
        <f t="shared" si="347"/>
        <v>35.664300000000004</v>
      </c>
      <c r="CD272" s="34">
        <f t="shared" si="347"/>
        <v>38.877300000000005</v>
      </c>
    </row>
    <row r="273" spans="1:83">
      <c r="A273" s="36"/>
      <c r="B273" s="266" t="s">
        <v>457</v>
      </c>
      <c r="C273" s="36"/>
      <c r="D273" s="36"/>
      <c r="E273" s="36"/>
      <c r="F273" s="36"/>
      <c r="G273" s="36"/>
      <c r="H273" s="36"/>
      <c r="I273" s="36"/>
      <c r="J273" s="36"/>
      <c r="K273" s="36"/>
      <c r="L273" s="36"/>
      <c r="M273" s="36"/>
      <c r="N273" s="36"/>
      <c r="O273" s="36"/>
      <c r="P273" s="36"/>
      <c r="Q273" s="36"/>
      <c r="R273" s="36"/>
      <c r="S273" s="36"/>
      <c r="T273" s="36">
        <f>SUM(BS273:BV273)</f>
        <v>0</v>
      </c>
      <c r="U273" s="36">
        <f>SUM(BW273:BZ273)</f>
        <v>0</v>
      </c>
      <c r="V273" s="36">
        <f>SUM(CA273:CD273)</f>
        <v>0</v>
      </c>
      <c r="W273" s="36">
        <f t="shared" si="346"/>
        <v>0</v>
      </c>
      <c r="X273" s="36">
        <f t="shared" si="346"/>
        <v>0</v>
      </c>
      <c r="Y273" s="36">
        <f t="shared" si="346"/>
        <v>0</v>
      </c>
      <c r="Z273" s="36"/>
      <c r="AA273" s="36"/>
      <c r="AB273" s="36"/>
      <c r="AC273" s="36"/>
      <c r="AD273" s="36"/>
      <c r="AE273" s="36"/>
      <c r="AF273" s="36"/>
      <c r="AG273" s="36"/>
      <c r="AH273" s="36"/>
      <c r="AI273" s="36"/>
      <c r="AJ273" s="36"/>
      <c r="AK273" s="36"/>
      <c r="AL273" s="36"/>
      <c r="AM273" s="36"/>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f t="shared" ref="BS273:CD273" si="348">(BS295*BS307)/1000</f>
        <v>0</v>
      </c>
      <c r="BT273" s="36">
        <f t="shared" si="348"/>
        <v>0</v>
      </c>
      <c r="BU273" s="36">
        <f t="shared" si="348"/>
        <v>0</v>
      </c>
      <c r="BV273" s="36">
        <f t="shared" si="348"/>
        <v>0</v>
      </c>
      <c r="BW273" s="36">
        <f t="shared" si="348"/>
        <v>0</v>
      </c>
      <c r="BX273" s="36">
        <f t="shared" si="348"/>
        <v>0</v>
      </c>
      <c r="BY273" s="36">
        <f t="shared" si="348"/>
        <v>0</v>
      </c>
      <c r="BZ273" s="36">
        <f t="shared" si="348"/>
        <v>0</v>
      </c>
      <c r="CA273" s="36">
        <f t="shared" si="348"/>
        <v>0</v>
      </c>
      <c r="CB273" s="36">
        <f t="shared" si="348"/>
        <v>0</v>
      </c>
      <c r="CC273" s="36">
        <f t="shared" si="348"/>
        <v>0</v>
      </c>
      <c r="CD273" s="36">
        <f t="shared" si="348"/>
        <v>0</v>
      </c>
      <c r="CE273" s="5" t="s">
        <v>629</v>
      </c>
    </row>
    <row r="274" spans="1:83">
      <c r="A274" s="36"/>
      <c r="B274" s="18" t="s">
        <v>380</v>
      </c>
      <c r="C274" s="36"/>
      <c r="D274" s="36"/>
      <c r="E274" s="36"/>
      <c r="F274" s="36"/>
      <c r="G274" s="36"/>
      <c r="H274" s="36"/>
      <c r="I274" s="36"/>
      <c r="J274" s="36"/>
      <c r="K274" s="36"/>
      <c r="L274" s="36"/>
      <c r="M274" s="36"/>
      <c r="N274" s="36"/>
      <c r="O274" s="36"/>
      <c r="P274" s="36"/>
      <c r="Q274" s="36"/>
      <c r="R274" s="36"/>
      <c r="S274" s="36"/>
      <c r="T274" s="39">
        <f t="shared" ref="T274:Y274" si="349">SUM(T272:T273)</f>
        <v>152.07421090909088</v>
      </c>
      <c r="U274" s="39">
        <f>SUM(U272:U273)</f>
        <v>167.02527026879372</v>
      </c>
      <c r="V274" s="39">
        <f t="shared" si="349"/>
        <v>142.81286086956521</v>
      </c>
      <c r="W274" s="39">
        <f t="shared" si="349"/>
        <v>142.93879813664591</v>
      </c>
      <c r="X274" s="39">
        <f t="shared" si="349"/>
        <v>142.93879813664591</v>
      </c>
      <c r="Y274" s="39">
        <f t="shared" si="349"/>
        <v>142.93879813664591</v>
      </c>
      <c r="Z274" s="36"/>
      <c r="AA274" s="36"/>
      <c r="AB274" s="36"/>
      <c r="AC274" s="36"/>
      <c r="AD274" s="36"/>
      <c r="AE274" s="36"/>
      <c r="AF274" s="36"/>
      <c r="AG274" s="36"/>
      <c r="AH274" s="36"/>
      <c r="AI274" s="36"/>
      <c r="AJ274" s="36"/>
      <c r="AK274" s="36"/>
      <c r="AL274" s="36"/>
      <c r="AM274" s="36"/>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9">
        <f t="shared" ref="BS274:BZ274" si="350">SUM(BS272:BS273)</f>
        <v>30.607532307692306</v>
      </c>
      <c r="BT274" s="39">
        <f t="shared" si="350"/>
        <v>40.104081818181818</v>
      </c>
      <c r="BU274" s="39">
        <f t="shared" si="350"/>
        <v>39.870409090909085</v>
      </c>
      <c r="BV274" s="39">
        <f t="shared" si="350"/>
        <v>41.492187692307695</v>
      </c>
      <c r="BW274" s="39">
        <f t="shared" si="350"/>
        <v>46.372626562500002</v>
      </c>
      <c r="BX274" s="39">
        <f t="shared" si="350"/>
        <v>51.831531818181823</v>
      </c>
      <c r="BY274" s="39">
        <f t="shared" si="350"/>
        <v>37.679727272727277</v>
      </c>
      <c r="BZ274" s="39">
        <f t="shared" si="350"/>
        <v>31.14138461538462</v>
      </c>
      <c r="CA274" s="39">
        <f>SUM(CA272:CA273)</f>
        <v>28.430060869565217</v>
      </c>
      <c r="CB274" s="39">
        <f>SUM(CB272:CB273)</f>
        <v>39.841200000000001</v>
      </c>
      <c r="CC274" s="39">
        <f>SUM(CC272:CC273)</f>
        <v>35.664300000000004</v>
      </c>
      <c r="CD274" s="39">
        <f>SUM(CD272:CD273)</f>
        <v>38.877300000000005</v>
      </c>
    </row>
    <row r="275" spans="1:83" s="7" customFormat="1">
      <c r="B275" s="287" t="s">
        <v>141</v>
      </c>
      <c r="C275" s="5"/>
      <c r="D275" s="5"/>
      <c r="E275" s="5"/>
      <c r="F275" s="5"/>
      <c r="G275" s="5"/>
      <c r="H275" s="5"/>
      <c r="I275" s="5"/>
      <c r="J275" s="5"/>
      <c r="K275" s="5"/>
      <c r="L275" s="280"/>
      <c r="M275" s="280"/>
      <c r="N275" s="280"/>
      <c r="O275" s="280"/>
      <c r="P275" s="280"/>
      <c r="Q275" s="280"/>
      <c r="R275" s="280"/>
      <c r="S275" s="280"/>
      <c r="T275" s="280"/>
      <c r="U275" s="280">
        <f>+U274/T274-1</f>
        <v>9.831423270471884E-2</v>
      </c>
      <c r="V275" s="280">
        <f>+V274/U274-1</f>
        <v>-0.14496255183579998</v>
      </c>
      <c r="W275" s="280">
        <f>+W274/V274-1</f>
        <v>8.8183421516729865E-4</v>
      </c>
      <c r="X275" s="280">
        <f>+X274/W274-1</f>
        <v>0</v>
      </c>
      <c r="Y275" s="280">
        <f>+Y274/X274-1</f>
        <v>0</v>
      </c>
      <c r="Z275" s="5"/>
      <c r="AA275" s="5"/>
      <c r="AB275" s="5"/>
      <c r="AC275" s="5"/>
      <c r="AD275" s="5"/>
      <c r="AE275" s="5"/>
      <c r="AF275" s="5"/>
      <c r="AG275" s="5"/>
      <c r="AH275" s="5"/>
      <c r="AI275" s="5"/>
      <c r="AJ275" s="5"/>
      <c r="AK275" s="5"/>
      <c r="AL275" s="5"/>
      <c r="AM275" s="280"/>
      <c r="AN275" s="280"/>
      <c r="AO275" s="280"/>
      <c r="AP275" s="280"/>
      <c r="AQ275" s="280"/>
      <c r="AR275" s="280"/>
      <c r="AS275" s="280"/>
      <c r="AT275" s="280"/>
      <c r="AU275" s="280"/>
      <c r="AV275" s="280"/>
      <c r="AW275" s="280"/>
      <c r="AX275" s="280"/>
      <c r="AY275" s="280"/>
      <c r="AZ275" s="280"/>
      <c r="BA275" s="280"/>
      <c r="BB275" s="280"/>
      <c r="BC275" s="280"/>
      <c r="BD275" s="280"/>
      <c r="BE275" s="280"/>
      <c r="BF275" s="280"/>
      <c r="BG275" s="280"/>
      <c r="BH275" s="280"/>
      <c r="BI275" s="280"/>
      <c r="BJ275" s="280"/>
      <c r="BK275" s="280"/>
      <c r="BL275" s="280"/>
      <c r="BM275" s="280"/>
      <c r="BN275" s="280"/>
      <c r="BO275" s="280"/>
      <c r="BP275" s="280"/>
      <c r="BQ275" s="280"/>
      <c r="BR275" s="280"/>
      <c r="BS275" s="280"/>
      <c r="BT275" s="280"/>
      <c r="BU275" s="280"/>
      <c r="BV275" s="280"/>
      <c r="BW275" s="280">
        <f t="shared" ref="BW275:CD275" si="351">+BW274/BS274-1</f>
        <v>0.51507237160852726</v>
      </c>
      <c r="BX275" s="280">
        <f t="shared" si="351"/>
        <v>0.29242534595775682</v>
      </c>
      <c r="BY275" s="280">
        <f t="shared" si="351"/>
        <v>-5.494505494505475E-2</v>
      </c>
      <c r="BZ275" s="280">
        <f t="shared" si="351"/>
        <v>-0.24946390278770547</v>
      </c>
      <c r="CA275" s="280">
        <f t="shared" si="351"/>
        <v>-0.38692148845078234</v>
      </c>
      <c r="CB275" s="280">
        <f t="shared" si="351"/>
        <v>-0.23133276979430828</v>
      </c>
      <c r="CC275" s="280">
        <f t="shared" si="351"/>
        <v>-5.3488372093023262E-2</v>
      </c>
      <c r="CD275" s="280">
        <f t="shared" si="351"/>
        <v>0.24841269841269842</v>
      </c>
    </row>
    <row r="276" spans="1:83">
      <c r="A276" s="36"/>
      <c r="B276" s="36"/>
      <c r="C276" s="36"/>
      <c r="D276" s="36"/>
      <c r="E276" s="36"/>
      <c r="F276" s="36"/>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c r="AI276" s="36"/>
      <c r="AJ276" s="36"/>
      <c r="AK276" s="36"/>
      <c r="AL276" s="36"/>
      <c r="AM276" s="36"/>
      <c r="AN276" s="36"/>
      <c r="AO276" s="36"/>
      <c r="AP276" s="36"/>
      <c r="AQ276" s="36"/>
      <c r="AR276" s="36"/>
      <c r="AS276" s="36"/>
      <c r="AT276" s="36"/>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c r="BT276" s="36"/>
      <c r="BU276" s="36"/>
      <c r="BV276" s="36"/>
      <c r="BW276" s="36"/>
      <c r="BX276" s="36"/>
      <c r="BY276" s="36"/>
      <c r="BZ276" s="36"/>
      <c r="CA276" s="36"/>
    </row>
    <row r="277" spans="1:83">
      <c r="A277" s="34"/>
      <c r="B277" s="149" t="s">
        <v>405</v>
      </c>
      <c r="BS277" s="36"/>
      <c r="BT277" s="36"/>
      <c r="BU277" s="36"/>
      <c r="BV277" s="36"/>
      <c r="BW277" s="36"/>
      <c r="BX277" s="36"/>
      <c r="BY277" s="36"/>
      <c r="BZ277" s="36"/>
    </row>
    <row r="278" spans="1:83">
      <c r="A278" s="34"/>
      <c r="B278" s="34" t="s">
        <v>526</v>
      </c>
      <c r="T278" s="36">
        <f t="shared" ref="T278:Y278" si="352">SUM(T437:T439)</f>
        <v>1341</v>
      </c>
      <c r="U278" s="36">
        <f t="shared" si="352"/>
        <v>1341</v>
      </c>
      <c r="V278" s="36">
        <f t="shared" si="352"/>
        <v>1341</v>
      </c>
      <c r="W278" s="36">
        <f t="shared" si="352"/>
        <v>1341</v>
      </c>
      <c r="X278" s="36">
        <f t="shared" si="352"/>
        <v>1341</v>
      </c>
      <c r="Y278" s="36">
        <f t="shared" si="352"/>
        <v>1341</v>
      </c>
      <c r="BS278" s="36">
        <f>SUM(BS437:BS439)</f>
        <v>335.25</v>
      </c>
      <c r="BT278" s="36">
        <f t="shared" ref="BT278:CD278" si="353">SUM(BT437:BT439)</f>
        <v>335.25</v>
      </c>
      <c r="BU278" s="36">
        <f t="shared" si="353"/>
        <v>335.25</v>
      </c>
      <c r="BV278" s="36">
        <f t="shared" si="353"/>
        <v>335.25</v>
      </c>
      <c r="BW278" s="36">
        <f t="shared" si="353"/>
        <v>335.25</v>
      </c>
      <c r="BX278" s="36">
        <f t="shared" si="353"/>
        <v>335.25</v>
      </c>
      <c r="BY278" s="36">
        <f t="shared" si="353"/>
        <v>335.25</v>
      </c>
      <c r="BZ278" s="36">
        <f t="shared" si="353"/>
        <v>335.25</v>
      </c>
      <c r="CA278" s="36">
        <f t="shared" si="353"/>
        <v>335.25</v>
      </c>
      <c r="CB278" s="36">
        <f t="shared" si="353"/>
        <v>335.25</v>
      </c>
      <c r="CC278" s="36">
        <f t="shared" si="353"/>
        <v>335.25</v>
      </c>
      <c r="CD278" s="36">
        <f t="shared" si="353"/>
        <v>335.25</v>
      </c>
    </row>
    <row r="279" spans="1:83">
      <c r="A279" s="34"/>
      <c r="B279" s="34" t="s">
        <v>527</v>
      </c>
      <c r="T279" s="349">
        <f t="shared" ref="T279:Y279" si="354">T436</f>
        <v>1561</v>
      </c>
      <c r="U279" s="349">
        <f t="shared" si="354"/>
        <v>1561</v>
      </c>
      <c r="V279" s="349">
        <f t="shared" si="354"/>
        <v>1561</v>
      </c>
      <c r="W279" s="349">
        <f t="shared" si="354"/>
        <v>1561</v>
      </c>
      <c r="X279" s="349">
        <f t="shared" si="354"/>
        <v>1561</v>
      </c>
      <c r="Y279" s="349">
        <f t="shared" si="354"/>
        <v>1561</v>
      </c>
      <c r="BS279" s="349">
        <f>BS436</f>
        <v>390.25</v>
      </c>
      <c r="BT279" s="349">
        <f t="shared" ref="BT279:CD279" si="355">BT436</f>
        <v>390.25</v>
      </c>
      <c r="BU279" s="349">
        <f t="shared" si="355"/>
        <v>390.25</v>
      </c>
      <c r="BV279" s="349">
        <f t="shared" si="355"/>
        <v>390.25</v>
      </c>
      <c r="BW279" s="349">
        <f t="shared" si="355"/>
        <v>390.25</v>
      </c>
      <c r="BX279" s="349">
        <f t="shared" si="355"/>
        <v>390.25</v>
      </c>
      <c r="BY279" s="349">
        <f t="shared" si="355"/>
        <v>390.25</v>
      </c>
      <c r="BZ279" s="349">
        <f t="shared" si="355"/>
        <v>390.25</v>
      </c>
      <c r="CA279" s="349">
        <f t="shared" si="355"/>
        <v>390.25</v>
      </c>
      <c r="CB279" s="349">
        <f t="shared" si="355"/>
        <v>390.25</v>
      </c>
      <c r="CC279" s="349">
        <f t="shared" si="355"/>
        <v>390.25</v>
      </c>
      <c r="CD279" s="349">
        <f t="shared" si="355"/>
        <v>390.25</v>
      </c>
    </row>
    <row r="280" spans="1:83">
      <c r="A280" s="34"/>
      <c r="B280" s="150" t="s">
        <v>406</v>
      </c>
      <c r="T280" s="254">
        <f t="shared" ref="T280:Y280" si="356">T440</f>
        <v>2902</v>
      </c>
      <c r="U280" s="254">
        <f t="shared" si="356"/>
        <v>2902</v>
      </c>
      <c r="V280" s="254">
        <f t="shared" si="356"/>
        <v>2902</v>
      </c>
      <c r="W280" s="254">
        <f t="shared" si="356"/>
        <v>2902</v>
      </c>
      <c r="X280" s="254">
        <f t="shared" si="356"/>
        <v>2902</v>
      </c>
      <c r="Y280" s="254">
        <f t="shared" si="356"/>
        <v>2902</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254">
        <f>SUM(BS278:BS279)</f>
        <v>725.5</v>
      </c>
      <c r="BT280" s="254">
        <f t="shared" ref="BT280:CD280" si="357">SUM(BT278:BT279)</f>
        <v>725.5</v>
      </c>
      <c r="BU280" s="254">
        <f t="shared" si="357"/>
        <v>725.5</v>
      </c>
      <c r="BV280" s="254">
        <f t="shared" si="357"/>
        <v>725.5</v>
      </c>
      <c r="BW280" s="254">
        <f t="shared" si="357"/>
        <v>725.5</v>
      </c>
      <c r="BX280" s="254">
        <f t="shared" si="357"/>
        <v>725.5</v>
      </c>
      <c r="BY280" s="254">
        <f t="shared" si="357"/>
        <v>725.5</v>
      </c>
      <c r="BZ280" s="254">
        <f t="shared" si="357"/>
        <v>725.5</v>
      </c>
      <c r="CA280" s="254">
        <f t="shared" si="357"/>
        <v>725.5</v>
      </c>
      <c r="CB280" s="254">
        <f t="shared" si="357"/>
        <v>725.5</v>
      </c>
      <c r="CC280" s="254">
        <f t="shared" si="357"/>
        <v>725.5</v>
      </c>
      <c r="CD280" s="254">
        <f t="shared" si="357"/>
        <v>725.5</v>
      </c>
    </row>
    <row r="281" spans="1:83">
      <c r="A281" s="34"/>
      <c r="B281" s="150"/>
      <c r="T281" s="91"/>
      <c r="U281" s="91"/>
      <c r="V281" s="91"/>
      <c r="W281" s="91"/>
      <c r="X281" s="91"/>
      <c r="Y281" s="91"/>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91"/>
      <c r="BT281" s="91"/>
      <c r="BU281" s="91"/>
      <c r="BV281" s="91"/>
      <c r="BW281" s="91"/>
      <c r="BX281" s="91"/>
      <c r="BY281" s="91"/>
      <c r="BZ281" s="91"/>
    </row>
    <row r="282" spans="1:83">
      <c r="A282" s="34"/>
      <c r="B282" s="5" t="s">
        <v>369</v>
      </c>
      <c r="T282" s="411">
        <f>+T296/T280</f>
        <v>0.69837767057201927</v>
      </c>
      <c r="U282" s="411">
        <f t="shared" ref="U282:Y282" si="358">+U296/U280</f>
        <v>0.70276137146795314</v>
      </c>
      <c r="V282" s="411">
        <f t="shared" si="358"/>
        <v>0.70276137146795314</v>
      </c>
      <c r="W282" s="411">
        <f t="shared" si="358"/>
        <v>0.71180444521019992</v>
      </c>
      <c r="X282" s="411">
        <f t="shared" si="358"/>
        <v>0.71618814610613357</v>
      </c>
      <c r="Y282" s="411">
        <f t="shared" si="358"/>
        <v>0.72057184700206767</v>
      </c>
      <c r="BS282" s="411">
        <f>+BS296/BS280</f>
        <v>0.69837767057201927</v>
      </c>
      <c r="BT282" s="411">
        <f t="shared" ref="BT282:CD282" si="359">+BT296/BT280</f>
        <v>0.69837767057201927</v>
      </c>
      <c r="BU282" s="411">
        <f t="shared" si="359"/>
        <v>0.69837767057201927</v>
      </c>
      <c r="BV282" s="411">
        <f t="shared" si="359"/>
        <v>0.69837767057201927</v>
      </c>
      <c r="BW282" s="411">
        <f t="shared" si="359"/>
        <v>0.70276137146795314</v>
      </c>
      <c r="BX282" s="411">
        <f t="shared" si="359"/>
        <v>0.70276137146795314</v>
      </c>
      <c r="BY282" s="411">
        <f t="shared" si="359"/>
        <v>0.70276137146795314</v>
      </c>
      <c r="BZ282" s="411">
        <f t="shared" si="359"/>
        <v>0.70276137146795314</v>
      </c>
      <c r="CA282" s="411">
        <f t="shared" si="359"/>
        <v>0.70276137146795314</v>
      </c>
      <c r="CB282" s="411">
        <f t="shared" si="359"/>
        <v>0.70276137146795314</v>
      </c>
      <c r="CC282" s="411">
        <f t="shared" si="359"/>
        <v>0.70276137146795314</v>
      </c>
      <c r="CD282" s="411">
        <f t="shared" si="359"/>
        <v>0.70276137146795314</v>
      </c>
    </row>
    <row r="283" spans="1:83">
      <c r="A283" s="34"/>
      <c r="T283" s="174"/>
      <c r="U283" s="174"/>
      <c r="V283" s="174"/>
      <c r="W283" s="174"/>
      <c r="X283" s="174"/>
      <c r="Y283" s="174"/>
      <c r="BS283" s="174"/>
      <c r="BT283" s="174"/>
      <c r="BU283" s="174"/>
      <c r="BV283" s="174"/>
      <c r="BW283" s="174"/>
      <c r="BX283" s="174"/>
      <c r="BY283" s="174"/>
      <c r="BZ283" s="174"/>
    </row>
    <row r="284" spans="1:83">
      <c r="A284" s="34"/>
      <c r="B284" s="34" t="s">
        <v>524</v>
      </c>
      <c r="T284" s="36">
        <f>SUM(BS284:BV284)</f>
        <v>936.52445623707786</v>
      </c>
      <c r="U284" s="36">
        <f>SUM(BW284:BZ284)</f>
        <v>942.40299913852516</v>
      </c>
      <c r="V284" s="36">
        <f>SUM(CA284:CD284)</f>
        <v>942.40299913852516</v>
      </c>
      <c r="W284" s="36">
        <f>W282*W278</f>
        <v>954.52976102687808</v>
      </c>
      <c r="X284" s="36">
        <f>X282*X278</f>
        <v>960.40830392832515</v>
      </c>
      <c r="Y284" s="36">
        <f>Y282*Y278</f>
        <v>966.28684682977268</v>
      </c>
      <c r="BS284" s="36">
        <f>BS282*BS278</f>
        <v>234.13111405926946</v>
      </c>
      <c r="BT284" s="36">
        <f t="shared" ref="BT284:BZ284" si="360">BT282*BT278</f>
        <v>234.13111405926946</v>
      </c>
      <c r="BU284" s="36">
        <f t="shared" si="360"/>
        <v>234.13111405926946</v>
      </c>
      <c r="BV284" s="36">
        <f t="shared" si="360"/>
        <v>234.13111405926946</v>
      </c>
      <c r="BW284" s="36">
        <f t="shared" si="360"/>
        <v>235.60074978463129</v>
      </c>
      <c r="BX284" s="36">
        <f t="shared" si="360"/>
        <v>235.60074978463129</v>
      </c>
      <c r="BY284" s="36">
        <f t="shared" si="360"/>
        <v>235.60074978463129</v>
      </c>
      <c r="BZ284" s="36">
        <f t="shared" si="360"/>
        <v>235.60074978463129</v>
      </c>
      <c r="CA284" s="36">
        <f>CA282*CA278</f>
        <v>235.60074978463129</v>
      </c>
      <c r="CB284" s="36">
        <f>CB282*CB278</f>
        <v>235.60074978463129</v>
      </c>
      <c r="CC284" s="36">
        <f>CC282*CC278</f>
        <v>235.60074978463129</v>
      </c>
      <c r="CD284" s="36">
        <f>CD282*CD278</f>
        <v>235.60074978463129</v>
      </c>
    </row>
    <row r="285" spans="1:83">
      <c r="A285" s="34"/>
      <c r="B285" s="34" t="s">
        <v>525</v>
      </c>
      <c r="T285" s="36">
        <f>SUM(BS285:BV285)</f>
        <v>1090.1675437629222</v>
      </c>
      <c r="U285" s="36">
        <f>SUM(BW285:BZ285)</f>
        <v>1097.0105008614748</v>
      </c>
      <c r="V285" s="36">
        <f>SUM(CA285:CD285)</f>
        <v>1097.0105008614748</v>
      </c>
      <c r="W285" s="36">
        <f>W282*W279</f>
        <v>1111.126738973122</v>
      </c>
      <c r="X285" s="36">
        <f>X282*X279</f>
        <v>1117.9696960716744</v>
      </c>
      <c r="Y285" s="36">
        <f>Y282*Y279</f>
        <v>1124.8126531702276</v>
      </c>
      <c r="BS285" s="36">
        <f>BS282*BS279</f>
        <v>272.54188594073054</v>
      </c>
      <c r="BT285" s="36">
        <f t="shared" ref="BT285:BZ285" si="361">BT282*BT279</f>
        <v>272.54188594073054</v>
      </c>
      <c r="BU285" s="36">
        <f t="shared" si="361"/>
        <v>272.54188594073054</v>
      </c>
      <c r="BV285" s="36">
        <f t="shared" si="361"/>
        <v>272.54188594073054</v>
      </c>
      <c r="BW285" s="36">
        <f t="shared" si="361"/>
        <v>274.25262521536871</v>
      </c>
      <c r="BX285" s="36">
        <f t="shared" si="361"/>
        <v>274.25262521536871</v>
      </c>
      <c r="BY285" s="36">
        <f t="shared" si="361"/>
        <v>274.25262521536871</v>
      </c>
      <c r="BZ285" s="36">
        <f t="shared" si="361"/>
        <v>274.25262521536871</v>
      </c>
      <c r="CA285" s="36">
        <f>CA282*CA279</f>
        <v>274.25262521536871</v>
      </c>
      <c r="CB285" s="36">
        <f>CB282*CB279</f>
        <v>274.25262521536871</v>
      </c>
      <c r="CC285" s="36">
        <f>CC282*CC279</f>
        <v>274.25262521536871</v>
      </c>
      <c r="CD285" s="36">
        <f>CD282*CD279</f>
        <v>274.25262521536871</v>
      </c>
    </row>
    <row r="286" spans="1:83">
      <c r="A286" s="34"/>
      <c r="B286" s="18" t="s">
        <v>407</v>
      </c>
      <c r="T286" s="254">
        <f>SUM(BS286:BV286)</f>
        <v>2026.692</v>
      </c>
      <c r="U286" s="254">
        <f>SUM(BW286:BZ286)</f>
        <v>2039.4135000000001</v>
      </c>
      <c r="V286" s="254">
        <f>SUM(CA286:CD286)</f>
        <v>2039.4135000000001</v>
      </c>
      <c r="W286" s="254">
        <f>SUM(W284:W285)</f>
        <v>2065.6565000000001</v>
      </c>
      <c r="X286" s="254">
        <f>SUM(X284:X285)</f>
        <v>2078.3779999999997</v>
      </c>
      <c r="Y286" s="254">
        <f>SUM(Y284:Y285)</f>
        <v>2091.0995000000003</v>
      </c>
      <c r="BS286" s="254">
        <f>SUM(BS284:BS285)</f>
        <v>506.673</v>
      </c>
      <c r="BT286" s="254">
        <f t="shared" ref="BT286:BZ286" si="362">SUM(BT284:BT285)</f>
        <v>506.673</v>
      </c>
      <c r="BU286" s="254">
        <f t="shared" si="362"/>
        <v>506.673</v>
      </c>
      <c r="BV286" s="254">
        <f t="shared" si="362"/>
        <v>506.673</v>
      </c>
      <c r="BW286" s="254">
        <f t="shared" si="362"/>
        <v>509.85337500000003</v>
      </c>
      <c r="BX286" s="254">
        <f t="shared" si="362"/>
        <v>509.85337500000003</v>
      </c>
      <c r="BY286" s="254">
        <f t="shared" si="362"/>
        <v>509.85337500000003</v>
      </c>
      <c r="BZ286" s="254">
        <f t="shared" si="362"/>
        <v>509.85337500000003</v>
      </c>
      <c r="CA286" s="254">
        <f>SUM(CA284:CA285)</f>
        <v>509.85337500000003</v>
      </c>
      <c r="CB286" s="254">
        <f>SUM(CB284:CB285)</f>
        <v>509.85337500000003</v>
      </c>
      <c r="CC286" s="254">
        <f>SUM(CC284:CC285)</f>
        <v>509.85337500000003</v>
      </c>
      <c r="CD286" s="254">
        <f>SUM(CD284:CD285)</f>
        <v>509.85337500000003</v>
      </c>
    </row>
    <row r="287" spans="1:83">
      <c r="A287" s="34"/>
      <c r="B287" s="18"/>
      <c r="T287" s="91"/>
      <c r="U287" s="91"/>
      <c r="V287" s="91"/>
      <c r="W287" s="91"/>
      <c r="X287" s="91"/>
      <c r="Y287" s="91"/>
      <c r="BS287" s="91"/>
      <c r="BT287" s="91"/>
      <c r="BU287" s="91"/>
      <c r="BV287" s="91"/>
      <c r="BW287" s="91"/>
      <c r="BX287" s="91"/>
      <c r="BY287" s="428"/>
      <c r="BZ287" s="91"/>
    </row>
    <row r="288" spans="1:83">
      <c r="A288" s="34"/>
      <c r="B288" s="149" t="s">
        <v>455</v>
      </c>
      <c r="T288" s="91"/>
      <c r="U288" s="91"/>
      <c r="V288" s="91"/>
      <c r="W288" s="91"/>
      <c r="X288" s="91"/>
      <c r="Y288" s="91"/>
      <c r="BS288" s="91"/>
      <c r="BT288" s="91"/>
      <c r="BU288" s="91"/>
      <c r="BV288" s="91"/>
      <c r="BW288" s="91"/>
      <c r="BX288" s="91"/>
      <c r="BY288" s="91"/>
      <c r="BZ288" s="91"/>
    </row>
    <row r="289" spans="1:83">
      <c r="A289" s="34"/>
      <c r="B289" s="266" t="s">
        <v>456</v>
      </c>
      <c r="T289" s="411">
        <f>+T294/T$296</f>
        <v>0.44762598362257316</v>
      </c>
      <c r="U289" s="411">
        <f t="shared" ref="U289:X290" si="363">+U294/U$296</f>
        <v>0.44483377206240909</v>
      </c>
      <c r="V289" s="411">
        <f t="shared" si="363"/>
        <v>0.44483377206240909</v>
      </c>
      <c r="W289" s="411">
        <f t="shared" si="363"/>
        <v>0.43956969612324215</v>
      </c>
      <c r="X289" s="411">
        <f t="shared" si="363"/>
        <v>0.43687914325498062</v>
      </c>
      <c r="Y289" s="411">
        <f>+Y294/Y$296</f>
        <v>0.43422132710566852</v>
      </c>
      <c r="Z289" s="48"/>
      <c r="AA289" s="48"/>
      <c r="AB289" s="48"/>
      <c r="AC289" s="48"/>
      <c r="AD289" s="48"/>
      <c r="AE289" s="48"/>
      <c r="AF289" s="48"/>
      <c r="AG289" s="48"/>
      <c r="AH289" s="48"/>
      <c r="AI289" s="48"/>
      <c r="AJ289" s="48"/>
      <c r="AK289" s="48"/>
      <c r="AL289" s="48"/>
      <c r="AM289" s="48"/>
      <c r="AN289" s="48"/>
      <c r="AO289" s="48"/>
      <c r="AP289" s="48"/>
      <c r="AQ289" s="48"/>
      <c r="AR289" s="48"/>
      <c r="AS289" s="48"/>
      <c r="AT289" s="48"/>
      <c r="AU289" s="48"/>
      <c r="AV289" s="48"/>
      <c r="AW289" s="48"/>
      <c r="AX289" s="48"/>
      <c r="AY289" s="48"/>
      <c r="AZ289" s="48"/>
      <c r="BA289" s="48"/>
      <c r="BB289" s="48"/>
      <c r="BC289" s="48"/>
      <c r="BD289" s="48"/>
      <c r="BE289" s="48"/>
      <c r="BF289" s="48"/>
      <c r="BG289" s="48"/>
      <c r="BH289" s="48"/>
      <c r="BI289" s="48"/>
      <c r="BJ289" s="48"/>
      <c r="BK289" s="48"/>
      <c r="BL289" s="48"/>
      <c r="BM289" s="48"/>
      <c r="BN289" s="48"/>
      <c r="BO289" s="48"/>
      <c r="BP289" s="48"/>
      <c r="BQ289" s="48"/>
      <c r="BR289" s="48"/>
      <c r="BS289" s="411">
        <f>+BS294/BS$296</f>
        <v>0.44762598362257316</v>
      </c>
      <c r="BT289" s="411">
        <f t="shared" ref="BT289:BZ289" si="364">+BT294/BT$296</f>
        <v>0.44762598362257316</v>
      </c>
      <c r="BU289" s="411">
        <f t="shared" si="364"/>
        <v>0.44762598362257316</v>
      </c>
      <c r="BV289" s="411">
        <f t="shared" si="364"/>
        <v>0.44762598362257316</v>
      </c>
      <c r="BW289" s="411">
        <f t="shared" si="364"/>
        <v>0.44483377206240909</v>
      </c>
      <c r="BX289" s="411">
        <f>+BX294/BX$296</f>
        <v>0.44483377206240909</v>
      </c>
      <c r="BY289" s="411">
        <f t="shared" si="364"/>
        <v>0.44483377206240909</v>
      </c>
      <c r="BZ289" s="411">
        <f t="shared" si="364"/>
        <v>0.44483377206240909</v>
      </c>
      <c r="CA289" s="411">
        <f t="shared" ref="CA289:CD290" si="365">+CA294/CA$296</f>
        <v>0.44483377206240909</v>
      </c>
      <c r="CB289" s="411">
        <f t="shared" si="365"/>
        <v>0.44483377206240909</v>
      </c>
      <c r="CC289" s="411">
        <f t="shared" si="365"/>
        <v>0.44483377206240909</v>
      </c>
      <c r="CD289" s="411">
        <f t="shared" si="365"/>
        <v>0.44483377206240909</v>
      </c>
    </row>
    <row r="290" spans="1:83">
      <c r="A290" s="34"/>
      <c r="B290" s="266" t="s">
        <v>457</v>
      </c>
      <c r="T290" s="411">
        <f>+T295/T$296</f>
        <v>0.55237401637742689</v>
      </c>
      <c r="U290" s="411">
        <f t="shared" si="363"/>
        <v>0.55516622793759085</v>
      </c>
      <c r="V290" s="411">
        <f t="shared" si="363"/>
        <v>0.55516622793759085</v>
      </c>
      <c r="W290" s="411">
        <f t="shared" si="363"/>
        <v>0.56043030387675785</v>
      </c>
      <c r="X290" s="411">
        <f t="shared" si="363"/>
        <v>0.56312085674501944</v>
      </c>
      <c r="Y290" s="411">
        <f>+Y295/Y$296</f>
        <v>0.56577867289433137</v>
      </c>
      <c r="Z290" s="48"/>
      <c r="AA290" s="48"/>
      <c r="AB290" s="48"/>
      <c r="AC290" s="48"/>
      <c r="AD290" s="48"/>
      <c r="AE290" s="48"/>
      <c r="AF290" s="48"/>
      <c r="AG290" s="48"/>
      <c r="AH290" s="48"/>
      <c r="AI290" s="48"/>
      <c r="AJ290" s="48"/>
      <c r="AK290" s="48"/>
      <c r="AL290" s="48"/>
      <c r="AM290" s="48"/>
      <c r="AN290" s="48"/>
      <c r="AO290" s="48"/>
      <c r="AP290" s="48"/>
      <c r="AQ290" s="48"/>
      <c r="AR290" s="48"/>
      <c r="AS290" s="48"/>
      <c r="AT290" s="48"/>
      <c r="AU290" s="48"/>
      <c r="AV290" s="48"/>
      <c r="AW290" s="48"/>
      <c r="AX290" s="48"/>
      <c r="AY290" s="48"/>
      <c r="AZ290" s="48"/>
      <c r="BA290" s="48"/>
      <c r="BB290" s="48"/>
      <c r="BC290" s="48"/>
      <c r="BD290" s="48"/>
      <c r="BE290" s="48"/>
      <c r="BF290" s="48"/>
      <c r="BG290" s="48"/>
      <c r="BH290" s="48"/>
      <c r="BI290" s="48"/>
      <c r="BJ290" s="48"/>
      <c r="BK290" s="48"/>
      <c r="BL290" s="48"/>
      <c r="BM290" s="48"/>
      <c r="BN290" s="48"/>
      <c r="BO290" s="48"/>
      <c r="BP290" s="48"/>
      <c r="BQ290" s="48"/>
      <c r="BR290" s="48"/>
      <c r="BS290" s="411">
        <f>+BS295/BS$296</f>
        <v>0.55237401637742689</v>
      </c>
      <c r="BT290" s="411">
        <f t="shared" ref="BT290:BZ290" si="366">+BT295/BT$296</f>
        <v>0.55237401637742689</v>
      </c>
      <c r="BU290" s="411">
        <f t="shared" si="366"/>
        <v>0.55237401637742689</v>
      </c>
      <c r="BV290" s="411">
        <f t="shared" si="366"/>
        <v>0.55237401637742689</v>
      </c>
      <c r="BW290" s="411">
        <f t="shared" si="366"/>
        <v>0.55516622793759085</v>
      </c>
      <c r="BX290" s="411">
        <f>+BX295/BX$296</f>
        <v>0.55516622793759085</v>
      </c>
      <c r="BY290" s="411">
        <f t="shared" si="366"/>
        <v>0.55516622793759085</v>
      </c>
      <c r="BZ290" s="411">
        <f t="shared" si="366"/>
        <v>0.55516622793759085</v>
      </c>
      <c r="CA290" s="411">
        <f t="shared" si="365"/>
        <v>0.55516622793759085</v>
      </c>
      <c r="CB290" s="411">
        <f t="shared" si="365"/>
        <v>0.55516622793759085</v>
      </c>
      <c r="CC290" s="411">
        <f t="shared" si="365"/>
        <v>0.55516622793759085</v>
      </c>
      <c r="CD290" s="411">
        <f t="shared" si="365"/>
        <v>0.55516622793759085</v>
      </c>
    </row>
    <row r="291" spans="1:83">
      <c r="A291" s="34"/>
      <c r="B291" s="18" t="s">
        <v>380</v>
      </c>
      <c r="T291" s="453">
        <f t="shared" ref="T291:Y291" si="367">SUM(T289:T290)</f>
        <v>1</v>
      </c>
      <c r="U291" s="453">
        <f t="shared" si="367"/>
        <v>1</v>
      </c>
      <c r="V291" s="453">
        <f t="shared" si="367"/>
        <v>1</v>
      </c>
      <c r="W291" s="453">
        <f t="shared" si="367"/>
        <v>1</v>
      </c>
      <c r="X291" s="453">
        <f t="shared" si="367"/>
        <v>1</v>
      </c>
      <c r="Y291" s="453">
        <f t="shared" si="367"/>
        <v>0.99999999999999989</v>
      </c>
      <c r="Z291" s="339"/>
      <c r="AA291" s="339"/>
      <c r="AB291" s="339"/>
      <c r="AC291" s="339"/>
      <c r="AD291" s="339"/>
      <c r="AE291" s="339"/>
      <c r="AF291" s="339"/>
      <c r="AG291" s="339"/>
      <c r="AH291" s="339"/>
      <c r="AI291" s="339"/>
      <c r="AJ291" s="339"/>
      <c r="AK291" s="339"/>
      <c r="AL291" s="339"/>
      <c r="AM291" s="433"/>
      <c r="AN291" s="433"/>
      <c r="AO291" s="433"/>
      <c r="AP291" s="433"/>
      <c r="AQ291" s="433"/>
      <c r="AR291" s="433"/>
      <c r="AS291" s="433"/>
      <c r="AT291" s="433"/>
      <c r="AU291" s="433"/>
      <c r="AV291" s="433"/>
      <c r="AW291" s="433"/>
      <c r="AX291" s="433"/>
      <c r="AY291" s="433"/>
      <c r="AZ291" s="433"/>
      <c r="BA291" s="433"/>
      <c r="BB291" s="433"/>
      <c r="BC291" s="433"/>
      <c r="BD291" s="433"/>
      <c r="BE291" s="433"/>
      <c r="BF291" s="433"/>
      <c r="BG291" s="48"/>
      <c r="BH291" s="48"/>
      <c r="BI291" s="48"/>
      <c r="BJ291" s="48"/>
      <c r="BK291" s="48"/>
      <c r="BL291" s="48"/>
      <c r="BM291" s="48"/>
      <c r="BN291" s="48"/>
      <c r="BO291" s="48"/>
      <c r="BP291" s="48"/>
      <c r="BQ291" s="48"/>
      <c r="BR291" s="48"/>
      <c r="BS291" s="453">
        <f t="shared" ref="BS291:BZ291" si="368">SUM(BS289:BS290)</f>
        <v>1</v>
      </c>
      <c r="BT291" s="453">
        <f t="shared" si="368"/>
        <v>1</v>
      </c>
      <c r="BU291" s="453">
        <f t="shared" si="368"/>
        <v>1</v>
      </c>
      <c r="BV291" s="453">
        <f t="shared" si="368"/>
        <v>1</v>
      </c>
      <c r="BW291" s="453">
        <f t="shared" si="368"/>
        <v>1</v>
      </c>
      <c r="BX291" s="453">
        <f t="shared" si="368"/>
        <v>1</v>
      </c>
      <c r="BY291" s="453">
        <f t="shared" si="368"/>
        <v>1</v>
      </c>
      <c r="BZ291" s="453">
        <f t="shared" si="368"/>
        <v>1</v>
      </c>
      <c r="CA291" s="453">
        <f>SUM(CA289:CA290)</f>
        <v>1</v>
      </c>
      <c r="CB291" s="453">
        <f>SUM(CB289:CB290)</f>
        <v>1</v>
      </c>
      <c r="CC291" s="453">
        <f>SUM(CC289:CC290)</f>
        <v>1</v>
      </c>
      <c r="CD291" s="453">
        <f>SUM(CD289:CD290)</f>
        <v>1</v>
      </c>
    </row>
    <row r="292" spans="1:83">
      <c r="A292" s="34"/>
      <c r="B292" s="18"/>
      <c r="T292" s="91"/>
      <c r="U292" s="91"/>
      <c r="V292" s="91"/>
      <c r="W292" s="91"/>
      <c r="X292" s="91"/>
      <c r="Y292" s="91"/>
      <c r="BT292" s="91"/>
      <c r="BU292" s="91"/>
      <c r="BV292" s="91"/>
      <c r="BW292" s="91"/>
      <c r="BX292" s="91"/>
      <c r="BY292" s="91"/>
      <c r="BZ292" s="91"/>
    </row>
    <row r="293" spans="1:83">
      <c r="A293" s="34"/>
      <c r="B293" s="149" t="s">
        <v>458</v>
      </c>
      <c r="G293" s="269" t="s">
        <v>666</v>
      </c>
      <c r="V293" s="36"/>
      <c r="X293" s="441"/>
    </row>
    <row r="294" spans="1:83">
      <c r="A294" s="34"/>
      <c r="B294" s="266" t="s">
        <v>456</v>
      </c>
      <c r="G294" s="269" t="s">
        <v>667</v>
      </c>
      <c r="T294" s="36">
        <f>SUM(BS294:BV294)</f>
        <v>907.2</v>
      </c>
      <c r="U294" s="36">
        <f>SUM(BW294:BZ294)</f>
        <v>907.2</v>
      </c>
      <c r="V294" s="36">
        <f>SUM(CA294:CD294)</f>
        <v>907.2</v>
      </c>
      <c r="W294" s="40">
        <f>(227*4)</f>
        <v>908</v>
      </c>
      <c r="X294" s="40">
        <f t="shared" ref="X294:Y294" si="369">(227*4)</f>
        <v>908</v>
      </c>
      <c r="Y294" s="40">
        <f t="shared" si="369"/>
        <v>908</v>
      </c>
      <c r="Z294" s="36"/>
      <c r="AA294" s="36"/>
      <c r="AB294" s="36"/>
      <c r="AC294" s="36"/>
      <c r="AD294" s="36"/>
      <c r="AE294" s="36"/>
      <c r="AF294" s="36"/>
      <c r="AG294" s="36"/>
      <c r="AH294" s="36"/>
      <c r="AI294" s="36"/>
      <c r="AJ294" s="36"/>
      <c r="AK294" s="36"/>
      <c r="AL294" s="36"/>
      <c r="AM294" s="36"/>
      <c r="AN294" s="36"/>
      <c r="AO294" s="36"/>
      <c r="AP294" s="36"/>
      <c r="AQ294" s="36"/>
      <c r="AR294" s="36"/>
      <c r="AS294" s="36"/>
      <c r="AT294" s="36"/>
      <c r="AU294" s="36"/>
      <c r="AV294" s="36"/>
      <c r="AW294" s="36"/>
      <c r="AX294" s="36"/>
      <c r="AY294" s="36"/>
      <c r="AZ294" s="36"/>
      <c r="BA294" s="36"/>
      <c r="BB294" s="36"/>
      <c r="BC294" s="36"/>
      <c r="BD294" s="36"/>
      <c r="BE294" s="36"/>
      <c r="BF294" s="36"/>
      <c r="BG294" s="36"/>
      <c r="BH294" s="36"/>
      <c r="BI294" s="36"/>
      <c r="BJ294" s="36"/>
      <c r="BK294" s="36"/>
      <c r="BL294" s="36"/>
      <c r="BM294" s="36"/>
      <c r="BN294" s="36"/>
      <c r="BO294" s="36"/>
      <c r="BP294" s="36"/>
      <c r="BQ294" s="36"/>
      <c r="BR294" s="36"/>
      <c r="BS294" s="40">
        <v>226.8</v>
      </c>
      <c r="BT294" s="349">
        <f>+BS294</f>
        <v>226.8</v>
      </c>
      <c r="BU294" s="349">
        <f t="shared" ref="BU294:CD294" si="370">+BT294</f>
        <v>226.8</v>
      </c>
      <c r="BV294" s="349">
        <f t="shared" si="370"/>
        <v>226.8</v>
      </c>
      <c r="BW294" s="349">
        <f t="shared" si="370"/>
        <v>226.8</v>
      </c>
      <c r="BX294" s="349">
        <f t="shared" si="370"/>
        <v>226.8</v>
      </c>
      <c r="BY294" s="349">
        <f t="shared" si="370"/>
        <v>226.8</v>
      </c>
      <c r="BZ294" s="349">
        <f t="shared" si="370"/>
        <v>226.8</v>
      </c>
      <c r="CA294" s="349">
        <f t="shared" si="370"/>
        <v>226.8</v>
      </c>
      <c r="CB294" s="349">
        <f t="shared" si="370"/>
        <v>226.8</v>
      </c>
      <c r="CC294" s="349">
        <f t="shared" si="370"/>
        <v>226.8</v>
      </c>
      <c r="CD294" s="349">
        <f t="shared" si="370"/>
        <v>226.8</v>
      </c>
    </row>
    <row r="295" spans="1:83">
      <c r="A295" s="34"/>
      <c r="B295" s="266" t="s">
        <v>457</v>
      </c>
      <c r="G295" s="270">
        <v>1.65</v>
      </c>
      <c r="T295" s="36">
        <f t="shared" ref="T295:Y295" si="371">T333*$G$295</f>
        <v>1119.492</v>
      </c>
      <c r="U295" s="36">
        <f t="shared" si="371"/>
        <v>1132.2135000000001</v>
      </c>
      <c r="V295" s="36">
        <f t="shared" si="371"/>
        <v>1132.2135000000001</v>
      </c>
      <c r="W295" s="36">
        <f t="shared" si="371"/>
        <v>1157.6565000000001</v>
      </c>
      <c r="X295" s="36">
        <f t="shared" si="371"/>
        <v>1170.3779999999999</v>
      </c>
      <c r="Y295" s="36">
        <f t="shared" si="371"/>
        <v>1183.0995</v>
      </c>
      <c r="Z295" s="36"/>
      <c r="AA295" s="36"/>
      <c r="AB295" s="36"/>
      <c r="AC295" s="36"/>
      <c r="AD295" s="36"/>
      <c r="AE295" s="36"/>
      <c r="AF295" s="36"/>
      <c r="AG295" s="36"/>
      <c r="AH295" s="36"/>
      <c r="AI295" s="36"/>
      <c r="AJ295" s="36"/>
      <c r="AK295" s="36"/>
      <c r="AL295" s="36"/>
      <c r="AM295" s="36"/>
      <c r="AN295" s="36"/>
      <c r="AO295" s="36"/>
      <c r="AP295" s="36"/>
      <c r="AQ295" s="36"/>
      <c r="AR295" s="36"/>
      <c r="AS295" s="36"/>
      <c r="AT295" s="36"/>
      <c r="AU295" s="36"/>
      <c r="AV295" s="36"/>
      <c r="AW295" s="36"/>
      <c r="AX295" s="36"/>
      <c r="AY295" s="36"/>
      <c r="AZ295" s="36"/>
      <c r="BA295" s="36"/>
      <c r="BB295" s="36"/>
      <c r="BC295" s="36"/>
      <c r="BD295" s="36"/>
      <c r="BE295" s="36"/>
      <c r="BF295" s="36"/>
      <c r="BG295" s="36"/>
      <c r="BH295" s="36"/>
      <c r="BI295" s="36"/>
      <c r="BJ295" s="36"/>
      <c r="BK295" s="36"/>
      <c r="BL295" s="36"/>
      <c r="BM295" s="36"/>
      <c r="BN295" s="36"/>
      <c r="BO295" s="36"/>
      <c r="BP295" s="36"/>
      <c r="BQ295" s="36"/>
      <c r="BR295" s="36"/>
      <c r="BS295" s="36">
        <f t="shared" ref="BS295:CD295" si="372">BS333*$G$295</f>
        <v>279.87299999999999</v>
      </c>
      <c r="BT295" s="36">
        <f t="shared" si="372"/>
        <v>279.87299999999999</v>
      </c>
      <c r="BU295" s="36">
        <f t="shared" si="372"/>
        <v>279.87299999999999</v>
      </c>
      <c r="BV295" s="36">
        <f t="shared" si="372"/>
        <v>279.87299999999999</v>
      </c>
      <c r="BW295" s="36">
        <f t="shared" si="372"/>
        <v>283.05337500000002</v>
      </c>
      <c r="BX295" s="36">
        <f t="shared" si="372"/>
        <v>283.05337500000002</v>
      </c>
      <c r="BY295" s="36">
        <f t="shared" si="372"/>
        <v>283.05337500000002</v>
      </c>
      <c r="BZ295" s="36">
        <f t="shared" si="372"/>
        <v>283.05337500000002</v>
      </c>
      <c r="CA295" s="36">
        <f>CA333*$G$295</f>
        <v>283.05337500000002</v>
      </c>
      <c r="CB295" s="36">
        <f t="shared" si="372"/>
        <v>283.05337500000002</v>
      </c>
      <c r="CC295" s="36">
        <f t="shared" si="372"/>
        <v>283.05337500000002</v>
      </c>
      <c r="CD295" s="36">
        <f t="shared" si="372"/>
        <v>283.05337500000002</v>
      </c>
    </row>
    <row r="296" spans="1:83">
      <c r="A296" s="34"/>
      <c r="B296" s="18" t="s">
        <v>613</v>
      </c>
      <c r="T296" s="254">
        <f t="shared" ref="T296:Y296" si="373">SUM(T294:T295)</f>
        <v>2026.692</v>
      </c>
      <c r="U296" s="254">
        <f t="shared" si="373"/>
        <v>2039.4135000000001</v>
      </c>
      <c r="V296" s="254">
        <f t="shared" si="373"/>
        <v>2039.4135000000001</v>
      </c>
      <c r="W296" s="254">
        <f t="shared" si="373"/>
        <v>2065.6565000000001</v>
      </c>
      <c r="X296" s="254">
        <f t="shared" si="373"/>
        <v>2078.3779999999997</v>
      </c>
      <c r="Y296" s="254">
        <f t="shared" si="373"/>
        <v>2091.0995000000003</v>
      </c>
      <c r="BS296" s="254">
        <f>SUM(BS294:BS295)</f>
        <v>506.673</v>
      </c>
      <c r="BT296" s="254">
        <f t="shared" ref="BT296:BZ296" si="374">SUM(BT294:BT295)</f>
        <v>506.673</v>
      </c>
      <c r="BU296" s="254">
        <f>SUM(BU294:BU295)</f>
        <v>506.673</v>
      </c>
      <c r="BV296" s="254">
        <f t="shared" si="374"/>
        <v>506.673</v>
      </c>
      <c r="BW296" s="254">
        <f t="shared" si="374"/>
        <v>509.85337500000003</v>
      </c>
      <c r="BX296" s="254">
        <f t="shared" si="374"/>
        <v>509.85337500000003</v>
      </c>
      <c r="BY296" s="254">
        <f t="shared" si="374"/>
        <v>509.85337500000003</v>
      </c>
      <c r="BZ296" s="254">
        <f t="shared" si="374"/>
        <v>509.85337500000003</v>
      </c>
      <c r="CA296" s="254">
        <f>SUM(CA294:CA295)</f>
        <v>509.85337500000003</v>
      </c>
      <c r="CB296" s="254">
        <f>SUM(CB294:CB295)</f>
        <v>509.85337500000003</v>
      </c>
      <c r="CC296" s="254">
        <f>SUM(CC294:CC295)</f>
        <v>509.85337500000003</v>
      </c>
      <c r="CD296" s="254">
        <f>SUM(CD294:CD295)</f>
        <v>509.85337500000003</v>
      </c>
    </row>
    <row r="297" spans="1:83">
      <c r="A297" s="34"/>
      <c r="B297" s="18" t="s">
        <v>612</v>
      </c>
      <c r="G297" s="446">
        <f>+G393</f>
        <v>2204.62</v>
      </c>
      <c r="T297" s="91">
        <f>+(T296/1000)*$G$297</f>
        <v>4468.0857170400004</v>
      </c>
      <c r="U297" s="91">
        <f t="shared" ref="U297:Y297" si="375">+(U296/1000)*$G$297</f>
        <v>4496.1317903700001</v>
      </c>
      <c r="V297" s="91">
        <f t="shared" si="375"/>
        <v>4496.1317903700001</v>
      </c>
      <c r="W297" s="91">
        <f t="shared" si="375"/>
        <v>4553.9876330300003</v>
      </c>
      <c r="X297" s="91">
        <f t="shared" si="375"/>
        <v>4582.0337063599991</v>
      </c>
      <c r="Y297" s="91">
        <f t="shared" si="375"/>
        <v>4610.0797796900006</v>
      </c>
      <c r="BS297" s="91">
        <f t="shared" ref="BS297" si="376">+(BS296/1000)*$G$297</f>
        <v>1117.0214292600001</v>
      </c>
      <c r="BT297" s="91">
        <f t="shared" ref="BT297" si="377">+(BT296/1000)*$G$297</f>
        <v>1117.0214292600001</v>
      </c>
      <c r="BU297" s="91">
        <f t="shared" ref="BU297" si="378">+(BU296/1000)*$G$297</f>
        <v>1117.0214292600001</v>
      </c>
      <c r="BV297" s="91">
        <f t="shared" ref="BV297" si="379">+(BV296/1000)*$G$297</f>
        <v>1117.0214292600001</v>
      </c>
      <c r="BW297" s="91">
        <f t="shared" ref="BW297" si="380">+(BW296/1000)*$G$297</f>
        <v>1124.0329475925</v>
      </c>
      <c r="BX297" s="91">
        <f t="shared" ref="BX297" si="381">+(BX296/1000)*$G$297</f>
        <v>1124.0329475925</v>
      </c>
      <c r="BY297" s="91">
        <f t="shared" ref="BY297" si="382">+(BY296/1000)*$G$297</f>
        <v>1124.0329475925</v>
      </c>
      <c r="BZ297" s="91">
        <f t="shared" ref="BZ297" si="383">+(BZ296/1000)*$G$297</f>
        <v>1124.0329475925</v>
      </c>
      <c r="CA297" s="91">
        <f t="shared" ref="CA297" si="384">+(CA296/1000)*$G$297</f>
        <v>1124.0329475925</v>
      </c>
      <c r="CB297" s="91">
        <f t="shared" ref="CB297" si="385">+(CB296/1000)*$G$297</f>
        <v>1124.0329475925</v>
      </c>
      <c r="CC297" s="91">
        <f t="shared" ref="CC297" si="386">+(CC296/1000)*$G$297</f>
        <v>1124.0329475925</v>
      </c>
      <c r="CD297" s="91">
        <f t="shared" ref="CD297" si="387">+(CD296/1000)*$G$297</f>
        <v>1124.0329475925</v>
      </c>
    </row>
    <row r="298" spans="1:83">
      <c r="A298" s="34"/>
      <c r="B298" s="243"/>
      <c r="T298" s="76"/>
      <c r="U298" s="76"/>
      <c r="V298" s="76"/>
      <c r="W298" s="76"/>
      <c r="X298" s="76"/>
      <c r="Y298" s="76"/>
      <c r="BS298" s="76"/>
      <c r="BT298" s="76"/>
      <c r="BU298" s="76"/>
      <c r="BV298" s="76"/>
      <c r="BW298" s="76"/>
      <c r="BX298" s="76"/>
      <c r="BY298" s="76"/>
      <c r="BZ298" s="76"/>
    </row>
    <row r="299" spans="1:83">
      <c r="A299" s="34"/>
      <c r="B299" s="287" t="s">
        <v>566</v>
      </c>
      <c r="T299" s="17"/>
      <c r="U299" s="288">
        <f>+U296/T296-1</f>
        <v>6.2769774588344873E-3</v>
      </c>
      <c r="V299" s="288">
        <f t="shared" ref="V299:Y299" si="388">+V296/U296-1</f>
        <v>0</v>
      </c>
      <c r="W299" s="288">
        <f t="shared" si="388"/>
        <v>1.2867915211898007E-2</v>
      </c>
      <c r="X299" s="288">
        <f t="shared" si="388"/>
        <v>6.1585747678762903E-3</v>
      </c>
      <c r="Y299" s="288">
        <f t="shared" si="388"/>
        <v>6.1208788776634382E-3</v>
      </c>
      <c r="Z299" s="69"/>
      <c r="AA299" s="69"/>
      <c r="AB299" s="69"/>
      <c r="AC299" s="69"/>
      <c r="AD299" s="69"/>
      <c r="AE299" s="69"/>
      <c r="AF299" s="69"/>
      <c r="AG299" s="69"/>
      <c r="AH299" s="69"/>
      <c r="AI299" s="69"/>
      <c r="AJ299" s="69"/>
      <c r="AK299" s="69"/>
      <c r="AL299" s="69"/>
      <c r="AM299" s="69"/>
      <c r="AN299" s="69"/>
      <c r="AO299" s="69"/>
      <c r="AP299" s="69"/>
      <c r="AQ299" s="69"/>
      <c r="AR299" s="69"/>
      <c r="AS299" s="69"/>
      <c r="AT299" s="69"/>
      <c r="AU299" s="69"/>
      <c r="AV299" s="69"/>
      <c r="AW299" s="69"/>
      <c r="AX299" s="69"/>
      <c r="AY299" s="69"/>
      <c r="AZ299" s="69"/>
      <c r="BA299" s="69"/>
      <c r="BB299" s="69"/>
      <c r="BC299" s="294"/>
      <c r="BD299" s="294"/>
      <c r="BE299" s="294"/>
      <c r="BF299" s="294"/>
      <c r="BG299" s="294"/>
      <c r="BH299" s="294"/>
      <c r="BI299" s="294"/>
      <c r="BJ299" s="294"/>
      <c r="BK299" s="294"/>
      <c r="BL299" s="294"/>
      <c r="BM299" s="294"/>
      <c r="BN299" s="294"/>
      <c r="BO299" s="294"/>
      <c r="BP299" s="294"/>
      <c r="BQ299" s="294"/>
      <c r="BR299" s="294"/>
      <c r="BS299" s="297"/>
      <c r="BT299" s="297"/>
      <c r="BU299" s="297"/>
      <c r="BV299" s="288"/>
      <c r="BW299" s="288">
        <f t="shared" ref="BW299:CD299" si="389">+BW296/BS296-1</f>
        <v>6.2769774588344873E-3</v>
      </c>
      <c r="BX299" s="288">
        <f t="shared" si="389"/>
        <v>6.2769774588344873E-3</v>
      </c>
      <c r="BY299" s="288">
        <f t="shared" si="389"/>
        <v>6.2769774588344873E-3</v>
      </c>
      <c r="BZ299" s="288">
        <f t="shared" si="389"/>
        <v>6.2769774588344873E-3</v>
      </c>
      <c r="CA299" s="288">
        <f t="shared" si="389"/>
        <v>0</v>
      </c>
      <c r="CB299" s="288">
        <f t="shared" si="389"/>
        <v>0</v>
      </c>
      <c r="CC299" s="288">
        <f t="shared" si="389"/>
        <v>0</v>
      </c>
      <c r="CD299" s="288">
        <f t="shared" si="389"/>
        <v>0</v>
      </c>
    </row>
    <row r="300" spans="1:83">
      <c r="A300" s="34"/>
      <c r="B300" s="287" t="s">
        <v>567</v>
      </c>
      <c r="T300" s="17"/>
      <c r="U300" s="288"/>
      <c r="V300" s="288"/>
      <c r="W300" s="288"/>
      <c r="X300" s="288"/>
      <c r="Y300" s="288"/>
      <c r="Z300" s="69"/>
      <c r="AA300" s="69"/>
      <c r="AB300" s="69"/>
      <c r="AC300" s="69"/>
      <c r="AD300" s="69"/>
      <c r="AE300" s="69"/>
      <c r="AF300" s="69"/>
      <c r="AG300" s="69"/>
      <c r="AH300" s="69"/>
      <c r="AI300" s="69"/>
      <c r="AJ300" s="69"/>
      <c r="AK300" s="69"/>
      <c r="AL300" s="69"/>
      <c r="AM300" s="69"/>
      <c r="AN300" s="69"/>
      <c r="AO300" s="69"/>
      <c r="AP300" s="69"/>
      <c r="AQ300" s="69"/>
      <c r="AR300" s="69"/>
      <c r="AS300" s="69"/>
      <c r="AT300" s="69"/>
      <c r="AU300" s="69"/>
      <c r="AV300" s="69"/>
      <c r="AW300" s="69"/>
      <c r="AX300" s="69"/>
      <c r="AY300" s="69"/>
      <c r="AZ300" s="69"/>
      <c r="BA300" s="69"/>
      <c r="BB300" s="69"/>
      <c r="BC300" s="294"/>
      <c r="BD300" s="294"/>
      <c r="BE300" s="294"/>
      <c r="BF300" s="294"/>
      <c r="BG300" s="294"/>
      <c r="BH300" s="294"/>
      <c r="BI300" s="294"/>
      <c r="BJ300" s="294"/>
      <c r="BK300" s="294"/>
      <c r="BL300" s="294"/>
      <c r="BM300" s="294"/>
      <c r="BN300" s="294"/>
      <c r="BO300" s="294"/>
      <c r="BP300" s="294"/>
      <c r="BQ300" s="294"/>
      <c r="BR300" s="294"/>
      <c r="BS300" s="297"/>
      <c r="BT300" s="288">
        <f>+BT296/BS296-1</f>
        <v>0</v>
      </c>
      <c r="BU300" s="288">
        <f t="shared" ref="BU300:CD300" si="390">+BU296/BT296-1</f>
        <v>0</v>
      </c>
      <c r="BV300" s="288">
        <f t="shared" si="390"/>
        <v>0</v>
      </c>
      <c r="BW300" s="288">
        <f t="shared" si="390"/>
        <v>6.2769774588344873E-3</v>
      </c>
      <c r="BX300" s="288">
        <f t="shared" si="390"/>
        <v>0</v>
      </c>
      <c r="BY300" s="288">
        <f t="shared" si="390"/>
        <v>0</v>
      </c>
      <c r="BZ300" s="288">
        <f t="shared" si="390"/>
        <v>0</v>
      </c>
      <c r="CA300" s="288">
        <f t="shared" si="390"/>
        <v>0</v>
      </c>
      <c r="CB300" s="288">
        <f t="shared" si="390"/>
        <v>0</v>
      </c>
      <c r="CC300" s="288">
        <f t="shared" si="390"/>
        <v>0</v>
      </c>
      <c r="CD300" s="288">
        <f t="shared" si="390"/>
        <v>0</v>
      </c>
    </row>
    <row r="301" spans="1:83" hidden="1" outlineLevel="1">
      <c r="A301" s="34"/>
      <c r="B301" s="243"/>
      <c r="T301" s="76"/>
      <c r="U301" s="76"/>
      <c r="V301" s="76"/>
      <c r="W301" s="76"/>
      <c r="X301" s="76"/>
      <c r="Y301" s="76"/>
      <c r="BS301" s="76"/>
      <c r="BT301" s="76"/>
      <c r="BU301" s="76"/>
      <c r="BV301" s="76"/>
      <c r="BW301" s="76"/>
      <c r="BX301" s="76"/>
      <c r="BY301" s="76"/>
      <c r="BZ301" s="76"/>
    </row>
    <row r="302" spans="1:83" s="75" customFormat="1" ht="12.75" hidden="1" customHeight="1" outlineLevel="1">
      <c r="B302" s="287" t="s">
        <v>593</v>
      </c>
      <c r="I302" s="331"/>
      <c r="J302" s="331"/>
      <c r="K302" s="331"/>
      <c r="L302" s="331"/>
      <c r="M302" s="331"/>
      <c r="N302" s="331"/>
      <c r="O302" s="331"/>
      <c r="P302" s="331"/>
      <c r="Q302" s="331"/>
      <c r="R302" s="331"/>
      <c r="S302" s="331"/>
      <c r="T302" s="333"/>
      <c r="U302" s="333"/>
      <c r="V302" s="333"/>
      <c r="W302" s="333"/>
      <c r="X302" s="333"/>
      <c r="Y302" s="333"/>
      <c r="Z302" s="331"/>
      <c r="AA302" s="331"/>
      <c r="AB302" s="331"/>
      <c r="AC302" s="331"/>
      <c r="AD302" s="331"/>
      <c r="AE302" s="331"/>
      <c r="AF302" s="331"/>
      <c r="AG302" s="331"/>
      <c r="AH302" s="331"/>
      <c r="AI302" s="331"/>
      <c r="AJ302" s="331"/>
      <c r="AK302" s="331"/>
      <c r="AL302" s="331"/>
      <c r="AM302" s="334"/>
      <c r="AN302" s="334"/>
      <c r="AO302" s="334"/>
      <c r="AP302" s="334"/>
      <c r="AQ302" s="334"/>
      <c r="AR302" s="334"/>
      <c r="AS302" s="334"/>
      <c r="AT302" s="334"/>
      <c r="AU302" s="334"/>
      <c r="AV302" s="334"/>
      <c r="AW302" s="334"/>
      <c r="AX302" s="334"/>
      <c r="AY302" s="334"/>
      <c r="AZ302" s="334"/>
      <c r="BA302" s="334"/>
      <c r="BB302" s="334"/>
      <c r="BC302" s="334"/>
      <c r="BD302" s="334"/>
      <c r="BE302" s="334"/>
      <c r="BF302" s="334"/>
      <c r="BG302" s="334"/>
      <c r="BH302" s="334"/>
      <c r="BI302" s="334"/>
      <c r="BJ302" s="334"/>
      <c r="BK302" s="334"/>
      <c r="BL302" s="334"/>
      <c r="BM302" s="334"/>
      <c r="BN302" s="334"/>
      <c r="BO302" s="334"/>
      <c r="BP302" s="335"/>
      <c r="BQ302" s="335"/>
      <c r="BR302" s="335"/>
      <c r="BS302" s="400" t="s">
        <v>516</v>
      </c>
      <c r="BT302" s="400" t="s">
        <v>516</v>
      </c>
      <c r="BU302" s="400" t="s">
        <v>516</v>
      </c>
      <c r="BV302" s="400" t="s">
        <v>511</v>
      </c>
      <c r="BW302" s="400" t="s">
        <v>511</v>
      </c>
      <c r="BX302" s="400" t="s">
        <v>511</v>
      </c>
      <c r="BY302" s="400" t="s">
        <v>513</v>
      </c>
      <c r="BZ302" s="400" t="s">
        <v>511</v>
      </c>
    </row>
    <row r="303" spans="1:83" s="75" customFormat="1" ht="12.75" hidden="1" customHeight="1" outlineLevel="1">
      <c r="B303" s="287" t="s">
        <v>592</v>
      </c>
      <c r="I303" s="331"/>
      <c r="J303" s="331"/>
      <c r="K303" s="331"/>
      <c r="L303" s="331"/>
      <c r="M303" s="331"/>
      <c r="N303" s="331"/>
      <c r="O303" s="331"/>
      <c r="P303" s="331"/>
      <c r="Q303" s="331"/>
      <c r="R303" s="331"/>
      <c r="S303" s="331"/>
      <c r="T303" s="333"/>
      <c r="U303" s="91"/>
      <c r="V303" s="91"/>
      <c r="W303" s="333"/>
      <c r="X303" s="333"/>
      <c r="Z303" s="331"/>
      <c r="AA303" s="331"/>
      <c r="AB303" s="331"/>
      <c r="AC303" s="331"/>
      <c r="AD303" s="331"/>
      <c r="AE303" s="331"/>
      <c r="AF303" s="331"/>
      <c r="AG303" s="331"/>
      <c r="AH303" s="331"/>
      <c r="AI303" s="331"/>
      <c r="AJ303" s="331"/>
      <c r="AK303" s="331"/>
      <c r="AL303" s="331"/>
      <c r="AM303" s="334"/>
      <c r="AN303" s="334"/>
      <c r="AO303" s="334"/>
      <c r="AP303" s="334"/>
      <c r="AQ303" s="334"/>
      <c r="AR303" s="334"/>
      <c r="AS303" s="334"/>
      <c r="AT303" s="334"/>
      <c r="AU303" s="334"/>
      <c r="AV303" s="334"/>
      <c r="AW303" s="334"/>
      <c r="AX303" s="334"/>
      <c r="AY303" s="334"/>
      <c r="AZ303" s="334"/>
      <c r="BA303" s="334"/>
      <c r="BB303" s="334"/>
      <c r="BC303" s="334"/>
      <c r="BD303" s="334"/>
      <c r="BE303" s="334"/>
      <c r="BF303" s="334"/>
      <c r="BG303" s="334"/>
      <c r="BH303" s="334"/>
      <c r="BI303" s="334"/>
      <c r="BJ303" s="334"/>
      <c r="BK303" s="334"/>
      <c r="BL303" s="334"/>
      <c r="BM303" s="334"/>
      <c r="BN303" s="334"/>
      <c r="BO303" s="334"/>
      <c r="BP303" s="335"/>
      <c r="BQ303" s="335"/>
      <c r="BR303" s="335"/>
      <c r="BS303" s="400" t="s">
        <v>514</v>
      </c>
      <c r="BT303" s="400" t="s">
        <v>511</v>
      </c>
      <c r="BU303" s="400" t="s">
        <v>513</v>
      </c>
      <c r="BV303" s="400" t="s">
        <v>513</v>
      </c>
      <c r="BW303" s="400" t="s">
        <v>513</v>
      </c>
      <c r="BX303" s="400" t="s">
        <v>511</v>
      </c>
      <c r="BY303" s="400" t="s">
        <v>512</v>
      </c>
      <c r="BZ303" s="400" t="s">
        <v>511</v>
      </c>
      <c r="CA303" s="336"/>
      <c r="CB303" s="336"/>
      <c r="CC303" s="336"/>
      <c r="CD303" s="336"/>
      <c r="CE303" s="336"/>
    </row>
    <row r="304" spans="1:83" collapsed="1">
      <c r="A304" s="34"/>
      <c r="B304" s="243"/>
      <c r="T304" s="76"/>
      <c r="U304" s="76"/>
      <c r="V304" s="76"/>
      <c r="W304" s="76"/>
      <c r="X304" s="76"/>
      <c r="Y304" s="76"/>
      <c r="BS304" s="76"/>
      <c r="BT304" s="76"/>
      <c r="BU304" s="76"/>
      <c r="BV304" s="76"/>
      <c r="BW304" s="76"/>
      <c r="BX304" s="76"/>
      <c r="BY304" s="76"/>
      <c r="BZ304" s="76"/>
    </row>
    <row r="305" spans="1:83">
      <c r="A305" s="34"/>
      <c r="B305" s="149" t="s">
        <v>471</v>
      </c>
      <c r="T305" s="76"/>
      <c r="U305" s="76"/>
      <c r="V305" s="76"/>
      <c r="W305" s="76"/>
      <c r="X305" s="76"/>
      <c r="Y305" s="76"/>
      <c r="BS305" s="76"/>
      <c r="BT305" s="76"/>
      <c r="BU305" s="76"/>
      <c r="BV305" s="76"/>
      <c r="BW305" s="76"/>
      <c r="BX305" s="77"/>
      <c r="BY305" s="76"/>
      <c r="BZ305" s="76"/>
    </row>
    <row r="306" spans="1:83">
      <c r="A306" s="34"/>
      <c r="B306" s="266" t="s">
        <v>456</v>
      </c>
      <c r="T306" s="410">
        <f t="shared" ref="T306:Y306" si="391">+T320</f>
        <v>167.630303030303</v>
      </c>
      <c r="U306" s="410">
        <f t="shared" si="391"/>
        <v>184.11074765078672</v>
      </c>
      <c r="V306" s="410">
        <f t="shared" si="391"/>
        <v>157.42158385093165</v>
      </c>
      <c r="W306" s="410">
        <f t="shared" si="391"/>
        <v>157.42158385093165</v>
      </c>
      <c r="X306" s="410">
        <f t="shared" si="391"/>
        <v>157.42158385093165</v>
      </c>
      <c r="Y306" s="410">
        <f t="shared" si="391"/>
        <v>157.42158385093165</v>
      </c>
      <c r="Z306" s="25"/>
      <c r="AA306" s="25"/>
      <c r="AB306" s="25"/>
      <c r="AC306" s="25"/>
      <c r="AD306" s="25"/>
      <c r="AE306" s="25"/>
      <c r="AF306" s="25"/>
      <c r="AG306" s="25"/>
      <c r="AH306" s="25"/>
      <c r="AI306" s="25"/>
      <c r="AJ306" s="25"/>
      <c r="AK306" s="25"/>
      <c r="AL306" s="25"/>
      <c r="AM306" s="25"/>
      <c r="AN306" s="25"/>
      <c r="AO306" s="25"/>
      <c r="AP306" s="25"/>
      <c r="AQ306" s="25"/>
      <c r="AR306" s="25"/>
      <c r="AS306" s="25"/>
      <c r="AT306" s="25"/>
      <c r="AU306" s="25"/>
      <c r="AV306" s="25"/>
      <c r="AW306" s="25"/>
      <c r="AX306" s="25"/>
      <c r="AY306" s="25"/>
      <c r="AZ306" s="25"/>
      <c r="BA306" s="25"/>
      <c r="BB306" s="25"/>
      <c r="BC306" s="25"/>
      <c r="BD306" s="25"/>
      <c r="BE306" s="25"/>
      <c r="BF306" s="25"/>
      <c r="BG306" s="25"/>
      <c r="BH306" s="25"/>
      <c r="BI306" s="25"/>
      <c r="BJ306" s="25"/>
      <c r="BK306" s="25"/>
      <c r="BL306" s="25"/>
      <c r="BM306" s="25"/>
      <c r="BN306" s="25"/>
      <c r="BO306" s="25"/>
      <c r="BP306" s="25"/>
      <c r="BQ306" s="25"/>
      <c r="BR306" s="25"/>
      <c r="BS306" s="410">
        <f t="shared" ref="BS306:BZ306" si="392">+BS320</f>
        <v>134.95384615384614</v>
      </c>
      <c r="BT306" s="410">
        <f t="shared" si="392"/>
        <v>176.82575757575756</v>
      </c>
      <c r="BU306" s="410">
        <f t="shared" si="392"/>
        <v>175.79545454545453</v>
      </c>
      <c r="BV306" s="410">
        <f t="shared" si="392"/>
        <v>182.94615384615383</v>
      </c>
      <c r="BW306" s="410">
        <f t="shared" si="392"/>
        <v>204.46484375</v>
      </c>
      <c r="BX306" s="410">
        <f t="shared" si="392"/>
        <v>228.53409090909091</v>
      </c>
      <c r="BY306" s="410">
        <f t="shared" si="392"/>
        <v>166.13636363636365</v>
      </c>
      <c r="BZ306" s="410">
        <f t="shared" si="392"/>
        <v>137.30769230769232</v>
      </c>
      <c r="CA306" s="410">
        <f>+CA320</f>
        <v>125.35300207039337</v>
      </c>
      <c r="CB306" s="410">
        <f>+CB320</f>
        <v>175.66666666666666</v>
      </c>
      <c r="CC306" s="410">
        <f>+CC320</f>
        <v>157.25</v>
      </c>
      <c r="CD306" s="410">
        <f>+CD320</f>
        <v>171.41666666666666</v>
      </c>
    </row>
    <row r="307" spans="1:83">
      <c r="A307" s="34"/>
      <c r="B307" s="266" t="s">
        <v>457</v>
      </c>
      <c r="T307" s="104">
        <f>T273/T295*1000</f>
        <v>0</v>
      </c>
      <c r="U307" s="104">
        <f>U273/U295*1000</f>
        <v>0</v>
      </c>
      <c r="V307" s="104">
        <f>V273/V295*1000</f>
        <v>0</v>
      </c>
      <c r="W307" s="353">
        <f>+V307</f>
        <v>0</v>
      </c>
      <c r="X307" s="353">
        <f>+W307</f>
        <v>0</v>
      </c>
      <c r="Y307" s="353">
        <f>+X307</f>
        <v>0</v>
      </c>
      <c r="Z307" s="51"/>
      <c r="AA307" s="51"/>
      <c r="AB307" s="51"/>
      <c r="AC307" s="51"/>
      <c r="AD307" s="51"/>
      <c r="AE307" s="51"/>
      <c r="AF307" s="51"/>
      <c r="AG307" s="51"/>
      <c r="AH307" s="51"/>
      <c r="AI307" s="51"/>
      <c r="AJ307" s="51"/>
      <c r="AK307" s="51"/>
      <c r="AL307" s="51"/>
      <c r="AM307" s="53"/>
      <c r="AN307" s="53"/>
      <c r="AO307" s="53"/>
      <c r="AP307" s="53"/>
      <c r="AQ307" s="53"/>
      <c r="AR307" s="53"/>
      <c r="AS307" s="53"/>
      <c r="AT307" s="53"/>
      <c r="AU307" s="53"/>
      <c r="AV307" s="53"/>
      <c r="AW307" s="53"/>
      <c r="AX307" s="53"/>
      <c r="AY307" s="53"/>
      <c r="AZ307" s="53"/>
      <c r="BA307" s="53"/>
      <c r="BB307" s="53"/>
      <c r="BC307" s="53"/>
      <c r="BD307" s="53"/>
      <c r="BE307" s="53"/>
      <c r="BF307" s="53"/>
      <c r="BG307" s="53"/>
      <c r="BH307" s="53"/>
      <c r="BI307" s="53"/>
      <c r="BJ307" s="53"/>
      <c r="BK307" s="53"/>
      <c r="BL307" s="53"/>
      <c r="BM307" s="53"/>
      <c r="BN307" s="53"/>
      <c r="BO307" s="53"/>
      <c r="BP307" s="53"/>
      <c r="BQ307" s="53"/>
      <c r="BR307" s="53"/>
      <c r="BS307" s="105">
        <v>0</v>
      </c>
      <c r="BT307" s="353">
        <f>+BS307</f>
        <v>0</v>
      </c>
      <c r="BU307" s="353">
        <f t="shared" ref="BU307:BZ307" si="393">+BT307</f>
        <v>0</v>
      </c>
      <c r="BV307" s="353">
        <f t="shared" si="393"/>
        <v>0</v>
      </c>
      <c r="BW307" s="353">
        <f t="shared" si="393"/>
        <v>0</v>
      </c>
      <c r="BX307" s="353">
        <f>+BW307</f>
        <v>0</v>
      </c>
      <c r="BY307" s="353">
        <f>+BX307</f>
        <v>0</v>
      </c>
      <c r="BZ307" s="353">
        <f t="shared" si="393"/>
        <v>0</v>
      </c>
      <c r="CA307" s="353">
        <f>+BZ307</f>
        <v>0</v>
      </c>
      <c r="CB307" s="353">
        <f>+CA307</f>
        <v>0</v>
      </c>
      <c r="CC307" s="353">
        <f>+CB307</f>
        <v>0</v>
      </c>
      <c r="CD307" s="353">
        <f>+CC307</f>
        <v>0</v>
      </c>
    </row>
    <row r="308" spans="1:83">
      <c r="A308" s="34"/>
      <c r="B308" s="267" t="s">
        <v>625</v>
      </c>
      <c r="T308" s="305">
        <f t="shared" ref="T308:Y308" si="394">+T272/T294*1000</f>
        <v>167.630303030303</v>
      </c>
      <c r="U308" s="305">
        <f t="shared" si="394"/>
        <v>184.11074765078672</v>
      </c>
      <c r="V308" s="305">
        <f t="shared" si="394"/>
        <v>157.42158385093165</v>
      </c>
      <c r="W308" s="305">
        <f t="shared" si="394"/>
        <v>157.42158385093163</v>
      </c>
      <c r="X308" s="305">
        <f t="shared" si="394"/>
        <v>157.42158385093163</v>
      </c>
      <c r="Y308" s="305">
        <f t="shared" si="394"/>
        <v>157.42158385093163</v>
      </c>
      <c r="Z308" s="26"/>
      <c r="AA308" s="26"/>
      <c r="AB308" s="26"/>
      <c r="AC308" s="26"/>
      <c r="AD308" s="26"/>
      <c r="AE308" s="26"/>
      <c r="AF308" s="26"/>
      <c r="AG308" s="26"/>
      <c r="AH308" s="26"/>
      <c r="AI308" s="26"/>
      <c r="AJ308" s="26"/>
      <c r="AK308" s="26"/>
      <c r="AL308" s="26"/>
      <c r="AM308" s="26"/>
      <c r="AN308" s="26"/>
      <c r="AO308" s="26"/>
      <c r="AP308" s="26"/>
      <c r="AQ308" s="26"/>
      <c r="AR308" s="26"/>
      <c r="AS308" s="26"/>
      <c r="AT308" s="26"/>
      <c r="AU308" s="26"/>
      <c r="AV308" s="26"/>
      <c r="AW308" s="26"/>
      <c r="AX308" s="26"/>
      <c r="AY308" s="26"/>
      <c r="AZ308" s="26"/>
      <c r="BA308" s="26"/>
      <c r="BB308" s="26"/>
      <c r="BC308" s="26"/>
      <c r="BD308" s="26"/>
      <c r="BE308" s="26"/>
      <c r="BF308" s="26"/>
      <c r="BG308" s="26"/>
      <c r="BH308" s="26"/>
      <c r="BI308" s="26"/>
      <c r="BJ308" s="26"/>
      <c r="BK308" s="26"/>
      <c r="BL308" s="26"/>
      <c r="BM308" s="26"/>
      <c r="BN308" s="26"/>
      <c r="BO308" s="26"/>
      <c r="BP308" s="26"/>
      <c r="BQ308" s="26"/>
      <c r="BR308" s="26"/>
      <c r="BS308" s="305">
        <f t="shared" ref="BS308:CD308" si="395">+BS272/BS294*1000</f>
        <v>134.95384615384614</v>
      </c>
      <c r="BT308" s="305">
        <f t="shared" si="395"/>
        <v>176.82575757575759</v>
      </c>
      <c r="BU308" s="305">
        <f t="shared" si="395"/>
        <v>175.7954545454545</v>
      </c>
      <c r="BV308" s="305">
        <f t="shared" si="395"/>
        <v>182.94615384615383</v>
      </c>
      <c r="BW308" s="305">
        <f t="shared" si="395"/>
        <v>204.46484375</v>
      </c>
      <c r="BX308" s="305">
        <f t="shared" si="395"/>
        <v>228.53409090909091</v>
      </c>
      <c r="BY308" s="305">
        <f t="shared" si="395"/>
        <v>166.13636363636363</v>
      </c>
      <c r="BZ308" s="305">
        <f t="shared" si="395"/>
        <v>137.30769230769232</v>
      </c>
      <c r="CA308" s="305">
        <f t="shared" si="395"/>
        <v>125.35300207039337</v>
      </c>
      <c r="CB308" s="305">
        <f t="shared" si="395"/>
        <v>175.66666666666666</v>
      </c>
      <c r="CC308" s="305">
        <f t="shared" si="395"/>
        <v>157.25</v>
      </c>
      <c r="CD308" s="305">
        <f t="shared" si="395"/>
        <v>171.41666666666669</v>
      </c>
    </row>
    <row r="309" spans="1:83">
      <c r="A309" s="34"/>
      <c r="B309" s="267" t="s">
        <v>626</v>
      </c>
      <c r="T309" s="448">
        <f>+T308/$G$297</f>
        <v>7.6035916861093067E-2</v>
      </c>
      <c r="U309" s="448">
        <f t="shared" ref="U309:Y309" si="396">+U308/$G$297</f>
        <v>8.3511329685291222E-2</v>
      </c>
      <c r="V309" s="448">
        <f t="shared" si="396"/>
        <v>7.1405314226910613E-2</v>
      </c>
      <c r="W309" s="448">
        <f t="shared" si="396"/>
        <v>7.1405314226910599E-2</v>
      </c>
      <c r="X309" s="448">
        <f t="shared" si="396"/>
        <v>7.1405314226910599E-2</v>
      </c>
      <c r="Y309" s="448">
        <f t="shared" si="396"/>
        <v>7.1405314226910599E-2</v>
      </c>
      <c r="Z309" s="34"/>
      <c r="AA309" s="34"/>
      <c r="AB309" s="34"/>
      <c r="AC309" s="34"/>
      <c r="AD309" s="34"/>
      <c r="AE309" s="34"/>
      <c r="AF309" s="34"/>
      <c r="AG309" s="34"/>
      <c r="AH309" s="34"/>
      <c r="AI309" s="34"/>
      <c r="AJ309" s="34"/>
      <c r="AK309" s="34"/>
      <c r="AL309" s="34"/>
      <c r="AM309" s="34"/>
      <c r="AN309" s="34"/>
      <c r="AO309" s="34"/>
      <c r="AP309" s="34"/>
      <c r="AQ309" s="34"/>
      <c r="AR309" s="34"/>
      <c r="AS309" s="34"/>
      <c r="AT309" s="34"/>
      <c r="AU309" s="34"/>
      <c r="AV309" s="34"/>
      <c r="AW309" s="34"/>
      <c r="AX309" s="34"/>
      <c r="AY309" s="34"/>
      <c r="AZ309" s="34"/>
      <c r="BA309" s="34"/>
      <c r="BB309" s="34"/>
      <c r="BC309" s="34"/>
      <c r="BD309" s="34"/>
      <c r="BE309" s="34"/>
      <c r="BF309" s="34"/>
      <c r="BG309" s="34"/>
      <c r="BH309" s="34"/>
      <c r="BI309" s="34"/>
      <c r="BJ309" s="34"/>
      <c r="BK309" s="34"/>
      <c r="BL309" s="34"/>
      <c r="BM309" s="34"/>
      <c r="BN309" s="34"/>
      <c r="BO309" s="34"/>
      <c r="BP309" s="34"/>
      <c r="BQ309" s="34"/>
      <c r="BR309" s="34"/>
      <c r="BS309" s="448">
        <f t="shared" ref="BS309" si="397">+BS308/$G$297</f>
        <v>6.121410771645279E-2</v>
      </c>
      <c r="BT309" s="448">
        <f t="shared" ref="BT309" si="398">+BT308/$G$297</f>
        <v>8.0206909841949003E-2</v>
      </c>
      <c r="BU309" s="448">
        <f t="shared" ref="BU309" si="399">+BU308/$G$297</f>
        <v>7.9739571692833466E-2</v>
      </c>
      <c r="BV309" s="448">
        <f t="shared" ref="BV309" si="400">+BV308/$G$297</f>
        <v>8.2983078193137064E-2</v>
      </c>
      <c r="BW309" s="448">
        <f t="shared" ref="BW309" si="401">+BW308/$G$297</f>
        <v>9.2743803353865978E-2</v>
      </c>
      <c r="BX309" s="448">
        <f t="shared" ref="BX309" si="402">+BX308/$G$297</f>
        <v>0.10366144320068353</v>
      </c>
      <c r="BY309" s="448">
        <f t="shared" ref="BY309" si="403">+BY308/$G$297</f>
        <v>7.5358276544875591E-2</v>
      </c>
      <c r="BZ309" s="448">
        <f t="shared" ref="BZ309" si="404">+BZ308/$G$297</f>
        <v>6.2281795641739766E-2</v>
      </c>
      <c r="CA309" s="448">
        <f t="shared" ref="CA309" si="405">+CA308/$G$297</f>
        <v>5.68592329156015E-2</v>
      </c>
      <c r="CB309" s="448">
        <f t="shared" ref="CB309" si="406">+CB308/$G$297</f>
        <v>7.9681154424194045E-2</v>
      </c>
      <c r="CC309" s="448">
        <f t="shared" ref="CC309" si="407">+CC308/$G$297</f>
        <v>7.1327485008754341E-2</v>
      </c>
      <c r="CD309" s="448">
        <f t="shared" ref="CD309" si="408">+CD308/$G$297</f>
        <v>7.7753384559092587E-2</v>
      </c>
    </row>
    <row r="310" spans="1:83">
      <c r="A310" s="34"/>
      <c r="B310" s="267"/>
      <c r="T310" s="447"/>
      <c r="U310" s="447"/>
      <c r="V310" s="447"/>
      <c r="W310" s="447"/>
      <c r="X310" s="447"/>
      <c r="Y310" s="447"/>
      <c r="Z310" s="34"/>
      <c r="AA310" s="34"/>
      <c r="AB310" s="34"/>
      <c r="AC310" s="34"/>
      <c r="AD310" s="34"/>
      <c r="AE310" s="34"/>
      <c r="AF310" s="34"/>
      <c r="AG310" s="34"/>
      <c r="AH310" s="34"/>
      <c r="AI310" s="34"/>
      <c r="AJ310" s="34"/>
      <c r="AK310" s="34"/>
      <c r="AL310" s="34"/>
      <c r="AM310" s="34"/>
      <c r="AN310" s="34"/>
      <c r="AO310" s="34"/>
      <c r="AP310" s="34"/>
      <c r="AQ310" s="34"/>
      <c r="AR310" s="34"/>
      <c r="AS310" s="34"/>
      <c r="AT310" s="34"/>
      <c r="AU310" s="34"/>
      <c r="AV310" s="34"/>
      <c r="AW310" s="34"/>
      <c r="AX310" s="34"/>
      <c r="AY310" s="34"/>
      <c r="AZ310" s="34"/>
      <c r="BA310" s="34"/>
      <c r="BB310" s="34"/>
      <c r="BC310" s="34"/>
      <c r="BD310" s="34"/>
      <c r="BE310" s="34"/>
      <c r="BF310" s="34"/>
      <c r="BG310" s="34"/>
      <c r="BH310" s="34"/>
      <c r="BI310" s="34"/>
      <c r="BJ310" s="34"/>
      <c r="BK310" s="34"/>
      <c r="BL310" s="34"/>
      <c r="BM310" s="34"/>
      <c r="BN310" s="34"/>
      <c r="BO310" s="34"/>
      <c r="BP310" s="34"/>
      <c r="BQ310" s="34"/>
      <c r="BR310" s="34"/>
      <c r="BS310" s="447"/>
      <c r="BT310" s="447"/>
      <c r="BU310" s="447"/>
      <c r="BV310" s="447"/>
      <c r="BW310" s="447"/>
      <c r="BX310" s="447"/>
      <c r="BY310" s="447"/>
      <c r="BZ310" s="447"/>
      <c r="CA310" s="447"/>
      <c r="CB310" s="447"/>
      <c r="CC310" s="447"/>
      <c r="CD310" s="447"/>
    </row>
    <row r="311" spans="1:83">
      <c r="A311" s="34"/>
      <c r="B311" s="287" t="s">
        <v>591</v>
      </c>
      <c r="T311" s="447"/>
      <c r="U311" s="288">
        <f>+U308/T308-1</f>
        <v>9.8314232704718618E-2</v>
      </c>
      <c r="V311" s="288">
        <f t="shared" ref="V311:Y311" si="409">+V308/U308-1</f>
        <v>-0.14496255183579998</v>
      </c>
      <c r="W311" s="288">
        <f t="shared" si="409"/>
        <v>0</v>
      </c>
      <c r="X311" s="288">
        <f t="shared" si="409"/>
        <v>0</v>
      </c>
      <c r="Y311" s="288">
        <f t="shared" si="409"/>
        <v>0</v>
      </c>
      <c r="Z311" s="34"/>
      <c r="AA311" s="34"/>
      <c r="AB311" s="34"/>
      <c r="AC311" s="34"/>
      <c r="AD311" s="34"/>
      <c r="AE311" s="34"/>
      <c r="AF311" s="34"/>
      <c r="AG311" s="34"/>
      <c r="AH311" s="34"/>
      <c r="AI311" s="34"/>
      <c r="AJ311" s="34"/>
      <c r="AK311" s="34"/>
      <c r="AL311" s="34"/>
      <c r="AM311" s="34"/>
      <c r="AN311" s="34"/>
      <c r="AO311" s="34"/>
      <c r="AP311" s="34"/>
      <c r="AQ311" s="34"/>
      <c r="AR311" s="34"/>
      <c r="AS311" s="34"/>
      <c r="AT311" s="34"/>
      <c r="AU311" s="34"/>
      <c r="AV311" s="34"/>
      <c r="AW311" s="34"/>
      <c r="AX311" s="34"/>
      <c r="AY311" s="34"/>
      <c r="AZ311" s="34"/>
      <c r="BA311" s="34"/>
      <c r="BB311" s="34"/>
      <c r="BC311" s="34"/>
      <c r="BD311" s="34"/>
      <c r="BE311" s="34"/>
      <c r="BF311" s="34"/>
      <c r="BG311" s="34"/>
      <c r="BH311" s="34"/>
      <c r="BI311" s="34"/>
      <c r="BJ311" s="34"/>
      <c r="BK311" s="34"/>
      <c r="BL311" s="34"/>
      <c r="BM311" s="34"/>
      <c r="BN311" s="34"/>
      <c r="BO311" s="34"/>
      <c r="BP311" s="34"/>
      <c r="BQ311" s="34"/>
      <c r="BR311" s="34"/>
      <c r="BS311" s="447"/>
      <c r="BT311" s="447"/>
      <c r="BU311" s="447"/>
      <c r="BV311" s="447"/>
      <c r="BW311" s="288">
        <f t="shared" ref="BW311" si="410">+BW308/BS308-1</f>
        <v>0.51507237160852726</v>
      </c>
      <c r="BX311" s="288">
        <f t="shared" ref="BX311" si="411">+BX308/BT308-1</f>
        <v>0.2924253459577566</v>
      </c>
      <c r="BY311" s="288">
        <f t="shared" ref="BY311" si="412">+BY308/BU308-1</f>
        <v>-5.494505494505475E-2</v>
      </c>
      <c r="BZ311" s="288">
        <f t="shared" ref="BZ311" si="413">+BZ308/BV308-1</f>
        <v>-0.24946390278770536</v>
      </c>
      <c r="CA311" s="288">
        <f t="shared" ref="CA311" si="414">+CA308/BW308-1</f>
        <v>-0.38692148845078222</v>
      </c>
      <c r="CB311" s="288">
        <f t="shared" ref="CB311" si="415">+CB308/BX308-1</f>
        <v>-0.23133276979430828</v>
      </c>
      <c r="CC311" s="288">
        <f t="shared" ref="CC311" si="416">+CC308/BY308-1</f>
        <v>-5.3488372093023151E-2</v>
      </c>
      <c r="CD311" s="288">
        <f t="shared" ref="CD311" si="417">+CD308/BZ308-1</f>
        <v>0.24841269841269842</v>
      </c>
    </row>
    <row r="312" spans="1:83">
      <c r="A312" s="34"/>
      <c r="B312" s="287" t="s">
        <v>590</v>
      </c>
      <c r="C312" s="34"/>
      <c r="D312" s="34"/>
      <c r="E312" s="34"/>
      <c r="F312" s="34"/>
      <c r="G312" s="34"/>
      <c r="H312" s="34"/>
      <c r="I312" s="34"/>
      <c r="J312" s="34"/>
      <c r="K312" s="34"/>
      <c r="L312" s="34"/>
      <c r="M312" s="34"/>
      <c r="N312" s="34"/>
      <c r="O312" s="34"/>
      <c r="P312" s="34"/>
      <c r="Q312" s="34"/>
      <c r="R312" s="34"/>
      <c r="S312" s="34"/>
      <c r="T312" s="34"/>
      <c r="U312" s="288"/>
      <c r="V312" s="288"/>
      <c r="W312" s="288"/>
      <c r="X312" s="288"/>
      <c r="Y312" s="288"/>
      <c r="Z312" s="34"/>
      <c r="AA312" s="34"/>
      <c r="AB312" s="34"/>
      <c r="AC312" s="34"/>
      <c r="AD312" s="34"/>
      <c r="AE312" s="34"/>
      <c r="AF312" s="34"/>
      <c r="AG312" s="34"/>
      <c r="AH312" s="34"/>
      <c r="AI312" s="34"/>
      <c r="AJ312" s="34"/>
      <c r="AK312" s="34"/>
      <c r="AL312" s="34"/>
      <c r="AM312" s="34"/>
      <c r="AN312" s="34"/>
      <c r="AO312" s="34"/>
      <c r="AP312" s="34"/>
      <c r="AQ312" s="34"/>
      <c r="AR312" s="34"/>
      <c r="AS312" s="34"/>
      <c r="AT312" s="34"/>
      <c r="AU312" s="34"/>
      <c r="AV312" s="34"/>
      <c r="AW312" s="34"/>
      <c r="AX312" s="34"/>
      <c r="AY312" s="34"/>
      <c r="AZ312" s="34"/>
      <c r="BA312" s="34"/>
      <c r="BB312" s="34"/>
      <c r="BC312" s="34"/>
      <c r="BD312" s="34"/>
      <c r="BE312" s="34"/>
      <c r="BF312" s="34"/>
      <c r="BG312" s="34"/>
      <c r="BH312" s="34"/>
      <c r="BI312" s="34"/>
      <c r="BJ312" s="34"/>
      <c r="BK312" s="34"/>
      <c r="BL312" s="34"/>
      <c r="BM312" s="34"/>
      <c r="BN312" s="34"/>
      <c r="BO312" s="34"/>
      <c r="BP312" s="34"/>
      <c r="BQ312" s="34"/>
      <c r="BR312" s="34"/>
      <c r="BS312" s="34"/>
      <c r="BT312" s="209">
        <f t="shared" ref="BT312:BY312" si="418">BT308/BS308-1</f>
        <v>0.31026838148931191</v>
      </c>
      <c r="BU312" s="209">
        <f t="shared" si="418"/>
        <v>-5.8266569555720515E-3</v>
      </c>
      <c r="BV312" s="209">
        <f t="shared" si="418"/>
        <v>4.0676246830093188E-2</v>
      </c>
      <c r="BW312" s="209">
        <f t="shared" si="418"/>
        <v>0.11762307898498925</v>
      </c>
      <c r="BX312" s="209">
        <f t="shared" si="418"/>
        <v>0.11771826744220371</v>
      </c>
      <c r="BY312" s="209">
        <f t="shared" si="418"/>
        <v>-0.27303465765004231</v>
      </c>
      <c r="BZ312" s="209">
        <f t="shared" ref="BZ312:CD312" si="419">BZ308/BY308-1</f>
        <v>-0.17352415026833623</v>
      </c>
      <c r="CA312" s="209">
        <f t="shared" si="419"/>
        <v>-8.7064970915902706E-2</v>
      </c>
      <c r="CB312" s="209">
        <f t="shared" si="419"/>
        <v>0.40137582479292422</v>
      </c>
      <c r="CC312" s="209">
        <f t="shared" si="419"/>
        <v>-0.10483870967741926</v>
      </c>
      <c r="CD312" s="209">
        <f t="shared" si="419"/>
        <v>9.009009009009028E-2</v>
      </c>
    </row>
    <row r="313" spans="1:83" hidden="1" outlineLevel="1">
      <c r="A313" s="34"/>
      <c r="B313" s="34"/>
      <c r="C313" s="34"/>
      <c r="D313" s="34"/>
      <c r="E313" s="34"/>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34"/>
      <c r="BB313" s="34"/>
      <c r="BC313" s="34"/>
      <c r="BD313" s="34"/>
      <c r="BE313" s="34"/>
      <c r="BF313" s="34"/>
      <c r="BG313" s="34"/>
      <c r="BH313" s="34"/>
      <c r="BI313" s="34"/>
      <c r="BJ313" s="34"/>
      <c r="BK313" s="34"/>
      <c r="BL313" s="34"/>
      <c r="BM313" s="34"/>
      <c r="BN313" s="34"/>
      <c r="BO313" s="34"/>
      <c r="BP313" s="34"/>
      <c r="BQ313" s="34"/>
      <c r="BR313" s="34"/>
      <c r="BS313" s="34"/>
      <c r="BT313" s="34"/>
      <c r="BU313" s="34"/>
      <c r="BV313" s="34"/>
      <c r="BW313" s="34"/>
      <c r="BX313" s="34"/>
      <c r="BY313" s="34"/>
      <c r="BZ313" s="34"/>
      <c r="CA313" s="34"/>
      <c r="CB313" s="34"/>
      <c r="CC313" s="34"/>
    </row>
    <row r="314" spans="1:83" s="75" customFormat="1" hidden="1" outlineLevel="1">
      <c r="B314" s="287" t="s">
        <v>593</v>
      </c>
      <c r="I314" s="331"/>
      <c r="J314" s="331"/>
      <c r="K314" s="331"/>
      <c r="L314" s="331"/>
      <c r="M314" s="331"/>
      <c r="N314" s="331"/>
      <c r="O314" s="331"/>
      <c r="P314" s="331"/>
      <c r="Q314" s="331"/>
      <c r="R314" s="331"/>
      <c r="S314" s="331"/>
      <c r="T314" s="333"/>
      <c r="U314" s="333"/>
      <c r="V314" s="333"/>
      <c r="W314" s="333"/>
      <c r="X314" s="333"/>
      <c r="Y314" s="333"/>
      <c r="Z314" s="331"/>
      <c r="AA314" s="331"/>
      <c r="AB314" s="331"/>
      <c r="AC314" s="331"/>
      <c r="AD314" s="331"/>
      <c r="AE314" s="331"/>
      <c r="AF314" s="331"/>
      <c r="AG314" s="331"/>
      <c r="AH314" s="331"/>
      <c r="AI314" s="331"/>
      <c r="AJ314" s="331"/>
      <c r="AK314" s="331"/>
      <c r="AL314" s="331"/>
      <c r="AM314" s="334"/>
      <c r="AN314" s="334"/>
      <c r="AO314" s="334"/>
      <c r="AP314" s="334"/>
      <c r="AQ314" s="334"/>
      <c r="AR314" s="334"/>
      <c r="AS314" s="334"/>
      <c r="AT314" s="334"/>
      <c r="AU314" s="334"/>
      <c r="AV314" s="334"/>
      <c r="AW314" s="334"/>
      <c r="AX314" s="334"/>
      <c r="AY314" s="334"/>
      <c r="AZ314" s="334"/>
      <c r="BA314" s="334"/>
      <c r="BB314" s="334"/>
      <c r="BC314" s="334"/>
      <c r="BD314" s="334"/>
      <c r="BE314" s="334"/>
      <c r="BF314" s="334"/>
      <c r="BG314" s="334"/>
      <c r="BH314" s="334"/>
      <c r="BI314" s="334"/>
      <c r="BJ314" s="334"/>
      <c r="BK314" s="334"/>
      <c r="BL314" s="334"/>
      <c r="BM314" s="334"/>
      <c r="BN314" s="334"/>
      <c r="BO314" s="334"/>
      <c r="BP314" s="335"/>
      <c r="BQ314" s="335"/>
      <c r="BR314" s="335"/>
      <c r="BS314" s="400" t="s">
        <v>516</v>
      </c>
      <c r="BT314" s="400" t="s">
        <v>516</v>
      </c>
      <c r="BU314" s="400" t="s">
        <v>516</v>
      </c>
      <c r="BV314" s="400" t="s">
        <v>511</v>
      </c>
      <c r="BW314" s="400" t="s">
        <v>511</v>
      </c>
      <c r="BX314" s="400" t="s">
        <v>511</v>
      </c>
      <c r="BY314" s="400" t="s">
        <v>512</v>
      </c>
      <c r="BZ314" s="400" t="s">
        <v>512</v>
      </c>
    </row>
    <row r="315" spans="1:83" s="75" customFormat="1" hidden="1" outlineLevel="1">
      <c r="B315" s="287" t="s">
        <v>592</v>
      </c>
      <c r="I315" s="331"/>
      <c r="J315" s="331"/>
      <c r="K315" s="331"/>
      <c r="L315" s="331"/>
      <c r="M315" s="331"/>
      <c r="N315" s="331"/>
      <c r="O315" s="331"/>
      <c r="P315" s="331"/>
      <c r="Q315" s="331"/>
      <c r="R315" s="331"/>
      <c r="S315" s="331"/>
      <c r="T315" s="333"/>
      <c r="U315" s="333"/>
      <c r="V315" s="333"/>
      <c r="W315" s="333"/>
      <c r="X315" s="333"/>
      <c r="Y315" s="333"/>
      <c r="Z315" s="331"/>
      <c r="AA315" s="331"/>
      <c r="AB315" s="331"/>
      <c r="AC315" s="331"/>
      <c r="AD315" s="331"/>
      <c r="AE315" s="331"/>
      <c r="AF315" s="331"/>
      <c r="AG315" s="331"/>
      <c r="AH315" s="331"/>
      <c r="AI315" s="331"/>
      <c r="AJ315" s="331"/>
      <c r="AK315" s="331"/>
      <c r="AL315" s="331"/>
      <c r="AM315" s="334"/>
      <c r="AN315" s="334"/>
      <c r="AO315" s="334"/>
      <c r="AP315" s="334"/>
      <c r="AQ315" s="334"/>
      <c r="AR315" s="334"/>
      <c r="AS315" s="334"/>
      <c r="AT315" s="334"/>
      <c r="AU315" s="334"/>
      <c r="AV315" s="334"/>
      <c r="AW315" s="334"/>
      <c r="AX315" s="334"/>
      <c r="AY315" s="334"/>
      <c r="AZ315" s="334"/>
      <c r="BA315" s="334"/>
      <c r="BB315" s="334"/>
      <c r="BC315" s="334"/>
      <c r="BD315" s="334"/>
      <c r="BE315" s="334"/>
      <c r="BF315" s="334"/>
      <c r="BG315" s="334"/>
      <c r="BH315" s="334"/>
      <c r="BI315" s="334"/>
      <c r="BJ315" s="334"/>
      <c r="BK315" s="334"/>
      <c r="BL315" s="334"/>
      <c r="BM315" s="334"/>
      <c r="BN315" s="334"/>
      <c r="BO315" s="334"/>
      <c r="BP315" s="335"/>
      <c r="BQ315" s="335"/>
      <c r="BR315" s="335"/>
      <c r="BS315" s="400" t="s">
        <v>514</v>
      </c>
      <c r="BT315" s="400" t="s">
        <v>511</v>
      </c>
      <c r="BU315" s="400" t="s">
        <v>513</v>
      </c>
      <c r="BV315" s="400" t="s">
        <v>513</v>
      </c>
      <c r="BW315" s="400" t="s">
        <v>511</v>
      </c>
      <c r="BX315" s="400" t="s">
        <v>514</v>
      </c>
      <c r="BY315" s="400" t="s">
        <v>512</v>
      </c>
      <c r="BZ315" s="400" t="s">
        <v>512</v>
      </c>
    </row>
    <row r="316" spans="1:83" collapsed="1">
      <c r="A316" s="34"/>
      <c r="B316" s="18"/>
      <c r="T316" s="76"/>
      <c r="U316" s="76"/>
      <c r="V316" s="76"/>
      <c r="W316" s="76"/>
      <c r="X316" s="76"/>
      <c r="Y316" s="76"/>
      <c r="BS316" s="76"/>
      <c r="BT316" s="76"/>
      <c r="BV316" s="76"/>
      <c r="BW316" s="76"/>
      <c r="BX316" s="76"/>
      <c r="BY316" s="76"/>
      <c r="BZ316" s="17"/>
      <c r="CA316" s="76"/>
    </row>
    <row r="317" spans="1:83">
      <c r="A317" s="34"/>
      <c r="B317" s="149" t="s">
        <v>465</v>
      </c>
      <c r="T317" s="76"/>
      <c r="U317" s="76"/>
      <c r="V317" s="280"/>
      <c r="W317" s="76"/>
      <c r="X317" s="76"/>
      <c r="Y317" s="76"/>
      <c r="BS317" s="77"/>
      <c r="BT317" s="77"/>
      <c r="BU317" s="77"/>
      <c r="BV317" s="77"/>
      <c r="BW317" s="77"/>
      <c r="BX317" s="77"/>
      <c r="BY317" s="77"/>
      <c r="BZ317" s="76"/>
    </row>
    <row r="318" spans="1:83">
      <c r="A318" s="34"/>
      <c r="B318" s="266" t="s">
        <v>517</v>
      </c>
      <c r="T318" s="410">
        <f t="shared" ref="T318:Y318" si="420">+T381</f>
        <v>197.29007633587787</v>
      </c>
      <c r="U318" s="410">
        <f t="shared" si="420"/>
        <v>216.62835249042146</v>
      </c>
      <c r="V318" s="410">
        <f t="shared" si="420"/>
        <v>185.20186335403727</v>
      </c>
      <c r="W318" s="410">
        <f t="shared" si="420"/>
        <v>185.20186335403727</v>
      </c>
      <c r="X318" s="410">
        <f t="shared" si="420"/>
        <v>185.20186335403727</v>
      </c>
      <c r="Y318" s="410">
        <f t="shared" si="420"/>
        <v>185.20186335403727</v>
      </c>
      <c r="Z318" s="397"/>
      <c r="AA318" s="397"/>
      <c r="AB318" s="397"/>
      <c r="AC318" s="397"/>
      <c r="AD318" s="397"/>
      <c r="AE318" s="397"/>
      <c r="AF318" s="397"/>
      <c r="AG318" s="397"/>
      <c r="AH318" s="397"/>
      <c r="AI318" s="397"/>
      <c r="AJ318" s="397"/>
      <c r="AK318" s="397"/>
      <c r="AL318" s="397"/>
      <c r="AM318" s="397"/>
      <c r="AN318" s="397"/>
      <c r="AO318" s="397"/>
      <c r="AP318" s="397"/>
      <c r="AQ318" s="397"/>
      <c r="AR318" s="397"/>
      <c r="AS318" s="397"/>
      <c r="AT318" s="397"/>
      <c r="AU318" s="397"/>
      <c r="AV318" s="397"/>
      <c r="AW318" s="397"/>
      <c r="AX318" s="397"/>
      <c r="AY318" s="397"/>
      <c r="AZ318" s="397"/>
      <c r="BA318" s="397"/>
      <c r="BB318" s="397"/>
      <c r="BC318" s="397"/>
      <c r="BD318" s="397"/>
      <c r="BE318" s="397"/>
      <c r="BF318" s="397"/>
      <c r="BG318" s="397"/>
      <c r="BH318" s="397"/>
      <c r="BI318" s="397"/>
      <c r="BJ318" s="397"/>
      <c r="BK318" s="397"/>
      <c r="BL318" s="397"/>
      <c r="BM318" s="397"/>
      <c r="BN318" s="397"/>
      <c r="BO318" s="397"/>
      <c r="BP318" s="397"/>
      <c r="BQ318" s="397"/>
      <c r="BR318" s="410"/>
      <c r="BS318" s="410">
        <f>+BS381</f>
        <v>158.76923076923077</v>
      </c>
      <c r="BT318" s="410">
        <f t="shared" ref="BT318:CD318" si="421">+BT381</f>
        <v>208.03030303030303</v>
      </c>
      <c r="BU318" s="410">
        <f t="shared" si="421"/>
        <v>206.81818181818181</v>
      </c>
      <c r="BV318" s="410">
        <f t="shared" si="421"/>
        <v>215.23076923076923</v>
      </c>
      <c r="BW318" s="410">
        <f t="shared" si="421"/>
        <v>240.546875</v>
      </c>
      <c r="BX318" s="410">
        <f t="shared" si="421"/>
        <v>268.86363636363637</v>
      </c>
      <c r="BY318" s="410">
        <f t="shared" si="421"/>
        <v>195.45454545454547</v>
      </c>
      <c r="BZ318" s="410">
        <f>+BZ381</f>
        <v>161.53846153846155</v>
      </c>
      <c r="CA318" s="410">
        <f t="shared" si="421"/>
        <v>147.47412008281574</v>
      </c>
      <c r="CB318" s="410">
        <f t="shared" si="421"/>
        <v>206.66666666666666</v>
      </c>
      <c r="CC318" s="410">
        <f t="shared" si="421"/>
        <v>185</v>
      </c>
      <c r="CD318" s="410">
        <f t="shared" si="421"/>
        <v>201.66666666666666</v>
      </c>
      <c r="CE318" s="5" t="s">
        <v>521</v>
      </c>
    </row>
    <row r="319" spans="1:83">
      <c r="A319" s="34"/>
      <c r="B319" s="240" t="s">
        <v>615</v>
      </c>
      <c r="T319" s="292">
        <f>+T320/T318-1</f>
        <v>-0.15033586005147259</v>
      </c>
      <c r="U319" s="292">
        <f>+U320/U318-1</f>
        <v>-0.15010779736725621</v>
      </c>
      <c r="V319" s="292">
        <f>+V320/V318-1</f>
        <v>-0.15000000000000013</v>
      </c>
      <c r="W319" s="537">
        <f t="shared" ref="W319:Y319" si="422">+V319</f>
        <v>-0.15000000000000013</v>
      </c>
      <c r="X319" s="537">
        <f t="shared" si="422"/>
        <v>-0.15000000000000013</v>
      </c>
      <c r="Y319" s="537">
        <f t="shared" si="422"/>
        <v>-0.15000000000000013</v>
      </c>
      <c r="Z319" s="248"/>
      <c r="AA319" s="248"/>
      <c r="AB319" s="248"/>
      <c r="AC319" s="248"/>
      <c r="AD319" s="248"/>
      <c r="AE319" s="248"/>
      <c r="AF319" s="248"/>
      <c r="AG319" s="248"/>
      <c r="AH319" s="248"/>
      <c r="AI319" s="248"/>
      <c r="AJ319" s="248"/>
      <c r="AK319" s="248"/>
      <c r="AL319" s="248"/>
      <c r="AM319" s="248"/>
      <c r="AN319" s="248"/>
      <c r="AO319" s="248"/>
      <c r="AP319" s="248"/>
      <c r="AQ319" s="248"/>
      <c r="AR319" s="248"/>
      <c r="AS319" s="248"/>
      <c r="AT319" s="248"/>
      <c r="AU319" s="248"/>
      <c r="AV319" s="248"/>
      <c r="AW319" s="248"/>
      <c r="AX319" s="248"/>
      <c r="AY319" s="248"/>
      <c r="AZ319" s="248"/>
      <c r="BA319" s="248"/>
      <c r="BB319" s="248"/>
      <c r="BC319" s="249"/>
      <c r="BD319" s="249"/>
      <c r="BE319" s="249"/>
      <c r="BF319" s="250"/>
      <c r="BG319" s="249"/>
      <c r="BH319" s="249"/>
      <c r="BI319" s="249"/>
      <c r="BJ319" s="249"/>
      <c r="BK319" s="249"/>
      <c r="BL319" s="249"/>
      <c r="BM319" s="249"/>
      <c r="BN319" s="249"/>
      <c r="BO319" s="249"/>
      <c r="BP319" s="249"/>
      <c r="BQ319" s="249"/>
      <c r="BR319" s="249"/>
      <c r="BS319" s="471">
        <v>-0.15</v>
      </c>
      <c r="BT319" s="537">
        <f>+BS319</f>
        <v>-0.15</v>
      </c>
      <c r="BU319" s="537">
        <f t="shared" ref="BU319:CD319" si="423">+BT319</f>
        <v>-0.15</v>
      </c>
      <c r="BV319" s="537">
        <f t="shared" si="423"/>
        <v>-0.15</v>
      </c>
      <c r="BW319" s="537">
        <f t="shared" si="423"/>
        <v>-0.15</v>
      </c>
      <c r="BX319" s="537">
        <f t="shared" si="423"/>
        <v>-0.15</v>
      </c>
      <c r="BY319" s="537">
        <f t="shared" si="423"/>
        <v>-0.15</v>
      </c>
      <c r="BZ319" s="537">
        <f t="shared" si="423"/>
        <v>-0.15</v>
      </c>
      <c r="CA319" s="537">
        <f t="shared" si="423"/>
        <v>-0.15</v>
      </c>
      <c r="CB319" s="537">
        <f t="shared" si="423"/>
        <v>-0.15</v>
      </c>
      <c r="CC319" s="537">
        <f t="shared" si="423"/>
        <v>-0.15</v>
      </c>
      <c r="CD319" s="537">
        <f t="shared" si="423"/>
        <v>-0.15</v>
      </c>
    </row>
    <row r="320" spans="1:83">
      <c r="A320" s="34"/>
      <c r="B320" s="244" t="s">
        <v>466</v>
      </c>
      <c r="T320" s="293">
        <f>T272/T294*1000</f>
        <v>167.630303030303</v>
      </c>
      <c r="U320" s="293">
        <f>U272/U294*1000</f>
        <v>184.11074765078672</v>
      </c>
      <c r="V320" s="293">
        <f>V272/V294*1000</f>
        <v>157.42158385093165</v>
      </c>
      <c r="W320" s="293">
        <f t="shared" ref="W320:Y320" si="424">W318*(1+W319)</f>
        <v>157.42158385093165</v>
      </c>
      <c r="X320" s="293">
        <f t="shared" si="424"/>
        <v>157.42158385093165</v>
      </c>
      <c r="Y320" s="293">
        <f t="shared" si="424"/>
        <v>157.42158385093165</v>
      </c>
      <c r="Z320" s="248"/>
      <c r="AA320" s="248"/>
      <c r="AB320" s="248"/>
      <c r="AC320" s="248"/>
      <c r="AD320" s="248"/>
      <c r="AE320" s="248"/>
      <c r="AF320" s="248"/>
      <c r="AG320" s="248"/>
      <c r="AH320" s="248"/>
      <c r="AI320" s="248"/>
      <c r="AJ320" s="248"/>
      <c r="AK320" s="248"/>
      <c r="AL320" s="248"/>
      <c r="AM320" s="248"/>
      <c r="AN320" s="248"/>
      <c r="AO320" s="248"/>
      <c r="AP320" s="248"/>
      <c r="AQ320" s="248"/>
      <c r="AR320" s="248"/>
      <c r="AS320" s="248"/>
      <c r="AT320" s="248"/>
      <c r="AU320" s="248"/>
      <c r="AV320" s="248"/>
      <c r="AW320" s="248"/>
      <c r="AX320" s="248"/>
      <c r="AY320" s="248"/>
      <c r="AZ320" s="248"/>
      <c r="BA320" s="248"/>
      <c r="BB320" s="248"/>
      <c r="BC320" s="249"/>
      <c r="BD320" s="249"/>
      <c r="BE320" s="249"/>
      <c r="BF320" s="250"/>
      <c r="BG320" s="249"/>
      <c r="BH320" s="249"/>
      <c r="BI320" s="249"/>
      <c r="BJ320" s="249"/>
      <c r="BK320" s="249"/>
      <c r="BL320" s="249"/>
      <c r="BM320" s="249"/>
      <c r="BN320" s="249"/>
      <c r="BO320" s="249"/>
      <c r="BP320" s="249"/>
      <c r="BQ320" s="249"/>
      <c r="BR320" s="249"/>
      <c r="BS320" s="293">
        <f t="shared" ref="BS320:CD320" si="425">BS318*(1+BS319)</f>
        <v>134.95384615384614</v>
      </c>
      <c r="BT320" s="293">
        <f t="shared" si="425"/>
        <v>176.82575757575756</v>
      </c>
      <c r="BU320" s="293">
        <f t="shared" si="425"/>
        <v>175.79545454545453</v>
      </c>
      <c r="BV320" s="293">
        <f t="shared" si="425"/>
        <v>182.94615384615383</v>
      </c>
      <c r="BW320" s="293">
        <f t="shared" si="425"/>
        <v>204.46484375</v>
      </c>
      <c r="BX320" s="293">
        <f t="shared" si="425"/>
        <v>228.53409090909091</v>
      </c>
      <c r="BY320" s="293">
        <f t="shared" si="425"/>
        <v>166.13636363636365</v>
      </c>
      <c r="BZ320" s="293">
        <f t="shared" si="425"/>
        <v>137.30769230769232</v>
      </c>
      <c r="CA320" s="293">
        <f t="shared" si="425"/>
        <v>125.35300207039337</v>
      </c>
      <c r="CB320" s="293">
        <f t="shared" si="425"/>
        <v>175.66666666666666</v>
      </c>
      <c r="CC320" s="293">
        <f t="shared" si="425"/>
        <v>157.25</v>
      </c>
      <c r="CD320" s="293">
        <f t="shared" si="425"/>
        <v>171.41666666666666</v>
      </c>
    </row>
    <row r="321" spans="1:83">
      <c r="A321" s="34"/>
      <c r="B321" s="244" t="s">
        <v>614</v>
      </c>
      <c r="T321" s="448">
        <f>+T320/$G$297</f>
        <v>7.6035916861093067E-2</v>
      </c>
      <c r="U321" s="448">
        <f t="shared" ref="U321:Y321" si="426">+U320/$G$297</f>
        <v>8.3511329685291222E-2</v>
      </c>
      <c r="V321" s="448">
        <f t="shared" si="426"/>
        <v>7.1405314226910613E-2</v>
      </c>
      <c r="W321" s="448">
        <f t="shared" si="426"/>
        <v>7.1405314226910613E-2</v>
      </c>
      <c r="X321" s="448">
        <f t="shared" si="426"/>
        <v>7.1405314226910613E-2</v>
      </c>
      <c r="Y321" s="448">
        <f t="shared" si="426"/>
        <v>7.1405314226910613E-2</v>
      </c>
      <c r="Z321" s="248"/>
      <c r="AA321" s="248"/>
      <c r="AB321" s="248"/>
      <c r="AC321" s="248"/>
      <c r="AD321" s="248"/>
      <c r="AE321" s="248"/>
      <c r="AF321" s="248"/>
      <c r="AG321" s="248"/>
      <c r="AH321" s="248"/>
      <c r="AI321" s="248"/>
      <c r="AJ321" s="248"/>
      <c r="AK321" s="248"/>
      <c r="AL321" s="248"/>
      <c r="AM321" s="248"/>
      <c r="AN321" s="248"/>
      <c r="AO321" s="248"/>
      <c r="AP321" s="248"/>
      <c r="AQ321" s="248"/>
      <c r="AR321" s="248"/>
      <c r="AS321" s="248"/>
      <c r="AT321" s="248"/>
      <c r="AU321" s="248"/>
      <c r="AV321" s="248"/>
      <c r="AW321" s="248"/>
      <c r="AX321" s="248"/>
      <c r="AY321" s="248"/>
      <c r="AZ321" s="248"/>
      <c r="BA321" s="248"/>
      <c r="BB321" s="248"/>
      <c r="BC321" s="249"/>
      <c r="BD321" s="249"/>
      <c r="BE321" s="249"/>
      <c r="BF321" s="250"/>
      <c r="BG321" s="249"/>
      <c r="BH321" s="249"/>
      <c r="BI321" s="249"/>
      <c r="BJ321" s="249"/>
      <c r="BK321" s="249"/>
      <c r="BL321" s="249"/>
      <c r="BM321" s="249"/>
      <c r="BN321" s="249"/>
      <c r="BO321" s="249"/>
      <c r="BP321" s="249"/>
      <c r="BQ321" s="249"/>
      <c r="BR321" s="249"/>
      <c r="BS321" s="448">
        <f t="shared" ref="BS321" si="427">+BS320/$G$297</f>
        <v>6.121410771645279E-2</v>
      </c>
      <c r="BT321" s="448">
        <f t="shared" ref="BT321" si="428">+BT320/$G$297</f>
        <v>8.020690984194899E-2</v>
      </c>
      <c r="BU321" s="448">
        <f t="shared" ref="BU321" si="429">+BU320/$G$297</f>
        <v>7.973957169283348E-2</v>
      </c>
      <c r="BV321" s="448">
        <f t="shared" ref="BV321" si="430">+BV320/$G$297</f>
        <v>8.2983078193137064E-2</v>
      </c>
      <c r="BW321" s="448">
        <f t="shared" ref="BW321" si="431">+BW320/$G$297</f>
        <v>9.2743803353865978E-2</v>
      </c>
      <c r="BX321" s="448">
        <f t="shared" ref="BX321" si="432">+BX320/$G$297</f>
        <v>0.10366144320068353</v>
      </c>
      <c r="BY321" s="448">
        <f t="shared" ref="BY321" si="433">+BY320/$G$297</f>
        <v>7.5358276544875605E-2</v>
      </c>
      <c r="BZ321" s="448">
        <f t="shared" ref="BZ321" si="434">+BZ320/$G$297</f>
        <v>6.2281795641739766E-2</v>
      </c>
      <c r="CA321" s="448">
        <f t="shared" ref="CA321" si="435">+CA320/$G$297</f>
        <v>5.68592329156015E-2</v>
      </c>
      <c r="CB321" s="448">
        <f t="shared" ref="CB321" si="436">+CB320/$G$297</f>
        <v>7.9681154424194045E-2</v>
      </c>
      <c r="CC321" s="448">
        <f t="shared" ref="CC321" si="437">+CC320/$G$297</f>
        <v>7.1327485008754341E-2</v>
      </c>
      <c r="CD321" s="448">
        <f t="shared" ref="CD321" si="438">+CD320/$G$297</f>
        <v>7.7753384559092573E-2</v>
      </c>
    </row>
    <row r="322" spans="1:83">
      <c r="A322" s="34"/>
      <c r="B322" s="244"/>
      <c r="T322" s="76"/>
      <c r="U322" s="76"/>
      <c r="V322" s="536"/>
      <c r="W322" s="76"/>
      <c r="X322" s="76"/>
      <c r="Y322" s="76"/>
      <c r="BS322" s="76"/>
      <c r="BT322" s="76"/>
      <c r="BU322" s="76"/>
      <c r="BV322" s="76"/>
      <c r="BW322" s="76"/>
      <c r="BX322" s="76"/>
      <c r="BY322" s="76"/>
      <c r="BZ322" s="76"/>
    </row>
    <row r="323" spans="1:83">
      <c r="A323" s="51" t="s">
        <v>150</v>
      </c>
      <c r="B323" s="27" t="s">
        <v>372</v>
      </c>
      <c r="C323" s="28"/>
      <c r="D323" s="28"/>
      <c r="E323" s="28"/>
      <c r="F323" s="28"/>
      <c r="G323" s="28"/>
      <c r="H323" s="28"/>
      <c r="I323" s="28"/>
      <c r="J323" s="28"/>
      <c r="K323" s="28"/>
      <c r="L323" s="28"/>
      <c r="M323" s="28"/>
      <c r="N323" s="28"/>
      <c r="O323" s="28"/>
      <c r="P323" s="28"/>
      <c r="Q323" s="28"/>
      <c r="R323" s="28"/>
      <c r="S323" s="28"/>
      <c r="T323" s="259"/>
      <c r="U323" s="259"/>
      <c r="V323" s="259"/>
      <c r="W323" s="259"/>
      <c r="X323" s="259"/>
      <c r="Y323" s="259"/>
      <c r="Z323" s="28"/>
      <c r="AA323" s="28"/>
      <c r="AB323" s="28"/>
      <c r="AC323" s="28"/>
      <c r="AD323" s="28"/>
      <c r="AE323" s="28"/>
      <c r="AF323" s="28"/>
      <c r="AG323" s="28"/>
      <c r="AH323" s="28"/>
      <c r="AI323" s="28"/>
      <c r="AJ323" s="28"/>
      <c r="AK323" s="28"/>
      <c r="AL323" s="28"/>
      <c r="AM323" s="28"/>
      <c r="AN323" s="28"/>
      <c r="AO323" s="28"/>
      <c r="AP323" s="28"/>
      <c r="AQ323" s="28"/>
      <c r="AR323" s="28"/>
      <c r="AS323" s="28"/>
      <c r="AT323" s="28"/>
      <c r="AU323" s="28"/>
      <c r="AV323" s="28"/>
      <c r="AW323" s="28"/>
      <c r="AX323" s="28"/>
      <c r="AY323" s="28"/>
      <c r="AZ323" s="28"/>
      <c r="BA323" s="28"/>
      <c r="BB323" s="28"/>
      <c r="BC323" s="28"/>
      <c r="BD323" s="28"/>
      <c r="BE323" s="28"/>
      <c r="BF323" s="28"/>
      <c r="BG323" s="28"/>
      <c r="BH323" s="28"/>
      <c r="BI323" s="28"/>
      <c r="BJ323" s="28"/>
      <c r="BK323" s="28"/>
      <c r="BL323" s="28"/>
      <c r="BM323" s="28"/>
      <c r="BN323" s="28"/>
      <c r="BO323" s="28"/>
      <c r="BP323" s="28"/>
      <c r="BQ323" s="28"/>
      <c r="BR323" s="28"/>
      <c r="BS323" s="259"/>
      <c r="BT323" s="259"/>
      <c r="BU323" s="259"/>
      <c r="BV323" s="259"/>
      <c r="BW323" s="259"/>
      <c r="BX323" s="259"/>
      <c r="BY323" s="251"/>
      <c r="BZ323" s="251"/>
      <c r="CA323" s="251"/>
      <c r="CB323" s="251"/>
      <c r="CC323" s="251"/>
      <c r="CD323" s="251"/>
    </row>
    <row r="324" spans="1:83">
      <c r="A324" s="51"/>
      <c r="B324" s="149" t="s">
        <v>373</v>
      </c>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43"/>
      <c r="BL324" s="143"/>
      <c r="BM324" s="143"/>
      <c r="BN324" s="143"/>
      <c r="BO324" s="143"/>
      <c r="BP324" s="143"/>
      <c r="BQ324" s="143"/>
      <c r="BR324" s="143"/>
      <c r="BS324" s="143"/>
      <c r="BT324" s="143"/>
      <c r="BU324" s="143"/>
      <c r="BV324" s="143"/>
      <c r="BW324" s="143"/>
      <c r="BX324" s="143"/>
      <c r="BY324" s="143"/>
      <c r="BZ324" s="143"/>
    </row>
    <row r="325" spans="1:83" s="7" customFormat="1">
      <c r="B325" s="266" t="s">
        <v>467</v>
      </c>
      <c r="I325" s="57"/>
      <c r="J325" s="57"/>
      <c r="K325" s="57"/>
      <c r="L325" s="57"/>
      <c r="M325" s="57"/>
      <c r="N325" s="57"/>
      <c r="O325" s="57"/>
      <c r="P325" s="57"/>
      <c r="Q325" s="57"/>
      <c r="R325" s="57"/>
      <c r="S325" s="57"/>
      <c r="T325" s="89">
        <f>SUM(BS325:BV325)</f>
        <v>0</v>
      </c>
      <c r="U325" s="89">
        <f>SUM(BW325:BZ325)</f>
        <v>0</v>
      </c>
      <c r="V325" s="89">
        <f>SUM(CA325:CD325)</f>
        <v>0</v>
      </c>
      <c r="W325" s="89">
        <f t="shared" ref="W325:Y326" si="439">(W341*W346)/1000</f>
        <v>0</v>
      </c>
      <c r="X325" s="89">
        <f t="shared" si="439"/>
        <v>0</v>
      </c>
      <c r="Y325" s="89">
        <f t="shared" si="439"/>
        <v>0</v>
      </c>
      <c r="Z325" s="51"/>
      <c r="AA325" s="51"/>
      <c r="AB325" s="51"/>
      <c r="AC325" s="51"/>
      <c r="AD325" s="51"/>
      <c r="AE325" s="51"/>
      <c r="AF325" s="51"/>
      <c r="AG325" s="51"/>
      <c r="AH325" s="51"/>
      <c r="AI325" s="51"/>
      <c r="AJ325" s="51"/>
      <c r="AK325" s="51"/>
      <c r="AL325" s="51"/>
      <c r="AM325" s="53"/>
      <c r="AN325" s="53"/>
      <c r="AO325" s="53"/>
      <c r="AP325" s="53"/>
      <c r="AQ325" s="53"/>
      <c r="AR325" s="53"/>
      <c r="AS325" s="53"/>
      <c r="AT325" s="53"/>
      <c r="AU325" s="53"/>
      <c r="AV325" s="53"/>
      <c r="AW325" s="53"/>
      <c r="AX325" s="53"/>
      <c r="AY325" s="53"/>
      <c r="AZ325" s="53"/>
      <c r="BA325" s="53"/>
      <c r="BB325" s="53"/>
      <c r="BC325" s="53"/>
      <c r="BD325" s="53"/>
      <c r="BE325" s="53"/>
      <c r="BF325" s="53"/>
      <c r="BG325" s="53"/>
      <c r="BH325" s="53"/>
      <c r="BI325" s="53"/>
      <c r="BJ325" s="53"/>
      <c r="BK325" s="53"/>
      <c r="BL325" s="53"/>
      <c r="BM325" s="53"/>
      <c r="BN325" s="53"/>
      <c r="BO325" s="53"/>
      <c r="BP325" s="53"/>
      <c r="BQ325" s="53"/>
      <c r="BR325" s="53"/>
      <c r="BS325" s="89">
        <f>(BS341*BS346)/1000</f>
        <v>0</v>
      </c>
      <c r="BT325" s="89">
        <f t="shared" ref="BT325:BZ325" si="440">(BT341*BT346)/1000</f>
        <v>0</v>
      </c>
      <c r="BU325" s="89">
        <f t="shared" si="440"/>
        <v>0</v>
      </c>
      <c r="BV325" s="89">
        <f t="shared" si="440"/>
        <v>0</v>
      </c>
      <c r="BW325" s="89">
        <f t="shared" si="440"/>
        <v>0</v>
      </c>
      <c r="BX325" s="89">
        <f t="shared" si="440"/>
        <v>0</v>
      </c>
      <c r="BY325" s="89">
        <f t="shared" si="440"/>
        <v>0</v>
      </c>
      <c r="BZ325" s="89">
        <f t="shared" si="440"/>
        <v>0</v>
      </c>
      <c r="CA325" s="89">
        <f t="shared" ref="CA325:CD326" si="441">(CA341*CA346)/1000</f>
        <v>0</v>
      </c>
      <c r="CB325" s="89">
        <f t="shared" si="441"/>
        <v>0</v>
      </c>
      <c r="CC325" s="89">
        <f t="shared" si="441"/>
        <v>0</v>
      </c>
      <c r="CD325" s="89">
        <f t="shared" si="441"/>
        <v>0</v>
      </c>
    </row>
    <row r="326" spans="1:83" s="7" customFormat="1">
      <c r="B326" s="266" t="s">
        <v>385</v>
      </c>
      <c r="I326" s="57"/>
      <c r="J326" s="57"/>
      <c r="K326" s="57"/>
      <c r="L326" s="57"/>
      <c r="M326" s="57"/>
      <c r="N326" s="57"/>
      <c r="O326" s="57"/>
      <c r="P326" s="57"/>
      <c r="Q326" s="57"/>
      <c r="R326" s="57"/>
      <c r="S326" s="57"/>
      <c r="T326" s="191">
        <f>SUM(BS326:BV326)</f>
        <v>295.78944982552866</v>
      </c>
      <c r="U326" s="191">
        <f>SUM(BW326:BZ326)</f>
        <v>316.19256736289242</v>
      </c>
      <c r="V326" s="191">
        <f>SUM(CA326:CD326)</f>
        <v>319.70792516994868</v>
      </c>
      <c r="W326" s="191">
        <f t="shared" si="439"/>
        <v>324.4235981763577</v>
      </c>
      <c r="X326" s="191">
        <f t="shared" si="439"/>
        <v>347.8694686623781</v>
      </c>
      <c r="Y326" s="191">
        <f>(Y342*Y347)/1000</f>
        <v>355.66004919807068</v>
      </c>
      <c r="Z326" s="45"/>
      <c r="AA326" s="45"/>
      <c r="AB326" s="45"/>
      <c r="AC326" s="45"/>
      <c r="AD326" s="45"/>
      <c r="AE326" s="45"/>
      <c r="AF326" s="45"/>
      <c r="AG326" s="45"/>
      <c r="AH326" s="45"/>
      <c r="AI326" s="45"/>
      <c r="AJ326" s="45"/>
      <c r="AK326" s="45"/>
      <c r="AL326" s="45"/>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2"/>
      <c r="BL326" s="92"/>
      <c r="BM326" s="92"/>
      <c r="BN326" s="92"/>
      <c r="BO326" s="92"/>
      <c r="BP326" s="92"/>
      <c r="BQ326" s="92"/>
      <c r="BR326" s="92"/>
      <c r="BS326" s="191">
        <f>(BS342*BS347)/1000</f>
        <v>71.885140429639989</v>
      </c>
      <c r="BT326" s="191">
        <f t="shared" ref="BT326:BZ326" si="442">(BT342*BT347)/1000</f>
        <v>71.161207162823473</v>
      </c>
      <c r="BU326" s="191">
        <f t="shared" si="442"/>
        <v>75.100974723588664</v>
      </c>
      <c r="BV326" s="191">
        <f t="shared" si="442"/>
        <v>77.642127509476524</v>
      </c>
      <c r="BW326" s="191">
        <f t="shared" si="442"/>
        <v>80.567496200133974</v>
      </c>
      <c r="BX326" s="191">
        <f t="shared" si="442"/>
        <v>79.726758270861453</v>
      </c>
      <c r="BY326" s="191">
        <f t="shared" si="442"/>
        <v>77.841075868246548</v>
      </c>
      <c r="BZ326" s="191">
        <f t="shared" si="442"/>
        <v>78.057237023650416</v>
      </c>
      <c r="CA326" s="191">
        <f>(CA342*CA347)/1000</f>
        <v>80.933077661878485</v>
      </c>
      <c r="CB326" s="191">
        <f t="shared" si="441"/>
        <v>78.725642552743693</v>
      </c>
      <c r="CC326" s="191">
        <f t="shared" si="441"/>
        <v>79.251601712964643</v>
      </c>
      <c r="CD326" s="191">
        <f t="shared" si="441"/>
        <v>80.797603242361873</v>
      </c>
    </row>
    <row r="327" spans="1:83" s="7" customFormat="1">
      <c r="B327" s="18" t="s">
        <v>380</v>
      </c>
      <c r="I327" s="57"/>
      <c r="J327" s="57"/>
      <c r="K327" s="57"/>
      <c r="L327" s="57"/>
      <c r="M327" s="57"/>
      <c r="N327" s="57"/>
      <c r="O327" s="57"/>
      <c r="P327" s="57"/>
      <c r="Q327" s="57"/>
      <c r="R327" s="57"/>
      <c r="S327" s="57"/>
      <c r="T327" s="90">
        <f t="shared" ref="T327:Y327" si="443">SUM(T325:T326)</f>
        <v>295.78944982552866</v>
      </c>
      <c r="U327" s="90">
        <f t="shared" si="443"/>
        <v>316.19256736289242</v>
      </c>
      <c r="V327" s="90">
        <f t="shared" si="443"/>
        <v>319.70792516994868</v>
      </c>
      <c r="W327" s="90">
        <f t="shared" si="443"/>
        <v>324.4235981763577</v>
      </c>
      <c r="X327" s="90">
        <f t="shared" si="443"/>
        <v>347.8694686623781</v>
      </c>
      <c r="Y327" s="90">
        <f t="shared" si="443"/>
        <v>355.66004919807068</v>
      </c>
      <c r="Z327" s="51"/>
      <c r="AA327" s="51"/>
      <c r="AB327" s="51"/>
      <c r="AC327" s="51"/>
      <c r="AD327" s="51"/>
      <c r="AE327" s="51"/>
      <c r="AF327" s="51"/>
      <c r="AG327" s="51"/>
      <c r="AH327" s="51"/>
      <c r="AI327" s="51"/>
      <c r="AJ327" s="51"/>
      <c r="AK327" s="51"/>
      <c r="AL327" s="51"/>
      <c r="AM327" s="53"/>
      <c r="AN327" s="53"/>
      <c r="AO327" s="53"/>
      <c r="AP327" s="53"/>
      <c r="AQ327" s="53"/>
      <c r="AR327" s="53"/>
      <c r="AS327" s="53"/>
      <c r="AT327" s="53"/>
      <c r="AU327" s="53"/>
      <c r="AV327" s="53"/>
      <c r="AW327" s="53"/>
      <c r="AX327" s="53"/>
      <c r="AY327" s="53"/>
      <c r="AZ327" s="53"/>
      <c r="BA327" s="53"/>
      <c r="BB327" s="53"/>
      <c r="BC327" s="53"/>
      <c r="BD327" s="53"/>
      <c r="BE327" s="53"/>
      <c r="BF327" s="53"/>
      <c r="BG327" s="53"/>
      <c r="BH327" s="53"/>
      <c r="BI327" s="53"/>
      <c r="BJ327" s="53"/>
      <c r="BK327" s="53"/>
      <c r="BL327" s="53"/>
      <c r="BM327" s="53"/>
      <c r="BN327" s="53"/>
      <c r="BO327" s="53"/>
      <c r="BP327" s="53"/>
      <c r="BQ327" s="53"/>
      <c r="BR327" s="53"/>
      <c r="BS327" s="90">
        <f t="shared" ref="BS327:BZ327" si="444">SUM(BS325:BS326)</f>
        <v>71.885140429639989</v>
      </c>
      <c r="BT327" s="90">
        <f t="shared" si="444"/>
        <v>71.161207162823473</v>
      </c>
      <c r="BU327" s="90">
        <f t="shared" si="444"/>
        <v>75.100974723588664</v>
      </c>
      <c r="BV327" s="90">
        <f t="shared" si="444"/>
        <v>77.642127509476524</v>
      </c>
      <c r="BW327" s="90">
        <f t="shared" si="444"/>
        <v>80.567496200133974</v>
      </c>
      <c r="BX327" s="90">
        <f t="shared" si="444"/>
        <v>79.726758270861453</v>
      </c>
      <c r="BY327" s="90">
        <f t="shared" si="444"/>
        <v>77.841075868246548</v>
      </c>
      <c r="BZ327" s="90">
        <f t="shared" si="444"/>
        <v>78.057237023650416</v>
      </c>
      <c r="CA327" s="90">
        <f>SUM(CA325:CA326)</f>
        <v>80.933077661878485</v>
      </c>
      <c r="CB327" s="90">
        <f>SUM(CB325:CB326)</f>
        <v>78.725642552743693</v>
      </c>
      <c r="CC327" s="90">
        <f>SUM(CC325:CC326)</f>
        <v>79.251601712964643</v>
      </c>
      <c r="CD327" s="90">
        <f>SUM(CD325:CD326)</f>
        <v>80.797603242361873</v>
      </c>
    </row>
    <row r="328" spans="1:83" s="7" customFormat="1">
      <c r="B328" s="287" t="s">
        <v>141</v>
      </c>
      <c r="C328" s="5"/>
      <c r="D328" s="5"/>
      <c r="E328" s="5"/>
      <c r="F328" s="5"/>
      <c r="G328" s="5"/>
      <c r="H328" s="5"/>
      <c r="I328" s="5"/>
      <c r="J328" s="5"/>
      <c r="K328" s="5"/>
      <c r="L328" s="280"/>
      <c r="M328" s="280"/>
      <c r="N328" s="280"/>
      <c r="O328" s="280"/>
      <c r="P328" s="280"/>
      <c r="Q328" s="280"/>
      <c r="R328" s="280"/>
      <c r="S328" s="280"/>
      <c r="T328" s="280"/>
      <c r="U328" s="280">
        <f>+U327/T327-1</f>
        <v>6.8978516811192936E-2</v>
      </c>
      <c r="V328" s="280">
        <f>+V327/U327-1</f>
        <v>1.1117774957125182E-2</v>
      </c>
      <c r="W328" s="280">
        <f>+W327/V327-1</f>
        <v>1.4749940915297355E-2</v>
      </c>
      <c r="X328" s="280">
        <f>+X327/W327-1</f>
        <v>7.2269312768287408E-2</v>
      </c>
      <c r="Y328" s="280">
        <f>+Y327/X327-1</f>
        <v>2.239512586617276E-2</v>
      </c>
      <c r="Z328" s="5"/>
      <c r="AA328" s="5"/>
      <c r="AB328" s="5"/>
      <c r="AC328" s="5"/>
      <c r="AD328" s="5"/>
      <c r="AE328" s="5"/>
      <c r="AF328" s="5"/>
      <c r="AG328" s="5"/>
      <c r="AH328" s="5"/>
      <c r="AI328" s="5"/>
      <c r="AJ328" s="5"/>
      <c r="AK328" s="5"/>
      <c r="AL328" s="5"/>
      <c r="AM328" s="280"/>
      <c r="AN328" s="280"/>
      <c r="AO328" s="280"/>
      <c r="AP328" s="280"/>
      <c r="AQ328" s="280"/>
      <c r="AR328" s="280"/>
      <c r="AS328" s="280"/>
      <c r="AT328" s="280"/>
      <c r="AU328" s="280"/>
      <c r="AV328" s="280"/>
      <c r="AW328" s="280"/>
      <c r="AX328" s="280"/>
      <c r="AY328" s="280"/>
      <c r="AZ328" s="280"/>
      <c r="BA328" s="280"/>
      <c r="BB328" s="280"/>
      <c r="BC328" s="280"/>
      <c r="BD328" s="280"/>
      <c r="BE328" s="280"/>
      <c r="BF328" s="280"/>
      <c r="BG328" s="280"/>
      <c r="BH328" s="280"/>
      <c r="BI328" s="280"/>
      <c r="BJ328" s="280"/>
      <c r="BK328" s="280"/>
      <c r="BL328" s="280"/>
      <c r="BM328" s="280"/>
      <c r="BN328" s="280"/>
      <c r="BO328" s="280"/>
      <c r="BP328" s="280"/>
      <c r="BQ328" s="280"/>
      <c r="BR328" s="280"/>
      <c r="BS328" s="280"/>
      <c r="BT328" s="280"/>
      <c r="BU328" s="280"/>
      <c r="BV328" s="280"/>
      <c r="BW328" s="280">
        <f t="shared" ref="BW328:CD328" si="445">+BW327/BS327-1</f>
        <v>0.12078095303983072</v>
      </c>
      <c r="BX328" s="280">
        <f t="shared" si="445"/>
        <v>0.12036826593510708</v>
      </c>
      <c r="BY328" s="280">
        <f t="shared" si="445"/>
        <v>3.648556033717143E-2</v>
      </c>
      <c r="BZ328" s="280">
        <f t="shared" si="445"/>
        <v>5.3464469288688754E-3</v>
      </c>
      <c r="CA328" s="280">
        <f t="shared" si="445"/>
        <v>4.5375800290030632E-3</v>
      </c>
      <c r="CB328" s="280">
        <f t="shared" si="445"/>
        <v>-1.2556834616511026E-2</v>
      </c>
      <c r="CC328" s="280">
        <f t="shared" si="445"/>
        <v>1.8120585166442771E-2</v>
      </c>
      <c r="CD328" s="280">
        <f t="shared" si="445"/>
        <v>3.510713834107615E-2</v>
      </c>
    </row>
    <row r="329" spans="1:83" s="7" customFormat="1">
      <c r="B329" s="18"/>
      <c r="I329" s="57"/>
      <c r="J329" s="57"/>
      <c r="K329" s="57"/>
      <c r="L329" s="57"/>
      <c r="M329" s="57"/>
      <c r="N329" s="57"/>
      <c r="O329" s="57"/>
      <c r="P329" s="57"/>
      <c r="Q329" s="57"/>
      <c r="R329" s="57"/>
      <c r="S329" s="57"/>
      <c r="T329" s="257"/>
      <c r="U329" s="257"/>
      <c r="V329" s="257"/>
      <c r="W329" s="257"/>
      <c r="X329" s="257"/>
      <c r="Y329" s="257"/>
      <c r="Z329" s="57"/>
      <c r="AA329" s="57"/>
      <c r="AB329" s="57"/>
      <c r="AC329" s="57"/>
      <c r="AD329" s="57"/>
      <c r="AE329" s="57"/>
      <c r="AF329" s="57"/>
      <c r="AG329" s="57"/>
      <c r="AH329" s="57"/>
      <c r="AI329" s="57"/>
      <c r="AJ329" s="57"/>
      <c r="AK329" s="57"/>
      <c r="AL329" s="57"/>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65"/>
      <c r="BQ329" s="65"/>
      <c r="BR329" s="65"/>
      <c r="BS329" s="257"/>
      <c r="BT329" s="257"/>
      <c r="BU329" s="257"/>
      <c r="BV329" s="257"/>
      <c r="BW329" s="257"/>
      <c r="BX329" s="257"/>
      <c r="BY329" s="257"/>
      <c r="BZ329" s="257"/>
    </row>
    <row r="330" spans="1:83">
      <c r="A330" s="51"/>
      <c r="B330" s="149" t="s">
        <v>462</v>
      </c>
      <c r="T330" s="76"/>
      <c r="U330" s="76"/>
      <c r="V330" s="76"/>
      <c r="W330" s="76"/>
      <c r="X330" s="76"/>
      <c r="Y330" s="76"/>
      <c r="BS330" s="76"/>
      <c r="BT330" s="76"/>
      <c r="BU330" s="76"/>
      <c r="BV330" s="76"/>
      <c r="BW330" s="76"/>
      <c r="BX330" s="76"/>
      <c r="BY330" s="76"/>
      <c r="BZ330" s="76"/>
    </row>
    <row r="331" spans="1:83">
      <c r="A331" s="51"/>
      <c r="B331" s="34" t="s">
        <v>459</v>
      </c>
      <c r="T331" s="349">
        <f t="shared" ref="T331:Y331" si="446">+T456</f>
        <v>771</v>
      </c>
      <c r="U331" s="349">
        <f t="shared" si="446"/>
        <v>771</v>
      </c>
      <c r="V331" s="349">
        <f t="shared" si="446"/>
        <v>771</v>
      </c>
      <c r="W331" s="349">
        <f t="shared" si="446"/>
        <v>771</v>
      </c>
      <c r="X331" s="349">
        <f t="shared" si="446"/>
        <v>771</v>
      </c>
      <c r="Y331" s="349">
        <f t="shared" si="446"/>
        <v>771</v>
      </c>
      <c r="Z331" s="349"/>
      <c r="AA331" s="349"/>
      <c r="AB331" s="349"/>
      <c r="AC331" s="349"/>
      <c r="AD331" s="349"/>
      <c r="AE331" s="349"/>
      <c r="AF331" s="349"/>
      <c r="AG331" s="349"/>
      <c r="AH331" s="349"/>
      <c r="AI331" s="349"/>
      <c r="AJ331" s="349"/>
      <c r="AK331" s="349"/>
      <c r="AL331" s="349"/>
      <c r="AM331" s="349"/>
      <c r="AN331" s="349"/>
      <c r="AO331" s="349"/>
      <c r="AP331" s="349"/>
      <c r="AQ331" s="349"/>
      <c r="AR331" s="349"/>
      <c r="AS331" s="349"/>
      <c r="AT331" s="349"/>
      <c r="AU331" s="349"/>
      <c r="AV331" s="349"/>
      <c r="AW331" s="349"/>
      <c r="AX331" s="349"/>
      <c r="AY331" s="349"/>
      <c r="AZ331" s="349"/>
      <c r="BA331" s="349"/>
      <c r="BB331" s="349"/>
      <c r="BC331" s="349"/>
      <c r="BD331" s="349"/>
      <c r="BE331" s="349"/>
      <c r="BF331" s="349"/>
      <c r="BG331" s="349"/>
      <c r="BH331" s="349"/>
      <c r="BI331" s="349"/>
      <c r="BJ331" s="349"/>
      <c r="BK331" s="349"/>
      <c r="BL331" s="349"/>
      <c r="BM331" s="349"/>
      <c r="BN331" s="349"/>
      <c r="BO331" s="349"/>
      <c r="BP331" s="349"/>
      <c r="BQ331" s="349"/>
      <c r="BR331" s="349"/>
      <c r="BS331" s="349">
        <f>BS456</f>
        <v>192.75</v>
      </c>
      <c r="BT331" s="349">
        <f t="shared" ref="BT331:BZ331" si="447">BT456</f>
        <v>192.75</v>
      </c>
      <c r="BU331" s="349">
        <f t="shared" si="447"/>
        <v>192.75</v>
      </c>
      <c r="BV331" s="349">
        <f t="shared" si="447"/>
        <v>192.75</v>
      </c>
      <c r="BW331" s="349">
        <f t="shared" si="447"/>
        <v>192.75</v>
      </c>
      <c r="BX331" s="349">
        <f t="shared" si="447"/>
        <v>192.75</v>
      </c>
      <c r="BY331" s="349">
        <f t="shared" si="447"/>
        <v>192.75</v>
      </c>
      <c r="BZ331" s="349">
        <f t="shared" si="447"/>
        <v>192.75</v>
      </c>
      <c r="CA331" s="349">
        <f>CA456</f>
        <v>192.75</v>
      </c>
      <c r="CB331" s="349">
        <f>CB456</f>
        <v>192.75</v>
      </c>
      <c r="CC331" s="349">
        <f>CC456</f>
        <v>192.75</v>
      </c>
      <c r="CD331" s="349">
        <f>CD456</f>
        <v>192.75</v>
      </c>
    </row>
    <row r="332" spans="1:83">
      <c r="A332" s="34"/>
      <c r="B332" s="5" t="s">
        <v>370</v>
      </c>
      <c r="T332" s="411">
        <f>+T333/T331</f>
        <v>0.88</v>
      </c>
      <c r="U332" s="411">
        <f>+U333/U331</f>
        <v>0.89000000000000012</v>
      </c>
      <c r="V332" s="411">
        <f>+V333/V331</f>
        <v>0.89000000000000012</v>
      </c>
      <c r="W332" s="174">
        <v>0.91</v>
      </c>
      <c r="X332" s="174">
        <v>0.92</v>
      </c>
      <c r="Y332" s="174">
        <v>0.93</v>
      </c>
      <c r="Z332" s="48"/>
      <c r="AA332" s="48"/>
      <c r="AB332" s="48"/>
      <c r="AC332" s="48"/>
      <c r="AD332" s="48"/>
      <c r="AE332" s="48"/>
      <c r="AF332" s="48"/>
      <c r="AG332" s="48"/>
      <c r="AH332" s="48"/>
      <c r="AI332" s="48"/>
      <c r="AJ332" s="48"/>
      <c r="AK332" s="48"/>
      <c r="AL332" s="48"/>
      <c r="AM332" s="48"/>
      <c r="AN332" s="48"/>
      <c r="AO332" s="48"/>
      <c r="AP332" s="48"/>
      <c r="AQ332" s="48"/>
      <c r="AR332" s="48"/>
      <c r="AS332" s="48"/>
      <c r="AT332" s="48"/>
      <c r="AU332" s="48"/>
      <c r="AV332" s="48"/>
      <c r="AW332" s="48"/>
      <c r="AX332" s="48"/>
      <c r="AY332" s="48"/>
      <c r="AZ332" s="48"/>
      <c r="BA332" s="48"/>
      <c r="BB332" s="48"/>
      <c r="BC332" s="48"/>
      <c r="BD332" s="48"/>
      <c r="BE332" s="48"/>
      <c r="BF332" s="48"/>
      <c r="BG332" s="48"/>
      <c r="BH332" s="48"/>
      <c r="BI332" s="48"/>
      <c r="BJ332" s="48"/>
      <c r="BK332" s="48"/>
      <c r="BL332" s="48"/>
      <c r="BM332" s="48"/>
      <c r="BN332" s="48"/>
      <c r="BO332" s="48"/>
      <c r="BP332" s="48"/>
      <c r="BQ332" s="48"/>
      <c r="BR332" s="48"/>
      <c r="BS332" s="174">
        <v>0.88</v>
      </c>
      <c r="BT332" s="174">
        <v>0.88</v>
      </c>
      <c r="BU332" s="174">
        <v>0.88</v>
      </c>
      <c r="BV332" s="174">
        <v>0.88</v>
      </c>
      <c r="BW332" s="174">
        <v>0.89</v>
      </c>
      <c r="BX332" s="174">
        <v>0.89</v>
      </c>
      <c r="BY332" s="174">
        <v>0.89</v>
      </c>
      <c r="BZ332" s="174">
        <v>0.89</v>
      </c>
      <c r="CA332" s="174">
        <f>89%</f>
        <v>0.89</v>
      </c>
      <c r="CB332" s="174">
        <f>89%</f>
        <v>0.89</v>
      </c>
      <c r="CC332" s="174">
        <f>89%</f>
        <v>0.89</v>
      </c>
      <c r="CD332" s="174">
        <f>89%</f>
        <v>0.89</v>
      </c>
      <c r="CE332" s="229" t="s">
        <v>576</v>
      </c>
    </row>
    <row r="333" spans="1:83">
      <c r="A333" s="34"/>
      <c r="B333" s="18" t="s">
        <v>460</v>
      </c>
      <c r="T333" s="254">
        <f>SUM(BS333:BV333)</f>
        <v>678.48</v>
      </c>
      <c r="U333" s="254">
        <f>SUM(BW333:BZ333)</f>
        <v>686.19</v>
      </c>
      <c r="V333" s="254">
        <f>SUM(CA333:CD333)</f>
        <v>686.19</v>
      </c>
      <c r="W333" s="254">
        <f>+W331*W332</f>
        <v>701.61</v>
      </c>
      <c r="X333" s="254">
        <f>+X331*X332</f>
        <v>709.32</v>
      </c>
      <c r="Y333" s="254">
        <f>+Y331*Y332</f>
        <v>717.03000000000009</v>
      </c>
      <c r="Z333" s="36"/>
      <c r="AA333" s="36"/>
      <c r="AB333" s="36"/>
      <c r="AC333" s="36"/>
      <c r="AD333" s="36"/>
      <c r="AE333" s="36"/>
      <c r="AF333" s="36"/>
      <c r="AG333" s="36"/>
      <c r="AH333" s="36"/>
      <c r="AI333" s="36"/>
      <c r="AJ333" s="36"/>
      <c r="AK333" s="36"/>
      <c r="AL333" s="36"/>
      <c r="AM333" s="36"/>
      <c r="AN333" s="36"/>
      <c r="AO333" s="36"/>
      <c r="AP333" s="36"/>
      <c r="AQ333" s="36"/>
      <c r="AR333" s="36"/>
      <c r="AS333" s="36"/>
      <c r="AT333" s="36"/>
      <c r="AU333" s="36"/>
      <c r="AV333" s="36"/>
      <c r="AW333" s="36"/>
      <c r="AX333" s="36"/>
      <c r="AY333" s="36"/>
      <c r="AZ333" s="36"/>
      <c r="BA333" s="36"/>
      <c r="BB333" s="36"/>
      <c r="BC333" s="36"/>
      <c r="BD333" s="36"/>
      <c r="BE333" s="36"/>
      <c r="BF333" s="36"/>
      <c r="BG333" s="36"/>
      <c r="BH333" s="36"/>
      <c r="BI333" s="36"/>
      <c r="BJ333" s="36"/>
      <c r="BK333" s="36"/>
      <c r="BL333" s="36"/>
      <c r="BM333" s="36"/>
      <c r="BN333" s="36"/>
      <c r="BO333" s="36"/>
      <c r="BP333" s="36"/>
      <c r="BQ333" s="36"/>
      <c r="BR333" s="36"/>
      <c r="BS333" s="254">
        <f>+BS331*BS332</f>
        <v>169.62</v>
      </c>
      <c r="BT333" s="254">
        <f t="shared" ref="BT333:BZ333" si="448">+BT331*BT332</f>
        <v>169.62</v>
      </c>
      <c r="BU333" s="254">
        <f t="shared" si="448"/>
        <v>169.62</v>
      </c>
      <c r="BV333" s="254">
        <f t="shared" si="448"/>
        <v>169.62</v>
      </c>
      <c r="BW333" s="254">
        <f t="shared" si="448"/>
        <v>171.54750000000001</v>
      </c>
      <c r="BX333" s="254">
        <f t="shared" si="448"/>
        <v>171.54750000000001</v>
      </c>
      <c r="BY333" s="254">
        <f t="shared" si="448"/>
        <v>171.54750000000001</v>
      </c>
      <c r="BZ333" s="254">
        <f t="shared" si="448"/>
        <v>171.54750000000001</v>
      </c>
      <c r="CA333" s="254">
        <f>+CA331*CA332</f>
        <v>171.54750000000001</v>
      </c>
      <c r="CB333" s="254">
        <f>+CB331*CB332</f>
        <v>171.54750000000001</v>
      </c>
      <c r="CC333" s="254">
        <f>+CC331*CC332</f>
        <v>171.54750000000001</v>
      </c>
      <c r="CD333" s="254">
        <f>+CD331*CD332</f>
        <v>171.54750000000001</v>
      </c>
    </row>
    <row r="334" spans="1:83">
      <c r="A334" s="34"/>
      <c r="B334" s="18"/>
      <c r="T334" s="307"/>
      <c r="U334" s="307"/>
      <c r="V334" s="307"/>
      <c r="W334" s="307"/>
      <c r="X334" s="307"/>
      <c r="Y334" s="307"/>
      <c r="BS334" s="307"/>
      <c r="BT334" s="307"/>
      <c r="BU334" s="307"/>
      <c r="BV334" s="307"/>
      <c r="BW334" s="307"/>
      <c r="BX334" s="307"/>
      <c r="BY334" s="307"/>
      <c r="BZ334" s="307"/>
    </row>
    <row r="335" spans="1:83">
      <c r="A335" s="34"/>
      <c r="B335" s="149" t="s">
        <v>461</v>
      </c>
      <c r="T335" s="77"/>
      <c r="U335" s="77"/>
      <c r="V335" s="77"/>
      <c r="W335" s="77"/>
      <c r="X335" s="77"/>
      <c r="Y335" s="77"/>
      <c r="BS335" s="77"/>
      <c r="BT335" s="77"/>
      <c r="BU335" s="77"/>
      <c r="BV335" s="77"/>
      <c r="BW335" s="77"/>
      <c r="BX335" s="77"/>
      <c r="BY335" s="77"/>
      <c r="BZ335" s="77"/>
    </row>
    <row r="336" spans="1:83">
      <c r="A336" s="34"/>
      <c r="B336" s="266" t="s">
        <v>467</v>
      </c>
      <c r="T336" s="411">
        <f t="shared" ref="T336:V337" si="449">+T341/T$343</f>
        <v>0</v>
      </c>
      <c r="U336" s="411">
        <f t="shared" si="449"/>
        <v>0</v>
      </c>
      <c r="V336" s="411">
        <f t="shared" si="449"/>
        <v>0</v>
      </c>
      <c r="W336" s="261">
        <f>+V336</f>
        <v>0</v>
      </c>
      <c r="X336" s="261">
        <f>+W336</f>
        <v>0</v>
      </c>
      <c r="Y336" s="261">
        <f>+X336</f>
        <v>0</v>
      </c>
      <c r="Z336" s="48"/>
      <c r="AA336" s="48"/>
      <c r="AB336" s="48"/>
      <c r="AC336" s="48"/>
      <c r="AD336" s="48"/>
      <c r="AE336" s="48"/>
      <c r="AF336" s="48"/>
      <c r="AG336" s="48"/>
      <c r="AH336" s="48"/>
      <c r="AI336" s="48"/>
      <c r="AJ336" s="48"/>
      <c r="AK336" s="48"/>
      <c r="AL336" s="48"/>
      <c r="AM336" s="48"/>
      <c r="AN336" s="48"/>
      <c r="AO336" s="48"/>
      <c r="AP336" s="48"/>
      <c r="AQ336" s="48"/>
      <c r="AR336" s="48"/>
      <c r="AS336" s="48"/>
      <c r="AT336" s="48"/>
      <c r="AU336" s="48"/>
      <c r="AV336" s="48"/>
      <c r="AW336" s="48"/>
      <c r="AX336" s="48"/>
      <c r="AY336" s="48"/>
      <c r="AZ336" s="48"/>
      <c r="BA336" s="48"/>
      <c r="BB336" s="48"/>
      <c r="BC336" s="48"/>
      <c r="BD336" s="48"/>
      <c r="BE336" s="48"/>
      <c r="BF336" s="48"/>
      <c r="BG336" s="48"/>
      <c r="BH336" s="48"/>
      <c r="BI336" s="48"/>
      <c r="BJ336" s="48"/>
      <c r="BK336" s="48"/>
      <c r="BL336" s="48"/>
      <c r="BM336" s="48"/>
      <c r="BN336" s="48"/>
      <c r="BO336" s="48"/>
      <c r="BP336" s="48"/>
      <c r="BQ336" s="48"/>
      <c r="BR336" s="48"/>
      <c r="BS336" s="261">
        <v>0</v>
      </c>
      <c r="BT336" s="261">
        <v>0</v>
      </c>
      <c r="BU336" s="261">
        <v>0</v>
      </c>
      <c r="BV336" s="261">
        <v>0</v>
      </c>
      <c r="BW336" s="261">
        <v>0</v>
      </c>
      <c r="BX336" s="261">
        <v>0</v>
      </c>
      <c r="BY336" s="261">
        <v>0</v>
      </c>
      <c r="BZ336" s="261">
        <v>0</v>
      </c>
      <c r="CA336" s="261">
        <v>0</v>
      </c>
      <c r="CB336" s="261">
        <v>0</v>
      </c>
      <c r="CC336" s="261">
        <v>0</v>
      </c>
      <c r="CD336" s="261">
        <v>0</v>
      </c>
    </row>
    <row r="337" spans="1:101">
      <c r="A337" s="34"/>
      <c r="B337" s="5" t="s">
        <v>384</v>
      </c>
      <c r="T337" s="411">
        <f t="shared" si="449"/>
        <v>1</v>
      </c>
      <c r="U337" s="411">
        <f t="shared" si="449"/>
        <v>1</v>
      </c>
      <c r="V337" s="411">
        <f t="shared" si="449"/>
        <v>1</v>
      </c>
      <c r="W337" s="276">
        <f>1-W336</f>
        <v>1</v>
      </c>
      <c r="X337" s="276">
        <f>1-X336</f>
        <v>1</v>
      </c>
      <c r="Y337" s="276">
        <f>1-Y336</f>
        <v>1</v>
      </c>
      <c r="Z337" s="48"/>
      <c r="AA337" s="48"/>
      <c r="AB337" s="48"/>
      <c r="AC337" s="48"/>
      <c r="AD337" s="48"/>
      <c r="AE337" s="48"/>
      <c r="AF337" s="48"/>
      <c r="AG337" s="48"/>
      <c r="AH337" s="48"/>
      <c r="AI337" s="48"/>
      <c r="AJ337" s="48"/>
      <c r="AK337" s="48"/>
      <c r="AL337" s="48"/>
      <c r="AM337" s="48"/>
      <c r="AN337" s="48"/>
      <c r="AO337" s="48"/>
      <c r="AP337" s="48"/>
      <c r="AQ337" s="48"/>
      <c r="AR337" s="48"/>
      <c r="AS337" s="48"/>
      <c r="AT337" s="48"/>
      <c r="AU337" s="48"/>
      <c r="AV337" s="48"/>
      <c r="AW337" s="48"/>
      <c r="AX337" s="48"/>
      <c r="AY337" s="48"/>
      <c r="AZ337" s="48"/>
      <c r="BA337" s="48"/>
      <c r="BB337" s="48"/>
      <c r="BC337" s="48"/>
      <c r="BD337" s="48"/>
      <c r="BE337" s="48"/>
      <c r="BF337" s="48"/>
      <c r="BG337" s="48"/>
      <c r="BH337" s="48"/>
      <c r="BI337" s="48"/>
      <c r="BJ337" s="48"/>
      <c r="BK337" s="48"/>
      <c r="BL337" s="48"/>
      <c r="BM337" s="48"/>
      <c r="BN337" s="48"/>
      <c r="BO337" s="48"/>
      <c r="BP337" s="48"/>
      <c r="BQ337" s="48"/>
      <c r="BR337" s="48"/>
      <c r="BS337" s="276">
        <f>1-BS336</f>
        <v>1</v>
      </c>
      <c r="BT337" s="276">
        <f t="shared" ref="BT337:BZ337" si="450">1-BT336</f>
        <v>1</v>
      </c>
      <c r="BU337" s="276">
        <f t="shared" si="450"/>
        <v>1</v>
      </c>
      <c r="BV337" s="276">
        <f t="shared" si="450"/>
        <v>1</v>
      </c>
      <c r="BW337" s="276">
        <f t="shared" si="450"/>
        <v>1</v>
      </c>
      <c r="BX337" s="276">
        <f t="shared" si="450"/>
        <v>1</v>
      </c>
      <c r="BY337" s="276">
        <f t="shared" si="450"/>
        <v>1</v>
      </c>
      <c r="BZ337" s="276">
        <f t="shared" si="450"/>
        <v>1</v>
      </c>
      <c r="CA337" s="276">
        <f>1-CA336</f>
        <v>1</v>
      </c>
      <c r="CB337" s="276">
        <f>1-CB336</f>
        <v>1</v>
      </c>
      <c r="CC337" s="276">
        <f>1-CC336</f>
        <v>1</v>
      </c>
      <c r="CD337" s="276">
        <f>1-CD336</f>
        <v>1</v>
      </c>
      <c r="CE337" s="229" t="s">
        <v>577</v>
      </c>
      <c r="CF337" s="229"/>
      <c r="CG337" s="229"/>
      <c r="CH337" s="229"/>
      <c r="CI337" s="229"/>
      <c r="CJ337" s="229"/>
      <c r="CK337" s="229"/>
      <c r="CL337" s="229"/>
      <c r="CM337" s="229"/>
      <c r="CN337" s="229"/>
      <c r="CO337" s="229"/>
      <c r="CP337" s="229"/>
      <c r="CQ337" s="229"/>
      <c r="CR337" s="229"/>
      <c r="CS337" s="229"/>
      <c r="CT337" s="229"/>
      <c r="CU337" s="229"/>
      <c r="CV337" s="229"/>
      <c r="CW337" s="229"/>
    </row>
    <row r="338" spans="1:101">
      <c r="A338" s="34"/>
      <c r="B338" s="18" t="s">
        <v>380</v>
      </c>
      <c r="T338" s="454">
        <f t="shared" ref="T338:Y338" si="451">SUM(T336:T337)</f>
        <v>1</v>
      </c>
      <c r="U338" s="454">
        <f t="shared" si="451"/>
        <v>1</v>
      </c>
      <c r="V338" s="454">
        <f t="shared" si="451"/>
        <v>1</v>
      </c>
      <c r="W338" s="454">
        <f t="shared" si="451"/>
        <v>1</v>
      </c>
      <c r="X338" s="454">
        <f t="shared" si="451"/>
        <v>1</v>
      </c>
      <c r="Y338" s="454">
        <f t="shared" si="451"/>
        <v>1</v>
      </c>
      <c r="Z338" s="48"/>
      <c r="AA338" s="48"/>
      <c r="AB338" s="48"/>
      <c r="AC338" s="48"/>
      <c r="AD338" s="48"/>
      <c r="AE338" s="48"/>
      <c r="AF338" s="48"/>
      <c r="AG338" s="48"/>
      <c r="AH338" s="48"/>
      <c r="AI338" s="48"/>
      <c r="AJ338" s="48"/>
      <c r="AK338" s="48"/>
      <c r="AL338" s="48"/>
      <c r="AM338" s="48"/>
      <c r="AN338" s="48"/>
      <c r="AO338" s="48"/>
      <c r="AP338" s="48"/>
      <c r="AQ338" s="48"/>
      <c r="AR338" s="48"/>
      <c r="AS338" s="48"/>
      <c r="AT338" s="48"/>
      <c r="AU338" s="48"/>
      <c r="AV338" s="48"/>
      <c r="AW338" s="48"/>
      <c r="AX338" s="48"/>
      <c r="AY338" s="48"/>
      <c r="AZ338" s="48"/>
      <c r="BA338" s="48"/>
      <c r="BB338" s="48"/>
      <c r="BC338" s="48"/>
      <c r="BD338" s="48"/>
      <c r="BE338" s="48"/>
      <c r="BF338" s="48"/>
      <c r="BG338" s="48"/>
      <c r="BH338" s="48"/>
      <c r="BI338" s="48"/>
      <c r="BJ338" s="48"/>
      <c r="BK338" s="48"/>
      <c r="BL338" s="48"/>
      <c r="BM338" s="48"/>
      <c r="BN338" s="48"/>
      <c r="BO338" s="48"/>
      <c r="BP338" s="48"/>
      <c r="BQ338" s="48"/>
      <c r="BR338" s="48"/>
      <c r="BS338" s="454">
        <f t="shared" ref="BS338:BZ338" si="452">SUM(BS336:BS337)</f>
        <v>1</v>
      </c>
      <c r="BT338" s="454">
        <f t="shared" si="452"/>
        <v>1</v>
      </c>
      <c r="BU338" s="454">
        <f t="shared" si="452"/>
        <v>1</v>
      </c>
      <c r="BV338" s="454">
        <f t="shared" si="452"/>
        <v>1</v>
      </c>
      <c r="BW338" s="454">
        <f t="shared" si="452"/>
        <v>1</v>
      </c>
      <c r="BX338" s="454">
        <f t="shared" si="452"/>
        <v>1</v>
      </c>
      <c r="BY338" s="454">
        <f t="shared" si="452"/>
        <v>1</v>
      </c>
      <c r="BZ338" s="454">
        <f t="shared" si="452"/>
        <v>1</v>
      </c>
      <c r="CA338" s="454">
        <f>SUM(CA336:CA337)</f>
        <v>1</v>
      </c>
      <c r="CB338" s="454">
        <f>SUM(CB336:CB337)</f>
        <v>1</v>
      </c>
      <c r="CC338" s="454">
        <f>SUM(CC336:CC337)</f>
        <v>1</v>
      </c>
      <c r="CD338" s="454">
        <f>SUM(CD336:CD337)</f>
        <v>1</v>
      </c>
    </row>
    <row r="339" spans="1:101">
      <c r="A339" s="34"/>
      <c r="T339" s="17"/>
      <c r="U339" s="17"/>
      <c r="V339" s="17"/>
      <c r="W339" s="17"/>
      <c r="X339" s="17"/>
      <c r="Y339" s="17"/>
      <c r="BS339" s="17"/>
      <c r="BT339" s="17"/>
      <c r="BU339" s="17"/>
      <c r="BV339" s="17"/>
      <c r="BW339" s="17"/>
      <c r="BX339" s="17"/>
      <c r="BY339" s="17"/>
      <c r="BZ339" s="17"/>
    </row>
    <row r="340" spans="1:101">
      <c r="A340" s="34"/>
      <c r="B340" s="149" t="s">
        <v>386</v>
      </c>
      <c r="T340" s="17"/>
      <c r="U340" s="17"/>
      <c r="V340" s="17"/>
      <c r="W340" s="17"/>
      <c r="X340" s="17"/>
      <c r="Y340" s="17"/>
      <c r="BS340" s="17"/>
      <c r="BT340" s="17"/>
      <c r="BU340" s="17"/>
      <c r="BV340" s="17"/>
      <c r="BW340" s="17"/>
      <c r="BX340" s="17"/>
      <c r="BY340" s="17"/>
      <c r="BZ340" s="17"/>
    </row>
    <row r="341" spans="1:101">
      <c r="A341" s="34"/>
      <c r="B341" s="266" t="s">
        <v>467</v>
      </c>
      <c r="T341" s="36">
        <f>SUM(BS341:BV341)</f>
        <v>0</v>
      </c>
      <c r="U341" s="36">
        <f>SUM(BW341:BZ341)</f>
        <v>0</v>
      </c>
      <c r="V341" s="36">
        <f>SUM(CA341:CD341)</f>
        <v>0</v>
      </c>
      <c r="W341" s="36">
        <f>W336*W333</f>
        <v>0</v>
      </c>
      <c r="X341" s="36">
        <f>X336*X333</f>
        <v>0</v>
      </c>
      <c r="Y341" s="36">
        <f>Y336*Y333</f>
        <v>0</v>
      </c>
      <c r="Z341" s="36"/>
      <c r="AA341" s="36"/>
      <c r="AB341" s="36"/>
      <c r="AC341" s="36"/>
      <c r="AD341" s="36"/>
      <c r="AE341" s="36"/>
      <c r="AF341" s="36"/>
      <c r="AG341" s="36"/>
      <c r="AH341" s="36"/>
      <c r="AI341" s="36"/>
      <c r="AJ341" s="36"/>
      <c r="AK341" s="36"/>
      <c r="AL341" s="36"/>
      <c r="AM341" s="36"/>
      <c r="AN341" s="36"/>
      <c r="AO341" s="36"/>
      <c r="AP341" s="36"/>
      <c r="AQ341" s="36"/>
      <c r="AR341" s="36"/>
      <c r="AS341" s="36"/>
      <c r="AT341" s="36"/>
      <c r="AU341" s="36"/>
      <c r="AV341" s="36"/>
      <c r="AW341" s="36"/>
      <c r="AX341" s="36"/>
      <c r="AY341" s="36"/>
      <c r="AZ341" s="36"/>
      <c r="BA341" s="36"/>
      <c r="BB341" s="36"/>
      <c r="BC341" s="36"/>
      <c r="BD341" s="36"/>
      <c r="BE341" s="36"/>
      <c r="BF341" s="36"/>
      <c r="BG341" s="36"/>
      <c r="BH341" s="36"/>
      <c r="BI341" s="36"/>
      <c r="BJ341" s="36"/>
      <c r="BK341" s="36"/>
      <c r="BL341" s="36"/>
      <c r="BM341" s="36"/>
      <c r="BN341" s="36"/>
      <c r="BO341" s="36"/>
      <c r="BP341" s="36"/>
      <c r="BQ341" s="36"/>
      <c r="BR341" s="36"/>
      <c r="BS341" s="36">
        <f t="shared" ref="BS341:BZ341" si="453">BS336*BS333</f>
        <v>0</v>
      </c>
      <c r="BT341" s="36">
        <f t="shared" si="453"/>
        <v>0</v>
      </c>
      <c r="BU341" s="36">
        <f t="shared" si="453"/>
        <v>0</v>
      </c>
      <c r="BV341" s="36">
        <f t="shared" si="453"/>
        <v>0</v>
      </c>
      <c r="BW341" s="36">
        <f t="shared" si="453"/>
        <v>0</v>
      </c>
      <c r="BX341" s="36">
        <f t="shared" si="453"/>
        <v>0</v>
      </c>
      <c r="BY341" s="36">
        <f t="shared" si="453"/>
        <v>0</v>
      </c>
      <c r="BZ341" s="36">
        <f t="shared" si="453"/>
        <v>0</v>
      </c>
      <c r="CA341" s="36">
        <f>CA336*CA333</f>
        <v>0</v>
      </c>
      <c r="CB341" s="36">
        <f>CB336*CB333</f>
        <v>0</v>
      </c>
      <c r="CC341" s="36">
        <f>CC336*CC333</f>
        <v>0</v>
      </c>
      <c r="CD341" s="36">
        <f>CD336*CD333</f>
        <v>0</v>
      </c>
    </row>
    <row r="342" spans="1:101">
      <c r="A342" s="34"/>
      <c r="B342" s="266" t="s">
        <v>384</v>
      </c>
      <c r="T342" s="36">
        <f>SUM(BS342:BV342)</f>
        <v>678.48</v>
      </c>
      <c r="U342" s="36">
        <f>SUM(BW342:BZ342)</f>
        <v>686.19</v>
      </c>
      <c r="V342" s="36">
        <f>SUM(CA342:CD342)</f>
        <v>686.19</v>
      </c>
      <c r="W342" s="36">
        <f>W337*W333</f>
        <v>701.61</v>
      </c>
      <c r="X342" s="36">
        <f>X337*X333</f>
        <v>709.32</v>
      </c>
      <c r="Y342" s="36">
        <f>Y337*Y333</f>
        <v>717.03000000000009</v>
      </c>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36"/>
      <c r="BE342" s="36"/>
      <c r="BF342" s="36"/>
      <c r="BG342" s="36"/>
      <c r="BH342" s="36"/>
      <c r="BI342" s="36"/>
      <c r="BJ342" s="36"/>
      <c r="BK342" s="36"/>
      <c r="BL342" s="36"/>
      <c r="BM342" s="36"/>
      <c r="BN342" s="36"/>
      <c r="BO342" s="36"/>
      <c r="BP342" s="36"/>
      <c r="BQ342" s="36"/>
      <c r="BR342" s="36"/>
      <c r="BS342" s="36">
        <f t="shared" ref="BS342:BZ342" si="454">BS337*BS333</f>
        <v>169.62</v>
      </c>
      <c r="BT342" s="36">
        <f t="shared" si="454"/>
        <v>169.62</v>
      </c>
      <c r="BU342" s="36">
        <f t="shared" si="454"/>
        <v>169.62</v>
      </c>
      <c r="BV342" s="36">
        <f t="shared" si="454"/>
        <v>169.62</v>
      </c>
      <c r="BW342" s="36">
        <f t="shared" si="454"/>
        <v>171.54750000000001</v>
      </c>
      <c r="BX342" s="36">
        <f t="shared" si="454"/>
        <v>171.54750000000001</v>
      </c>
      <c r="BY342" s="36">
        <f t="shared" si="454"/>
        <v>171.54750000000001</v>
      </c>
      <c r="BZ342" s="36">
        <f t="shared" si="454"/>
        <v>171.54750000000001</v>
      </c>
      <c r="CA342" s="36">
        <f>CA337*CA333</f>
        <v>171.54750000000001</v>
      </c>
      <c r="CB342" s="36">
        <f>CB337*CB333</f>
        <v>171.54750000000001</v>
      </c>
      <c r="CC342" s="36">
        <f>CC337*CC333</f>
        <v>171.54750000000001</v>
      </c>
      <c r="CD342" s="36">
        <f>CD337*CD333</f>
        <v>171.54750000000001</v>
      </c>
    </row>
    <row r="343" spans="1:101">
      <c r="A343" s="34"/>
      <c r="B343" s="18" t="s">
        <v>380</v>
      </c>
      <c r="T343" s="254">
        <f t="shared" ref="T343:Y343" si="455">SUM(T341:T342)</f>
        <v>678.48</v>
      </c>
      <c r="U343" s="254">
        <f t="shared" si="455"/>
        <v>686.19</v>
      </c>
      <c r="V343" s="254">
        <f t="shared" si="455"/>
        <v>686.19</v>
      </c>
      <c r="W343" s="254">
        <f t="shared" si="455"/>
        <v>701.61</v>
      </c>
      <c r="X343" s="254">
        <f t="shared" si="455"/>
        <v>709.32</v>
      </c>
      <c r="Y343" s="254">
        <f t="shared" si="455"/>
        <v>717.03000000000009</v>
      </c>
      <c r="Z343" s="36"/>
      <c r="AA343" s="36"/>
      <c r="AB343" s="36"/>
      <c r="AC343" s="36"/>
      <c r="AD343" s="36"/>
      <c r="AE343" s="36"/>
      <c r="AF343" s="36"/>
      <c r="AG343" s="36"/>
      <c r="AH343" s="36"/>
      <c r="AI343" s="36"/>
      <c r="AJ343" s="36"/>
      <c r="AK343" s="36"/>
      <c r="AL343" s="36"/>
      <c r="AM343" s="36"/>
      <c r="AN343" s="36"/>
      <c r="AO343" s="36"/>
      <c r="AP343" s="36"/>
      <c r="AQ343" s="36"/>
      <c r="AR343" s="36"/>
      <c r="AS343" s="36"/>
      <c r="AT343" s="36"/>
      <c r="AU343" s="36"/>
      <c r="AV343" s="36"/>
      <c r="AW343" s="36"/>
      <c r="AX343" s="36"/>
      <c r="AY343" s="36"/>
      <c r="AZ343" s="36"/>
      <c r="BA343" s="36"/>
      <c r="BB343" s="36"/>
      <c r="BC343" s="36"/>
      <c r="BD343" s="36"/>
      <c r="BE343" s="36"/>
      <c r="BF343" s="36"/>
      <c r="BG343" s="36"/>
      <c r="BH343" s="36"/>
      <c r="BI343" s="36"/>
      <c r="BJ343" s="36"/>
      <c r="BK343" s="36"/>
      <c r="BL343" s="36"/>
      <c r="BM343" s="36"/>
      <c r="BN343" s="36"/>
      <c r="BO343" s="36"/>
      <c r="BP343" s="36"/>
      <c r="BQ343" s="36"/>
      <c r="BR343" s="36"/>
      <c r="BS343" s="254">
        <f>SUM(BS341:BS342)</f>
        <v>169.62</v>
      </c>
      <c r="BT343" s="254">
        <f t="shared" ref="BT343:BZ343" si="456">SUM(BT341:BT342)</f>
        <v>169.62</v>
      </c>
      <c r="BU343" s="254">
        <f t="shared" si="456"/>
        <v>169.62</v>
      </c>
      <c r="BV343" s="254">
        <f t="shared" si="456"/>
        <v>169.62</v>
      </c>
      <c r="BW343" s="254">
        <f t="shared" si="456"/>
        <v>171.54750000000001</v>
      </c>
      <c r="BX343" s="254">
        <f t="shared" si="456"/>
        <v>171.54750000000001</v>
      </c>
      <c r="BY343" s="254">
        <f t="shared" si="456"/>
        <v>171.54750000000001</v>
      </c>
      <c r="BZ343" s="254">
        <f t="shared" si="456"/>
        <v>171.54750000000001</v>
      </c>
      <c r="CA343" s="254">
        <f>SUM(CA341:CA342)</f>
        <v>171.54750000000001</v>
      </c>
      <c r="CB343" s="254">
        <f>SUM(CB341:CB342)</f>
        <v>171.54750000000001</v>
      </c>
      <c r="CC343" s="254">
        <f>SUM(CC341:CC342)</f>
        <v>171.54750000000001</v>
      </c>
      <c r="CD343" s="254">
        <f>SUM(CD341:CD342)</f>
        <v>171.54750000000001</v>
      </c>
    </row>
    <row r="344" spans="1:101">
      <c r="A344" s="34"/>
      <c r="T344" s="77"/>
      <c r="U344" s="77"/>
      <c r="V344" s="77"/>
      <c r="W344" s="77"/>
      <c r="X344" s="77"/>
      <c r="Y344" s="77"/>
      <c r="BS344" s="77"/>
      <c r="BT344" s="77"/>
      <c r="BU344" s="77"/>
      <c r="BV344" s="77"/>
      <c r="BW344" s="77"/>
      <c r="BX344" s="77"/>
      <c r="BY344" s="77"/>
      <c r="BZ344" s="77"/>
    </row>
    <row r="345" spans="1:101">
      <c r="A345" s="34"/>
      <c r="B345" s="149" t="s">
        <v>472</v>
      </c>
      <c r="T345" s="77"/>
      <c r="U345" s="77"/>
      <c r="V345" s="77"/>
      <c r="W345" s="77"/>
      <c r="X345" s="77"/>
      <c r="Y345" s="77"/>
      <c r="BS345" s="77"/>
      <c r="BT345" s="77"/>
      <c r="BU345" s="77"/>
      <c r="BV345" s="77"/>
      <c r="BW345" s="77"/>
      <c r="BX345" s="77"/>
      <c r="BY345" s="77"/>
      <c r="BZ345" s="77"/>
    </row>
    <row r="346" spans="1:101">
      <c r="A346" s="34"/>
      <c r="B346" s="266" t="s">
        <v>467</v>
      </c>
      <c r="T346" s="410">
        <f t="shared" ref="T346:Y346" si="457">+T353</f>
        <v>587.75862068965512</v>
      </c>
      <c r="U346" s="410">
        <f t="shared" si="457"/>
        <v>703.5</v>
      </c>
      <c r="V346" s="410">
        <f t="shared" si="457"/>
        <v>695.38461538461536</v>
      </c>
      <c r="W346" s="410">
        <f t="shared" si="457"/>
        <v>695.38461538461536</v>
      </c>
      <c r="X346" s="410">
        <f t="shared" si="457"/>
        <v>695.38461538461536</v>
      </c>
      <c r="Y346" s="410">
        <f t="shared" si="457"/>
        <v>695.38461538461536</v>
      </c>
      <c r="Z346" s="410"/>
      <c r="AA346" s="410"/>
      <c r="AB346" s="410"/>
      <c r="AC346" s="410"/>
      <c r="AD346" s="410"/>
      <c r="AE346" s="410"/>
      <c r="AF346" s="410"/>
      <c r="AG346" s="410"/>
      <c r="AH346" s="410"/>
      <c r="AI346" s="410"/>
      <c r="AJ346" s="410"/>
      <c r="AK346" s="410"/>
      <c r="AL346" s="410"/>
      <c r="AM346" s="410"/>
      <c r="AN346" s="410"/>
      <c r="AO346" s="410"/>
      <c r="AP346" s="410"/>
      <c r="AQ346" s="410"/>
      <c r="AR346" s="410"/>
      <c r="AS346" s="410"/>
      <c r="AT346" s="410"/>
      <c r="AU346" s="410"/>
      <c r="AV346" s="410"/>
      <c r="AW346" s="410"/>
      <c r="AX346" s="410"/>
      <c r="AY346" s="410"/>
      <c r="AZ346" s="410"/>
      <c r="BA346" s="410"/>
      <c r="BB346" s="410"/>
      <c r="BC346" s="410"/>
      <c r="BD346" s="410"/>
      <c r="BE346" s="410"/>
      <c r="BF346" s="410"/>
      <c r="BG346" s="410"/>
      <c r="BH346" s="410"/>
      <c r="BI346" s="410"/>
      <c r="BJ346" s="410"/>
      <c r="BK346" s="410"/>
      <c r="BL346" s="26"/>
      <c r="BM346" s="410"/>
      <c r="BN346" s="410"/>
      <c r="BO346" s="410"/>
      <c r="BP346" s="410"/>
      <c r="BQ346" s="410"/>
      <c r="BR346" s="410"/>
      <c r="BS346" s="410">
        <f t="shared" ref="BS346:BZ346" si="458">+BS353</f>
        <v>479.61538461538464</v>
      </c>
      <c r="BT346" s="410">
        <f t="shared" si="458"/>
        <v>606.92307692307691</v>
      </c>
      <c r="BU346" s="410">
        <f t="shared" si="458"/>
        <v>582.57575757575762</v>
      </c>
      <c r="BV346" s="410">
        <f t="shared" si="458"/>
        <v>682</v>
      </c>
      <c r="BW346" s="410">
        <f t="shared" si="458"/>
        <v>736.38461538461536</v>
      </c>
      <c r="BX346" s="410">
        <f t="shared" si="458"/>
        <v>682.53846153846155</v>
      </c>
      <c r="BY346" s="410">
        <f t="shared" si="458"/>
        <v>705.38461538461536</v>
      </c>
      <c r="BZ346" s="410">
        <f t="shared" si="458"/>
        <v>689.69230769230774</v>
      </c>
      <c r="CA346" s="410">
        <f>+CA353</f>
        <v>695.38461538461536</v>
      </c>
      <c r="CB346" s="410">
        <f>+CB353</f>
        <v>695.38461538461536</v>
      </c>
      <c r="CC346" s="410">
        <f>+CC353</f>
        <v>695.38461538461536</v>
      </c>
      <c r="CD346" s="410">
        <f>+CD353</f>
        <v>695.38461538461536</v>
      </c>
    </row>
    <row r="347" spans="1:101">
      <c r="A347" s="34"/>
      <c r="B347" s="266" t="s">
        <v>384</v>
      </c>
      <c r="T347" s="410">
        <f t="shared" ref="T347:Y347" si="459">+T358</f>
        <v>435.95898158461358</v>
      </c>
      <c r="U347" s="410">
        <f t="shared" si="459"/>
        <v>460.79448456388525</v>
      </c>
      <c r="V347" s="410">
        <f t="shared" si="459"/>
        <v>465.91749394475096</v>
      </c>
      <c r="W347" s="410">
        <f t="shared" si="459"/>
        <v>462.39876594740338</v>
      </c>
      <c r="X347" s="410">
        <f t="shared" si="459"/>
        <v>490.42670256355109</v>
      </c>
      <c r="Y347" s="410">
        <f t="shared" si="459"/>
        <v>496.01836631392081</v>
      </c>
      <c r="Z347" s="410"/>
      <c r="AA347" s="410"/>
      <c r="AB347" s="410"/>
      <c r="AC347" s="410"/>
      <c r="AD347" s="410"/>
      <c r="AE347" s="410"/>
      <c r="AF347" s="410"/>
      <c r="AG347" s="410"/>
      <c r="AH347" s="410"/>
      <c r="AI347" s="410"/>
      <c r="AJ347" s="410"/>
      <c r="AK347" s="410"/>
      <c r="AL347" s="410"/>
      <c r="AM347" s="410"/>
      <c r="AN347" s="410"/>
      <c r="AO347" s="410"/>
      <c r="AP347" s="410"/>
      <c r="AQ347" s="410"/>
      <c r="AR347" s="410"/>
      <c r="AS347" s="410"/>
      <c r="AT347" s="410"/>
      <c r="AU347" s="410"/>
      <c r="AV347" s="410"/>
      <c r="AW347" s="410"/>
      <c r="AX347" s="410"/>
      <c r="AY347" s="410"/>
      <c r="AZ347" s="410"/>
      <c r="BA347" s="410"/>
      <c r="BB347" s="410"/>
      <c r="BC347" s="410"/>
      <c r="BD347" s="410"/>
      <c r="BE347" s="410"/>
      <c r="BF347" s="410"/>
      <c r="BG347" s="410"/>
      <c r="BH347" s="410"/>
      <c r="BI347" s="410"/>
      <c r="BJ347" s="410"/>
      <c r="BK347" s="410"/>
      <c r="BL347" s="26"/>
      <c r="BM347" s="410"/>
      <c r="BN347" s="410"/>
      <c r="BO347" s="410"/>
      <c r="BP347" s="410"/>
      <c r="BQ347" s="410"/>
      <c r="BR347" s="410"/>
      <c r="BS347" s="410">
        <f>+BS358</f>
        <v>423.80108731069441</v>
      </c>
      <c r="BT347" s="410">
        <f t="shared" ref="BT347:BZ347" si="460">+BT358</f>
        <v>419.5331161586102</v>
      </c>
      <c r="BU347" s="410">
        <f t="shared" si="460"/>
        <v>442.76013868405056</v>
      </c>
      <c r="BV347" s="410">
        <f t="shared" si="460"/>
        <v>457.74158418509921</v>
      </c>
      <c r="BW347" s="410">
        <f t="shared" si="460"/>
        <v>469.65124061926855</v>
      </c>
      <c r="BX347" s="410">
        <f t="shared" si="460"/>
        <v>464.75033603440119</v>
      </c>
      <c r="BY347" s="410">
        <f t="shared" si="460"/>
        <v>453.75814784970078</v>
      </c>
      <c r="BZ347" s="410">
        <f t="shared" si="460"/>
        <v>455.0182137521702</v>
      </c>
      <c r="CA347" s="410">
        <f>+CA358</f>
        <v>471.78232070929903</v>
      </c>
      <c r="CB347" s="410">
        <f>+CB358</f>
        <v>458.91454292684932</v>
      </c>
      <c r="CC347" s="410">
        <f>+CC358</f>
        <v>461.98051101277861</v>
      </c>
      <c r="CD347" s="410">
        <f>+CD358</f>
        <v>470.99260113007688</v>
      </c>
    </row>
    <row r="348" spans="1:101">
      <c r="A348" s="34"/>
      <c r="B348" s="267" t="s">
        <v>427</v>
      </c>
      <c r="T348" s="305">
        <f t="shared" ref="T348:Y348" si="461">+T327/T343*1000</f>
        <v>435.95898158461358</v>
      </c>
      <c r="U348" s="305">
        <f t="shared" si="461"/>
        <v>460.79448456388525</v>
      </c>
      <c r="V348" s="305">
        <f t="shared" si="461"/>
        <v>465.91749394475096</v>
      </c>
      <c r="W348" s="305">
        <f t="shared" si="461"/>
        <v>462.39876594740338</v>
      </c>
      <c r="X348" s="305">
        <f t="shared" si="461"/>
        <v>490.42670256355109</v>
      </c>
      <c r="Y348" s="305">
        <f t="shared" si="461"/>
        <v>496.01836631392081</v>
      </c>
      <c r="Z348" s="26"/>
      <c r="AA348" s="26"/>
      <c r="AB348" s="26"/>
      <c r="AC348" s="26"/>
      <c r="AD348" s="26"/>
      <c r="AE348" s="26"/>
      <c r="AF348" s="26"/>
      <c r="AG348" s="26"/>
      <c r="AH348" s="26"/>
      <c r="AI348" s="26"/>
      <c r="AJ348" s="26"/>
      <c r="AK348" s="26"/>
      <c r="AL348" s="26"/>
      <c r="AM348" s="26"/>
      <c r="AN348" s="26"/>
      <c r="AO348" s="26"/>
      <c r="AP348" s="26"/>
      <c r="AQ348" s="26"/>
      <c r="AR348" s="26"/>
      <c r="AS348" s="26"/>
      <c r="AT348" s="26"/>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305">
        <f>+BS327/BS343*1000</f>
        <v>423.80108731069441</v>
      </c>
      <c r="BT348" s="305">
        <f t="shared" ref="BT348:BZ348" si="462">+BT327/BT343*1000</f>
        <v>419.53311615861026</v>
      </c>
      <c r="BU348" s="305">
        <f t="shared" si="462"/>
        <v>442.76013868405062</v>
      </c>
      <c r="BV348" s="305">
        <f t="shared" si="462"/>
        <v>457.74158418509921</v>
      </c>
      <c r="BW348" s="305">
        <f t="shared" si="462"/>
        <v>469.65124061926855</v>
      </c>
      <c r="BX348" s="305">
        <f t="shared" si="462"/>
        <v>464.75033603440124</v>
      </c>
      <c r="BY348" s="305">
        <f t="shared" si="462"/>
        <v>453.75814784970078</v>
      </c>
      <c r="BZ348" s="305">
        <f t="shared" si="462"/>
        <v>455.01821375217014</v>
      </c>
      <c r="CA348" s="305">
        <f>+CA327/CA343*1000</f>
        <v>471.78232070929903</v>
      </c>
      <c r="CB348" s="305">
        <f>+CB327/CB343*1000</f>
        <v>458.91454292684938</v>
      </c>
      <c r="CC348" s="305">
        <f>+CC327/CC343*1000</f>
        <v>461.98051101277861</v>
      </c>
      <c r="CD348" s="305">
        <f>+CD327/CD343*1000</f>
        <v>470.99260113007688</v>
      </c>
    </row>
    <row r="349" spans="1:101">
      <c r="A349" s="34"/>
      <c r="B349" s="18"/>
      <c r="T349" s="77"/>
      <c r="U349" s="77"/>
      <c r="V349" s="327"/>
      <c r="W349" s="77"/>
      <c r="X349" s="77"/>
      <c r="Y349" s="77"/>
      <c r="BS349" s="77"/>
      <c r="BT349" s="77"/>
      <c r="BU349" s="77"/>
      <c r="BV349" s="77"/>
      <c r="BW349" s="77"/>
      <c r="BX349" s="77"/>
      <c r="BY349" s="77"/>
      <c r="BZ349" s="77"/>
    </row>
    <row r="350" spans="1:101">
      <c r="A350" s="34"/>
      <c r="B350" s="149" t="s">
        <v>468</v>
      </c>
      <c r="T350" s="77"/>
      <c r="V350" s="292"/>
      <c r="W350" s="77"/>
      <c r="X350" s="77"/>
      <c r="BS350" s="77"/>
      <c r="BT350" s="77"/>
      <c r="BU350" s="77"/>
      <c r="BV350" s="77"/>
      <c r="BW350" s="77"/>
      <c r="BX350" s="77"/>
      <c r="BY350" s="77"/>
      <c r="BZ350" s="77"/>
    </row>
    <row r="351" spans="1:101">
      <c r="A351" s="34"/>
      <c r="B351" s="266" t="s">
        <v>469</v>
      </c>
      <c r="T351" s="410">
        <f>+T389</f>
        <v>587.75862068965512</v>
      </c>
      <c r="U351" s="410">
        <f>+U389</f>
        <v>703.5</v>
      </c>
      <c r="V351" s="410">
        <f>+V389</f>
        <v>695.38461538461536</v>
      </c>
      <c r="W351" s="410">
        <f t="shared" ref="W351:Y351" si="463">+W389</f>
        <v>695.38461538461536</v>
      </c>
      <c r="X351" s="410">
        <f t="shared" si="463"/>
        <v>695.38461538461536</v>
      </c>
      <c r="Y351" s="410">
        <f t="shared" si="463"/>
        <v>695.38461538461536</v>
      </c>
      <c r="Z351" s="26"/>
      <c r="AA351" s="26"/>
      <c r="AB351" s="26"/>
      <c r="AC351" s="26"/>
      <c r="AD351" s="26"/>
      <c r="AE351" s="26"/>
      <c r="AF351" s="26"/>
      <c r="AG351" s="26"/>
      <c r="AH351" s="26"/>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410">
        <f t="shared" ref="BS351:BZ351" si="464">+BS389</f>
        <v>479.61538461538464</v>
      </c>
      <c r="BT351" s="410">
        <f t="shared" si="464"/>
        <v>606.92307692307691</v>
      </c>
      <c r="BU351" s="410">
        <f t="shared" si="464"/>
        <v>582.57575757575762</v>
      </c>
      <c r="BV351" s="410">
        <f t="shared" si="464"/>
        <v>682</v>
      </c>
      <c r="BW351" s="410">
        <f t="shared" si="464"/>
        <v>736.38461538461536</v>
      </c>
      <c r="BX351" s="410">
        <f t="shared" si="464"/>
        <v>682.53846153846155</v>
      </c>
      <c r="BY351" s="410">
        <f t="shared" si="464"/>
        <v>705.38461538461536</v>
      </c>
      <c r="BZ351" s="410">
        <f t="shared" si="464"/>
        <v>689.69230769230774</v>
      </c>
      <c r="CA351" s="410">
        <f>+CA389</f>
        <v>695.38461538461536</v>
      </c>
      <c r="CB351" s="410">
        <f>+CB389</f>
        <v>695.38461538461536</v>
      </c>
      <c r="CC351" s="410">
        <f>+CC389</f>
        <v>695.38461538461536</v>
      </c>
      <c r="CD351" s="410">
        <f>+CD389</f>
        <v>695.38461538461536</v>
      </c>
    </row>
    <row r="352" spans="1:101">
      <c r="A352" s="34"/>
      <c r="B352" s="266" t="s">
        <v>431</v>
      </c>
      <c r="T352" s="292">
        <f>AVERAGE(BS352:BV352)</f>
        <v>0</v>
      </c>
      <c r="U352" s="292">
        <f>AVERAGE(BW352:BZ352)</f>
        <v>0</v>
      </c>
      <c r="V352" s="439">
        <f>AVERAGE(CA352:CD352)</f>
        <v>0</v>
      </c>
      <c r="W352" s="291">
        <v>0</v>
      </c>
      <c r="X352" s="291">
        <v>0</v>
      </c>
      <c r="Y352" s="291">
        <v>0</v>
      </c>
      <c r="BS352" s="291">
        <v>0</v>
      </c>
      <c r="BT352" s="291">
        <v>0</v>
      </c>
      <c r="BU352" s="291">
        <v>0</v>
      </c>
      <c r="BV352" s="291">
        <v>0</v>
      </c>
      <c r="BW352" s="291">
        <v>0</v>
      </c>
      <c r="BX352" s="291">
        <v>0</v>
      </c>
      <c r="BY352" s="291">
        <v>0</v>
      </c>
      <c r="BZ352" s="291">
        <v>0</v>
      </c>
      <c r="CA352" s="291">
        <v>0</v>
      </c>
      <c r="CB352" s="291">
        <v>0</v>
      </c>
      <c r="CC352" s="291">
        <v>0</v>
      </c>
      <c r="CD352" s="291">
        <v>0</v>
      </c>
    </row>
    <row r="353" spans="1:82">
      <c r="A353" s="34"/>
      <c r="B353" s="244" t="s">
        <v>470</v>
      </c>
      <c r="T353" s="293">
        <f t="shared" ref="T353:Y353" si="465">T351*(1+T352)</f>
        <v>587.75862068965512</v>
      </c>
      <c r="U353" s="293">
        <f>U351*(1+U352)</f>
        <v>703.5</v>
      </c>
      <c r="V353" s="293">
        <f t="shared" si="465"/>
        <v>695.38461538461536</v>
      </c>
      <c r="W353" s="293">
        <f t="shared" si="465"/>
        <v>695.38461538461536</v>
      </c>
      <c r="X353" s="293">
        <f t="shared" si="465"/>
        <v>695.38461538461536</v>
      </c>
      <c r="Y353" s="293">
        <f t="shared" si="465"/>
        <v>695.38461538461536</v>
      </c>
      <c r="Z353" s="26"/>
      <c r="AA353" s="26"/>
      <c r="AB353" s="26"/>
      <c r="AC353" s="26"/>
      <c r="AD353" s="26"/>
      <c r="AE353" s="26"/>
      <c r="AF353" s="26"/>
      <c r="AG353" s="26"/>
      <c r="AH353" s="26"/>
      <c r="AI353" s="26"/>
      <c r="AJ353" s="26"/>
      <c r="AK353" s="26"/>
      <c r="AL353" s="26"/>
      <c r="AM353" s="26"/>
      <c r="AN353" s="26"/>
      <c r="AO353" s="26"/>
      <c r="AP353" s="26"/>
      <c r="AQ353" s="26"/>
      <c r="AR353" s="26"/>
      <c r="AS353" s="26"/>
      <c r="AT353" s="26"/>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93">
        <f>BS351*(1+BS352)</f>
        <v>479.61538461538464</v>
      </c>
      <c r="BT353" s="293">
        <f t="shared" ref="BT353:BZ353" si="466">BT351*(1+BT352)</f>
        <v>606.92307692307691</v>
      </c>
      <c r="BU353" s="293">
        <f t="shared" si="466"/>
        <v>582.57575757575762</v>
      </c>
      <c r="BV353" s="293">
        <f t="shared" si="466"/>
        <v>682</v>
      </c>
      <c r="BW353" s="293">
        <f t="shared" si="466"/>
        <v>736.38461538461536</v>
      </c>
      <c r="BX353" s="293">
        <f t="shared" si="466"/>
        <v>682.53846153846155</v>
      </c>
      <c r="BY353" s="293">
        <f t="shared" si="466"/>
        <v>705.38461538461536</v>
      </c>
      <c r="BZ353" s="293">
        <f t="shared" si="466"/>
        <v>689.69230769230774</v>
      </c>
      <c r="CA353" s="293">
        <f>CA351*(1+CA352)</f>
        <v>695.38461538461536</v>
      </c>
      <c r="CB353" s="293">
        <f>CB351*(1+CB352)</f>
        <v>695.38461538461536</v>
      </c>
      <c r="CC353" s="293">
        <f>CC351*(1+CC352)</f>
        <v>695.38461538461536</v>
      </c>
      <c r="CD353" s="293">
        <f>CD351*(1+CD352)</f>
        <v>695.38461538461536</v>
      </c>
    </row>
    <row r="354" spans="1:82">
      <c r="A354" s="34"/>
      <c r="B354" s="244"/>
      <c r="T354" s="77"/>
      <c r="U354" s="77"/>
      <c r="V354" s="77"/>
      <c r="W354" s="77"/>
      <c r="X354" s="77"/>
      <c r="Y354" s="77"/>
      <c r="BS354" s="77"/>
      <c r="BT354" s="77"/>
      <c r="BU354" s="77"/>
      <c r="BV354" s="77"/>
      <c r="BW354" s="77"/>
      <c r="BX354" s="77"/>
      <c r="BY354" s="77"/>
      <c r="BZ354" s="77"/>
    </row>
    <row r="355" spans="1:82">
      <c r="A355" s="36"/>
      <c r="B355" s="149" t="s">
        <v>463</v>
      </c>
      <c r="T355" s="260"/>
      <c r="U355" s="260"/>
      <c r="V355" s="260"/>
      <c r="W355" s="260"/>
      <c r="X355" s="260"/>
      <c r="Y355" s="260"/>
      <c r="BS355" s="260"/>
      <c r="BT355" s="246"/>
      <c r="BU355" s="246"/>
      <c r="BV355" s="246"/>
      <c r="BW355" s="246"/>
      <c r="BX355" s="246"/>
      <c r="BY355" s="246"/>
      <c r="BZ355" s="246"/>
    </row>
    <row r="356" spans="1:82">
      <c r="B356" s="5" t="s">
        <v>639</v>
      </c>
      <c r="H356" s="69"/>
      <c r="I356" s="69"/>
      <c r="J356" s="69"/>
      <c r="K356" s="69"/>
      <c r="L356" s="69"/>
      <c r="M356" s="69"/>
      <c r="N356" s="69"/>
      <c r="O356" s="69"/>
      <c r="P356" s="69"/>
      <c r="Q356" s="69"/>
      <c r="R356" s="69"/>
      <c r="S356" s="69"/>
      <c r="T356" s="410">
        <f t="shared" ref="T356:Y356" si="467">+T96</f>
        <v>363.29915132051127</v>
      </c>
      <c r="U356" s="410">
        <f t="shared" si="467"/>
        <v>383.99540380323765</v>
      </c>
      <c r="V356" s="410">
        <f t="shared" si="467"/>
        <v>388.26457828729247</v>
      </c>
      <c r="W356" s="410">
        <f t="shared" si="467"/>
        <v>385.33230495616948</v>
      </c>
      <c r="X356" s="410">
        <f t="shared" si="467"/>
        <v>408.68891880295928</v>
      </c>
      <c r="Y356" s="410">
        <f t="shared" si="467"/>
        <v>413.34863859493402</v>
      </c>
      <c r="Z356" s="26"/>
      <c r="AA356" s="26"/>
      <c r="AB356" s="26"/>
      <c r="AC356" s="26"/>
      <c r="AD356" s="26"/>
      <c r="AE356" s="26"/>
      <c r="AF356" s="26"/>
      <c r="AG356" s="26"/>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26"/>
      <c r="BM356" s="26"/>
      <c r="BN356" s="26"/>
      <c r="BO356" s="26"/>
      <c r="BP356" s="26"/>
      <c r="BQ356" s="26"/>
      <c r="BR356" s="26"/>
      <c r="BS356" s="410">
        <f t="shared" ref="BS356:CD356" si="468">+BS96</f>
        <v>353.167572758912</v>
      </c>
      <c r="BT356" s="410">
        <f t="shared" si="468"/>
        <v>349.61093013217516</v>
      </c>
      <c r="BU356" s="410">
        <f t="shared" si="468"/>
        <v>368.96678223670881</v>
      </c>
      <c r="BV356" s="410">
        <f t="shared" si="468"/>
        <v>381.45132015424934</v>
      </c>
      <c r="BW356" s="410">
        <f t="shared" si="468"/>
        <v>391.37603384939047</v>
      </c>
      <c r="BX356" s="410">
        <f t="shared" si="468"/>
        <v>387.29194669533433</v>
      </c>
      <c r="BY356" s="410">
        <f t="shared" si="468"/>
        <v>378.13178987475067</v>
      </c>
      <c r="BZ356" s="410">
        <f t="shared" si="468"/>
        <v>379.18184479347519</v>
      </c>
      <c r="CA356" s="410">
        <f t="shared" si="468"/>
        <v>393.15193392441586</v>
      </c>
      <c r="CB356" s="410">
        <f t="shared" si="468"/>
        <v>382.42878577237445</v>
      </c>
      <c r="CC356" s="410">
        <f t="shared" si="468"/>
        <v>384.98375917731551</v>
      </c>
      <c r="CD356" s="410">
        <f t="shared" si="468"/>
        <v>392.4938342750641</v>
      </c>
    </row>
    <row r="357" spans="1:82">
      <c r="B357" s="5" t="s">
        <v>383</v>
      </c>
      <c r="G357" s="256"/>
      <c r="H357" s="69"/>
      <c r="I357" s="69"/>
      <c r="J357" s="69"/>
      <c r="K357" s="69"/>
      <c r="L357" s="69"/>
      <c r="M357" s="69"/>
      <c r="N357" s="69"/>
      <c r="O357" s="69"/>
      <c r="P357" s="69"/>
      <c r="Q357" s="69"/>
      <c r="R357" s="69"/>
      <c r="S357" s="69"/>
      <c r="T357" s="276">
        <f>+T358/T356-1</f>
        <v>0.20000000000000018</v>
      </c>
      <c r="U357" s="276">
        <f>+U358/U356-1</f>
        <v>0.20000000000000018</v>
      </c>
      <c r="V357" s="276">
        <f>+V358/V356-1</f>
        <v>0.19999999999999996</v>
      </c>
      <c r="W357" s="261">
        <f>+V357</f>
        <v>0.19999999999999996</v>
      </c>
      <c r="X357" s="261">
        <f>+W357</f>
        <v>0.19999999999999996</v>
      </c>
      <c r="Y357" s="261">
        <f>+X357</f>
        <v>0.19999999999999996</v>
      </c>
      <c r="Z357" s="48"/>
      <c r="AA357" s="48"/>
      <c r="AB357" s="48"/>
      <c r="AC357" s="48"/>
      <c r="AD357" s="48"/>
      <c r="AE357" s="48"/>
      <c r="AF357" s="48"/>
      <c r="AG357" s="48"/>
      <c r="AH357" s="48"/>
      <c r="AI357" s="48"/>
      <c r="AJ357" s="48"/>
      <c r="AK357" s="48"/>
      <c r="AL357" s="48"/>
      <c r="AM357" s="48"/>
      <c r="AN357" s="48"/>
      <c r="AO357" s="48"/>
      <c r="AP357" s="48"/>
      <c r="AQ357" s="48"/>
      <c r="AR357" s="48"/>
      <c r="AS357" s="48"/>
      <c r="AT357" s="48"/>
      <c r="AU357" s="48"/>
      <c r="AV357" s="48"/>
      <c r="AW357" s="48"/>
      <c r="AX357" s="48"/>
      <c r="AY357" s="48"/>
      <c r="AZ357" s="48"/>
      <c r="BA357" s="48"/>
      <c r="BB357" s="48"/>
      <c r="BC357" s="48"/>
      <c r="BD357" s="48"/>
      <c r="BE357" s="48"/>
      <c r="BF357" s="48"/>
      <c r="BG357" s="48"/>
      <c r="BH357" s="48"/>
      <c r="BI357" s="48"/>
      <c r="BJ357" s="48"/>
      <c r="BK357" s="48"/>
      <c r="BL357" s="48"/>
      <c r="BM357" s="48"/>
      <c r="BN357" s="48"/>
      <c r="BO357" s="48"/>
      <c r="BP357" s="48"/>
      <c r="BQ357" s="48"/>
      <c r="BR357" s="48"/>
      <c r="BS357" s="261">
        <v>0.2</v>
      </c>
      <c r="BT357" s="402">
        <f>+BS357</f>
        <v>0.2</v>
      </c>
      <c r="BU357" s="402">
        <f t="shared" ref="BU357:BZ357" si="469">+BT357</f>
        <v>0.2</v>
      </c>
      <c r="BV357" s="402">
        <f t="shared" si="469"/>
        <v>0.2</v>
      </c>
      <c r="BW357" s="402">
        <f t="shared" si="469"/>
        <v>0.2</v>
      </c>
      <c r="BX357" s="402">
        <f>+BW357</f>
        <v>0.2</v>
      </c>
      <c r="BY357" s="402">
        <f>+BX357</f>
        <v>0.2</v>
      </c>
      <c r="BZ357" s="402">
        <f t="shared" si="469"/>
        <v>0.2</v>
      </c>
      <c r="CA357" s="402">
        <f>+BZ357</f>
        <v>0.2</v>
      </c>
      <c r="CB357" s="402">
        <f>+CA357</f>
        <v>0.2</v>
      </c>
      <c r="CC357" s="402">
        <f>+CB357</f>
        <v>0.2</v>
      </c>
      <c r="CD357" s="402">
        <f>+CC357</f>
        <v>0.2</v>
      </c>
    </row>
    <row r="358" spans="1:82">
      <c r="B358" s="244" t="s">
        <v>586</v>
      </c>
      <c r="H358" s="69"/>
      <c r="I358" s="69"/>
      <c r="J358" s="69"/>
      <c r="K358" s="69"/>
      <c r="L358" s="69"/>
      <c r="M358" s="69"/>
      <c r="N358" s="69"/>
      <c r="O358" s="69"/>
      <c r="P358" s="69"/>
      <c r="Q358" s="69"/>
      <c r="R358" s="69"/>
      <c r="S358" s="69"/>
      <c r="T358" s="277">
        <f>+T326/T342*1000</f>
        <v>435.95898158461358</v>
      </c>
      <c r="U358" s="277">
        <f>+U326/U342*1000</f>
        <v>460.79448456388525</v>
      </c>
      <c r="V358" s="277">
        <f>+V326/V342*1000</f>
        <v>465.91749394475096</v>
      </c>
      <c r="W358" s="277">
        <f>+W356*(1+W357)</f>
        <v>462.39876594740338</v>
      </c>
      <c r="X358" s="277">
        <f>+X356*(1+X357)</f>
        <v>490.42670256355109</v>
      </c>
      <c r="Y358" s="277">
        <f>+Y356*(1+Y357)</f>
        <v>496.01836631392081</v>
      </c>
      <c r="Z358" s="26"/>
      <c r="AA358" s="26"/>
      <c r="AB358" s="26"/>
      <c r="AC358" s="26"/>
      <c r="AD358" s="26"/>
      <c r="AE358" s="26"/>
      <c r="AF358" s="26"/>
      <c r="AG358" s="26"/>
      <c r="AH358" s="26"/>
      <c r="AI358" s="26"/>
      <c r="AJ358" s="26"/>
      <c r="AK358" s="26"/>
      <c r="AL358" s="26"/>
      <c r="AM358" s="26"/>
      <c r="AN358" s="26"/>
      <c r="AO358" s="26"/>
      <c r="AP358" s="26"/>
      <c r="AQ358" s="26"/>
      <c r="AR358" s="26"/>
      <c r="AS358" s="26"/>
      <c r="AT358" s="26"/>
      <c r="AU358" s="26"/>
      <c r="AV358" s="26"/>
      <c r="AW358" s="26"/>
      <c r="AX358" s="26"/>
      <c r="AY358" s="26"/>
      <c r="AZ358" s="26"/>
      <c r="BA358" s="26"/>
      <c r="BB358" s="26"/>
      <c r="BC358" s="452"/>
      <c r="BD358" s="452"/>
      <c r="BE358" s="452"/>
      <c r="BF358" s="452"/>
      <c r="BG358" s="452"/>
      <c r="BH358" s="452"/>
      <c r="BI358" s="452"/>
      <c r="BJ358" s="452"/>
      <c r="BK358" s="452"/>
      <c r="BL358" s="452"/>
      <c r="BM358" s="452"/>
      <c r="BN358" s="452"/>
      <c r="BO358" s="452"/>
      <c r="BP358" s="452"/>
      <c r="BQ358" s="452"/>
      <c r="BR358" s="452"/>
      <c r="BS358" s="277">
        <f t="shared" ref="BS358:BZ358" si="470">+BS356*(1+BS357)</f>
        <v>423.80108731069441</v>
      </c>
      <c r="BT358" s="277">
        <f t="shared" si="470"/>
        <v>419.5331161586102</v>
      </c>
      <c r="BU358" s="277">
        <f t="shared" si="470"/>
        <v>442.76013868405056</v>
      </c>
      <c r="BV358" s="277">
        <f t="shared" si="470"/>
        <v>457.74158418509921</v>
      </c>
      <c r="BW358" s="277">
        <f t="shared" si="470"/>
        <v>469.65124061926855</v>
      </c>
      <c r="BX358" s="277">
        <f t="shared" si="470"/>
        <v>464.75033603440119</v>
      </c>
      <c r="BY358" s="277">
        <f t="shared" si="470"/>
        <v>453.75814784970078</v>
      </c>
      <c r="BZ358" s="277">
        <f t="shared" si="470"/>
        <v>455.0182137521702</v>
      </c>
      <c r="CA358" s="277">
        <f>+CA356*(1+CA357)</f>
        <v>471.78232070929903</v>
      </c>
      <c r="CB358" s="277">
        <f>+CB356*(1+CB357)</f>
        <v>458.91454292684932</v>
      </c>
      <c r="CC358" s="277">
        <f>+CC356*(1+CC357)</f>
        <v>461.98051101277861</v>
      </c>
      <c r="CD358" s="277">
        <f>+CD356*(1+CD357)</f>
        <v>470.99260113007688</v>
      </c>
    </row>
    <row r="359" spans="1:82">
      <c r="H359" s="69"/>
      <c r="I359" s="69"/>
      <c r="J359" s="69"/>
      <c r="K359" s="69"/>
      <c r="L359" s="69"/>
      <c r="M359" s="69"/>
      <c r="N359" s="69"/>
      <c r="O359" s="69"/>
      <c r="P359" s="69"/>
      <c r="Q359" s="69"/>
      <c r="R359" s="69"/>
      <c r="S359" s="69"/>
      <c r="T359" s="90"/>
      <c r="U359" s="90"/>
      <c r="V359" s="90"/>
      <c r="W359" s="90"/>
      <c r="X359" s="90"/>
      <c r="Y359" s="90"/>
      <c r="Z359" s="34"/>
      <c r="AA359" s="34"/>
      <c r="AB359" s="34"/>
      <c r="AC359" s="34"/>
      <c r="AD359" s="34"/>
      <c r="AE359" s="34"/>
      <c r="AF359" s="34"/>
      <c r="AG359" s="34"/>
      <c r="AH359" s="34"/>
      <c r="AI359" s="34"/>
      <c r="AJ359" s="34"/>
      <c r="AK359" s="34"/>
      <c r="AL359" s="34"/>
      <c r="AM359" s="34"/>
      <c r="AN359" s="34"/>
      <c r="AO359" s="34"/>
      <c r="AP359" s="34"/>
      <c r="AQ359" s="34"/>
      <c r="AR359" s="34"/>
      <c r="AS359" s="34"/>
      <c r="AT359" s="34"/>
      <c r="AU359" s="34"/>
      <c r="AV359" s="34"/>
      <c r="AW359" s="34"/>
      <c r="AX359" s="34"/>
      <c r="AY359" s="34"/>
      <c r="AZ359" s="34"/>
      <c r="BA359" s="34"/>
      <c r="BB359" s="34"/>
      <c r="BC359" s="326"/>
      <c r="BD359" s="326"/>
      <c r="BE359" s="326"/>
      <c r="BF359" s="326"/>
      <c r="BG359" s="326"/>
      <c r="BH359" s="326"/>
      <c r="BI359" s="326"/>
      <c r="BJ359" s="326"/>
      <c r="BK359" s="326"/>
      <c r="BL359" s="326"/>
      <c r="BM359" s="326"/>
      <c r="BN359" s="326"/>
      <c r="BO359" s="326"/>
      <c r="BP359" s="326"/>
      <c r="BQ359" s="326"/>
      <c r="BR359" s="326"/>
      <c r="BS359" s="90"/>
      <c r="BT359" s="90"/>
      <c r="BU359" s="90"/>
      <c r="BV359" s="90"/>
      <c r="BW359" s="90"/>
      <c r="BX359" s="90"/>
      <c r="BY359" s="90"/>
      <c r="BZ359" s="90"/>
    </row>
    <row r="360" spans="1:82">
      <c r="A360" s="51" t="s">
        <v>150</v>
      </c>
      <c r="B360" s="27" t="s">
        <v>18</v>
      </c>
      <c r="C360" s="28"/>
      <c r="D360" s="28"/>
      <c r="E360" s="28"/>
      <c r="F360" s="28"/>
      <c r="G360" s="28"/>
      <c r="H360" s="28"/>
      <c r="I360" s="28"/>
      <c r="J360" s="28"/>
      <c r="K360" s="28"/>
      <c r="L360" s="28"/>
      <c r="M360" s="28"/>
      <c r="N360" s="28"/>
      <c r="O360" s="28"/>
      <c r="P360" s="28"/>
      <c r="Q360" s="28"/>
      <c r="R360" s="28"/>
      <c r="S360" s="28"/>
      <c r="T360" s="251"/>
      <c r="U360" s="251"/>
      <c r="V360" s="251"/>
      <c r="W360" s="251"/>
      <c r="X360" s="251"/>
      <c r="Y360" s="251"/>
      <c r="Z360" s="28"/>
      <c r="AA360" s="28"/>
      <c r="AB360" s="28"/>
      <c r="AC360" s="28"/>
      <c r="AD360" s="28"/>
      <c r="AE360" s="28"/>
      <c r="AF360" s="28"/>
      <c r="AG360" s="28"/>
      <c r="AH360" s="28"/>
      <c r="AI360" s="28"/>
      <c r="AJ360" s="28"/>
      <c r="AK360" s="28"/>
      <c r="AL360" s="28"/>
      <c r="AM360" s="28"/>
      <c r="AN360" s="28"/>
      <c r="AO360" s="28"/>
      <c r="AP360" s="28"/>
      <c r="AQ360" s="28"/>
      <c r="AR360" s="28"/>
      <c r="AS360" s="28"/>
      <c r="AT360" s="28"/>
      <c r="AU360" s="28"/>
      <c r="AV360" s="28"/>
      <c r="AW360" s="28"/>
      <c r="AX360" s="28"/>
      <c r="AY360" s="28"/>
      <c r="AZ360" s="28"/>
      <c r="BA360" s="28"/>
      <c r="BB360" s="28"/>
      <c r="BC360" s="28"/>
      <c r="BD360" s="28"/>
      <c r="BE360" s="28"/>
      <c r="BF360" s="28"/>
      <c r="BG360" s="28"/>
      <c r="BH360" s="28"/>
      <c r="BI360" s="28"/>
      <c r="BJ360" s="28"/>
      <c r="BK360" s="28"/>
      <c r="BL360" s="28"/>
      <c r="BM360" s="28"/>
      <c r="BN360" s="28"/>
      <c r="BO360" s="28"/>
      <c r="BP360" s="28"/>
      <c r="BQ360" s="28"/>
      <c r="BR360" s="28"/>
      <c r="BS360" s="251"/>
      <c r="BT360" s="251"/>
      <c r="BU360" s="251"/>
      <c r="BV360" s="251"/>
      <c r="BW360" s="251"/>
      <c r="BX360" s="251"/>
      <c r="BY360" s="251"/>
      <c r="BZ360" s="251"/>
      <c r="CA360" s="251"/>
      <c r="CB360" s="251"/>
      <c r="CC360" s="251"/>
      <c r="CD360" s="251"/>
    </row>
    <row r="361" spans="1:82">
      <c r="A361" s="36"/>
      <c r="B361" s="149" t="s">
        <v>496</v>
      </c>
      <c r="V361" s="280"/>
      <c r="BY361" s="322"/>
      <c r="BZ361" s="322"/>
    </row>
    <row r="362" spans="1:82">
      <c r="A362" s="36"/>
      <c r="B362" s="244" t="s">
        <v>380</v>
      </c>
      <c r="T362" s="322">
        <f>SUM(BS362:BV362)</f>
        <v>763.9922941828404</v>
      </c>
      <c r="U362" s="322">
        <f>SUM(BW362:BZ362)</f>
        <v>894.3845234909096</v>
      </c>
      <c r="V362" s="322">
        <f>SUM(CA362:CD362)</f>
        <v>912.93244400110223</v>
      </c>
      <c r="W362" s="322">
        <f>V362*(1+W363)</f>
        <v>931.19109288112429</v>
      </c>
      <c r="X362" s="322">
        <f>W362*(1+X363)</f>
        <v>949.81491473874678</v>
      </c>
      <c r="Y362" s="322">
        <f>X362*(1+Y363)</f>
        <v>968.81121303352177</v>
      </c>
      <c r="BS362" s="415">
        <f t="shared" ref="BS362:BZ362" si="471">BS8</f>
        <v>156.33715337056833</v>
      </c>
      <c r="BT362" s="415">
        <f t="shared" si="471"/>
        <v>205.96211347635403</v>
      </c>
      <c r="BU362" s="415">
        <f t="shared" si="471"/>
        <v>212.05531412417076</v>
      </c>
      <c r="BV362" s="415">
        <f t="shared" si="471"/>
        <v>189.63771321174727</v>
      </c>
      <c r="BW362" s="415">
        <f t="shared" si="471"/>
        <v>200.41216573390159</v>
      </c>
      <c r="BX362" s="415">
        <f t="shared" si="471"/>
        <v>211.17617717171174</v>
      </c>
      <c r="BY362" s="415">
        <f t="shared" si="471"/>
        <v>229.96670227243317</v>
      </c>
      <c r="BZ362" s="415">
        <f t="shared" si="471"/>
        <v>252.8294783128631</v>
      </c>
      <c r="CA362" s="322">
        <f>+BW362*(1+CA363)</f>
        <v>212.43689567793569</v>
      </c>
      <c r="CB362" s="322">
        <f>+BX362*(1+CB363)</f>
        <v>215.39970071514597</v>
      </c>
      <c r="CC362" s="322">
        <f>+BY362*(1+CC363)</f>
        <v>232.26636929515749</v>
      </c>
      <c r="CD362" s="322">
        <f>+BZ362*(1+CD363)</f>
        <v>252.8294783128631</v>
      </c>
    </row>
    <row r="363" spans="1:82">
      <c r="A363" s="36"/>
      <c r="B363" s="287" t="s">
        <v>141</v>
      </c>
      <c r="T363" s="260"/>
      <c r="U363" s="280">
        <f>+U362/T362-1</f>
        <v>0.17067217863438744</v>
      </c>
      <c r="V363" s="280">
        <f>+V362/U362-1</f>
        <v>2.0738194840176138E-2</v>
      </c>
      <c r="W363" s="323">
        <v>0.02</v>
      </c>
      <c r="X363" s="323">
        <v>0.02</v>
      </c>
      <c r="Y363" s="323">
        <v>0.02</v>
      </c>
      <c r="BS363" s="260"/>
      <c r="BT363" s="246"/>
      <c r="BU363" s="246"/>
      <c r="BV363" s="246"/>
      <c r="BW363" s="280">
        <f>+BW362/BS362-1</f>
        <v>0.28192282776738042</v>
      </c>
      <c r="BX363" s="280">
        <f>+BX362/BT362-1</f>
        <v>2.5315644743353793E-2</v>
      </c>
      <c r="BY363" s="280">
        <f>+BY362/BU362-1</f>
        <v>8.4465641534332114E-2</v>
      </c>
      <c r="BZ363" s="280">
        <f>+BZ362/BV362-1</f>
        <v>0.33322361903065478</v>
      </c>
      <c r="CA363" s="323">
        <v>0.06</v>
      </c>
      <c r="CB363" s="323">
        <v>0.02</v>
      </c>
      <c r="CC363" s="323">
        <v>0.01</v>
      </c>
      <c r="CD363" s="323">
        <v>0</v>
      </c>
    </row>
    <row r="364" spans="1:82">
      <c r="A364" s="36"/>
      <c r="B364" s="244"/>
      <c r="T364" s="260"/>
      <c r="V364" s="280"/>
      <c r="W364" s="260"/>
      <c r="X364" s="260"/>
      <c r="BS364" s="260"/>
      <c r="BT364" s="246"/>
      <c r="BU364" s="246"/>
      <c r="BV364" s="246"/>
      <c r="BW364" s="468"/>
      <c r="BX364" s="468"/>
      <c r="BY364" s="468"/>
      <c r="BZ364" s="468"/>
      <c r="CA364" s="468"/>
      <c r="CB364" s="468"/>
      <c r="CC364" s="468"/>
      <c r="CD364" s="468"/>
    </row>
    <row r="365" spans="1:82" outlineLevel="1">
      <c r="A365" s="51" t="s">
        <v>150</v>
      </c>
      <c r="B365" s="27" t="s">
        <v>377</v>
      </c>
      <c r="C365" s="28"/>
      <c r="D365" s="28"/>
      <c r="E365" s="28"/>
      <c r="F365" s="28"/>
      <c r="G365" s="28"/>
      <c r="H365" s="28"/>
      <c r="I365" s="28"/>
      <c r="J365" s="28"/>
      <c r="K365" s="28"/>
      <c r="L365" s="28"/>
      <c r="M365" s="28"/>
      <c r="N365" s="28"/>
      <c r="O365" s="28"/>
      <c r="P365" s="28"/>
      <c r="Q365" s="28"/>
      <c r="R365" s="28"/>
      <c r="S365" s="28"/>
      <c r="T365" s="251"/>
      <c r="U365" s="251"/>
      <c r="V365" s="251"/>
      <c r="W365" s="251"/>
      <c r="X365" s="251"/>
      <c r="Y365" s="251"/>
      <c r="Z365" s="28"/>
      <c r="AA365" s="28"/>
      <c r="AB365" s="28"/>
      <c r="AC365" s="28"/>
      <c r="AD365" s="28"/>
      <c r="AE365" s="28"/>
      <c r="AF365" s="28"/>
      <c r="AG365" s="28"/>
      <c r="AH365" s="28"/>
      <c r="AI365" s="28"/>
      <c r="AJ365" s="28"/>
      <c r="AK365" s="28"/>
      <c r="AL365" s="28"/>
      <c r="AM365" s="28"/>
      <c r="AN365" s="28"/>
      <c r="AO365" s="28"/>
      <c r="AP365" s="28"/>
      <c r="AQ365" s="28"/>
      <c r="AR365" s="28"/>
      <c r="AS365" s="28"/>
      <c r="AT365" s="28"/>
      <c r="AU365" s="28"/>
      <c r="AV365" s="28"/>
      <c r="AW365" s="28"/>
      <c r="AX365" s="28"/>
      <c r="AY365" s="28"/>
      <c r="AZ365" s="28"/>
      <c r="BA365" s="28"/>
      <c r="BB365" s="28"/>
      <c r="BC365" s="28"/>
      <c r="BD365" s="28"/>
      <c r="BE365" s="28"/>
      <c r="BF365" s="28"/>
      <c r="BG365" s="28"/>
      <c r="BH365" s="28"/>
      <c r="BI365" s="28"/>
      <c r="BJ365" s="28"/>
      <c r="BK365" s="28"/>
      <c r="BL365" s="28"/>
      <c r="BM365" s="28"/>
      <c r="BN365" s="28"/>
      <c r="BO365" s="28"/>
      <c r="BP365" s="28"/>
      <c r="BQ365" s="28"/>
      <c r="BR365" s="28"/>
      <c r="BS365" s="251"/>
      <c r="BT365" s="251"/>
      <c r="BU365" s="251"/>
      <c r="BV365" s="251"/>
      <c r="BW365" s="251"/>
      <c r="BX365" s="251"/>
      <c r="BY365" s="251"/>
      <c r="BZ365" s="251"/>
      <c r="CA365" s="251"/>
      <c r="CB365" s="251"/>
      <c r="CC365" s="251"/>
      <c r="CD365" s="251"/>
    </row>
    <row r="366" spans="1:82" outlineLevel="1">
      <c r="A366" s="34"/>
      <c r="B366" s="149" t="s">
        <v>376</v>
      </c>
      <c r="T366" s="77"/>
      <c r="U366" s="77"/>
      <c r="V366" s="77"/>
      <c r="W366" s="77"/>
      <c r="X366" s="77"/>
      <c r="Y366" s="77"/>
      <c r="BG366" s="430"/>
      <c r="BH366" s="430"/>
      <c r="BI366" s="430"/>
      <c r="BJ366" s="430"/>
      <c r="BK366" s="430"/>
      <c r="BL366" s="430"/>
      <c r="BM366" s="430"/>
      <c r="BN366" s="430"/>
      <c r="BO366" s="430"/>
      <c r="BP366" s="430"/>
      <c r="BQ366" s="430"/>
      <c r="BR366" s="430"/>
      <c r="BS366" s="430"/>
      <c r="BT366" s="430"/>
      <c r="BU366" s="430"/>
      <c r="BV366" s="430"/>
      <c r="BW366" s="430"/>
      <c r="BX366" s="430"/>
      <c r="BY366" s="430"/>
      <c r="BZ366" s="430"/>
      <c r="CA366" s="469"/>
      <c r="CB366" s="469"/>
      <c r="CC366" s="469"/>
      <c r="CD366" s="469"/>
    </row>
    <row r="367" spans="1:82" outlineLevel="1">
      <c r="B367" s="266" t="s">
        <v>597</v>
      </c>
      <c r="H367" s="69"/>
      <c r="I367" s="69"/>
      <c r="J367" s="69"/>
      <c r="K367" s="69"/>
      <c r="L367" s="69"/>
      <c r="M367" s="69"/>
      <c r="N367" s="23">
        <f>AVERAGE(AU367:AX367)</f>
        <v>221.30797750000002</v>
      </c>
      <c r="O367" s="23">
        <f>AVERAGE(AY367:BB367)</f>
        <v>422.00925000000007</v>
      </c>
      <c r="P367" s="22">
        <v>452.32250000000005</v>
      </c>
      <c r="Q367" s="22">
        <v>484.47291666666666</v>
      </c>
      <c r="R367" s="22">
        <v>468.16806250000008</v>
      </c>
      <c r="S367" s="22">
        <v>458.98222916666668</v>
      </c>
      <c r="T367" s="22">
        <v>529.48349999999994</v>
      </c>
      <c r="U367" s="22">
        <v>698.95833333333337</v>
      </c>
      <c r="V367" s="22">
        <v>832.79166666666663</v>
      </c>
      <c r="W367" s="255">
        <v>876</v>
      </c>
      <c r="X367" s="255">
        <v>923</v>
      </c>
      <c r="Y367" s="255">
        <v>974</v>
      </c>
      <c r="Z367" s="69"/>
      <c r="AA367" s="69"/>
      <c r="AB367" s="69"/>
      <c r="AC367" s="69"/>
      <c r="AD367" s="69"/>
      <c r="AE367" s="69"/>
      <c r="AF367" s="69"/>
      <c r="AG367" s="69"/>
      <c r="AH367" s="69"/>
      <c r="AI367" s="69"/>
      <c r="AJ367" s="69"/>
      <c r="AK367" s="69"/>
      <c r="AL367" s="69"/>
      <c r="AM367" s="69"/>
      <c r="AN367" s="69"/>
      <c r="AO367" s="69"/>
      <c r="AP367" s="69"/>
      <c r="AQ367" s="69"/>
      <c r="AR367" s="69"/>
      <c r="AS367" s="69"/>
      <c r="AT367" s="69"/>
      <c r="AU367" s="86">
        <v>119.75859000000003</v>
      </c>
      <c r="AV367" s="86">
        <v>211.69040999999999</v>
      </c>
      <c r="AW367" s="86">
        <v>237.37400000000002</v>
      </c>
      <c r="AX367" s="86">
        <v>316.40890999999999</v>
      </c>
      <c r="AY367" s="86">
        <v>336.58100000000002</v>
      </c>
      <c r="AZ367" s="86">
        <v>410.10441000000003</v>
      </c>
      <c r="BA367" s="86">
        <v>446.81100000000004</v>
      </c>
      <c r="BB367" s="86">
        <v>494.54058999999995</v>
      </c>
      <c r="BC367" s="430">
        <v>447.72958333333327</v>
      </c>
      <c r="BD367" s="430">
        <v>422.00925000000001</v>
      </c>
      <c r="BE367" s="430">
        <v>456.91541666666666</v>
      </c>
      <c r="BF367" s="430">
        <v>482.63575000000009</v>
      </c>
      <c r="BG367" s="430">
        <v>482.63575000000009</v>
      </c>
      <c r="BH367" s="430">
        <v>508.35608333333334</v>
      </c>
      <c r="BI367" s="430">
        <v>486.3100833333333</v>
      </c>
      <c r="BJ367" s="430">
        <v>460.58974999999992</v>
      </c>
      <c r="BK367" s="430">
        <v>456.91541666666672</v>
      </c>
      <c r="BL367" s="430">
        <v>474.36850000000004</v>
      </c>
      <c r="BM367" s="430">
        <v>467.01983333333334</v>
      </c>
      <c r="BN367" s="430">
        <v>474.36850000000004</v>
      </c>
      <c r="BO367" s="430">
        <v>467.01983333333328</v>
      </c>
      <c r="BP367" s="430">
        <v>454.15966666666662</v>
      </c>
      <c r="BQ367" s="430">
        <v>439.46233333333339</v>
      </c>
      <c r="BR367" s="430">
        <v>475.28708333333333</v>
      </c>
      <c r="BS367" s="430">
        <v>460.58975000000004</v>
      </c>
      <c r="BT367" s="430">
        <v>492.74016666666665</v>
      </c>
      <c r="BU367" s="430">
        <v>546.93658333333326</v>
      </c>
      <c r="BV367" s="430">
        <v>617.66750000000002</v>
      </c>
      <c r="BW367" s="430">
        <v>625.16666666666663</v>
      </c>
      <c r="BX367" s="430">
        <v>685.66666666666663</v>
      </c>
      <c r="BY367" s="430">
        <v>711.33333333333337</v>
      </c>
      <c r="BZ367" s="430">
        <v>773.66666666666663</v>
      </c>
      <c r="CA367" s="430">
        <v>823.16666666666663</v>
      </c>
      <c r="CB367" s="430">
        <v>836</v>
      </c>
      <c r="CC367" s="430">
        <v>836</v>
      </c>
      <c r="CD367" s="430">
        <v>836</v>
      </c>
    </row>
    <row r="368" spans="1:82" outlineLevel="1">
      <c r="B368" s="266" t="s">
        <v>598</v>
      </c>
      <c r="H368" s="69"/>
      <c r="I368" s="69"/>
      <c r="J368" s="69"/>
      <c r="K368" s="69"/>
      <c r="L368" s="69"/>
      <c r="M368" s="69"/>
      <c r="N368" s="23">
        <f t="shared" ref="N368:N369" si="472">AVERAGE(AU368:AX368)</f>
        <v>221.30797750000002</v>
      </c>
      <c r="O368" s="23">
        <f t="shared" ref="O368:O369" si="473">AVERAGE(AY368:BB368)</f>
        <v>422.00925000000007</v>
      </c>
      <c r="P368" s="22">
        <v>449.56675000000001</v>
      </c>
      <c r="Q368" s="22">
        <v>486.31008333333335</v>
      </c>
      <c r="R368" s="22">
        <v>465.64195833333338</v>
      </c>
      <c r="S368" s="22">
        <v>459.67116666666658</v>
      </c>
      <c r="T368" s="22">
        <v>517.77156249999996</v>
      </c>
      <c r="U368" s="22">
        <v>686.26491666666664</v>
      </c>
      <c r="V368" s="22">
        <v>827.75</v>
      </c>
      <c r="W368" s="26">
        <f>V368*(W367/V367)</f>
        <v>870.6967528893781</v>
      </c>
      <c r="X368" s="26">
        <f>W368*(X367/W367)</f>
        <v>917.41221794166211</v>
      </c>
      <c r="Y368" s="26">
        <f>X368*(Y367/X367)</f>
        <v>968.10346725371494</v>
      </c>
      <c r="Z368" s="69"/>
      <c r="AA368" s="69"/>
      <c r="AB368" s="69"/>
      <c r="AC368" s="69"/>
      <c r="AD368" s="69"/>
      <c r="AE368" s="69"/>
      <c r="AF368" s="69"/>
      <c r="AG368" s="69"/>
      <c r="AH368" s="69"/>
      <c r="AI368" s="69"/>
      <c r="AJ368" s="69"/>
      <c r="AK368" s="69"/>
      <c r="AL368" s="69"/>
      <c r="AM368" s="69"/>
      <c r="AN368" s="69"/>
      <c r="AO368" s="69"/>
      <c r="AP368" s="69"/>
      <c r="AQ368" s="69"/>
      <c r="AR368" s="69"/>
      <c r="AS368" s="69"/>
      <c r="AT368" s="69"/>
      <c r="AU368" s="219">
        <f>+AU367</f>
        <v>119.75859000000003</v>
      </c>
      <c r="AV368" s="219">
        <f t="shared" ref="AV368:BB368" si="474">+AV367</f>
        <v>211.69040999999999</v>
      </c>
      <c r="AW368" s="219">
        <f t="shared" si="474"/>
        <v>237.37400000000002</v>
      </c>
      <c r="AX368" s="219">
        <f t="shared" si="474"/>
        <v>316.40890999999999</v>
      </c>
      <c r="AY368" s="219">
        <f t="shared" si="474"/>
        <v>336.58100000000002</v>
      </c>
      <c r="AZ368" s="219">
        <f t="shared" si="474"/>
        <v>410.10441000000003</v>
      </c>
      <c r="BA368" s="219">
        <f t="shared" si="474"/>
        <v>446.81100000000004</v>
      </c>
      <c r="BB368" s="219">
        <f t="shared" si="474"/>
        <v>494.54058999999995</v>
      </c>
      <c r="BC368" s="430">
        <v>455.07824999999997</v>
      </c>
      <c r="BD368" s="430">
        <v>427.52074999999996</v>
      </c>
      <c r="BE368" s="430">
        <v>442.21808333333337</v>
      </c>
      <c r="BF368" s="430">
        <v>475.28708333333333</v>
      </c>
      <c r="BG368" s="430">
        <v>482.63575000000009</v>
      </c>
      <c r="BH368" s="430">
        <v>497.33308333333338</v>
      </c>
      <c r="BI368" s="430">
        <v>504.68175000000002</v>
      </c>
      <c r="BJ368" s="430">
        <v>460.58974999999992</v>
      </c>
      <c r="BK368" s="430">
        <v>455.99683333333331</v>
      </c>
      <c r="BL368" s="430">
        <v>470.69416666666666</v>
      </c>
      <c r="BM368" s="430">
        <v>470.69416666666666</v>
      </c>
      <c r="BN368" s="430">
        <v>465.18266666666665</v>
      </c>
      <c r="BO368" s="430">
        <v>478.04283333333325</v>
      </c>
      <c r="BP368" s="430">
        <v>457.834</v>
      </c>
      <c r="BQ368" s="430">
        <v>443.13666666666671</v>
      </c>
      <c r="BR368" s="430">
        <v>459.67116666666669</v>
      </c>
      <c r="BS368" s="430">
        <v>469.77558333333337</v>
      </c>
      <c r="BT368" s="430">
        <v>475.28708333333333</v>
      </c>
      <c r="BU368" s="430">
        <v>525.80916666666667</v>
      </c>
      <c r="BV368" s="430">
        <v>600.21441666666669</v>
      </c>
      <c r="BW368" s="430">
        <v>622.05966666666666</v>
      </c>
      <c r="BX368" s="430">
        <v>667.33333333333337</v>
      </c>
      <c r="BY368" s="430">
        <v>698.5</v>
      </c>
      <c r="BZ368" s="430">
        <v>757.16666666666663</v>
      </c>
      <c r="CA368" s="430">
        <v>803</v>
      </c>
      <c r="CB368" s="430">
        <v>836</v>
      </c>
      <c r="CC368" s="430">
        <v>836</v>
      </c>
      <c r="CD368" s="430">
        <v>836</v>
      </c>
    </row>
    <row r="369" spans="1:82" outlineLevel="1">
      <c r="B369" s="266" t="s">
        <v>599</v>
      </c>
      <c r="H369" s="69"/>
      <c r="I369" s="69"/>
      <c r="J369" s="69"/>
      <c r="K369" s="69"/>
      <c r="L369" s="69"/>
      <c r="M369" s="69"/>
      <c r="N369" s="23">
        <f t="shared" si="472"/>
        <v>221.30797750000002</v>
      </c>
      <c r="O369" s="23">
        <f t="shared" si="473"/>
        <v>422.00925000000007</v>
      </c>
      <c r="P369" s="22">
        <v>446.25985000000003</v>
      </c>
      <c r="Q369" s="22">
        <v>488.14725000000004</v>
      </c>
      <c r="R369" s="22">
        <v>464.95302083333348</v>
      </c>
      <c r="S369" s="22">
        <v>458.98222916666663</v>
      </c>
      <c r="T369" s="22">
        <v>505.82997916666665</v>
      </c>
      <c r="U369" s="22">
        <v>673.34185416666662</v>
      </c>
      <c r="V369" s="22">
        <v>822.70833333333337</v>
      </c>
      <c r="W369" s="294">
        <f>+W367/V367*V369</f>
        <v>865.39350577875632</v>
      </c>
      <c r="X369" s="294">
        <f>+X367/W367*W369</f>
        <v>911.82443588332421</v>
      </c>
      <c r="Y369" s="294">
        <f>+Y367/X367*X369</f>
        <v>962.20693450742988</v>
      </c>
      <c r="Z369" s="69"/>
      <c r="AA369" s="69"/>
      <c r="AB369" s="69"/>
      <c r="AC369" s="69"/>
      <c r="AD369" s="69"/>
      <c r="AE369" s="69"/>
      <c r="AF369" s="69"/>
      <c r="AG369" s="69"/>
      <c r="AH369" s="69"/>
      <c r="AI369" s="69"/>
      <c r="AJ369" s="69"/>
      <c r="AK369" s="69"/>
      <c r="AL369" s="69"/>
      <c r="AM369" s="69"/>
      <c r="AN369" s="69"/>
      <c r="AO369" s="69"/>
      <c r="AP369" s="69"/>
      <c r="AQ369" s="69"/>
      <c r="AR369" s="69"/>
      <c r="AS369" s="69"/>
      <c r="AT369" s="69"/>
      <c r="AU369" s="219">
        <f>+AU368</f>
        <v>119.75859000000003</v>
      </c>
      <c r="AV369" s="219">
        <f t="shared" ref="AV369" si="475">+AV368</f>
        <v>211.69040999999999</v>
      </c>
      <c r="AW369" s="219">
        <f t="shared" ref="AW369" si="476">+AW368</f>
        <v>237.37400000000002</v>
      </c>
      <c r="AX369" s="219">
        <f t="shared" ref="AX369" si="477">+AX368</f>
        <v>316.40890999999999</v>
      </c>
      <c r="AY369" s="219">
        <f t="shared" ref="AY369" si="478">+AY368</f>
        <v>336.58100000000002</v>
      </c>
      <c r="AZ369" s="219">
        <f t="shared" ref="AZ369" si="479">+AZ368</f>
        <v>410.10441000000003</v>
      </c>
      <c r="BA369" s="219">
        <f t="shared" ref="BA369" si="480">+BA368</f>
        <v>446.81100000000004</v>
      </c>
      <c r="BB369" s="219">
        <f t="shared" ref="BB369" si="481">+BB368</f>
        <v>494.54058999999995</v>
      </c>
      <c r="BC369" s="430">
        <v>458.91075000000001</v>
      </c>
      <c r="BD369" s="430">
        <v>436.86475000000002</v>
      </c>
      <c r="BE369" s="430">
        <v>425.84175000000005</v>
      </c>
      <c r="BF369" s="430">
        <v>466.25941666666671</v>
      </c>
      <c r="BG369" s="430">
        <v>482.63575000000009</v>
      </c>
      <c r="BH369" s="430">
        <v>486.31008333333335</v>
      </c>
      <c r="BI369" s="430">
        <v>515.70474999999999</v>
      </c>
      <c r="BJ369" s="430">
        <v>467.93841666666668</v>
      </c>
      <c r="BK369" s="430">
        <v>460.58974999999992</v>
      </c>
      <c r="BL369" s="430">
        <v>461.50833333333338</v>
      </c>
      <c r="BM369" s="430">
        <v>474.36850000000004</v>
      </c>
      <c r="BN369" s="430">
        <v>463.34550000000007</v>
      </c>
      <c r="BO369" s="430">
        <v>481.71716666666663</v>
      </c>
      <c r="BP369" s="430">
        <v>457.834</v>
      </c>
      <c r="BQ369" s="430">
        <v>450.48533333333336</v>
      </c>
      <c r="BR369" s="430">
        <v>445.89241666666675</v>
      </c>
      <c r="BS369" s="430">
        <v>477.12425000000002</v>
      </c>
      <c r="BT369" s="430">
        <v>461.50833333333338</v>
      </c>
      <c r="BU369" s="430">
        <v>511.11183333333338</v>
      </c>
      <c r="BV369" s="430">
        <v>573.57550000000003</v>
      </c>
      <c r="BW369" s="430">
        <v>621.70074999999997</v>
      </c>
      <c r="BX369" s="430">
        <v>645.33333333333337</v>
      </c>
      <c r="BY369" s="430">
        <v>693</v>
      </c>
      <c r="BZ369" s="430">
        <v>733.33333333333337</v>
      </c>
      <c r="CA369" s="430">
        <v>786.5</v>
      </c>
      <c r="CB369" s="430">
        <v>832.33333333333337</v>
      </c>
      <c r="CC369" s="430">
        <v>836</v>
      </c>
      <c r="CD369" s="430">
        <v>836</v>
      </c>
    </row>
    <row r="370" spans="1:82" outlineLevel="1">
      <c r="B370" s="266"/>
      <c r="H370" s="69"/>
      <c r="I370" s="69"/>
      <c r="J370" s="69"/>
      <c r="K370" s="69"/>
      <c r="L370" s="69"/>
      <c r="M370" s="69"/>
      <c r="N370" s="23"/>
      <c r="O370" s="23"/>
      <c r="P370" s="22"/>
      <c r="Q370" s="22"/>
      <c r="R370" s="22"/>
      <c r="S370" s="22"/>
      <c r="T370" s="22"/>
      <c r="U370" s="469"/>
      <c r="V370" s="469"/>
      <c r="W370" s="294"/>
      <c r="X370" s="294"/>
      <c r="Y370" s="294"/>
      <c r="Z370" s="69"/>
      <c r="AA370" s="69"/>
      <c r="AB370" s="69"/>
      <c r="AC370" s="69"/>
      <c r="AD370" s="69"/>
      <c r="AE370" s="69"/>
      <c r="AF370" s="69"/>
      <c r="AG370" s="69"/>
      <c r="AH370" s="69"/>
      <c r="AI370" s="69"/>
      <c r="AJ370" s="69"/>
      <c r="AK370" s="69"/>
      <c r="AL370" s="69"/>
      <c r="AM370" s="69"/>
      <c r="AN370" s="69"/>
      <c r="AO370" s="69"/>
      <c r="AP370" s="69"/>
      <c r="AQ370" s="69"/>
      <c r="AR370" s="69"/>
      <c r="AS370" s="69"/>
      <c r="AT370" s="69"/>
      <c r="AU370" s="219"/>
      <c r="AV370" s="219"/>
      <c r="AW370" s="219"/>
      <c r="AX370" s="219"/>
      <c r="AY370" s="219"/>
      <c r="AZ370" s="219"/>
      <c r="BA370" s="219"/>
      <c r="BB370" s="219"/>
      <c r="BC370" s="430"/>
      <c r="BD370" s="430"/>
      <c r="BE370" s="430"/>
      <c r="BF370" s="430"/>
      <c r="BG370" s="430"/>
      <c r="BH370" s="430"/>
      <c r="BI370" s="430"/>
      <c r="BJ370" s="430"/>
      <c r="BK370" s="430"/>
      <c r="BL370" s="430"/>
      <c r="BM370" s="430"/>
      <c r="BN370" s="430"/>
      <c r="BO370" s="430"/>
      <c r="BP370" s="430"/>
      <c r="BQ370" s="430"/>
      <c r="BR370" s="430"/>
      <c r="BS370" s="430"/>
      <c r="BT370" s="430"/>
      <c r="BU370" s="430"/>
      <c r="BV370" s="430"/>
      <c r="BW370" s="430"/>
      <c r="BX370" s="430"/>
      <c r="BY370" s="430"/>
      <c r="BZ370" s="469"/>
      <c r="CA370" s="469"/>
      <c r="CB370" s="469"/>
      <c r="CC370" s="469"/>
      <c r="CD370" s="469"/>
    </row>
    <row r="371" spans="1:82" outlineLevel="1">
      <c r="B371" s="266" t="s">
        <v>600</v>
      </c>
      <c r="H371" s="69"/>
      <c r="I371" s="69"/>
      <c r="J371" s="69"/>
      <c r="K371" s="69"/>
      <c r="L371" s="69"/>
      <c r="M371" s="69"/>
      <c r="N371" s="22">
        <v>298.05555555555554</v>
      </c>
      <c r="O371" s="22">
        <v>417.70833333333331</v>
      </c>
      <c r="P371" s="22">
        <v>419.16666666666669</v>
      </c>
      <c r="Q371" s="22">
        <v>367.08333333333331</v>
      </c>
      <c r="R371" s="22">
        <v>305.83333333333331</v>
      </c>
      <c r="S371" s="22">
        <v>274.58333333333331</v>
      </c>
      <c r="T371" s="22">
        <v>306.58333333333331</v>
      </c>
      <c r="U371" s="22">
        <v>510.125</v>
      </c>
      <c r="V371" s="294">
        <f>AVERAGE(CA371:CD371)</f>
        <v>635.83333333333337</v>
      </c>
      <c r="W371" s="294">
        <f t="shared" ref="W371:Y372" si="482">+W367/V367*V371</f>
        <v>668.82273477760555</v>
      </c>
      <c r="X371" s="294">
        <f t="shared" si="482"/>
        <v>704.7070595887327</v>
      </c>
      <c r="Y371" s="294">
        <f t="shared" si="482"/>
        <v>743.6453694901686</v>
      </c>
      <c r="Z371" s="69"/>
      <c r="AA371" s="69"/>
      <c r="AB371" s="69"/>
      <c r="AC371" s="69"/>
      <c r="AD371" s="69"/>
      <c r="AE371" s="69"/>
      <c r="AF371" s="69"/>
      <c r="AG371" s="69"/>
      <c r="AH371" s="69"/>
      <c r="AI371" s="69"/>
      <c r="AJ371" s="69"/>
      <c r="AK371" s="69"/>
      <c r="AL371" s="69"/>
      <c r="AM371" s="69"/>
      <c r="AN371" s="69"/>
      <c r="AO371" s="69"/>
      <c r="AP371" s="69"/>
      <c r="AQ371" s="69"/>
      <c r="AR371" s="69"/>
      <c r="AS371" s="69"/>
      <c r="AT371" s="69"/>
      <c r="AU371" s="430" t="e">
        <v>#DIV/0!</v>
      </c>
      <c r="AV371" s="430">
        <v>232.5</v>
      </c>
      <c r="AW371" s="430">
        <v>291.66666666666669</v>
      </c>
      <c r="AX371" s="430">
        <v>370</v>
      </c>
      <c r="AY371" s="430">
        <v>365</v>
      </c>
      <c r="AZ371" s="430">
        <v>421.66666666666669</v>
      </c>
      <c r="BA371" s="430">
        <v>421.66666666666669</v>
      </c>
      <c r="BB371" s="430">
        <v>462.5</v>
      </c>
      <c r="BC371" s="430">
        <v>433.33333333333331</v>
      </c>
      <c r="BD371" s="430">
        <v>393.33333333333331</v>
      </c>
      <c r="BE371" s="430">
        <v>420</v>
      </c>
      <c r="BF371" s="430">
        <v>430</v>
      </c>
      <c r="BG371" s="430">
        <v>421.66666666666669</v>
      </c>
      <c r="BH371" s="430">
        <v>406.66666666666669</v>
      </c>
      <c r="BI371" s="430">
        <v>355</v>
      </c>
      <c r="BJ371" s="430">
        <v>285</v>
      </c>
      <c r="BK371" s="430">
        <v>301.66666666666669</v>
      </c>
      <c r="BL371" s="430">
        <v>317.5</v>
      </c>
      <c r="BM371" s="430">
        <v>301.66666666666669</v>
      </c>
      <c r="BN371" s="430">
        <v>302.5</v>
      </c>
      <c r="BO371" s="430">
        <v>275</v>
      </c>
      <c r="BP371" s="430">
        <v>278.33333333333331</v>
      </c>
      <c r="BQ371" s="430">
        <v>272.5</v>
      </c>
      <c r="BR371" s="430">
        <v>272.5</v>
      </c>
      <c r="BS371" s="430">
        <v>244.16666666666666</v>
      </c>
      <c r="BT371" s="430">
        <v>280</v>
      </c>
      <c r="BU371" s="430">
        <v>320</v>
      </c>
      <c r="BV371" s="430">
        <v>382.16666666666669</v>
      </c>
      <c r="BW371" s="430">
        <v>422.66666666666669</v>
      </c>
      <c r="BX371" s="430">
        <v>468.83333333333331</v>
      </c>
      <c r="BY371" s="430">
        <v>506.5</v>
      </c>
      <c r="BZ371" s="430">
        <v>642.5</v>
      </c>
      <c r="CA371" s="430">
        <v>635.83333333333337</v>
      </c>
      <c r="CB371" s="434">
        <f t="shared" ref="CB371" si="483">+CA371</f>
        <v>635.83333333333337</v>
      </c>
      <c r="CC371" s="434">
        <f t="shared" ref="CC371:CC373" si="484">+CB371</f>
        <v>635.83333333333337</v>
      </c>
      <c r="CD371" s="434">
        <f t="shared" ref="CD371:CD373" si="485">+CC371</f>
        <v>635.83333333333337</v>
      </c>
    </row>
    <row r="372" spans="1:82" outlineLevel="1">
      <c r="B372" s="266" t="s">
        <v>602</v>
      </c>
      <c r="H372" s="69"/>
      <c r="I372" s="69"/>
      <c r="J372" s="69"/>
      <c r="K372" s="69"/>
      <c r="L372" s="69"/>
      <c r="M372" s="69"/>
      <c r="N372" s="22">
        <v>288.4375</v>
      </c>
      <c r="O372" s="22">
        <v>410.20833333333331</v>
      </c>
      <c r="P372" s="22">
        <v>422.5</v>
      </c>
      <c r="Q372" s="22">
        <v>378.75</v>
      </c>
      <c r="R372" s="22">
        <v>304.375</v>
      </c>
      <c r="S372" s="22">
        <v>277.5</v>
      </c>
      <c r="T372" s="22">
        <v>295.41666666666669</v>
      </c>
      <c r="U372" s="22">
        <v>488.58333333333331</v>
      </c>
      <c r="V372" s="294">
        <f>AVERAGE(CA372:CD372)</f>
        <v>635.83333333333337</v>
      </c>
      <c r="W372" s="294">
        <f t="shared" si="482"/>
        <v>668.82273477760555</v>
      </c>
      <c r="X372" s="294">
        <f t="shared" si="482"/>
        <v>704.7070595887327</v>
      </c>
      <c r="Y372" s="294">
        <f t="shared" si="482"/>
        <v>743.6453694901686</v>
      </c>
      <c r="Z372" s="69"/>
      <c r="AA372" s="69"/>
      <c r="AB372" s="69"/>
      <c r="AC372" s="69"/>
      <c r="AD372" s="69"/>
      <c r="AE372" s="69"/>
      <c r="AF372" s="69"/>
      <c r="AG372" s="69"/>
      <c r="AH372" s="69"/>
      <c r="AI372" s="69"/>
      <c r="AJ372" s="69"/>
      <c r="AK372" s="69"/>
      <c r="AL372" s="69"/>
      <c r="AM372" s="69"/>
      <c r="AN372" s="69"/>
      <c r="AO372" s="69"/>
      <c r="AP372" s="69"/>
      <c r="AQ372" s="69"/>
      <c r="AR372" s="69"/>
      <c r="AS372" s="69"/>
      <c r="AT372" s="69"/>
      <c r="AU372" s="430" t="e">
        <v>#DIV/0!</v>
      </c>
      <c r="AV372" s="430">
        <v>223.75</v>
      </c>
      <c r="AW372" s="430">
        <v>266.66666666666669</v>
      </c>
      <c r="AX372" s="430">
        <v>353.33333333333331</v>
      </c>
      <c r="AY372" s="430">
        <v>365</v>
      </c>
      <c r="AZ372" s="430">
        <v>405</v>
      </c>
      <c r="BA372" s="430">
        <v>421.66666666666669</v>
      </c>
      <c r="BB372" s="430">
        <v>449.16666666666669</v>
      </c>
      <c r="BC372" s="430">
        <v>446.66666666666669</v>
      </c>
      <c r="BD372" s="430">
        <v>403.33333333333331</v>
      </c>
      <c r="BE372" s="430">
        <v>410</v>
      </c>
      <c r="BF372" s="430">
        <v>430</v>
      </c>
      <c r="BG372" s="430">
        <v>423.33333333333331</v>
      </c>
      <c r="BH372" s="430">
        <v>411.66666666666669</v>
      </c>
      <c r="BI372" s="430">
        <v>383.33333333333331</v>
      </c>
      <c r="BJ372" s="430">
        <v>296.66666666666669</v>
      </c>
      <c r="BK372" s="430">
        <v>293.33333333333331</v>
      </c>
      <c r="BL372" s="430">
        <v>314.16666666666669</v>
      </c>
      <c r="BM372" s="430">
        <v>310.83333333333331</v>
      </c>
      <c r="BN372" s="430">
        <v>299.16666666666669</v>
      </c>
      <c r="BO372" s="430">
        <v>289.16666666666669</v>
      </c>
      <c r="BP372" s="430">
        <v>271.66666666666669</v>
      </c>
      <c r="BQ372" s="430">
        <v>275</v>
      </c>
      <c r="BR372" s="430">
        <v>274.16666666666669</v>
      </c>
      <c r="BS372" s="430">
        <v>255</v>
      </c>
      <c r="BT372" s="430">
        <v>261.66666666666669</v>
      </c>
      <c r="BU372" s="430">
        <v>305</v>
      </c>
      <c r="BV372" s="430">
        <v>360</v>
      </c>
      <c r="BW372" s="430">
        <v>409</v>
      </c>
      <c r="BX372" s="430">
        <v>457.16666666666669</v>
      </c>
      <c r="BY372" s="430">
        <v>476.66666666666669</v>
      </c>
      <c r="BZ372" s="430">
        <v>611.5</v>
      </c>
      <c r="CA372" s="430">
        <v>635.83333333333337</v>
      </c>
      <c r="CB372" s="434">
        <f t="shared" ref="CB372" si="486">+CA372</f>
        <v>635.83333333333337</v>
      </c>
      <c r="CC372" s="434">
        <f t="shared" si="484"/>
        <v>635.83333333333337</v>
      </c>
      <c r="CD372" s="434">
        <f t="shared" si="485"/>
        <v>635.83333333333337</v>
      </c>
    </row>
    <row r="373" spans="1:82" outlineLevel="1">
      <c r="B373" s="266" t="s">
        <v>601</v>
      </c>
      <c r="H373" s="69"/>
      <c r="I373" s="69"/>
      <c r="J373" s="69"/>
      <c r="K373" s="69"/>
      <c r="L373" s="69"/>
      <c r="M373" s="69"/>
      <c r="N373" s="22">
        <v>276.07142857142856</v>
      </c>
      <c r="O373" s="22">
        <v>402.70833333333331</v>
      </c>
      <c r="P373" s="22">
        <v>425.41666666666669</v>
      </c>
      <c r="Q373" s="22">
        <v>390.83333333333331</v>
      </c>
      <c r="R373" s="22">
        <v>302.08333333333331</v>
      </c>
      <c r="S373" s="22">
        <v>280.83333333333331</v>
      </c>
      <c r="T373" s="22">
        <v>286.66666666666669</v>
      </c>
      <c r="U373" s="22">
        <v>466.70833333333331</v>
      </c>
      <c r="V373" s="294">
        <f>AVERAGE(CA373:CD373)</f>
        <v>638.33333333333337</v>
      </c>
      <c r="W373" s="294">
        <f>W367/V367*V373</f>
        <v>671.45244408865767</v>
      </c>
      <c r="X373" s="294">
        <f>X367/W367*W373</f>
        <v>707.47786060939609</v>
      </c>
      <c r="Y373" s="294">
        <f>Y367/X367*X373</f>
        <v>746.56927002551663</v>
      </c>
      <c r="Z373" s="69"/>
      <c r="AA373" s="69"/>
      <c r="AB373" s="69"/>
      <c r="AC373" s="69"/>
      <c r="AD373" s="69"/>
      <c r="AE373" s="69"/>
      <c r="AF373" s="69"/>
      <c r="AG373" s="69"/>
      <c r="AH373" s="69"/>
      <c r="AI373" s="69"/>
      <c r="AJ373" s="69"/>
      <c r="AK373" s="69"/>
      <c r="AL373" s="69"/>
      <c r="AM373" s="69"/>
      <c r="AN373" s="69"/>
      <c r="AO373" s="69"/>
      <c r="AP373" s="69"/>
      <c r="AQ373" s="69"/>
      <c r="AR373" s="69"/>
      <c r="AS373" s="69"/>
      <c r="AT373" s="69"/>
      <c r="AU373" s="430" t="e">
        <v>#DIV/0!</v>
      </c>
      <c r="AV373" s="430">
        <v>217.5</v>
      </c>
      <c r="AW373" s="430">
        <v>246.66666666666666</v>
      </c>
      <c r="AX373" s="430">
        <v>325</v>
      </c>
      <c r="AY373" s="430">
        <v>370</v>
      </c>
      <c r="AZ373" s="430">
        <v>383.33333333333331</v>
      </c>
      <c r="BA373" s="430">
        <v>423.33333333333331</v>
      </c>
      <c r="BB373" s="430">
        <v>434.16666666666669</v>
      </c>
      <c r="BC373" s="430">
        <v>458.33333333333331</v>
      </c>
      <c r="BD373" s="430">
        <v>418.33333333333331</v>
      </c>
      <c r="BE373" s="430">
        <v>398.33333333333331</v>
      </c>
      <c r="BF373" s="430">
        <v>426.66666666666669</v>
      </c>
      <c r="BG373" s="430">
        <v>426.66666666666669</v>
      </c>
      <c r="BH373" s="430">
        <v>416.66666666666669</v>
      </c>
      <c r="BI373" s="430">
        <v>398.33333333333331</v>
      </c>
      <c r="BJ373" s="430">
        <v>321.66666666666669</v>
      </c>
      <c r="BK373" s="430">
        <v>286.66666666666669</v>
      </c>
      <c r="BL373" s="430">
        <v>309.16666666666669</v>
      </c>
      <c r="BM373" s="430">
        <v>318.33333333333331</v>
      </c>
      <c r="BN373" s="430">
        <v>294.16666666666669</v>
      </c>
      <c r="BO373" s="430">
        <v>302.5</v>
      </c>
      <c r="BP373" s="430">
        <v>269.16666666666669</v>
      </c>
      <c r="BQ373" s="430">
        <v>279.16666666666669</v>
      </c>
      <c r="BR373" s="430">
        <v>272.5</v>
      </c>
      <c r="BS373" s="430">
        <v>265</v>
      </c>
      <c r="BT373" s="430">
        <v>248.33333333333334</v>
      </c>
      <c r="BU373" s="430">
        <v>293.33333333333331</v>
      </c>
      <c r="BV373" s="430">
        <v>340</v>
      </c>
      <c r="BW373" s="430">
        <v>395.5</v>
      </c>
      <c r="BX373" s="430">
        <v>440.66666666666669</v>
      </c>
      <c r="BY373" s="430">
        <v>471.66666666666669</v>
      </c>
      <c r="BZ373" s="430">
        <v>559</v>
      </c>
      <c r="CA373" s="430">
        <v>638.33333333333337</v>
      </c>
      <c r="CB373" s="434">
        <f t="shared" ref="CB373" si="487">+CA373</f>
        <v>638.33333333333337</v>
      </c>
      <c r="CC373" s="434">
        <f t="shared" si="484"/>
        <v>638.33333333333337</v>
      </c>
      <c r="CD373" s="434">
        <f t="shared" si="485"/>
        <v>638.33333333333337</v>
      </c>
    </row>
    <row r="374" spans="1:82" outlineLevel="1">
      <c r="A374" s="34"/>
      <c r="U374" s="48"/>
      <c r="V374" s="48"/>
      <c r="W374" s="48"/>
      <c r="X374" s="48"/>
      <c r="Y374" s="48"/>
      <c r="BS374" s="77"/>
      <c r="BT374" s="77"/>
      <c r="BU374" s="77"/>
      <c r="BV374" s="77"/>
      <c r="BW374" s="77"/>
      <c r="BX374" s="77"/>
      <c r="BY374" s="77"/>
      <c r="BZ374" s="77"/>
    </row>
    <row r="375" spans="1:82" outlineLevel="1">
      <c r="A375" s="34"/>
      <c r="B375" s="149" t="s">
        <v>322</v>
      </c>
      <c r="T375" s="77"/>
      <c r="U375" s="48"/>
      <c r="V375" s="48"/>
      <c r="W375" s="48"/>
      <c r="X375" s="48"/>
      <c r="Y375" s="48"/>
      <c r="BS375" s="77"/>
      <c r="BT375" s="77"/>
      <c r="BU375" s="77"/>
      <c r="BV375" s="77"/>
      <c r="BW375" s="77"/>
      <c r="BX375" s="77"/>
      <c r="BY375" s="77"/>
      <c r="BZ375" s="77"/>
    </row>
    <row r="376" spans="1:82" outlineLevel="1">
      <c r="B376" s="266" t="s">
        <v>438</v>
      </c>
      <c r="H376" s="69"/>
      <c r="I376" s="69"/>
      <c r="J376" s="69"/>
      <c r="K376" s="69"/>
      <c r="L376" s="69"/>
      <c r="M376" s="69"/>
      <c r="N376" s="69"/>
      <c r="O376" s="69"/>
      <c r="P376" s="69"/>
      <c r="Q376" s="22">
        <v>276.49358333333339</v>
      </c>
      <c r="R376" s="22">
        <v>257.4329791666666</v>
      </c>
      <c r="S376" s="22">
        <v>294.17631249999994</v>
      </c>
      <c r="T376" s="22">
        <v>328.16389583333336</v>
      </c>
      <c r="U376" s="22">
        <v>356.86962499999998</v>
      </c>
      <c r="V376" s="294">
        <f>AVERAGE(CA376:CD376)</f>
        <v>366.51474999999999</v>
      </c>
      <c r="W376" s="434">
        <f t="shared" ref="W376:Y376" si="488">+V376</f>
        <v>366.51474999999999</v>
      </c>
      <c r="X376" s="434">
        <f t="shared" si="488"/>
        <v>366.51474999999999</v>
      </c>
      <c r="Y376" s="434">
        <f t="shared" si="488"/>
        <v>366.51474999999999</v>
      </c>
      <c r="Z376" s="327">
        <f>(W376/U376)^(1/2)-1</f>
        <v>1.3423419419063443E-2</v>
      </c>
      <c r="AA376" s="26"/>
      <c r="AB376" s="26"/>
      <c r="AC376" s="26"/>
      <c r="AD376" s="26"/>
      <c r="AE376" s="26"/>
      <c r="AF376" s="26"/>
      <c r="AG376" s="26"/>
      <c r="AH376" s="26"/>
      <c r="AI376" s="26"/>
      <c r="AJ376" s="26"/>
      <c r="AK376" s="26"/>
      <c r="AL376" s="26"/>
      <c r="AM376" s="26"/>
      <c r="AN376" s="26"/>
      <c r="AO376" s="26"/>
      <c r="AP376" s="26"/>
      <c r="AQ376" s="26"/>
      <c r="AR376" s="26"/>
      <c r="AS376" s="26"/>
      <c r="AT376" s="26"/>
      <c r="AU376" s="26"/>
      <c r="AV376" s="26"/>
      <c r="AW376" s="26"/>
      <c r="AX376" s="26"/>
      <c r="AY376" s="26"/>
      <c r="AZ376" s="26"/>
      <c r="BA376" s="26"/>
      <c r="BB376" s="26"/>
      <c r="BC376" s="255">
        <v>302.21391666666665</v>
      </c>
      <c r="BD376" s="255">
        <v>294.86525</v>
      </c>
      <c r="BE376" s="255">
        <v>289.35374999999999</v>
      </c>
      <c r="BF376" s="25">
        <v>281.0865</v>
      </c>
      <c r="BG376" s="430">
        <v>281.0865</v>
      </c>
      <c r="BH376" s="430">
        <v>281.0865</v>
      </c>
      <c r="BI376" s="430">
        <v>273.7378333333333</v>
      </c>
      <c r="BJ376" s="430">
        <v>270.06349999999998</v>
      </c>
      <c r="BK376" s="430">
        <v>260.8776666666667</v>
      </c>
      <c r="BL376" s="430">
        <v>256.28474999999997</v>
      </c>
      <c r="BM376" s="430">
        <v>256.28474999999997</v>
      </c>
      <c r="BN376" s="430">
        <v>256.28474999999997</v>
      </c>
      <c r="BO376" s="430">
        <v>263.63341666666662</v>
      </c>
      <c r="BP376" s="430">
        <v>295.78383333333335</v>
      </c>
      <c r="BQ376" s="430">
        <v>303.13249999999999</v>
      </c>
      <c r="BR376" s="430">
        <v>314.15550000000002</v>
      </c>
      <c r="BS376" s="430">
        <v>314.15550000000002</v>
      </c>
      <c r="BT376" s="430">
        <v>327.01566666666668</v>
      </c>
      <c r="BU376" s="430">
        <v>335.28291666666667</v>
      </c>
      <c r="BV376" s="430">
        <v>336.20150000000001</v>
      </c>
      <c r="BW376" s="430">
        <v>336.20150000000001</v>
      </c>
      <c r="BX376" s="430">
        <v>358.2475</v>
      </c>
      <c r="BY376" s="430">
        <v>366.51474999999999</v>
      </c>
      <c r="BZ376" s="430">
        <v>366.51474999999999</v>
      </c>
      <c r="CA376" s="430">
        <v>366.51474999999999</v>
      </c>
      <c r="CB376" s="434">
        <f t="shared" ref="CB376:CD377" si="489">+CA376</f>
        <v>366.51474999999999</v>
      </c>
      <c r="CC376" s="434">
        <f t="shared" si="489"/>
        <v>366.51474999999999</v>
      </c>
      <c r="CD376" s="434">
        <f t="shared" si="489"/>
        <v>366.51474999999999</v>
      </c>
    </row>
    <row r="377" spans="1:82" outlineLevel="1">
      <c r="B377" s="266" t="s">
        <v>624</v>
      </c>
      <c r="H377" s="69"/>
      <c r="I377" s="69"/>
      <c r="J377" s="69"/>
      <c r="K377" s="69"/>
      <c r="L377" s="69"/>
      <c r="M377" s="69"/>
      <c r="N377" s="69"/>
      <c r="O377" s="69"/>
      <c r="P377" s="69"/>
      <c r="Q377" s="22">
        <v>278.33075000000002</v>
      </c>
      <c r="R377" s="22">
        <v>259.72943749999996</v>
      </c>
      <c r="S377" s="22">
        <v>284.53118750000004</v>
      </c>
      <c r="T377" s="22">
        <v>324.48956250000009</v>
      </c>
      <c r="U377" s="22">
        <v>351.81741666666659</v>
      </c>
      <c r="V377" s="294">
        <f>AVERAGE(CA377:CD377)</f>
        <v>366.51474999999999</v>
      </c>
      <c r="W377" s="435">
        <f>V377*(W376/V376)</f>
        <v>366.51474999999999</v>
      </c>
      <c r="X377" s="435">
        <f>W377*(X376/W376)</f>
        <v>366.51474999999999</v>
      </c>
      <c r="Y377" s="435">
        <f>X377*(Y376/X376)</f>
        <v>366.51474999999999</v>
      </c>
      <c r="Z377" s="26"/>
      <c r="AA377" s="26"/>
      <c r="AB377" s="26"/>
      <c r="AC377" s="26"/>
      <c r="AD377" s="26"/>
      <c r="AE377" s="26"/>
      <c r="AF377" s="26"/>
      <c r="AG377" s="26"/>
      <c r="AH377" s="26"/>
      <c r="AI377" s="26"/>
      <c r="AJ377" s="26"/>
      <c r="AK377" s="26"/>
      <c r="AL377" s="26"/>
      <c r="AM377" s="26"/>
      <c r="AN377" s="26"/>
      <c r="AO377" s="26"/>
      <c r="AP377" s="26"/>
      <c r="AQ377" s="26"/>
      <c r="AR377" s="26"/>
      <c r="AS377" s="26"/>
      <c r="AT377" s="26"/>
      <c r="AU377" s="26"/>
      <c r="AV377" s="26"/>
      <c r="AW377" s="26"/>
      <c r="AX377" s="26"/>
      <c r="AY377" s="26"/>
      <c r="AZ377" s="26"/>
      <c r="BA377" s="26"/>
      <c r="BB377" s="26"/>
      <c r="BC377" s="255">
        <v>327.01566666666662</v>
      </c>
      <c r="BD377" s="255">
        <v>294.86525</v>
      </c>
      <c r="BE377" s="255">
        <v>294.86525</v>
      </c>
      <c r="BF377" s="25">
        <v>284.76083333333332</v>
      </c>
      <c r="BG377" s="430">
        <v>281.0865</v>
      </c>
      <c r="BH377" s="430">
        <v>281.0865</v>
      </c>
      <c r="BI377" s="430">
        <v>281.0865</v>
      </c>
      <c r="BJ377" s="430">
        <v>270.06349999999998</v>
      </c>
      <c r="BK377" s="430">
        <v>270.06349999999998</v>
      </c>
      <c r="BL377" s="430">
        <v>256.28474999999997</v>
      </c>
      <c r="BM377" s="430">
        <v>256.28474999999997</v>
      </c>
      <c r="BN377" s="430">
        <v>256.28474999999997</v>
      </c>
      <c r="BO377" s="430">
        <v>256.28474999999997</v>
      </c>
      <c r="BP377" s="430">
        <v>276.49358333333333</v>
      </c>
      <c r="BQ377" s="430">
        <v>298.53958333333327</v>
      </c>
      <c r="BR377" s="430">
        <v>306.80683333333332</v>
      </c>
      <c r="BS377" s="430">
        <v>314.15550000000002</v>
      </c>
      <c r="BT377" s="430">
        <v>317.82983333333334</v>
      </c>
      <c r="BU377" s="430">
        <v>329.77141666666665</v>
      </c>
      <c r="BV377" s="430">
        <v>336.20150000000001</v>
      </c>
      <c r="BW377" s="430">
        <v>336.20150000000001</v>
      </c>
      <c r="BX377" s="430">
        <v>343.55016666666666</v>
      </c>
      <c r="BY377" s="430">
        <v>361.00324999999998</v>
      </c>
      <c r="BZ377" s="430">
        <v>366.51474999999999</v>
      </c>
      <c r="CA377" s="430">
        <v>366.51474999999999</v>
      </c>
      <c r="CB377" s="434">
        <f t="shared" si="489"/>
        <v>366.51474999999999</v>
      </c>
      <c r="CC377" s="434">
        <f t="shared" si="489"/>
        <v>366.51474999999999</v>
      </c>
      <c r="CD377" s="434">
        <f t="shared" si="489"/>
        <v>366.51474999999999</v>
      </c>
    </row>
    <row r="378" spans="1:82" outlineLevel="1">
      <c r="A378" s="34"/>
      <c r="T378" s="77"/>
      <c r="U378" s="77"/>
      <c r="V378" s="77"/>
      <c r="W378" s="77"/>
      <c r="X378" s="77"/>
      <c r="Y378" s="77"/>
      <c r="BS378" s="77"/>
      <c r="BT378" s="77"/>
      <c r="BU378" s="77"/>
      <c r="BV378" s="77"/>
      <c r="BW378" s="77"/>
      <c r="BX378" s="77"/>
      <c r="BY378" s="77"/>
      <c r="BZ378" s="77"/>
    </row>
    <row r="379" spans="1:82" outlineLevel="1">
      <c r="A379" s="34"/>
      <c r="B379" s="149" t="s">
        <v>321</v>
      </c>
      <c r="V379" s="413"/>
      <c r="W379" s="77"/>
      <c r="X379" s="77"/>
      <c r="Y379" s="77"/>
      <c r="BS379" s="77"/>
      <c r="BT379" s="77"/>
      <c r="BU379" s="77"/>
      <c r="BV379" s="77"/>
      <c r="BW379" s="77"/>
      <c r="BX379" s="77"/>
      <c r="BY379" s="77"/>
      <c r="BZ379" s="77"/>
    </row>
    <row r="380" spans="1:82" outlineLevel="1">
      <c r="B380" s="5" t="s">
        <v>617</v>
      </c>
      <c r="Q380" s="22">
        <v>290.90128755364805</v>
      </c>
      <c r="R380" s="22">
        <v>369.11877394636014</v>
      </c>
      <c r="S380" s="22">
        <v>228.27586206896552</v>
      </c>
      <c r="T380" s="22">
        <v>202.66283524904213</v>
      </c>
      <c r="U380" s="22">
        <v>207.98076923076923</v>
      </c>
      <c r="V380" s="22">
        <v>190.38043478260872</v>
      </c>
      <c r="W380" s="444">
        <f t="shared" ref="W380:Y385" si="490">+V380</f>
        <v>190.38043478260872</v>
      </c>
      <c r="X380" s="444">
        <f t="shared" si="490"/>
        <v>190.38043478260872</v>
      </c>
      <c r="Y380" s="444">
        <f t="shared" si="490"/>
        <v>190.38043478260872</v>
      </c>
      <c r="BG380" s="22">
        <v>296.94444444444446</v>
      </c>
      <c r="BH380" s="22">
        <v>299.23076923076923</v>
      </c>
      <c r="BI380" s="22">
        <v>274.62121212121212</v>
      </c>
      <c r="BJ380" s="22">
        <v>295.68181818181819</v>
      </c>
      <c r="BK380" s="22">
        <v>385.3125</v>
      </c>
      <c r="BL380" s="22">
        <v>380.07692307692309</v>
      </c>
      <c r="BM380" s="22">
        <v>380.90909090909093</v>
      </c>
      <c r="BN380" s="22">
        <v>330.83333333333331</v>
      </c>
      <c r="BO380" s="22">
        <v>216.171875</v>
      </c>
      <c r="BP380" s="22">
        <v>310.15384615384613</v>
      </c>
      <c r="BQ380" s="22">
        <v>238.18181818181819</v>
      </c>
      <c r="BR380" s="22">
        <v>149.46969696969697</v>
      </c>
      <c r="BS380" s="22">
        <v>170</v>
      </c>
      <c r="BT380" s="22">
        <v>212.30769230769232</v>
      </c>
      <c r="BU380" s="22">
        <v>210.9848484848485</v>
      </c>
      <c r="BV380" s="22">
        <v>217.23076923076923</v>
      </c>
      <c r="BW380" s="22">
        <v>267.23076923076923</v>
      </c>
      <c r="BX380" s="22">
        <v>242.84615384615384</v>
      </c>
      <c r="BY380" s="22">
        <v>181.84615384615384</v>
      </c>
      <c r="BZ380" s="22">
        <v>140</v>
      </c>
      <c r="CA380" s="22">
        <v>180.15810276679841</v>
      </c>
      <c r="CB380" s="22">
        <v>198.03030303030303</v>
      </c>
      <c r="CC380" s="22">
        <v>198.33333333333334</v>
      </c>
      <c r="CD380" s="22">
        <v>185</v>
      </c>
    </row>
    <row r="381" spans="1:82" outlineLevel="1">
      <c r="B381" s="5" t="s">
        <v>616</v>
      </c>
      <c r="Q381" s="22">
        <v>288.29383886255926</v>
      </c>
      <c r="R381" s="22">
        <v>371.75</v>
      </c>
      <c r="S381" s="22">
        <v>239.78927203065135</v>
      </c>
      <c r="T381" s="22">
        <v>197.29007633587787</v>
      </c>
      <c r="U381" s="22">
        <v>216.62835249042146</v>
      </c>
      <c r="V381" s="22">
        <v>185.20186335403727</v>
      </c>
      <c r="W381" s="444">
        <f t="shared" si="490"/>
        <v>185.20186335403727</v>
      </c>
      <c r="X381" s="444">
        <f t="shared" si="490"/>
        <v>185.20186335403727</v>
      </c>
      <c r="Y381" s="444">
        <f t="shared" si="490"/>
        <v>185.20186335403727</v>
      </c>
      <c r="BG381" s="22">
        <v>295</v>
      </c>
      <c r="BH381" s="22">
        <v>292.34848484848487</v>
      </c>
      <c r="BI381" s="22">
        <v>288.92307692307691</v>
      </c>
      <c r="BJ381" s="22">
        <v>282</v>
      </c>
      <c r="BK381" s="22">
        <v>351.30769230769232</v>
      </c>
      <c r="BL381" s="22">
        <v>396.92307692307691</v>
      </c>
      <c r="BM381" s="22">
        <v>378</v>
      </c>
      <c r="BN381" s="22">
        <v>360.76923076923077</v>
      </c>
      <c r="BO381" s="22">
        <v>236.46153846153845</v>
      </c>
      <c r="BP381" s="22">
        <v>282.15384615384613</v>
      </c>
      <c r="BQ381" s="22">
        <v>278.18181818181819</v>
      </c>
      <c r="BR381" s="22">
        <v>161.76923076923077</v>
      </c>
      <c r="BS381" s="22">
        <v>158.76923076923077</v>
      </c>
      <c r="BT381" s="22">
        <v>208.03030303030303</v>
      </c>
      <c r="BU381" s="22">
        <v>206.81818181818181</v>
      </c>
      <c r="BV381" s="22">
        <v>215.23076923076923</v>
      </c>
      <c r="BW381" s="22">
        <v>240.546875</v>
      </c>
      <c r="BX381" s="22">
        <v>268.86363636363637</v>
      </c>
      <c r="BY381" s="22">
        <v>195.45454545454547</v>
      </c>
      <c r="BZ381" s="22">
        <v>161.53846153846155</v>
      </c>
      <c r="CA381" s="22">
        <v>147.47412008281574</v>
      </c>
      <c r="CB381" s="22">
        <v>206.66666666666666</v>
      </c>
      <c r="CC381" s="22">
        <v>185</v>
      </c>
      <c r="CD381" s="22">
        <v>201.66666666666666</v>
      </c>
    </row>
    <row r="382" spans="1:82" outlineLevel="1">
      <c r="B382" s="5" t="s">
        <v>619</v>
      </c>
      <c r="Q382" s="22">
        <v>287.5</v>
      </c>
      <c r="R382" s="22">
        <v>368.33333333333331</v>
      </c>
      <c r="S382" s="22">
        <v>254.53846153846155</v>
      </c>
      <c r="T382" s="22">
        <v>192.41379310344828</v>
      </c>
      <c r="U382" s="22">
        <v>222.62452107279694</v>
      </c>
      <c r="V382" s="22">
        <v>182.11474214191605</v>
      </c>
      <c r="W382" s="444">
        <f t="shared" ref="W382" si="491">+V382</f>
        <v>182.11474214191605</v>
      </c>
      <c r="X382" s="444">
        <f t="shared" ref="X382" si="492">+W382</f>
        <v>182.11474214191605</v>
      </c>
      <c r="Y382" s="444">
        <f t="shared" ref="Y382" si="493">+X382</f>
        <v>182.11474214191605</v>
      </c>
      <c r="BG382" s="449" t="s">
        <v>128</v>
      </c>
      <c r="BH382" s="22">
        <v>292.93103448275861</v>
      </c>
      <c r="BI382" s="22">
        <v>297.87878787878788</v>
      </c>
      <c r="BJ382" s="22">
        <v>272.34848484848487</v>
      </c>
      <c r="BK382" s="22">
        <v>322.72727272727275</v>
      </c>
      <c r="BL382" s="22">
        <v>402.14285714285717</v>
      </c>
      <c r="BM382" s="22">
        <v>372.57575757575756</v>
      </c>
      <c r="BN382" s="22">
        <v>377.42424242424244</v>
      </c>
      <c r="BO382" s="22">
        <v>286.46153846153845</v>
      </c>
      <c r="BP382" s="22">
        <v>238.984375</v>
      </c>
      <c r="BQ382" s="22">
        <v>303.78787878787881</v>
      </c>
      <c r="BR382" s="22">
        <v>187.92307692307693</v>
      </c>
      <c r="BS382" s="22">
        <v>152.61538461538461</v>
      </c>
      <c r="BT382" s="22">
        <v>190.61538461538461</v>
      </c>
      <c r="BU382" s="22">
        <v>205.61538461538461</v>
      </c>
      <c r="BV382" s="22">
        <v>220.37878787878788</v>
      </c>
      <c r="BW382" s="22">
        <v>221.21212121212122</v>
      </c>
      <c r="BX382" s="22">
        <v>282.69841269841271</v>
      </c>
      <c r="BY382" s="22">
        <v>220.07575757575756</v>
      </c>
      <c r="BZ382" s="22">
        <v>169.24242424242425</v>
      </c>
      <c r="CA382" s="22">
        <v>128.45896856766421</v>
      </c>
      <c r="CB382" s="22">
        <v>210</v>
      </c>
      <c r="CC382" s="22">
        <v>181.66666666666666</v>
      </c>
      <c r="CD382" s="22">
        <v>208.33333333333334</v>
      </c>
    </row>
    <row r="383" spans="1:82" outlineLevel="1">
      <c r="Q383" s="22"/>
      <c r="R383" s="22"/>
      <c r="S383" s="22"/>
      <c r="T383" s="22"/>
      <c r="U383" s="22"/>
      <c r="V383" s="22"/>
      <c r="W383" s="22"/>
      <c r="X383" s="444"/>
      <c r="Y383" s="444"/>
      <c r="BG383" s="22"/>
      <c r="BH383" s="22"/>
      <c r="BI383" s="22"/>
      <c r="BJ383" s="22"/>
      <c r="BK383" s="22"/>
      <c r="BL383" s="22"/>
      <c r="BM383" s="22"/>
      <c r="BN383" s="22"/>
      <c r="BO383" s="22"/>
      <c r="BP383" s="22"/>
      <c r="BQ383" s="22"/>
      <c r="BR383" s="22"/>
      <c r="BS383" s="22"/>
      <c r="BT383" s="22"/>
      <c r="BU383" s="22"/>
      <c r="BV383" s="22"/>
      <c r="BW383" s="22"/>
      <c r="BX383" s="22"/>
      <c r="BY383" s="22"/>
      <c r="BZ383" s="22"/>
      <c r="CA383" s="22"/>
      <c r="CB383" s="22"/>
      <c r="CC383" s="22"/>
      <c r="CD383" s="22"/>
    </row>
    <row r="384" spans="1:82" outlineLevel="1">
      <c r="A384" s="34"/>
      <c r="B384" s="5" t="s">
        <v>618</v>
      </c>
      <c r="H384" s="69"/>
      <c r="I384" s="69"/>
      <c r="J384" s="69"/>
      <c r="K384" s="69"/>
      <c r="L384" s="69"/>
      <c r="M384" s="69"/>
      <c r="N384" s="69"/>
      <c r="O384" s="69"/>
      <c r="P384" s="69"/>
      <c r="Q384" s="308">
        <v>0.13195076138003287</v>
      </c>
      <c r="R384" s="308">
        <v>0.16742965860164571</v>
      </c>
      <c r="S384" s="308">
        <v>0.10354431242979087</v>
      </c>
      <c r="T384" s="308">
        <v>9.1926425075088747E-2</v>
      </c>
      <c r="U384" s="308">
        <v>9.4338602222046986E-2</v>
      </c>
      <c r="V384" s="308">
        <v>8.6355215312665545E-2</v>
      </c>
      <c r="W384" s="443">
        <f t="shared" si="490"/>
        <v>8.6355215312665545E-2</v>
      </c>
      <c r="X384" s="443">
        <f t="shared" si="490"/>
        <v>8.6355215312665545E-2</v>
      </c>
      <c r="Y384" s="443">
        <f t="shared" si="490"/>
        <v>8.6355215312665545E-2</v>
      </c>
      <c r="BG384" s="308">
        <v>0.13469189449630525</v>
      </c>
      <c r="BH384" s="308">
        <v>0.13572895520804912</v>
      </c>
      <c r="BI384" s="308">
        <v>0.12456623459880257</v>
      </c>
      <c r="BJ384" s="308">
        <v>0.13411917617631075</v>
      </c>
      <c r="BK384" s="308">
        <v>0.17477501791691993</v>
      </c>
      <c r="BL384" s="308">
        <v>0.17240019734780737</v>
      </c>
      <c r="BM384" s="308">
        <v>0.17277766277593914</v>
      </c>
      <c r="BN384" s="308">
        <v>0.15006365420495746</v>
      </c>
      <c r="BO384" s="308">
        <v>9.8054029719407437E-2</v>
      </c>
      <c r="BP384" s="308">
        <v>0.14068358544957688</v>
      </c>
      <c r="BQ384" s="308">
        <v>0.10803758388376146</v>
      </c>
      <c r="BR384" s="308">
        <v>6.7798394720948271E-2</v>
      </c>
      <c r="BS384" s="308">
        <v>7.7110794604058758E-2</v>
      </c>
      <c r="BT384" s="308">
        <v>9.6301263849412747E-2</v>
      </c>
      <c r="BU384" s="308">
        <v>9.5701231271080059E-2</v>
      </c>
      <c r="BV384" s="308">
        <v>9.8534336634326661E-2</v>
      </c>
      <c r="BW384" s="308">
        <v>0.12121398210610865</v>
      </c>
      <c r="BX384" s="308">
        <v>0.11015329346833189</v>
      </c>
      <c r="BY384" s="308">
        <v>8.2484125992757867E-2</v>
      </c>
      <c r="BZ384" s="308">
        <v>6.3503007320989555E-2</v>
      </c>
      <c r="CA384" s="308">
        <v>8.1718437992397058E-2</v>
      </c>
      <c r="CB384" s="308">
        <v>8.9825141307936535E-2</v>
      </c>
      <c r="CC384" s="308">
        <v>8.9962593704735222E-2</v>
      </c>
      <c r="CD384" s="308">
        <v>8.3914688245593352E-2</v>
      </c>
    </row>
    <row r="385" spans="1:82" outlineLevel="1">
      <c r="A385" s="34"/>
      <c r="B385" s="5" t="s">
        <v>620</v>
      </c>
      <c r="H385" s="69"/>
      <c r="I385" s="69"/>
      <c r="J385" s="69"/>
      <c r="K385" s="69"/>
      <c r="L385" s="69"/>
      <c r="M385" s="69"/>
      <c r="N385" s="69"/>
      <c r="O385" s="69"/>
      <c r="P385" s="69"/>
      <c r="Q385" s="308">
        <v>0.13076804114203774</v>
      </c>
      <c r="R385" s="308">
        <v>0.16862316408269906</v>
      </c>
      <c r="S385" s="308">
        <v>0.10876671355183722</v>
      </c>
      <c r="T385" s="308">
        <v>8.9489379727970303E-2</v>
      </c>
      <c r="U385" s="308">
        <v>9.8261084672379581E-2</v>
      </c>
      <c r="V385" s="308">
        <v>8.4006252031659553E-2</v>
      </c>
      <c r="W385" s="443">
        <f t="shared" si="490"/>
        <v>8.4006252031659553E-2</v>
      </c>
      <c r="X385" s="443">
        <f t="shared" si="490"/>
        <v>8.4006252031659553E-2</v>
      </c>
      <c r="Y385" s="443">
        <f t="shared" si="490"/>
        <v>8.4006252031659553E-2</v>
      </c>
      <c r="BG385" s="308">
        <v>0.13380990828351372</v>
      </c>
      <c r="BH385" s="308">
        <v>0.1326071998115253</v>
      </c>
      <c r="BI385" s="308">
        <v>0.13105345906463559</v>
      </c>
      <c r="BJ385" s="308">
        <v>0.12791320046085039</v>
      </c>
      <c r="BK385" s="308">
        <v>0.15935067826096666</v>
      </c>
      <c r="BL385" s="308">
        <v>0.18004149328368468</v>
      </c>
      <c r="BM385" s="308">
        <v>0.17145811976667183</v>
      </c>
      <c r="BN385" s="308">
        <v>0.1636423650194731</v>
      </c>
      <c r="BO385" s="308">
        <v>0.10725727720039666</v>
      </c>
      <c r="BP385" s="308">
        <v>0.12798298398537894</v>
      </c>
      <c r="BQ385" s="308">
        <v>0.12618130026118704</v>
      </c>
      <c r="BR385" s="308">
        <v>7.3377376041780795E-2</v>
      </c>
      <c r="BS385" s="308">
        <v>7.2016597313473873E-2</v>
      </c>
      <c r="BT385" s="308">
        <v>9.4361070402292926E-2</v>
      </c>
      <c r="BU385" s="308">
        <v>9.3811260815098219E-2</v>
      </c>
      <c r="BV385" s="308">
        <v>9.762715081545538E-2</v>
      </c>
      <c r="BW385" s="308">
        <v>0.10911035688690116</v>
      </c>
      <c r="BX385" s="308">
        <v>0.12195463905962768</v>
      </c>
      <c r="BY385" s="308">
        <v>8.8656795935147775E-2</v>
      </c>
      <c r="BZ385" s="308">
        <v>7.3272700754987957E-2</v>
      </c>
      <c r="CA385" s="308">
        <v>6.6893215194825301E-2</v>
      </c>
      <c r="CB385" s="308">
        <v>9.3742534616698875E-2</v>
      </c>
      <c r="CC385" s="308">
        <v>8.3914688245593352E-2</v>
      </c>
      <c r="CD385" s="308">
        <v>9.1474570069520672E-2</v>
      </c>
    </row>
    <row r="386" spans="1:82" outlineLevel="1">
      <c r="A386" s="34"/>
      <c r="B386" s="5" t="s">
        <v>621</v>
      </c>
      <c r="H386" s="69"/>
      <c r="I386" s="69"/>
      <c r="J386" s="69"/>
      <c r="K386" s="69"/>
      <c r="L386" s="69"/>
      <c r="M386" s="69"/>
      <c r="N386" s="69"/>
      <c r="O386" s="69"/>
      <c r="P386" s="69"/>
      <c r="Q386" s="308">
        <v>0.13040796146274641</v>
      </c>
      <c r="R386" s="308">
        <v>0.16707338830879395</v>
      </c>
      <c r="S386" s="308">
        <v>0.11545684133250246</v>
      </c>
      <c r="T386" s="308">
        <v>8.7277532229340343E-2</v>
      </c>
      <c r="U386" s="308">
        <v>0.10098090422512584</v>
      </c>
      <c r="V386" s="308">
        <v>8.2605955739273013E-2</v>
      </c>
      <c r="W386" s="443">
        <f t="shared" ref="W386" si="494">+V386</f>
        <v>8.2605955739273013E-2</v>
      </c>
      <c r="X386" s="443">
        <f t="shared" ref="X386" si="495">+W386</f>
        <v>8.2605955739273013E-2</v>
      </c>
      <c r="Y386" s="443">
        <f t="shared" ref="Y386" si="496">+X386</f>
        <v>8.2605955739273013E-2</v>
      </c>
      <c r="BG386" s="450" t="s">
        <v>128</v>
      </c>
      <c r="BH386" s="450">
        <v>0.13287144019502617</v>
      </c>
      <c r="BI386" s="450">
        <v>0.13511570605310116</v>
      </c>
      <c r="BJ386" s="450">
        <v>0.1235353416228125</v>
      </c>
      <c r="BK386" s="450">
        <v>0.14638680259059283</v>
      </c>
      <c r="BL386" s="450">
        <v>0.18240914858018942</v>
      </c>
      <c r="BM386" s="450">
        <v>0.16899772186397546</v>
      </c>
      <c r="BN386" s="450">
        <v>0.17119696021275432</v>
      </c>
      <c r="BO386" s="450">
        <v>0.12993692267217863</v>
      </c>
      <c r="BP386" s="450">
        <v>0.10840161796590796</v>
      </c>
      <c r="BQ386" s="450">
        <v>0.1377960277906754</v>
      </c>
      <c r="BR386" s="450">
        <v>8.5240575211635999E-2</v>
      </c>
      <c r="BS386" s="450">
        <v>6.9225256332331481E-2</v>
      </c>
      <c r="BT386" s="450">
        <v>8.6461786890885781E-2</v>
      </c>
      <c r="BU386" s="450">
        <v>9.3265680532420389E-2</v>
      </c>
      <c r="BV386" s="450">
        <v>9.996225557183909E-2</v>
      </c>
      <c r="BW386" s="450">
        <v>0.10034024966303545</v>
      </c>
      <c r="BX386" s="450">
        <v>0.12822999550871023</v>
      </c>
      <c r="BY386" s="450">
        <v>9.9824803175040402E-2</v>
      </c>
      <c r="BZ386" s="450">
        <v>7.6767163612062053E-2</v>
      </c>
      <c r="CA386" s="450">
        <v>5.8268077295708202E-2</v>
      </c>
      <c r="CB386" s="450">
        <v>9.5254510981484339E-2</v>
      </c>
      <c r="CC386" s="450">
        <v>8.2402711880807875E-2</v>
      </c>
      <c r="CD386" s="450">
        <v>9.4498522799091614E-2</v>
      </c>
    </row>
    <row r="387" spans="1:82" outlineLevel="1">
      <c r="A387" s="34"/>
      <c r="T387" s="77"/>
      <c r="U387" s="77"/>
      <c r="V387" s="77"/>
      <c r="W387" s="77"/>
      <c r="X387" s="77"/>
      <c r="Y387" s="77"/>
      <c r="BS387" s="77"/>
      <c r="BT387" s="77"/>
      <c r="BU387" s="77"/>
      <c r="BV387" s="77"/>
      <c r="BW387" s="77"/>
      <c r="BX387" s="77"/>
      <c r="BY387" s="77"/>
      <c r="BZ387" s="77"/>
    </row>
    <row r="388" spans="1:82" outlineLevel="1">
      <c r="A388" s="34"/>
      <c r="B388" s="149" t="s">
        <v>372</v>
      </c>
      <c r="T388" s="77"/>
      <c r="U388" s="77"/>
      <c r="V388" s="77"/>
      <c r="W388" s="77"/>
      <c r="X388" s="77"/>
      <c r="Y388" s="77"/>
      <c r="BS388" s="77"/>
      <c r="BT388" s="77"/>
      <c r="BU388" s="77"/>
      <c r="BV388" s="77"/>
      <c r="BW388" s="77"/>
      <c r="BX388" s="77"/>
      <c r="BY388" s="77"/>
      <c r="BZ388" s="77"/>
    </row>
    <row r="389" spans="1:82" outlineLevel="1">
      <c r="A389" s="34"/>
      <c r="B389" s="5" t="s">
        <v>622</v>
      </c>
      <c r="Q389" s="22">
        <v>706.28755364806864</v>
      </c>
      <c r="R389" s="22">
        <v>718.83141762452112</v>
      </c>
      <c r="S389" s="22">
        <v>566.64750957854403</v>
      </c>
      <c r="T389" s="22">
        <v>587.75862068965512</v>
      </c>
      <c r="U389" s="22">
        <v>703.5</v>
      </c>
      <c r="V389" s="23">
        <f>AVERAGE(CA389:CD389)</f>
        <v>695.38461538461536</v>
      </c>
      <c r="W389" s="444">
        <f t="shared" ref="W389:W390" si="497">+V389</f>
        <v>695.38461538461536</v>
      </c>
      <c r="X389" s="444">
        <f t="shared" ref="X389:X390" si="498">+W389</f>
        <v>695.38461538461536</v>
      </c>
      <c r="Y389" s="444">
        <f t="shared" ref="Y389:Y390" si="499">+X389</f>
        <v>695.38461538461536</v>
      </c>
      <c r="BG389" s="22">
        <v>806.94444444444446</v>
      </c>
      <c r="BH389" s="22">
        <v>704.23076923076928</v>
      </c>
      <c r="BI389" s="22">
        <v>701.28787878787875</v>
      </c>
      <c r="BJ389" s="22">
        <v>658.40909090909088</v>
      </c>
      <c r="BK389" s="22">
        <v>750.859375</v>
      </c>
      <c r="BL389" s="22">
        <v>722.53846153846155</v>
      </c>
      <c r="BM389" s="22">
        <v>744.62121212121212</v>
      </c>
      <c r="BN389" s="22">
        <v>658.33333333333337</v>
      </c>
      <c r="BO389" s="22">
        <v>553.046875</v>
      </c>
      <c r="BP389" s="22">
        <v>637.53846153846155</v>
      </c>
      <c r="BQ389" s="22">
        <v>586.81818181818187</v>
      </c>
      <c r="BR389" s="22">
        <v>489.84848484848487</v>
      </c>
      <c r="BS389" s="22">
        <v>479.61538461538464</v>
      </c>
      <c r="BT389" s="22">
        <v>606.92307692307691</v>
      </c>
      <c r="BU389" s="22">
        <v>582.57575757575762</v>
      </c>
      <c r="BV389" s="22">
        <v>682</v>
      </c>
      <c r="BW389" s="22">
        <v>736.38461538461536</v>
      </c>
      <c r="BX389" s="22">
        <v>682.53846153846155</v>
      </c>
      <c r="BY389" s="22">
        <v>705.38461538461536</v>
      </c>
      <c r="BZ389" s="22">
        <v>689.69230769230774</v>
      </c>
      <c r="CA389" s="22">
        <v>695.38461538461536</v>
      </c>
      <c r="CB389" s="25">
        <f>CA389</f>
        <v>695.38461538461536</v>
      </c>
      <c r="CC389" s="25">
        <f>CB389</f>
        <v>695.38461538461536</v>
      </c>
      <c r="CD389" s="25">
        <f>CC389</f>
        <v>695.38461538461536</v>
      </c>
    </row>
    <row r="390" spans="1:82" outlineLevel="1">
      <c r="A390" s="34"/>
      <c r="B390" s="5" t="s">
        <v>623</v>
      </c>
      <c r="Q390" s="308">
        <v>0.32036702635740794</v>
      </c>
      <c r="R390" s="308">
        <v>0.32605683411405195</v>
      </c>
      <c r="S390" s="308">
        <v>0.25702729249419132</v>
      </c>
      <c r="T390" s="308">
        <v>0.26660314280449926</v>
      </c>
      <c r="U390" s="308">
        <v>0.31910261178797256</v>
      </c>
      <c r="V390" s="451">
        <f>AVERAGE(CA390:CD390)</f>
        <v>0.31542153086909097</v>
      </c>
      <c r="W390" s="443">
        <f t="shared" si="497"/>
        <v>0.31542153086909097</v>
      </c>
      <c r="X390" s="443">
        <f t="shared" si="498"/>
        <v>0.31542153086909097</v>
      </c>
      <c r="Y390" s="443">
        <f t="shared" si="499"/>
        <v>0.31542153086909097</v>
      </c>
      <c r="BG390" s="308">
        <v>0.3660242783084815</v>
      </c>
      <c r="BH390" s="308">
        <v>0.31943408352948321</v>
      </c>
      <c r="BI390" s="308">
        <v>0.31809920929134217</v>
      </c>
      <c r="BJ390" s="308">
        <v>0.29864969514432915</v>
      </c>
      <c r="BK390" s="308">
        <v>0.34058448848327605</v>
      </c>
      <c r="BL390" s="308">
        <v>0.32773832294838184</v>
      </c>
      <c r="BM390" s="308">
        <v>0.33775490203355324</v>
      </c>
      <c r="BN390" s="308">
        <v>0.29861533204512952</v>
      </c>
      <c r="BO390" s="308">
        <v>0.25085814108553856</v>
      </c>
      <c r="BP390" s="308">
        <v>0.28918292564635245</v>
      </c>
      <c r="BQ390" s="308">
        <v>0.26617656640064136</v>
      </c>
      <c r="BR390" s="308">
        <v>0.22219179942506415</v>
      </c>
      <c r="BS390" s="308">
        <v>0.21755013771778567</v>
      </c>
      <c r="BT390" s="308">
        <v>0.27529600426516904</v>
      </c>
      <c r="BU390" s="308">
        <v>0.26425223284545984</v>
      </c>
      <c r="BV390" s="308">
        <v>0.30935036423510631</v>
      </c>
      <c r="BW390" s="308">
        <v>0.33401884015595223</v>
      </c>
      <c r="BX390" s="308">
        <v>0.30959460657095628</v>
      </c>
      <c r="BY390" s="308">
        <v>0.31995745996344738</v>
      </c>
      <c r="BZ390" s="308">
        <v>0.31283954046153428</v>
      </c>
      <c r="CA390" s="308">
        <v>0.31542153086909097</v>
      </c>
      <c r="CB390" s="237">
        <f>CB389/2204.62</f>
        <v>0.31542153086909097</v>
      </c>
      <c r="CC390" s="237">
        <f>CC389/2204.62</f>
        <v>0.31542153086909097</v>
      </c>
      <c r="CD390" s="237">
        <f>CD389/2204.62</f>
        <v>0.31542153086909097</v>
      </c>
    </row>
    <row r="391" spans="1:82" outlineLevel="1">
      <c r="A391" s="34"/>
      <c r="T391" s="77"/>
      <c r="U391" s="77"/>
      <c r="V391" s="77"/>
      <c r="W391" s="77"/>
      <c r="X391" s="77"/>
      <c r="Y391" s="77"/>
      <c r="BS391" s="77"/>
      <c r="BT391" s="77"/>
      <c r="BU391" s="77"/>
      <c r="BV391" s="77"/>
      <c r="BW391" s="77"/>
      <c r="BX391" s="77"/>
      <c r="BY391" s="77"/>
      <c r="BZ391" s="77"/>
    </row>
    <row r="392" spans="1:82" outlineLevel="1">
      <c r="A392" s="34"/>
      <c r="B392" s="149" t="s">
        <v>351</v>
      </c>
      <c r="T392" s="77"/>
      <c r="U392" s="77"/>
      <c r="V392" s="77"/>
      <c r="W392" s="77"/>
      <c r="X392" s="77"/>
      <c r="Y392" s="77"/>
      <c r="BS392" s="77"/>
      <c r="BT392" s="77"/>
      <c r="BU392" s="77"/>
      <c r="BV392" s="77"/>
      <c r="BW392" s="77"/>
      <c r="BX392" s="77"/>
      <c r="BY392" s="77"/>
      <c r="BZ392" s="77"/>
    </row>
    <row r="393" spans="1:82" outlineLevel="1">
      <c r="A393" s="34"/>
      <c r="B393" s="5" t="s">
        <v>494</v>
      </c>
      <c r="G393" s="317">
        <v>2204.62</v>
      </c>
      <c r="H393" s="69"/>
      <c r="I393" s="69"/>
      <c r="J393" s="69"/>
      <c r="K393" s="69"/>
      <c r="L393" s="69"/>
      <c r="M393" s="69"/>
      <c r="N393" s="69"/>
      <c r="O393" s="69"/>
      <c r="P393" s="69"/>
      <c r="Q393" s="34">
        <f t="shared" ref="Q393:Y393" si="500">+Q394/100*$G$393</f>
        <v>1028.8226666666667</v>
      </c>
      <c r="R393" s="34">
        <f t="shared" si="500"/>
        <v>1058.6768958333334</v>
      </c>
      <c r="S393" s="34">
        <f t="shared" si="500"/>
        <v>698.12966666666671</v>
      </c>
      <c r="T393" s="34">
        <f t="shared" si="500"/>
        <v>676.0834666666666</v>
      </c>
      <c r="U393" s="34">
        <f t="shared" si="500"/>
        <v>718.79797916666655</v>
      </c>
      <c r="V393" s="34">
        <f t="shared" si="500"/>
        <v>670.57191666666654</v>
      </c>
      <c r="W393" s="34">
        <f t="shared" si="500"/>
        <v>670.57191666666654</v>
      </c>
      <c r="X393" s="34">
        <f t="shared" si="500"/>
        <v>670.57191666666654</v>
      </c>
      <c r="Y393" s="34">
        <f t="shared" si="500"/>
        <v>670.57191666666654</v>
      </c>
      <c r="Z393" s="34"/>
      <c r="AA393" s="34"/>
      <c r="AB393" s="34"/>
      <c r="AC393" s="34"/>
      <c r="AD393" s="34"/>
      <c r="AE393" s="34"/>
      <c r="AF393" s="34"/>
      <c r="AG393" s="34"/>
      <c r="AH393" s="34"/>
      <c r="AI393" s="34"/>
      <c r="AJ393" s="34"/>
      <c r="AK393" s="34"/>
      <c r="AL393" s="34"/>
      <c r="AM393" s="34"/>
      <c r="AN393" s="34"/>
      <c r="AO393" s="34"/>
      <c r="AP393" s="34"/>
      <c r="AQ393" s="34"/>
      <c r="AR393" s="34"/>
      <c r="AS393" s="34"/>
      <c r="AT393" s="34"/>
      <c r="AU393" s="34"/>
      <c r="AV393" s="34"/>
      <c r="AW393" s="34"/>
      <c r="AX393" s="34"/>
      <c r="AY393" s="34"/>
      <c r="AZ393" s="34"/>
      <c r="BA393" s="34"/>
      <c r="BB393" s="34"/>
      <c r="BC393" s="34"/>
      <c r="BD393" s="34"/>
      <c r="BE393" s="34"/>
      <c r="BF393" s="34"/>
      <c r="BG393" s="34">
        <f t="shared" ref="BG393:CD393" si="501">+BG394/100*$G$393</f>
        <v>1058.2175999999999</v>
      </c>
      <c r="BH393" s="34">
        <f t="shared" si="501"/>
        <v>1021.4739333333333</v>
      </c>
      <c r="BI393" s="34">
        <f t="shared" si="501"/>
        <v>1010.4508333333331</v>
      </c>
      <c r="BJ393" s="34">
        <f t="shared" si="501"/>
        <v>1025.1483000000001</v>
      </c>
      <c r="BK393" s="34">
        <f t="shared" si="501"/>
        <v>1065.5663333333332</v>
      </c>
      <c r="BL393" s="34">
        <f t="shared" si="501"/>
        <v>1039.8457666666668</v>
      </c>
      <c r="BM393" s="34">
        <f t="shared" si="501"/>
        <v>1142.7280333333335</v>
      </c>
      <c r="BN393" s="34">
        <f t="shared" si="501"/>
        <v>986.56745000000001</v>
      </c>
      <c r="BO393" s="34">
        <f t="shared" si="501"/>
        <v>766.10544999999991</v>
      </c>
      <c r="BP393" s="34">
        <f t="shared" si="501"/>
        <v>753.24516666666648</v>
      </c>
      <c r="BQ393" s="34">
        <f t="shared" si="501"/>
        <v>666.89754999999991</v>
      </c>
      <c r="BR393" s="34">
        <f t="shared" si="501"/>
        <v>606.27049999999986</v>
      </c>
      <c r="BS393" s="34">
        <f t="shared" si="501"/>
        <v>589.73585000000003</v>
      </c>
      <c r="BT393" s="34">
        <f t="shared" si="501"/>
        <v>666.89754999999991</v>
      </c>
      <c r="BU393" s="34">
        <f t="shared" si="501"/>
        <v>727.52459999999996</v>
      </c>
      <c r="BV393" s="34">
        <f t="shared" si="501"/>
        <v>720.17586666666659</v>
      </c>
      <c r="BW393" s="34">
        <f t="shared" si="501"/>
        <v>729.36178333333328</v>
      </c>
      <c r="BX393" s="34">
        <f t="shared" si="501"/>
        <v>703.64121666666665</v>
      </c>
      <c r="BY393" s="34">
        <f t="shared" si="501"/>
        <v>703.64121666666665</v>
      </c>
      <c r="BZ393" s="34">
        <f t="shared" si="501"/>
        <v>738.54769999999996</v>
      </c>
      <c r="CA393" s="34">
        <f t="shared" si="501"/>
        <v>668.73473333333322</v>
      </c>
      <c r="CB393" s="34">
        <f t="shared" si="501"/>
        <v>611.78205000000003</v>
      </c>
      <c r="CC393" s="34">
        <f t="shared" si="501"/>
        <v>694.45529999999997</v>
      </c>
      <c r="CD393" s="34">
        <f t="shared" si="501"/>
        <v>707.31558333333339</v>
      </c>
    </row>
    <row r="394" spans="1:82" outlineLevel="1">
      <c r="A394" s="34"/>
      <c r="B394" s="5" t="s">
        <v>493</v>
      </c>
      <c r="H394" s="69"/>
      <c r="I394" s="69"/>
      <c r="J394" s="69"/>
      <c r="K394" s="69"/>
      <c r="L394" s="69"/>
      <c r="M394" s="69"/>
      <c r="N394" s="69"/>
      <c r="O394" s="69"/>
      <c r="P394" s="69"/>
      <c r="Q394" s="308">
        <v>46.666666666666671</v>
      </c>
      <c r="R394" s="308">
        <v>48.020833333333343</v>
      </c>
      <c r="S394" s="308">
        <v>31.666666666666671</v>
      </c>
      <c r="T394" s="308">
        <v>30.666666666666664</v>
      </c>
      <c r="U394" s="308">
        <v>32.604166666666664</v>
      </c>
      <c r="V394" s="308">
        <v>30.416666666666664</v>
      </c>
      <c r="W394" s="443">
        <f>+V394</f>
        <v>30.416666666666664</v>
      </c>
      <c r="X394" s="443">
        <f>+W394</f>
        <v>30.416666666666664</v>
      </c>
      <c r="Y394" s="443">
        <f>+X394</f>
        <v>30.416666666666664</v>
      </c>
      <c r="Z394" s="36"/>
      <c r="AA394" s="36"/>
      <c r="AB394" s="36"/>
      <c r="AC394" s="36"/>
      <c r="AD394" s="36"/>
      <c r="AE394" s="36"/>
      <c r="AF394" s="36"/>
      <c r="AG394" s="36"/>
      <c r="AH394" s="36"/>
      <c r="AI394" s="36"/>
      <c r="AJ394" s="36"/>
      <c r="AK394" s="36"/>
      <c r="AL394" s="36"/>
      <c r="AM394" s="36"/>
      <c r="AN394" s="36"/>
      <c r="AO394" s="36"/>
      <c r="AP394" s="36"/>
      <c r="AQ394" s="36"/>
      <c r="AR394" s="36"/>
      <c r="AS394" s="36"/>
      <c r="AT394" s="36"/>
      <c r="AU394" s="36"/>
      <c r="AV394" s="36"/>
      <c r="AW394" s="36"/>
      <c r="AX394" s="36"/>
      <c r="AY394" s="36"/>
      <c r="AZ394" s="36"/>
      <c r="BA394" s="36"/>
      <c r="BB394" s="36"/>
      <c r="BC394" s="36"/>
      <c r="BD394" s="36"/>
      <c r="BE394" s="36"/>
      <c r="BF394" s="36"/>
      <c r="BG394" s="431">
        <v>48</v>
      </c>
      <c r="BH394" s="431">
        <v>46.333333333333336</v>
      </c>
      <c r="BI394" s="431">
        <v>45.833333333333329</v>
      </c>
      <c r="BJ394" s="431">
        <v>46.5</v>
      </c>
      <c r="BK394" s="431">
        <v>48.333333333333336</v>
      </c>
      <c r="BL394" s="431">
        <v>47.166666666666671</v>
      </c>
      <c r="BM394" s="431">
        <v>51.833333333333343</v>
      </c>
      <c r="BN394" s="431">
        <v>44.75</v>
      </c>
      <c r="BO394" s="431">
        <v>34.75</v>
      </c>
      <c r="BP394" s="431">
        <v>34.166666666666664</v>
      </c>
      <c r="BQ394" s="431">
        <v>30.25</v>
      </c>
      <c r="BR394" s="431">
        <v>27.499999999999996</v>
      </c>
      <c r="BS394" s="431">
        <v>26.75</v>
      </c>
      <c r="BT394" s="431">
        <v>30.25</v>
      </c>
      <c r="BU394" s="431">
        <v>33</v>
      </c>
      <c r="BV394" s="431">
        <v>32.666666666666664</v>
      </c>
      <c r="BW394" s="431">
        <v>33.083333333333329</v>
      </c>
      <c r="BX394" s="431">
        <v>31.916666666666664</v>
      </c>
      <c r="BY394" s="431">
        <v>31.916666666666664</v>
      </c>
      <c r="BZ394" s="431">
        <v>33.5</v>
      </c>
      <c r="CA394" s="431">
        <v>30.333333333333329</v>
      </c>
      <c r="CB394" s="431">
        <v>27.750000000000004</v>
      </c>
      <c r="CC394" s="431">
        <v>31.5</v>
      </c>
      <c r="CD394" s="431">
        <v>32.083333333333336</v>
      </c>
    </row>
    <row r="395" spans="1:82" outlineLevel="1">
      <c r="A395" s="34"/>
      <c r="H395" s="69"/>
      <c r="I395" s="69"/>
      <c r="J395" s="69"/>
      <c r="K395" s="69"/>
      <c r="L395" s="69"/>
      <c r="M395" s="69"/>
      <c r="N395" s="69"/>
      <c r="O395" s="69"/>
      <c r="P395" s="69"/>
      <c r="Q395" s="436"/>
      <c r="R395" s="436"/>
      <c r="S395" s="436"/>
      <c r="T395" s="436"/>
      <c r="U395" s="436"/>
      <c r="V395" s="308"/>
      <c r="W395" s="443"/>
      <c r="X395" s="443"/>
      <c r="Y395" s="443"/>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36"/>
      <c r="BE395" s="36"/>
      <c r="BF395" s="36"/>
      <c r="BG395" s="431"/>
      <c r="BH395" s="431"/>
      <c r="BI395" s="431"/>
      <c r="BJ395" s="431"/>
      <c r="BK395" s="431"/>
      <c r="BL395" s="431"/>
      <c r="BM395" s="431"/>
      <c r="BN395" s="431"/>
      <c r="BO395" s="431"/>
      <c r="BP395" s="431"/>
      <c r="BQ395" s="431"/>
      <c r="BR395" s="431"/>
      <c r="BS395" s="431"/>
      <c r="BT395" s="431"/>
      <c r="BU395" s="431"/>
      <c r="BV395" s="431"/>
      <c r="BW395" s="431"/>
      <c r="BX395" s="431"/>
      <c r="BY395" s="431"/>
      <c r="BZ395" s="431"/>
      <c r="CA395" s="431"/>
      <c r="CB395" s="431"/>
      <c r="CC395" s="431"/>
      <c r="CD395" s="431"/>
    </row>
    <row r="396" spans="1:82" outlineLevel="1">
      <c r="A396" s="34"/>
      <c r="B396" s="149" t="s">
        <v>664</v>
      </c>
      <c r="H396" s="69"/>
      <c r="I396" s="69"/>
      <c r="J396" s="69"/>
      <c r="K396" s="69"/>
      <c r="L396" s="69"/>
      <c r="M396" s="69"/>
      <c r="N396" s="69"/>
      <c r="O396" s="69"/>
      <c r="P396" s="69"/>
      <c r="Q396" s="436"/>
      <c r="R396" s="436"/>
      <c r="S396" s="436"/>
      <c r="T396" s="436"/>
      <c r="U396" s="436"/>
      <c r="V396" s="308"/>
      <c r="W396" s="443"/>
      <c r="X396" s="443"/>
      <c r="Y396" s="443"/>
      <c r="Z396" s="36"/>
      <c r="AA396" s="36"/>
      <c r="AB396" s="36"/>
      <c r="AC396" s="36"/>
      <c r="AD396" s="36"/>
      <c r="AE396" s="36"/>
      <c r="AF396" s="36"/>
      <c r="AG396" s="36"/>
      <c r="AH396" s="36"/>
      <c r="AI396" s="36"/>
      <c r="AJ396" s="36"/>
      <c r="AK396" s="36"/>
      <c r="AL396" s="36"/>
      <c r="AM396" s="36"/>
      <c r="AN396" s="36"/>
      <c r="AO396" s="36"/>
      <c r="AP396" s="36"/>
      <c r="AQ396" s="36"/>
      <c r="AR396" s="36"/>
      <c r="AS396" s="36"/>
      <c r="AT396" s="36"/>
      <c r="AU396" s="36"/>
      <c r="AV396" s="36"/>
      <c r="AW396" s="36"/>
      <c r="AX396" s="36"/>
      <c r="AY396" s="36"/>
      <c r="AZ396" s="36"/>
      <c r="BA396" s="36"/>
      <c r="BB396" s="36"/>
      <c r="BC396" s="36"/>
      <c r="BD396" s="36"/>
      <c r="BE396" s="36"/>
      <c r="BF396" s="36"/>
      <c r="BG396" s="431"/>
      <c r="BH396" s="431"/>
      <c r="BI396" s="431"/>
      <c r="BJ396" s="431"/>
      <c r="BK396" s="431"/>
      <c r="BL396" s="431"/>
      <c r="BM396" s="431"/>
      <c r="BN396" s="431"/>
      <c r="BO396" s="431"/>
      <c r="BP396" s="431"/>
      <c r="BQ396" s="431"/>
      <c r="BR396" s="431"/>
      <c r="BS396" s="431"/>
      <c r="BT396" s="431"/>
      <c r="BU396" s="431"/>
      <c r="BV396" s="431"/>
      <c r="BW396" s="431"/>
      <c r="BX396" s="431"/>
      <c r="BY396" s="431"/>
      <c r="BZ396" s="431"/>
      <c r="CA396" s="431"/>
      <c r="CB396" s="431"/>
      <c r="CC396" s="431"/>
      <c r="CD396" s="431"/>
    </row>
    <row r="397" spans="1:82" outlineLevel="1">
      <c r="B397" s="5" t="s">
        <v>663</v>
      </c>
      <c r="H397" s="308"/>
      <c r="I397" s="308"/>
      <c r="J397" s="308"/>
      <c r="K397" s="308"/>
      <c r="L397" s="308"/>
      <c r="M397" s="308"/>
      <c r="N397" s="308">
        <v>4.3697222222222187</v>
      </c>
      <c r="O397" s="308">
        <v>3.9963095238095225</v>
      </c>
      <c r="P397" s="308">
        <v>2.7544841269841265</v>
      </c>
      <c r="Q397" s="308">
        <v>3.7312698412698446</v>
      </c>
      <c r="R397" s="308">
        <v>4.3726984126984147</v>
      </c>
      <c r="S397" s="308">
        <v>2.6239843749999983</v>
      </c>
      <c r="T397" s="308">
        <v>2.5159770114942543</v>
      </c>
      <c r="U397" s="308">
        <v>2.7769999999999997</v>
      </c>
      <c r="V397" s="308">
        <v>2.8038333333333334</v>
      </c>
      <c r="W397" s="308">
        <v>2.7314166666666666</v>
      </c>
      <c r="X397" s="308">
        <v>2.7063333333333337</v>
      </c>
      <c r="Y397" s="308">
        <v>2.7451666666666665</v>
      </c>
      <c r="Z397" s="308"/>
      <c r="AA397" s="308"/>
      <c r="AB397" s="308"/>
      <c r="AC397" s="308"/>
      <c r="AD397" s="308"/>
      <c r="AE397" s="308"/>
      <c r="AF397" s="308"/>
      <c r="AG397" s="308"/>
      <c r="AH397" s="308"/>
      <c r="AI397" s="308"/>
      <c r="AJ397" s="308"/>
      <c r="AK397" s="308"/>
      <c r="AL397" s="308"/>
      <c r="AM397" s="308"/>
      <c r="AN397" s="308"/>
      <c r="AO397" s="308"/>
      <c r="AP397" s="308"/>
      <c r="AQ397" s="308"/>
      <c r="AR397" s="308"/>
      <c r="AS397" s="308"/>
      <c r="AT397" s="308"/>
      <c r="AU397" s="308"/>
      <c r="AV397" s="308"/>
      <c r="AW397" s="308"/>
      <c r="AX397" s="308"/>
      <c r="AY397" s="308"/>
      <c r="AZ397" s="308"/>
      <c r="BA397" s="308"/>
      <c r="BB397" s="308"/>
      <c r="BC397" s="308"/>
      <c r="BD397" s="308"/>
      <c r="BS397" s="308">
        <v>1.9915384615384617</v>
      </c>
      <c r="BT397" s="308">
        <v>2.1458461538461528</v>
      </c>
      <c r="BU397" s="308">
        <v>2.8801515151515145</v>
      </c>
      <c r="BV397" s="308">
        <v>3.0407692307692304</v>
      </c>
      <c r="BW397" s="308">
        <v>3.0152307692307692</v>
      </c>
      <c r="BX397" s="308">
        <v>3.0759999999999987</v>
      </c>
      <c r="BY397" s="308">
        <v>2.9521538461538466</v>
      </c>
      <c r="BZ397" s="308">
        <v>2.9075000000000002</v>
      </c>
      <c r="CA397" s="308">
        <v>2.7769999999999997</v>
      </c>
      <c r="CB397" s="308">
        <v>2.7376666666666671</v>
      </c>
      <c r="CC397" s="308">
        <v>2.8143333333333334</v>
      </c>
      <c r="CD397" s="308">
        <v>2.886333333333333</v>
      </c>
    </row>
    <row r="398" spans="1:82" outlineLevel="1">
      <c r="A398" s="34"/>
      <c r="B398" s="5" t="s">
        <v>665</v>
      </c>
      <c r="N398" s="308">
        <v>0.60508272166666677</v>
      </c>
      <c r="O398" s="308">
        <v>0.75441429666666682</v>
      </c>
      <c r="P398" s="308">
        <v>0.44445910999999994</v>
      </c>
      <c r="Q398" s="308">
        <v>0.25660214583333335</v>
      </c>
      <c r="R398" s="308">
        <v>0.27705296250000006</v>
      </c>
      <c r="S398" s="308">
        <v>0.18643153416666666</v>
      </c>
      <c r="T398" s="308">
        <v>0.18737499833333329</v>
      </c>
      <c r="U398" s="308">
        <v>0.25114166666666665</v>
      </c>
      <c r="V398" s="308">
        <v>0.25910000083333334</v>
      </c>
      <c r="W398" s="44">
        <f>(W397*0.0665)+0.1</f>
        <v>0.28163920833333334</v>
      </c>
      <c r="X398" s="44">
        <f>(X397*0.0665)+0.1</f>
        <v>0.27997116666666672</v>
      </c>
      <c r="Y398" s="44">
        <f>(Y397*0.0665)+0.1</f>
        <v>0.28255358333333336</v>
      </c>
      <c r="Z398" s="36"/>
      <c r="AA398" s="36"/>
      <c r="AB398" s="36"/>
      <c r="AC398" s="36"/>
      <c r="AD398" s="36"/>
      <c r="AE398" s="36"/>
      <c r="AF398" s="36"/>
      <c r="AG398" s="36"/>
      <c r="AH398" s="36"/>
      <c r="AI398" s="36"/>
      <c r="AJ398" s="36"/>
      <c r="AK398" s="36"/>
      <c r="AL398" s="36"/>
      <c r="AM398" s="36"/>
      <c r="AN398" s="36"/>
      <c r="AO398" s="36"/>
      <c r="AP398" s="36"/>
      <c r="AQ398" s="36"/>
      <c r="AR398" s="36"/>
      <c r="AS398" s="36"/>
      <c r="AT398" s="36"/>
      <c r="AU398" s="36"/>
      <c r="AV398" s="36"/>
      <c r="AW398" s="36"/>
      <c r="AX398" s="36"/>
      <c r="AY398" s="36"/>
      <c r="AZ398" s="36"/>
      <c r="BA398" s="36"/>
      <c r="BB398" s="36"/>
      <c r="BC398" s="36"/>
      <c r="BD398" s="36"/>
      <c r="BE398" s="36"/>
      <c r="BF398" s="36"/>
      <c r="BG398" s="431"/>
      <c r="BH398" s="431"/>
      <c r="BI398" s="431"/>
      <c r="BJ398" s="431"/>
      <c r="BK398" s="431"/>
      <c r="BL398" s="431"/>
      <c r="BM398" s="431"/>
      <c r="BN398" s="431"/>
      <c r="BO398" s="431"/>
      <c r="BP398" s="431"/>
      <c r="BQ398" s="431"/>
      <c r="BR398" s="431"/>
      <c r="BS398" s="431"/>
      <c r="BT398" s="431"/>
      <c r="BU398" s="431"/>
      <c r="BV398" s="431"/>
      <c r="BW398" s="431"/>
      <c r="BX398" s="431"/>
      <c r="BY398" s="431"/>
      <c r="BZ398" s="431"/>
      <c r="CA398" s="431"/>
      <c r="CB398" s="431"/>
      <c r="CC398" s="431"/>
      <c r="CD398" s="431"/>
    </row>
    <row r="399" spans="1:82" outlineLevel="1">
      <c r="A399" s="34"/>
      <c r="T399" s="77"/>
      <c r="U399" s="77"/>
      <c r="V399" s="77"/>
      <c r="W399" s="77"/>
      <c r="X399" s="77"/>
      <c r="Y399" s="77"/>
      <c r="BS399" s="77"/>
      <c r="BT399" s="77"/>
      <c r="BU399" s="77"/>
      <c r="BV399" s="77"/>
      <c r="BW399" s="77"/>
      <c r="BX399" s="77"/>
      <c r="BY399" s="77"/>
      <c r="BZ399" s="77"/>
    </row>
    <row r="400" spans="1:82" outlineLevel="1">
      <c r="A400" s="51" t="s">
        <v>150</v>
      </c>
      <c r="B400" s="27" t="s">
        <v>611</v>
      </c>
      <c r="C400" s="28"/>
      <c r="D400" s="28"/>
      <c r="E400" s="28"/>
      <c r="F400" s="28"/>
      <c r="G400" s="28"/>
      <c r="H400" s="28"/>
      <c r="I400" s="28"/>
      <c r="J400" s="28"/>
      <c r="K400" s="28"/>
      <c r="L400" s="28"/>
      <c r="M400" s="28"/>
      <c r="N400" s="28"/>
      <c r="O400" s="28"/>
      <c r="P400" s="28"/>
      <c r="Q400" s="28"/>
      <c r="R400" s="28"/>
      <c r="S400" s="28"/>
      <c r="T400" s="251"/>
      <c r="U400" s="494"/>
      <c r="V400" s="251"/>
      <c r="W400" s="251"/>
      <c r="X400" s="251"/>
      <c r="Y400" s="251"/>
      <c r="Z400" s="28"/>
      <c r="AA400" s="28"/>
      <c r="AB400" s="28"/>
      <c r="AC400" s="28"/>
      <c r="AD400" s="28"/>
      <c r="AE400" s="28"/>
      <c r="AF400" s="28"/>
      <c r="AG400" s="28"/>
      <c r="AH400" s="28"/>
      <c r="AI400" s="28"/>
      <c r="AJ400" s="28"/>
      <c r="AK400" s="28"/>
      <c r="AL400" s="28"/>
      <c r="AM400" s="28"/>
      <c r="AN400" s="28"/>
      <c r="AO400" s="28"/>
      <c r="AP400" s="28"/>
      <c r="AQ400" s="28"/>
      <c r="AR400" s="28"/>
      <c r="AS400" s="28"/>
      <c r="AT400" s="28"/>
      <c r="AU400" s="28"/>
      <c r="AV400" s="28"/>
      <c r="AW400" s="28"/>
      <c r="AX400" s="28"/>
      <c r="AY400" s="28"/>
      <c r="AZ400" s="28"/>
      <c r="BA400" s="28"/>
      <c r="BB400" s="28"/>
      <c r="BC400" s="28"/>
      <c r="BD400" s="28"/>
      <c r="BE400" s="28"/>
      <c r="BF400" s="28"/>
      <c r="BG400" s="28"/>
      <c r="BH400" s="28"/>
      <c r="BI400" s="28"/>
      <c r="BJ400" s="28"/>
      <c r="BK400" s="28"/>
      <c r="BL400" s="28"/>
      <c r="BM400" s="28"/>
      <c r="BN400" s="28"/>
      <c r="BO400" s="28"/>
      <c r="BP400" s="28"/>
      <c r="BQ400" s="28"/>
      <c r="BR400" s="28"/>
      <c r="BS400" s="251"/>
      <c r="BT400" s="251"/>
      <c r="BU400" s="251"/>
      <c r="BV400" s="251"/>
      <c r="BW400" s="251"/>
      <c r="BX400" s="251"/>
      <c r="BY400" s="251"/>
      <c r="BZ400" s="251"/>
      <c r="CA400" s="251"/>
      <c r="CB400" s="251"/>
      <c r="CC400" s="251"/>
      <c r="CD400" s="251"/>
    </row>
    <row r="401" spans="1:82" outlineLevel="1">
      <c r="A401" s="7"/>
      <c r="B401" s="149" t="s">
        <v>356</v>
      </c>
      <c r="U401" s="36"/>
      <c r="V401" s="5">
        <f>(V416+V433+V456)*0.01</f>
        <v>116.53</v>
      </c>
    </row>
    <row r="402" spans="1:82" outlineLevel="1">
      <c r="A402" s="45"/>
      <c r="B402" s="241" t="s">
        <v>343</v>
      </c>
      <c r="Q402" s="265">
        <v>0</v>
      </c>
      <c r="R402" s="265">
        <v>0</v>
      </c>
      <c r="S402" s="265">
        <v>430</v>
      </c>
      <c r="T402" s="265">
        <v>1639</v>
      </c>
      <c r="U402" s="265">
        <v>1580</v>
      </c>
      <c r="V402" s="265">
        <v>1580</v>
      </c>
      <c r="W402" s="265">
        <v>1580</v>
      </c>
      <c r="X402" s="265">
        <v>1580</v>
      </c>
      <c r="Y402" s="265">
        <v>1580</v>
      </c>
      <c r="Z402" s="36"/>
      <c r="AA402" s="36"/>
      <c r="AB402" s="36"/>
      <c r="AC402" s="36"/>
      <c r="AD402" s="36"/>
      <c r="AE402" s="36"/>
      <c r="AF402" s="36"/>
      <c r="AG402" s="36"/>
      <c r="AH402" s="36"/>
      <c r="AI402" s="36"/>
      <c r="AJ402" s="36"/>
      <c r="AK402" s="36"/>
      <c r="AL402" s="36"/>
      <c r="AM402" s="36"/>
      <c r="AN402" s="36"/>
      <c r="AO402" s="36"/>
      <c r="AP402" s="36"/>
      <c r="AQ402" s="36"/>
      <c r="AR402" s="36"/>
      <c r="AS402" s="36"/>
      <c r="AT402" s="36"/>
      <c r="AU402" s="36"/>
      <c r="AV402" s="36"/>
      <c r="AW402" s="36"/>
      <c r="AX402" s="36"/>
      <c r="AY402" s="36"/>
      <c r="AZ402" s="36"/>
      <c r="BA402" s="36"/>
      <c r="BB402" s="36"/>
      <c r="BC402" s="36"/>
      <c r="BD402" s="36"/>
      <c r="BE402" s="36"/>
      <c r="BF402" s="36"/>
      <c r="BG402" s="36"/>
      <c r="BH402" s="36"/>
      <c r="BI402" s="36"/>
      <c r="BJ402" s="36"/>
      <c r="BK402" s="36"/>
      <c r="BL402" s="36"/>
      <c r="BM402" s="36"/>
      <c r="BN402" s="36"/>
      <c r="BO402" s="36"/>
      <c r="BP402" s="36"/>
      <c r="BQ402" s="36"/>
      <c r="BR402" s="36"/>
      <c r="BS402" s="155">
        <f>1820*0.25</f>
        <v>455</v>
      </c>
      <c r="BT402" s="235">
        <f>+($T402-$BS402)/3</f>
        <v>394.66666666666669</v>
      </c>
      <c r="BU402" s="235">
        <f>+($T402-$BS402)/3</f>
        <v>394.66666666666669</v>
      </c>
      <c r="BV402" s="235">
        <f>+($T402-$BS402)/3</f>
        <v>394.66666666666669</v>
      </c>
      <c r="BW402" s="36">
        <f>$U402/4</f>
        <v>395</v>
      </c>
      <c r="BX402" s="36">
        <f t="shared" ref="BX402:BZ406" si="502">$U402/4</f>
        <v>395</v>
      </c>
      <c r="BY402" s="36">
        <f t="shared" si="502"/>
        <v>395</v>
      </c>
      <c r="BZ402" s="36">
        <f t="shared" si="502"/>
        <v>395</v>
      </c>
      <c r="CA402" s="36">
        <f>$V402/4</f>
        <v>395</v>
      </c>
      <c r="CB402" s="36">
        <f t="shared" ref="CB402:CD406" si="503">$V402/4</f>
        <v>395</v>
      </c>
      <c r="CC402" s="36">
        <f t="shared" si="503"/>
        <v>395</v>
      </c>
      <c r="CD402" s="36">
        <f t="shared" si="503"/>
        <v>395</v>
      </c>
    </row>
    <row r="403" spans="1:82" outlineLevel="1">
      <c r="A403" s="7"/>
      <c r="B403" s="241" t="s">
        <v>341</v>
      </c>
      <c r="Q403" s="265">
        <v>0</v>
      </c>
      <c r="R403" s="265">
        <v>0</v>
      </c>
      <c r="S403" s="265">
        <v>255</v>
      </c>
      <c r="T403" s="265">
        <v>1070</v>
      </c>
      <c r="U403" s="265">
        <v>1070</v>
      </c>
      <c r="V403" s="265">
        <v>1070</v>
      </c>
      <c r="W403" s="265">
        <v>1070</v>
      </c>
      <c r="X403" s="265">
        <v>1070</v>
      </c>
      <c r="Y403" s="265">
        <v>1070</v>
      </c>
      <c r="Z403" s="36"/>
      <c r="AA403" s="36"/>
      <c r="AB403" s="36"/>
      <c r="AC403" s="36"/>
      <c r="AD403" s="36"/>
      <c r="AE403" s="36"/>
      <c r="AF403" s="36"/>
      <c r="AG403" s="36"/>
      <c r="AH403" s="36"/>
      <c r="AI403" s="36"/>
      <c r="AJ403" s="36"/>
      <c r="AK403" s="36"/>
      <c r="AL403" s="36"/>
      <c r="AM403" s="36"/>
      <c r="AN403" s="36"/>
      <c r="AO403" s="36"/>
      <c r="AP403" s="36"/>
      <c r="AQ403" s="36"/>
      <c r="AR403" s="36"/>
      <c r="AS403" s="36"/>
      <c r="AT403" s="36"/>
      <c r="AU403" s="36"/>
      <c r="AV403" s="36"/>
      <c r="AW403" s="36"/>
      <c r="AX403" s="36"/>
      <c r="AY403" s="36"/>
      <c r="AZ403" s="36"/>
      <c r="BA403" s="36"/>
      <c r="BB403" s="36"/>
      <c r="BC403" s="36"/>
      <c r="BD403" s="36"/>
      <c r="BE403" s="36"/>
      <c r="BF403" s="36"/>
      <c r="BG403" s="36"/>
      <c r="BH403" s="36"/>
      <c r="BI403" s="36"/>
      <c r="BJ403" s="36"/>
      <c r="BK403" s="36"/>
      <c r="BL403" s="36"/>
      <c r="BM403" s="36"/>
      <c r="BN403" s="36"/>
      <c r="BO403" s="36"/>
      <c r="BP403" s="36"/>
      <c r="BQ403" s="36"/>
      <c r="BR403" s="36"/>
      <c r="BS403" s="36">
        <f>+$T403/4</f>
        <v>267.5</v>
      </c>
      <c r="BT403" s="36">
        <f t="shared" ref="BT403:BV406" si="504">+$T403/4</f>
        <v>267.5</v>
      </c>
      <c r="BU403" s="36">
        <f t="shared" si="504"/>
        <v>267.5</v>
      </c>
      <c r="BV403" s="36">
        <f t="shared" si="504"/>
        <v>267.5</v>
      </c>
      <c r="BW403" s="36">
        <f>$U403/4</f>
        <v>267.5</v>
      </c>
      <c r="BX403" s="36">
        <f t="shared" si="502"/>
        <v>267.5</v>
      </c>
      <c r="BY403" s="36">
        <f t="shared" si="502"/>
        <v>267.5</v>
      </c>
      <c r="BZ403" s="36">
        <f t="shared" si="502"/>
        <v>267.5</v>
      </c>
      <c r="CA403" s="36">
        <f>$V403/4</f>
        <v>267.5</v>
      </c>
      <c r="CB403" s="36">
        <f t="shared" si="503"/>
        <v>267.5</v>
      </c>
      <c r="CC403" s="36">
        <f t="shared" si="503"/>
        <v>267.5</v>
      </c>
      <c r="CD403" s="36">
        <f t="shared" si="503"/>
        <v>267.5</v>
      </c>
    </row>
    <row r="404" spans="1:82" outlineLevel="1">
      <c r="A404" s="51"/>
      <c r="B404" s="241" t="s">
        <v>345</v>
      </c>
      <c r="Q404" s="265">
        <v>152</v>
      </c>
      <c r="R404" s="265">
        <v>152</v>
      </c>
      <c r="S404" s="265">
        <v>152</v>
      </c>
      <c r="T404" s="265">
        <v>37</v>
      </c>
      <c r="U404" s="265">
        <v>0</v>
      </c>
      <c r="V404" s="265">
        <v>0</v>
      </c>
      <c r="W404" s="265">
        <v>0</v>
      </c>
      <c r="X404" s="265">
        <v>0</v>
      </c>
      <c r="Y404" s="265">
        <v>0</v>
      </c>
      <c r="Z404" s="36"/>
      <c r="AA404" s="36"/>
      <c r="AB404" s="36"/>
      <c r="AC404" s="36"/>
      <c r="AD404" s="36"/>
      <c r="AE404" s="36"/>
      <c r="AF404" s="36"/>
      <c r="AG404" s="36"/>
      <c r="AH404" s="36"/>
      <c r="AI404" s="36"/>
      <c r="AJ404" s="36"/>
      <c r="AK404" s="36"/>
      <c r="AL404" s="36"/>
      <c r="AM404" s="36"/>
      <c r="AN404" s="36"/>
      <c r="AO404" s="36"/>
      <c r="AP404" s="36"/>
      <c r="AQ404" s="36"/>
      <c r="AR404" s="36"/>
      <c r="AS404" s="36"/>
      <c r="AT404" s="36"/>
      <c r="AU404" s="36"/>
      <c r="AV404" s="36"/>
      <c r="AW404" s="36"/>
      <c r="AX404" s="36"/>
      <c r="AY404" s="36"/>
      <c r="AZ404" s="36"/>
      <c r="BA404" s="36"/>
      <c r="BB404" s="36"/>
      <c r="BC404" s="36"/>
      <c r="BD404" s="36"/>
      <c r="BE404" s="36"/>
      <c r="BF404" s="36"/>
      <c r="BG404" s="36"/>
      <c r="BH404" s="36"/>
      <c r="BI404" s="36"/>
      <c r="BJ404" s="36"/>
      <c r="BK404" s="36"/>
      <c r="BL404" s="36"/>
      <c r="BM404" s="36"/>
      <c r="BN404" s="36"/>
      <c r="BO404" s="36"/>
      <c r="BP404" s="36"/>
      <c r="BQ404" s="36"/>
      <c r="BR404" s="36"/>
      <c r="BS404" s="349">
        <f>T404</f>
        <v>37</v>
      </c>
      <c r="BT404" s="40">
        <v>0</v>
      </c>
      <c r="BU404" s="40">
        <v>0</v>
      </c>
      <c r="BV404" s="40">
        <v>0</v>
      </c>
      <c r="BW404" s="36">
        <f>$U404/4</f>
        <v>0</v>
      </c>
      <c r="BX404" s="36">
        <f t="shared" si="502"/>
        <v>0</v>
      </c>
      <c r="BY404" s="36">
        <f t="shared" si="502"/>
        <v>0</v>
      </c>
      <c r="BZ404" s="36">
        <f t="shared" si="502"/>
        <v>0</v>
      </c>
      <c r="CA404" s="36">
        <f>$V404/4</f>
        <v>0</v>
      </c>
      <c r="CB404" s="36">
        <f t="shared" si="503"/>
        <v>0</v>
      </c>
      <c r="CC404" s="36">
        <f t="shared" si="503"/>
        <v>0</v>
      </c>
      <c r="CD404" s="36">
        <f t="shared" si="503"/>
        <v>0</v>
      </c>
    </row>
    <row r="405" spans="1:82" outlineLevel="1">
      <c r="A405" s="7"/>
      <c r="B405" s="241" t="s">
        <v>342</v>
      </c>
      <c r="Q405" s="265">
        <v>177</v>
      </c>
      <c r="R405" s="265">
        <v>177</v>
      </c>
      <c r="S405" s="265">
        <v>177</v>
      </c>
      <c r="T405" s="265">
        <v>177</v>
      </c>
      <c r="U405" s="265">
        <v>177</v>
      </c>
      <c r="V405" s="265">
        <v>177</v>
      </c>
      <c r="W405" s="265">
        <v>177</v>
      </c>
      <c r="X405" s="265">
        <v>177</v>
      </c>
      <c r="Y405" s="265">
        <v>177</v>
      </c>
      <c r="Z405" s="36"/>
      <c r="AA405" s="36"/>
      <c r="AB405" s="36"/>
      <c r="AC405" s="36"/>
      <c r="AD405" s="36"/>
      <c r="AE405" s="36"/>
      <c r="AF405" s="36"/>
      <c r="AG405" s="36"/>
      <c r="AH405" s="36"/>
      <c r="AI405" s="36"/>
      <c r="AJ405" s="36"/>
      <c r="AK405" s="36"/>
      <c r="AL405" s="36"/>
      <c r="AM405" s="36"/>
      <c r="AN405" s="36"/>
      <c r="AO405" s="36"/>
      <c r="AP405" s="36"/>
      <c r="AQ405" s="36"/>
      <c r="AR405" s="36"/>
      <c r="AS405" s="36"/>
      <c r="AT405" s="36"/>
      <c r="AU405" s="36"/>
      <c r="AV405" s="36"/>
      <c r="AW405" s="36"/>
      <c r="AX405" s="36"/>
      <c r="AY405" s="36"/>
      <c r="AZ405" s="36"/>
      <c r="BA405" s="36"/>
      <c r="BB405" s="36"/>
      <c r="BC405" s="36"/>
      <c r="BD405" s="36"/>
      <c r="BE405" s="36"/>
      <c r="BF405" s="36"/>
      <c r="BG405" s="36"/>
      <c r="BH405" s="36"/>
      <c r="BI405" s="36"/>
      <c r="BJ405" s="36"/>
      <c r="BK405" s="36"/>
      <c r="BL405" s="36"/>
      <c r="BM405" s="36"/>
      <c r="BN405" s="36"/>
      <c r="BO405" s="36"/>
      <c r="BP405" s="36"/>
      <c r="BQ405" s="36"/>
      <c r="BR405" s="36"/>
      <c r="BS405" s="36">
        <f>+$T405/4</f>
        <v>44.25</v>
      </c>
      <c r="BT405" s="36">
        <f t="shared" si="504"/>
        <v>44.25</v>
      </c>
      <c r="BU405" s="36">
        <f t="shared" si="504"/>
        <v>44.25</v>
      </c>
      <c r="BV405" s="36">
        <f t="shared" si="504"/>
        <v>44.25</v>
      </c>
      <c r="BW405" s="36">
        <f>$U405/4</f>
        <v>44.25</v>
      </c>
      <c r="BX405" s="36">
        <f t="shared" si="502"/>
        <v>44.25</v>
      </c>
      <c r="BY405" s="36">
        <f t="shared" si="502"/>
        <v>44.25</v>
      </c>
      <c r="BZ405" s="36">
        <f t="shared" si="502"/>
        <v>44.25</v>
      </c>
      <c r="CA405" s="36">
        <f>$V405/4</f>
        <v>44.25</v>
      </c>
      <c r="CB405" s="36">
        <f t="shared" si="503"/>
        <v>44.25</v>
      </c>
      <c r="CC405" s="36">
        <f t="shared" si="503"/>
        <v>44.25</v>
      </c>
      <c r="CD405" s="36">
        <f t="shared" si="503"/>
        <v>44.25</v>
      </c>
    </row>
    <row r="406" spans="1:82" outlineLevel="1">
      <c r="A406" s="7"/>
      <c r="B406" s="241" t="s">
        <v>344</v>
      </c>
      <c r="C406" s="242"/>
      <c r="D406" s="242"/>
      <c r="E406" s="242"/>
      <c r="F406" s="242"/>
      <c r="G406" s="242"/>
      <c r="H406" s="242"/>
      <c r="I406" s="242"/>
      <c r="J406" s="242"/>
      <c r="K406" s="242"/>
      <c r="L406" s="242"/>
      <c r="M406" s="242"/>
      <c r="N406" s="242"/>
      <c r="O406" s="242"/>
      <c r="P406" s="242"/>
      <c r="Q406" s="265">
        <v>426</v>
      </c>
      <c r="R406" s="265">
        <v>426</v>
      </c>
      <c r="S406" s="265">
        <v>426</v>
      </c>
      <c r="T406" s="265">
        <v>426</v>
      </c>
      <c r="U406" s="265">
        <v>426</v>
      </c>
      <c r="V406" s="265">
        <v>426</v>
      </c>
      <c r="W406" s="265">
        <v>426</v>
      </c>
      <c r="X406" s="265">
        <v>426</v>
      </c>
      <c r="Y406" s="265">
        <v>426</v>
      </c>
      <c r="Z406" s="36"/>
      <c r="AA406" s="36"/>
      <c r="AB406" s="36"/>
      <c r="AC406" s="36"/>
      <c r="AD406" s="36"/>
      <c r="AE406" s="36"/>
      <c r="AF406" s="36"/>
      <c r="AG406" s="36"/>
      <c r="AH406" s="36"/>
      <c r="AI406" s="36"/>
      <c r="AJ406" s="36"/>
      <c r="AK406" s="36"/>
      <c r="AL406" s="36"/>
      <c r="AM406" s="36"/>
      <c r="AN406" s="36"/>
      <c r="AO406" s="36"/>
      <c r="AP406" s="36"/>
      <c r="AQ406" s="36"/>
      <c r="AR406" s="36"/>
      <c r="AS406" s="36"/>
      <c r="AT406" s="36"/>
      <c r="AU406" s="36"/>
      <c r="AV406" s="36"/>
      <c r="AW406" s="36"/>
      <c r="AX406" s="36"/>
      <c r="AY406" s="36"/>
      <c r="AZ406" s="36"/>
      <c r="BA406" s="36"/>
      <c r="BB406" s="36"/>
      <c r="BC406" s="36"/>
      <c r="BD406" s="36"/>
      <c r="BE406" s="36"/>
      <c r="BF406" s="36"/>
      <c r="BG406" s="36"/>
      <c r="BH406" s="36"/>
      <c r="BI406" s="36"/>
      <c r="BJ406" s="36"/>
      <c r="BK406" s="36"/>
      <c r="BL406" s="36"/>
      <c r="BM406" s="36"/>
      <c r="BN406" s="36"/>
      <c r="BO406" s="36"/>
      <c r="BP406" s="36"/>
      <c r="BQ406" s="36"/>
      <c r="BR406" s="36"/>
      <c r="BS406" s="36">
        <f>+$T406/4</f>
        <v>106.5</v>
      </c>
      <c r="BT406" s="36">
        <f t="shared" si="504"/>
        <v>106.5</v>
      </c>
      <c r="BU406" s="36">
        <f t="shared" si="504"/>
        <v>106.5</v>
      </c>
      <c r="BV406" s="36">
        <f t="shared" si="504"/>
        <v>106.5</v>
      </c>
      <c r="BW406" s="36">
        <f>$U406/4</f>
        <v>106.5</v>
      </c>
      <c r="BX406" s="36">
        <f t="shared" si="502"/>
        <v>106.5</v>
      </c>
      <c r="BY406" s="36">
        <f t="shared" si="502"/>
        <v>106.5</v>
      </c>
      <c r="BZ406" s="36">
        <f t="shared" si="502"/>
        <v>106.5</v>
      </c>
      <c r="CA406" s="36">
        <f>$V406/4</f>
        <v>106.5</v>
      </c>
      <c r="CB406" s="36">
        <f t="shared" si="503"/>
        <v>106.5</v>
      </c>
      <c r="CC406" s="36">
        <f t="shared" si="503"/>
        <v>106.5</v>
      </c>
      <c r="CD406" s="36">
        <f t="shared" si="503"/>
        <v>106.5</v>
      </c>
    </row>
    <row r="407" spans="1:82" outlineLevel="1">
      <c r="A407" s="7"/>
      <c r="B407" s="18" t="s">
        <v>396</v>
      </c>
      <c r="C407" s="18"/>
      <c r="D407" s="18"/>
      <c r="E407" s="18"/>
      <c r="F407" s="18"/>
      <c r="G407" s="18"/>
      <c r="H407" s="18"/>
      <c r="I407" s="18"/>
      <c r="J407" s="18"/>
      <c r="K407" s="18"/>
      <c r="L407" s="18"/>
      <c r="M407" s="18"/>
      <c r="N407" s="18"/>
      <c r="O407" s="18"/>
      <c r="P407" s="18"/>
      <c r="Q407" s="254">
        <f>SUM(Q402:Q406)</f>
        <v>755</v>
      </c>
      <c r="R407" s="254">
        <f>SUM(R402:R406)</f>
        <v>755</v>
      </c>
      <c r="S407" s="254">
        <f>SUM(S402:S406)</f>
        <v>1440</v>
      </c>
      <c r="T407" s="254">
        <f t="shared" ref="T407:Y407" si="505">SUM(T402:T406)</f>
        <v>3349</v>
      </c>
      <c r="U407" s="254">
        <f t="shared" si="505"/>
        <v>3253</v>
      </c>
      <c r="V407" s="254">
        <f t="shared" si="505"/>
        <v>3253</v>
      </c>
      <c r="W407" s="254">
        <f t="shared" si="505"/>
        <v>3253</v>
      </c>
      <c r="X407" s="254">
        <f t="shared" si="505"/>
        <v>3253</v>
      </c>
      <c r="Y407" s="254">
        <f t="shared" si="505"/>
        <v>3253</v>
      </c>
      <c r="Z407" s="253"/>
      <c r="AA407" s="253"/>
      <c r="AB407" s="253"/>
      <c r="AC407" s="253"/>
      <c r="AD407" s="253"/>
      <c r="AE407" s="253"/>
      <c r="AF407" s="253"/>
      <c r="AG407" s="253"/>
      <c r="AH407" s="253"/>
      <c r="AI407" s="253"/>
      <c r="AJ407" s="253"/>
      <c r="AK407" s="253"/>
      <c r="AL407" s="253"/>
      <c r="AM407" s="253"/>
      <c r="AN407" s="253"/>
      <c r="AO407" s="253"/>
      <c r="AP407" s="253"/>
      <c r="AQ407" s="253"/>
      <c r="AR407" s="253"/>
      <c r="AS407" s="253"/>
      <c r="AT407" s="253"/>
      <c r="AU407" s="253"/>
      <c r="AV407" s="253"/>
      <c r="AW407" s="253"/>
      <c r="AX407" s="253"/>
      <c r="AY407" s="253"/>
      <c r="AZ407" s="253"/>
      <c r="BA407" s="253"/>
      <c r="BB407" s="253"/>
      <c r="BC407" s="253"/>
      <c r="BD407" s="253"/>
      <c r="BE407" s="253"/>
      <c r="BF407" s="253"/>
      <c r="BG407" s="253"/>
      <c r="BH407" s="253"/>
      <c r="BI407" s="253"/>
      <c r="BJ407" s="253"/>
      <c r="BK407" s="253"/>
      <c r="BL407" s="253"/>
      <c r="BM407" s="253"/>
      <c r="BN407" s="253"/>
      <c r="BO407" s="253"/>
      <c r="BP407" s="253"/>
      <c r="BQ407" s="253"/>
      <c r="BR407" s="253"/>
      <c r="BS407" s="254">
        <f t="shared" ref="BS407:CA407" si="506">SUM(BS402:BS406)</f>
        <v>910.25</v>
      </c>
      <c r="BT407" s="254">
        <f t="shared" si="506"/>
        <v>812.91666666666674</v>
      </c>
      <c r="BU407" s="254">
        <f t="shared" si="506"/>
        <v>812.91666666666674</v>
      </c>
      <c r="BV407" s="254">
        <f t="shared" si="506"/>
        <v>812.91666666666674</v>
      </c>
      <c r="BW407" s="254">
        <f t="shared" si="506"/>
        <v>813.25</v>
      </c>
      <c r="BX407" s="254">
        <f t="shared" si="506"/>
        <v>813.25</v>
      </c>
      <c r="BY407" s="254">
        <f t="shared" si="506"/>
        <v>813.25</v>
      </c>
      <c r="BZ407" s="254">
        <f t="shared" si="506"/>
        <v>813.25</v>
      </c>
      <c r="CA407" s="254">
        <f t="shared" si="506"/>
        <v>813.25</v>
      </c>
      <c r="CB407" s="254">
        <f>SUM(CB402:CB406)</f>
        <v>813.25</v>
      </c>
      <c r="CC407" s="254">
        <f>SUM(CC402:CC406)</f>
        <v>813.25</v>
      </c>
      <c r="CD407" s="254">
        <f>SUM(CD402:CD406)</f>
        <v>813.25</v>
      </c>
    </row>
    <row r="408" spans="1:82" outlineLevel="1">
      <c r="A408" s="51"/>
      <c r="Q408" s="36"/>
      <c r="R408" s="36"/>
      <c r="S408" s="36"/>
      <c r="T408" s="36"/>
      <c r="U408" s="36"/>
      <c r="V408" s="36"/>
      <c r="W408" s="36"/>
      <c r="X408" s="36"/>
      <c r="Y408" s="36"/>
      <c r="Z408" s="36"/>
      <c r="AA408" s="36"/>
      <c r="AB408" s="36"/>
      <c r="AC408" s="36"/>
      <c r="AD408" s="36"/>
      <c r="AE408" s="36"/>
      <c r="AF408" s="36"/>
      <c r="AG408" s="36"/>
      <c r="AH408" s="36"/>
      <c r="AI408" s="36"/>
      <c r="AJ408" s="36"/>
      <c r="AK408" s="36"/>
      <c r="AL408" s="36"/>
      <c r="AM408" s="36"/>
      <c r="AN408" s="36"/>
      <c r="AO408" s="36"/>
      <c r="AP408" s="36"/>
      <c r="AQ408" s="36"/>
      <c r="AR408" s="36"/>
      <c r="AS408" s="36"/>
      <c r="AT408" s="36"/>
      <c r="AU408" s="36"/>
      <c r="AV408" s="36"/>
      <c r="AW408" s="36"/>
      <c r="AX408" s="36"/>
      <c r="AY408" s="36"/>
      <c r="AZ408" s="36"/>
      <c r="BA408" s="36"/>
      <c r="BB408" s="36"/>
      <c r="BC408" s="36"/>
      <c r="BD408" s="36"/>
      <c r="BE408" s="36"/>
      <c r="BF408" s="36"/>
      <c r="BG408" s="36"/>
      <c r="BH408" s="36"/>
      <c r="BI408" s="36"/>
      <c r="BJ408" s="36"/>
      <c r="BK408" s="36"/>
      <c r="BL408" s="36"/>
      <c r="BM408" s="36"/>
      <c r="BN408" s="36"/>
      <c r="BO408" s="36"/>
      <c r="BP408" s="36"/>
      <c r="BQ408" s="36"/>
      <c r="BR408" s="36"/>
      <c r="BS408" s="36"/>
      <c r="BT408" s="36"/>
      <c r="BU408" s="36"/>
      <c r="BV408" s="36"/>
      <c r="BW408" s="36"/>
      <c r="BX408" s="36"/>
      <c r="BY408" s="36"/>
      <c r="BZ408" s="36"/>
    </row>
    <row r="409" spans="1:82" outlineLevel="1">
      <c r="A409" s="7"/>
      <c r="B409" s="241" t="s">
        <v>357</v>
      </c>
      <c r="Q409" s="265">
        <v>0</v>
      </c>
      <c r="R409" s="265">
        <v>0</v>
      </c>
      <c r="S409" s="265">
        <v>346</v>
      </c>
      <c r="T409" s="265">
        <v>1450</v>
      </c>
      <c r="U409" s="265">
        <v>1450</v>
      </c>
      <c r="V409" s="265">
        <v>1450</v>
      </c>
      <c r="W409" s="265">
        <v>1450</v>
      </c>
      <c r="X409" s="265">
        <v>1450</v>
      </c>
      <c r="Y409" s="265">
        <v>1450</v>
      </c>
      <c r="Z409" s="36"/>
      <c r="AA409" s="36"/>
      <c r="AB409" s="36"/>
      <c r="AC409" s="36"/>
      <c r="AD409" s="36"/>
      <c r="AE409" s="36"/>
      <c r="AF409" s="36"/>
      <c r="AG409" s="36"/>
      <c r="AH409" s="36"/>
      <c r="AI409" s="36"/>
      <c r="AJ409" s="36"/>
      <c r="AK409" s="36"/>
      <c r="AL409" s="36"/>
      <c r="AM409" s="36"/>
      <c r="AN409" s="36"/>
      <c r="AO409" s="36"/>
      <c r="AP409" s="36"/>
      <c r="AQ409" s="36"/>
      <c r="AR409" s="36"/>
      <c r="AS409" s="36"/>
      <c r="AT409" s="36"/>
      <c r="AU409" s="36"/>
      <c r="AV409" s="36"/>
      <c r="AW409" s="36"/>
      <c r="AX409" s="36"/>
      <c r="AY409" s="36"/>
      <c r="AZ409" s="36"/>
      <c r="BA409" s="36"/>
      <c r="BB409" s="36"/>
      <c r="BC409" s="36"/>
      <c r="BD409" s="36"/>
      <c r="BE409" s="36"/>
      <c r="BF409" s="36"/>
      <c r="BG409" s="36"/>
      <c r="BH409" s="36"/>
      <c r="BI409" s="36"/>
      <c r="BJ409" s="36"/>
      <c r="BK409" s="36"/>
      <c r="BL409" s="36"/>
      <c r="BM409" s="36"/>
      <c r="BN409" s="36"/>
      <c r="BO409" s="36"/>
      <c r="BP409" s="36"/>
      <c r="BQ409" s="36"/>
      <c r="BR409" s="36"/>
      <c r="BS409" s="36">
        <f>+$T409/4</f>
        <v>362.5</v>
      </c>
      <c r="BT409" s="36">
        <f t="shared" ref="BT409:BV413" si="507">+$T409/4</f>
        <v>362.5</v>
      </c>
      <c r="BU409" s="36">
        <f t="shared" si="507"/>
        <v>362.5</v>
      </c>
      <c r="BV409" s="36">
        <f t="shared" si="507"/>
        <v>362.5</v>
      </c>
      <c r="BW409" s="36">
        <f>$U409/4</f>
        <v>362.5</v>
      </c>
      <c r="BX409" s="36">
        <f t="shared" ref="BX409:BZ413" si="508">$U409/4</f>
        <v>362.5</v>
      </c>
      <c r="BY409" s="36">
        <f t="shared" si="508"/>
        <v>362.5</v>
      </c>
      <c r="BZ409" s="36">
        <f t="shared" si="508"/>
        <v>362.5</v>
      </c>
      <c r="CA409" s="36">
        <f>$V409/4</f>
        <v>362.5</v>
      </c>
      <c r="CB409" s="36">
        <f t="shared" ref="CB409:CD413" si="509">$V409/4</f>
        <v>362.5</v>
      </c>
      <c r="CC409" s="36">
        <f t="shared" si="509"/>
        <v>362.5</v>
      </c>
      <c r="CD409" s="36">
        <f t="shared" si="509"/>
        <v>362.5</v>
      </c>
    </row>
    <row r="410" spans="1:82" outlineLevel="1">
      <c r="A410" s="66"/>
      <c r="B410" s="241" t="s">
        <v>358</v>
      </c>
      <c r="Q410" s="265">
        <v>246</v>
      </c>
      <c r="R410" s="265">
        <v>246</v>
      </c>
      <c r="S410" s="265">
        <v>246</v>
      </c>
      <c r="T410" s="265">
        <v>246</v>
      </c>
      <c r="U410" s="265">
        <v>246</v>
      </c>
      <c r="V410" s="265">
        <v>246</v>
      </c>
      <c r="W410" s="265">
        <v>246</v>
      </c>
      <c r="X410" s="265">
        <v>246</v>
      </c>
      <c r="Y410" s="265">
        <v>246</v>
      </c>
      <c r="Z410" s="36"/>
      <c r="AA410" s="36"/>
      <c r="AB410" s="36"/>
      <c r="AC410" s="36"/>
      <c r="AD410" s="36"/>
      <c r="AE410" s="36"/>
      <c r="AF410" s="36"/>
      <c r="AG410" s="36"/>
      <c r="AH410" s="36"/>
      <c r="AI410" s="36"/>
      <c r="AJ410" s="36"/>
      <c r="AK410" s="36"/>
      <c r="AL410" s="36"/>
      <c r="AM410" s="36"/>
      <c r="AN410" s="36"/>
      <c r="AO410" s="36"/>
      <c r="AP410" s="36"/>
      <c r="AQ410" s="36"/>
      <c r="AR410" s="36"/>
      <c r="AS410" s="36"/>
      <c r="AT410" s="36"/>
      <c r="AU410" s="36"/>
      <c r="AV410" s="36"/>
      <c r="AW410" s="36"/>
      <c r="AX410" s="36"/>
      <c r="AY410" s="36"/>
      <c r="AZ410" s="36"/>
      <c r="BA410" s="36"/>
      <c r="BB410" s="36"/>
      <c r="BC410" s="36"/>
      <c r="BD410" s="36"/>
      <c r="BE410" s="36"/>
      <c r="BF410" s="36"/>
      <c r="BG410" s="36"/>
      <c r="BH410" s="36"/>
      <c r="BI410" s="36"/>
      <c r="BJ410" s="36"/>
      <c r="BK410" s="36"/>
      <c r="BL410" s="36"/>
      <c r="BM410" s="36"/>
      <c r="BN410" s="36"/>
      <c r="BO410" s="36"/>
      <c r="BP410" s="36"/>
      <c r="BQ410" s="36"/>
      <c r="BR410" s="36"/>
      <c r="BS410" s="36">
        <f>+$T410/4</f>
        <v>61.5</v>
      </c>
      <c r="BT410" s="36">
        <f t="shared" si="507"/>
        <v>61.5</v>
      </c>
      <c r="BU410" s="36">
        <f t="shared" si="507"/>
        <v>61.5</v>
      </c>
      <c r="BV410" s="36">
        <f t="shared" si="507"/>
        <v>61.5</v>
      </c>
      <c r="BW410" s="36">
        <f>$U410/4</f>
        <v>61.5</v>
      </c>
      <c r="BX410" s="36">
        <f t="shared" si="508"/>
        <v>61.5</v>
      </c>
      <c r="BY410" s="36">
        <f t="shared" si="508"/>
        <v>61.5</v>
      </c>
      <c r="BZ410" s="36">
        <f t="shared" si="508"/>
        <v>61.5</v>
      </c>
      <c r="CA410" s="36">
        <f>$V410/4</f>
        <v>61.5</v>
      </c>
      <c r="CB410" s="36">
        <f t="shared" si="509"/>
        <v>61.5</v>
      </c>
      <c r="CC410" s="36">
        <f t="shared" si="509"/>
        <v>61.5</v>
      </c>
      <c r="CD410" s="36">
        <f t="shared" si="509"/>
        <v>61.5</v>
      </c>
    </row>
    <row r="411" spans="1:82" outlineLevel="1">
      <c r="B411" s="241" t="s">
        <v>346</v>
      </c>
      <c r="Q411" s="265">
        <v>300</v>
      </c>
      <c r="R411" s="265">
        <v>300</v>
      </c>
      <c r="S411" s="265">
        <v>300</v>
      </c>
      <c r="T411" s="265">
        <v>255</v>
      </c>
      <c r="U411" s="265">
        <v>240</v>
      </c>
      <c r="V411" s="265">
        <v>240</v>
      </c>
      <c r="W411" s="265">
        <v>240</v>
      </c>
      <c r="X411" s="265">
        <v>240</v>
      </c>
      <c r="Y411" s="265">
        <v>240</v>
      </c>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36"/>
      <c r="BE411" s="36"/>
      <c r="BF411" s="36"/>
      <c r="BG411" s="36"/>
      <c r="BH411" s="36"/>
      <c r="BI411" s="36"/>
      <c r="BJ411" s="36"/>
      <c r="BK411" s="36"/>
      <c r="BL411" s="36"/>
      <c r="BM411" s="36"/>
      <c r="BN411" s="36"/>
      <c r="BO411" s="36"/>
      <c r="BP411" s="36"/>
      <c r="BQ411" s="36"/>
      <c r="BR411" s="36"/>
      <c r="BS411" s="40">
        <f>330/4</f>
        <v>82.5</v>
      </c>
      <c r="BT411" s="235">
        <f>+($T411-$BS411)/3</f>
        <v>57.5</v>
      </c>
      <c r="BU411" s="235">
        <f>+($T411-$BS411)/3</f>
        <v>57.5</v>
      </c>
      <c r="BV411" s="235">
        <f>+($T411-$BS411)/3</f>
        <v>57.5</v>
      </c>
      <c r="BW411" s="36">
        <f>$U411/4</f>
        <v>60</v>
      </c>
      <c r="BX411" s="36">
        <f t="shared" si="508"/>
        <v>60</v>
      </c>
      <c r="BY411" s="36">
        <f t="shared" si="508"/>
        <v>60</v>
      </c>
      <c r="BZ411" s="36">
        <f t="shared" si="508"/>
        <v>60</v>
      </c>
      <c r="CA411" s="36">
        <f>$V411/4</f>
        <v>60</v>
      </c>
      <c r="CB411" s="36">
        <f t="shared" si="509"/>
        <v>60</v>
      </c>
      <c r="CC411" s="36">
        <f t="shared" si="509"/>
        <v>60</v>
      </c>
      <c r="CD411" s="36">
        <f t="shared" si="509"/>
        <v>60</v>
      </c>
    </row>
    <row r="412" spans="1:82" outlineLevel="1">
      <c r="B412" s="241" t="s">
        <v>349</v>
      </c>
      <c r="Q412" s="265">
        <v>106</v>
      </c>
      <c r="R412" s="265">
        <v>106</v>
      </c>
      <c r="S412" s="265">
        <v>106</v>
      </c>
      <c r="T412" s="265">
        <v>106</v>
      </c>
      <c r="U412" s="265">
        <v>106</v>
      </c>
      <c r="V412" s="265">
        <v>106</v>
      </c>
      <c r="W412" s="265">
        <v>106</v>
      </c>
      <c r="X412" s="265">
        <v>106</v>
      </c>
      <c r="Y412" s="265">
        <v>106</v>
      </c>
      <c r="Z412" s="36"/>
      <c r="AA412" s="36"/>
      <c r="AB412" s="36"/>
      <c r="AC412" s="36"/>
      <c r="AD412" s="36"/>
      <c r="AE412" s="36"/>
      <c r="AF412" s="36"/>
      <c r="AG412" s="36"/>
      <c r="AH412" s="36"/>
      <c r="AI412" s="36"/>
      <c r="AJ412" s="36"/>
      <c r="AK412" s="36"/>
      <c r="AL412" s="36"/>
      <c r="AM412" s="36"/>
      <c r="AN412" s="36"/>
      <c r="AO412" s="36"/>
      <c r="AP412" s="36"/>
      <c r="AQ412" s="36"/>
      <c r="AR412" s="36"/>
      <c r="AS412" s="36"/>
      <c r="AT412" s="36"/>
      <c r="AU412" s="36"/>
      <c r="AV412" s="36"/>
      <c r="AW412" s="36"/>
      <c r="AX412" s="36"/>
      <c r="AY412" s="36"/>
      <c r="AZ412" s="36"/>
      <c r="BA412" s="36"/>
      <c r="BB412" s="36"/>
      <c r="BC412" s="36"/>
      <c r="BD412" s="36"/>
      <c r="BE412" s="36"/>
      <c r="BF412" s="36"/>
      <c r="BG412" s="36"/>
      <c r="BH412" s="36"/>
      <c r="BI412" s="36"/>
      <c r="BJ412" s="36"/>
      <c r="BK412" s="36"/>
      <c r="BL412" s="36"/>
      <c r="BM412" s="36"/>
      <c r="BN412" s="36"/>
      <c r="BO412" s="36"/>
      <c r="BP412" s="36"/>
      <c r="BQ412" s="36"/>
      <c r="BR412" s="36"/>
      <c r="BS412" s="36">
        <f>+$T412/4</f>
        <v>26.5</v>
      </c>
      <c r="BT412" s="36">
        <f t="shared" si="507"/>
        <v>26.5</v>
      </c>
      <c r="BU412" s="36">
        <f t="shared" si="507"/>
        <v>26.5</v>
      </c>
      <c r="BV412" s="36">
        <f t="shared" si="507"/>
        <v>26.5</v>
      </c>
      <c r="BW412" s="36">
        <f>$U412/4</f>
        <v>26.5</v>
      </c>
      <c r="BX412" s="36">
        <f t="shared" si="508"/>
        <v>26.5</v>
      </c>
      <c r="BY412" s="36">
        <f t="shared" si="508"/>
        <v>26.5</v>
      </c>
      <c r="BZ412" s="36">
        <f t="shared" si="508"/>
        <v>26.5</v>
      </c>
      <c r="CA412" s="36">
        <f>$V412/4</f>
        <v>26.5</v>
      </c>
      <c r="CB412" s="36">
        <f t="shared" si="509"/>
        <v>26.5</v>
      </c>
      <c r="CC412" s="36">
        <f t="shared" si="509"/>
        <v>26.5</v>
      </c>
      <c r="CD412" s="36">
        <f t="shared" si="509"/>
        <v>26.5</v>
      </c>
    </row>
    <row r="413" spans="1:82" outlineLevel="1">
      <c r="B413" s="241" t="s">
        <v>344</v>
      </c>
      <c r="C413" s="242"/>
      <c r="D413" s="242"/>
      <c r="E413" s="242"/>
      <c r="F413" s="242"/>
      <c r="G413" s="242"/>
      <c r="H413" s="242"/>
      <c r="I413" s="242"/>
      <c r="J413" s="242"/>
      <c r="K413" s="242"/>
      <c r="L413" s="242"/>
      <c r="M413" s="242"/>
      <c r="N413" s="242"/>
      <c r="O413" s="242"/>
      <c r="P413" s="242"/>
      <c r="Q413" s="265">
        <v>352</v>
      </c>
      <c r="R413" s="265">
        <v>352</v>
      </c>
      <c r="S413" s="265">
        <v>352</v>
      </c>
      <c r="T413" s="265">
        <v>352</v>
      </c>
      <c r="U413" s="265">
        <v>352</v>
      </c>
      <c r="V413" s="265">
        <v>352</v>
      </c>
      <c r="W413" s="265">
        <v>352</v>
      </c>
      <c r="X413" s="265">
        <v>352</v>
      </c>
      <c r="Y413" s="265">
        <v>352</v>
      </c>
      <c r="Z413" s="36"/>
      <c r="AA413" s="36"/>
      <c r="AB413" s="36"/>
      <c r="AC413" s="36"/>
      <c r="AD413" s="36"/>
      <c r="AE413" s="36"/>
      <c r="AF413" s="36"/>
      <c r="AG413" s="36"/>
      <c r="AH413" s="36"/>
      <c r="AI413" s="36"/>
      <c r="AJ413" s="36"/>
      <c r="AK413" s="36"/>
      <c r="AL413" s="36"/>
      <c r="AM413" s="36"/>
      <c r="AN413" s="36"/>
      <c r="AO413" s="36"/>
      <c r="AP413" s="36"/>
      <c r="AQ413" s="36"/>
      <c r="AR413" s="36"/>
      <c r="AS413" s="36"/>
      <c r="AT413" s="36"/>
      <c r="AU413" s="36"/>
      <c r="AV413" s="36"/>
      <c r="AW413" s="36"/>
      <c r="AX413" s="36"/>
      <c r="AY413" s="36"/>
      <c r="AZ413" s="36"/>
      <c r="BA413" s="36"/>
      <c r="BB413" s="36"/>
      <c r="BC413" s="36"/>
      <c r="BD413" s="36"/>
      <c r="BE413" s="36"/>
      <c r="BF413" s="36"/>
      <c r="BG413" s="36"/>
      <c r="BH413" s="36"/>
      <c r="BI413" s="36"/>
      <c r="BJ413" s="36"/>
      <c r="BK413" s="36"/>
      <c r="BL413" s="36"/>
      <c r="BM413" s="36"/>
      <c r="BN413" s="36"/>
      <c r="BO413" s="36"/>
      <c r="BP413" s="36"/>
      <c r="BQ413" s="36"/>
      <c r="BR413" s="36"/>
      <c r="BS413" s="36">
        <f>+$T413/4</f>
        <v>88</v>
      </c>
      <c r="BT413" s="36">
        <f t="shared" si="507"/>
        <v>88</v>
      </c>
      <c r="BU413" s="36">
        <f t="shared" si="507"/>
        <v>88</v>
      </c>
      <c r="BV413" s="36">
        <f t="shared" si="507"/>
        <v>88</v>
      </c>
      <c r="BW413" s="36">
        <f>$U413/4</f>
        <v>88</v>
      </c>
      <c r="BX413" s="36">
        <f t="shared" si="508"/>
        <v>88</v>
      </c>
      <c r="BY413" s="36">
        <f t="shared" si="508"/>
        <v>88</v>
      </c>
      <c r="BZ413" s="36">
        <f t="shared" si="508"/>
        <v>88</v>
      </c>
      <c r="CA413" s="36">
        <f>$V413/4</f>
        <v>88</v>
      </c>
      <c r="CB413" s="36">
        <f t="shared" si="509"/>
        <v>88</v>
      </c>
      <c r="CC413" s="36">
        <f t="shared" si="509"/>
        <v>88</v>
      </c>
      <c r="CD413" s="36">
        <f t="shared" si="509"/>
        <v>88</v>
      </c>
    </row>
    <row r="414" spans="1:82" outlineLevel="1">
      <c r="B414" s="18" t="s">
        <v>397</v>
      </c>
      <c r="C414" s="18"/>
      <c r="D414" s="18"/>
      <c r="E414" s="18"/>
      <c r="F414" s="18"/>
      <c r="G414" s="18"/>
      <c r="H414" s="18"/>
      <c r="I414" s="18"/>
      <c r="J414" s="18"/>
      <c r="K414" s="18"/>
      <c r="L414" s="18"/>
      <c r="M414" s="18"/>
      <c r="N414" s="18"/>
      <c r="O414" s="18"/>
      <c r="P414" s="18"/>
      <c r="Q414" s="254">
        <f>SUM(Q409:Q413)</f>
        <v>1004</v>
      </c>
      <c r="R414" s="254">
        <f>SUM(R409:R413)</f>
        <v>1004</v>
      </c>
      <c r="S414" s="254">
        <f>SUM(S409:S413)</f>
        <v>1350</v>
      </c>
      <c r="T414" s="254">
        <f t="shared" ref="T414:Y414" si="510">SUM(T409:T413)</f>
        <v>2409</v>
      </c>
      <c r="U414" s="254">
        <f t="shared" si="510"/>
        <v>2394</v>
      </c>
      <c r="V414" s="254">
        <f t="shared" si="510"/>
        <v>2394</v>
      </c>
      <c r="W414" s="254">
        <f t="shared" si="510"/>
        <v>2394</v>
      </c>
      <c r="X414" s="254">
        <f t="shared" si="510"/>
        <v>2394</v>
      </c>
      <c r="Y414" s="254">
        <f t="shared" si="510"/>
        <v>2394</v>
      </c>
      <c r="Z414" s="253"/>
      <c r="AA414" s="253"/>
      <c r="AB414" s="253"/>
      <c r="AC414" s="253"/>
      <c r="AD414" s="253"/>
      <c r="AE414" s="253"/>
      <c r="AF414" s="253"/>
      <c r="AG414" s="253"/>
      <c r="AH414" s="253"/>
      <c r="AI414" s="253"/>
      <c r="AJ414" s="253"/>
      <c r="AK414" s="253"/>
      <c r="AL414" s="253"/>
      <c r="AM414" s="253"/>
      <c r="AN414" s="253"/>
      <c r="AO414" s="253"/>
      <c r="AP414" s="253"/>
      <c r="AQ414" s="253"/>
      <c r="AR414" s="253"/>
      <c r="AS414" s="253"/>
      <c r="AT414" s="253"/>
      <c r="AU414" s="253"/>
      <c r="AV414" s="253"/>
      <c r="AW414" s="253"/>
      <c r="AX414" s="253"/>
      <c r="AY414" s="253"/>
      <c r="AZ414" s="253"/>
      <c r="BA414" s="253"/>
      <c r="BB414" s="253"/>
      <c r="BC414" s="253"/>
      <c r="BD414" s="253"/>
      <c r="BE414" s="253"/>
      <c r="BF414" s="253"/>
      <c r="BG414" s="253"/>
      <c r="BH414" s="253"/>
      <c r="BI414" s="253"/>
      <c r="BJ414" s="253"/>
      <c r="BK414" s="253"/>
      <c r="BL414" s="253"/>
      <c r="BM414" s="253"/>
      <c r="BN414" s="253"/>
      <c r="BO414" s="253"/>
      <c r="BP414" s="253"/>
      <c r="BQ414" s="253"/>
      <c r="BR414" s="253"/>
      <c r="BS414" s="254">
        <f t="shared" ref="BS414:CD414" si="511">SUM(BS409:BS413)</f>
        <v>621</v>
      </c>
      <c r="BT414" s="254">
        <f t="shared" si="511"/>
        <v>596</v>
      </c>
      <c r="BU414" s="254">
        <f t="shared" si="511"/>
        <v>596</v>
      </c>
      <c r="BV414" s="254">
        <f t="shared" si="511"/>
        <v>596</v>
      </c>
      <c r="BW414" s="254">
        <f t="shared" si="511"/>
        <v>598.5</v>
      </c>
      <c r="BX414" s="254">
        <f t="shared" si="511"/>
        <v>598.5</v>
      </c>
      <c r="BY414" s="254">
        <f t="shared" si="511"/>
        <v>598.5</v>
      </c>
      <c r="BZ414" s="254">
        <f t="shared" si="511"/>
        <v>598.5</v>
      </c>
      <c r="CA414" s="254">
        <f t="shared" si="511"/>
        <v>598.5</v>
      </c>
      <c r="CB414" s="254">
        <f t="shared" si="511"/>
        <v>598.5</v>
      </c>
      <c r="CC414" s="254">
        <f t="shared" si="511"/>
        <v>598.5</v>
      </c>
      <c r="CD414" s="254">
        <f t="shared" si="511"/>
        <v>598.5</v>
      </c>
    </row>
    <row r="415" spans="1:82" outlineLevel="1">
      <c r="Q415" s="36"/>
      <c r="R415" s="36"/>
      <c r="S415" s="36"/>
      <c r="T415" s="36"/>
      <c r="U415" s="36"/>
      <c r="V415" s="36"/>
      <c r="W415" s="36"/>
      <c r="X415" s="36"/>
      <c r="Y415" s="36"/>
      <c r="Z415" s="36"/>
      <c r="AA415" s="36"/>
      <c r="AB415" s="36"/>
      <c r="AC415" s="36"/>
      <c r="AD415" s="36"/>
      <c r="AE415" s="36"/>
      <c r="AF415" s="36"/>
      <c r="AG415" s="36"/>
      <c r="AH415" s="36"/>
      <c r="AI415" s="36"/>
      <c r="AJ415" s="36"/>
      <c r="AK415" s="36"/>
      <c r="AL415" s="36"/>
      <c r="AM415" s="36"/>
      <c r="AN415" s="36"/>
      <c r="AO415" s="36"/>
      <c r="AP415" s="36"/>
      <c r="AQ415" s="36"/>
      <c r="AR415" s="36"/>
      <c r="AS415" s="36"/>
      <c r="AT415" s="36"/>
      <c r="AU415" s="36"/>
      <c r="AV415" s="36"/>
      <c r="AW415" s="36"/>
      <c r="AX415" s="36"/>
      <c r="AY415" s="36"/>
      <c r="AZ415" s="36"/>
      <c r="BA415" s="36"/>
      <c r="BB415" s="36"/>
      <c r="BC415" s="36"/>
      <c r="BD415" s="36"/>
      <c r="BE415" s="36"/>
      <c r="BF415" s="36"/>
      <c r="BG415" s="36"/>
      <c r="BH415" s="36"/>
      <c r="BI415" s="36"/>
      <c r="BJ415" s="36"/>
      <c r="BK415" s="36"/>
      <c r="BL415" s="36"/>
      <c r="BM415" s="36"/>
      <c r="BN415" s="36"/>
      <c r="BO415" s="36"/>
      <c r="BP415" s="36"/>
      <c r="BQ415" s="36"/>
      <c r="BR415" s="36"/>
      <c r="BS415" s="36"/>
      <c r="BT415" s="36"/>
      <c r="BU415" s="36"/>
      <c r="BV415" s="36"/>
      <c r="BW415" s="36"/>
      <c r="BX415" s="36"/>
      <c r="BY415" s="36"/>
      <c r="BZ415" s="36"/>
    </row>
    <row r="416" spans="1:82" outlineLevel="1">
      <c r="B416" s="18" t="s">
        <v>398</v>
      </c>
      <c r="Q416" s="253">
        <f>+Q407+Q414</f>
        <v>1759</v>
      </c>
      <c r="R416" s="253">
        <f>+R407+R414</f>
        <v>1759</v>
      </c>
      <c r="S416" s="253">
        <f>+S407+S414</f>
        <v>2790</v>
      </c>
      <c r="T416" s="253">
        <f t="shared" ref="T416:Y416" si="512">+T407+T414</f>
        <v>5758</v>
      </c>
      <c r="U416" s="253">
        <f t="shared" si="512"/>
        <v>5647</v>
      </c>
      <c r="V416" s="253">
        <f t="shared" si="512"/>
        <v>5647</v>
      </c>
      <c r="W416" s="253">
        <f t="shared" si="512"/>
        <v>5647</v>
      </c>
      <c r="X416" s="253">
        <f t="shared" si="512"/>
        <v>5647</v>
      </c>
      <c r="Y416" s="253">
        <f t="shared" si="512"/>
        <v>5647</v>
      </c>
      <c r="Z416" s="36"/>
      <c r="AA416" s="36"/>
      <c r="AB416" s="36"/>
      <c r="AC416" s="36"/>
      <c r="AD416" s="36"/>
      <c r="AE416" s="36"/>
      <c r="AF416" s="36"/>
      <c r="AG416" s="36"/>
      <c r="AH416" s="36"/>
      <c r="AI416" s="36"/>
      <c r="AJ416" s="36"/>
      <c r="AK416" s="36"/>
      <c r="AL416" s="36"/>
      <c r="AM416" s="36"/>
      <c r="AN416" s="36"/>
      <c r="AO416" s="36"/>
      <c r="AP416" s="36"/>
      <c r="AQ416" s="36"/>
      <c r="AR416" s="36"/>
      <c r="AS416" s="36"/>
      <c r="AT416" s="36"/>
      <c r="AU416" s="36"/>
      <c r="AV416" s="36"/>
      <c r="AW416" s="36"/>
      <c r="AX416" s="36"/>
      <c r="AY416" s="36"/>
      <c r="AZ416" s="36"/>
      <c r="BA416" s="36"/>
      <c r="BB416" s="36"/>
      <c r="BC416" s="36"/>
      <c r="BD416" s="36"/>
      <c r="BE416" s="36"/>
      <c r="BF416" s="36"/>
      <c r="BG416" s="36"/>
      <c r="BH416" s="36"/>
      <c r="BI416" s="36"/>
      <c r="BJ416" s="36"/>
      <c r="BK416" s="36"/>
      <c r="BL416" s="36"/>
      <c r="BM416" s="36"/>
      <c r="BN416" s="36"/>
      <c r="BO416" s="36"/>
      <c r="BP416" s="36"/>
      <c r="BQ416" s="36"/>
      <c r="BR416" s="36"/>
      <c r="BS416" s="253">
        <f t="shared" ref="BS416:CD416" si="513">+BS407+BS414</f>
        <v>1531.25</v>
      </c>
      <c r="BT416" s="253">
        <f t="shared" si="513"/>
        <v>1408.9166666666667</v>
      </c>
      <c r="BU416" s="253">
        <f t="shared" si="513"/>
        <v>1408.9166666666667</v>
      </c>
      <c r="BV416" s="253">
        <f t="shared" si="513"/>
        <v>1408.9166666666667</v>
      </c>
      <c r="BW416" s="253">
        <f t="shared" si="513"/>
        <v>1411.75</v>
      </c>
      <c r="BX416" s="253">
        <f t="shared" si="513"/>
        <v>1411.75</v>
      </c>
      <c r="BY416" s="253">
        <f t="shared" si="513"/>
        <v>1411.75</v>
      </c>
      <c r="BZ416" s="253">
        <f t="shared" si="513"/>
        <v>1411.75</v>
      </c>
      <c r="CA416" s="253">
        <f t="shared" si="513"/>
        <v>1411.75</v>
      </c>
      <c r="CB416" s="253">
        <f t="shared" si="513"/>
        <v>1411.75</v>
      </c>
      <c r="CC416" s="253">
        <f t="shared" si="513"/>
        <v>1411.75</v>
      </c>
      <c r="CD416" s="253">
        <f t="shared" si="513"/>
        <v>1411.75</v>
      </c>
    </row>
    <row r="417" spans="2:82" outlineLevel="1">
      <c r="B417" s="18"/>
      <c r="S417" s="48"/>
      <c r="T417" s="36"/>
      <c r="U417" s="17"/>
      <c r="V417" s="36"/>
      <c r="W417" s="36"/>
      <c r="X417" s="36"/>
      <c r="Y417" s="36"/>
      <c r="Z417" s="36"/>
      <c r="AA417" s="36"/>
      <c r="AB417" s="36"/>
      <c r="AC417" s="36"/>
      <c r="AD417" s="36"/>
      <c r="AE417" s="36"/>
      <c r="AF417" s="36"/>
      <c r="AG417" s="36"/>
      <c r="AH417" s="36"/>
      <c r="AI417" s="36"/>
      <c r="AJ417" s="36"/>
      <c r="AK417" s="36"/>
      <c r="AL417" s="36"/>
      <c r="AM417" s="36"/>
      <c r="AN417" s="36"/>
      <c r="AO417" s="36"/>
      <c r="AP417" s="36"/>
      <c r="AQ417" s="36"/>
      <c r="AR417" s="36"/>
      <c r="AS417" s="36"/>
      <c r="AT417" s="36"/>
      <c r="AU417" s="36"/>
      <c r="AV417" s="36"/>
      <c r="AW417" s="36"/>
      <c r="AX417" s="36"/>
      <c r="AY417" s="36"/>
      <c r="AZ417" s="36"/>
      <c r="BA417" s="36"/>
      <c r="BB417" s="36"/>
      <c r="BC417" s="36"/>
      <c r="BD417" s="36"/>
      <c r="BE417" s="36"/>
      <c r="BF417" s="36"/>
      <c r="BG417" s="36"/>
      <c r="BH417" s="36"/>
      <c r="BI417" s="36"/>
      <c r="BJ417" s="36"/>
      <c r="BK417" s="36"/>
      <c r="BL417" s="36"/>
      <c r="BM417" s="36"/>
      <c r="BN417" s="36"/>
      <c r="BO417" s="36"/>
      <c r="BP417" s="36"/>
      <c r="BQ417" s="36"/>
      <c r="BR417" s="36"/>
      <c r="BS417" s="36"/>
      <c r="BT417" s="36"/>
      <c r="BU417" s="36"/>
      <c r="BV417" s="36"/>
      <c r="BW417" s="36"/>
      <c r="BX417" s="36"/>
      <c r="BY417" s="36"/>
      <c r="BZ417" s="36"/>
    </row>
    <row r="418" spans="2:82" outlineLevel="1">
      <c r="B418" s="149" t="s">
        <v>359</v>
      </c>
      <c r="S418" s="48"/>
      <c r="T418" s="36"/>
      <c r="U418" s="36"/>
      <c r="V418" s="36"/>
      <c r="W418" s="36"/>
      <c r="X418" s="36"/>
      <c r="Y418" s="36"/>
      <c r="Z418" s="36"/>
      <c r="AA418" s="36"/>
      <c r="AB418" s="36"/>
      <c r="AC418" s="36"/>
      <c r="AD418" s="36"/>
      <c r="AE418" s="36"/>
      <c r="AF418" s="36"/>
      <c r="AG418" s="36"/>
      <c r="AH418" s="36"/>
      <c r="AI418" s="36"/>
      <c r="AJ418" s="36"/>
      <c r="AK418" s="36"/>
      <c r="AL418" s="36"/>
      <c r="AM418" s="36"/>
      <c r="AN418" s="36"/>
      <c r="AO418" s="36"/>
      <c r="AP418" s="36"/>
      <c r="AQ418" s="36"/>
      <c r="AR418" s="36"/>
      <c r="AS418" s="36"/>
      <c r="AT418" s="36"/>
      <c r="AU418" s="36"/>
      <c r="AV418" s="36"/>
      <c r="AW418" s="36"/>
      <c r="AX418" s="36"/>
      <c r="AY418" s="36"/>
      <c r="AZ418" s="36"/>
      <c r="BA418" s="36"/>
      <c r="BB418" s="36"/>
      <c r="BC418" s="36"/>
      <c r="BD418" s="36"/>
      <c r="BE418" s="36"/>
      <c r="BF418" s="36"/>
      <c r="BG418" s="36"/>
      <c r="BH418" s="36"/>
      <c r="BI418" s="36"/>
      <c r="BJ418" s="36"/>
      <c r="BK418" s="36"/>
      <c r="BL418" s="36"/>
      <c r="BM418" s="36"/>
      <c r="BN418" s="36"/>
      <c r="BO418" s="36"/>
      <c r="BP418" s="36"/>
      <c r="BQ418" s="36"/>
      <c r="BR418" s="36"/>
      <c r="BS418" s="17"/>
      <c r="BT418" s="36"/>
      <c r="BU418" s="36"/>
      <c r="BV418" s="36"/>
      <c r="BW418" s="36"/>
      <c r="BX418" s="36"/>
      <c r="BY418" s="36"/>
      <c r="BZ418" s="36"/>
    </row>
    <row r="419" spans="2:82" outlineLevel="1">
      <c r="B419" s="241" t="s">
        <v>343</v>
      </c>
      <c r="Q419" s="265">
        <v>1490</v>
      </c>
      <c r="R419" s="265">
        <v>1490</v>
      </c>
      <c r="S419" s="265">
        <v>1490</v>
      </c>
      <c r="T419" s="265">
        <v>1490</v>
      </c>
      <c r="U419" s="265">
        <v>1436</v>
      </c>
      <c r="V419" s="265">
        <v>1436</v>
      </c>
      <c r="W419" s="265">
        <v>1436</v>
      </c>
      <c r="X419" s="265">
        <v>1436</v>
      </c>
      <c r="Y419" s="265">
        <v>1436</v>
      </c>
      <c r="Z419" s="36"/>
      <c r="AA419" s="36"/>
      <c r="AB419" s="36"/>
      <c r="AC419" s="36"/>
      <c r="AD419" s="36"/>
      <c r="AE419" s="36"/>
      <c r="AF419" s="36"/>
      <c r="AG419" s="36"/>
      <c r="AH419" s="36"/>
      <c r="AI419" s="36"/>
      <c r="AJ419" s="36"/>
      <c r="AK419" s="36"/>
      <c r="AL419" s="36"/>
      <c r="AM419" s="36"/>
      <c r="AN419" s="36"/>
      <c r="AO419" s="36"/>
      <c r="AP419" s="36"/>
      <c r="AQ419" s="36"/>
      <c r="AR419" s="36"/>
      <c r="AS419" s="36"/>
      <c r="AT419" s="36"/>
      <c r="AU419" s="36"/>
      <c r="AV419" s="36"/>
      <c r="AW419" s="36"/>
      <c r="AX419" s="36"/>
      <c r="AY419" s="36"/>
      <c r="AZ419" s="36"/>
      <c r="BA419" s="36"/>
      <c r="BB419" s="36"/>
      <c r="BC419" s="36"/>
      <c r="BD419" s="36"/>
      <c r="BE419" s="36"/>
      <c r="BF419" s="36"/>
      <c r="BG419" s="36"/>
      <c r="BH419" s="36"/>
      <c r="BI419" s="36"/>
      <c r="BJ419" s="36"/>
      <c r="BK419" s="36"/>
      <c r="BL419" s="36"/>
      <c r="BM419" s="36"/>
      <c r="BN419" s="36"/>
      <c r="BO419" s="36"/>
      <c r="BP419" s="36"/>
      <c r="BQ419" s="36"/>
      <c r="BR419" s="36"/>
      <c r="BS419" s="40">
        <f>1656/4</f>
        <v>414</v>
      </c>
      <c r="BT419" s="235">
        <f>+($T419-$BS419)/3</f>
        <v>358.66666666666669</v>
      </c>
      <c r="BU419" s="235">
        <f>+($T419-$BS419)/3</f>
        <v>358.66666666666669</v>
      </c>
      <c r="BV419" s="235">
        <f>+($T419-$BS419)/3</f>
        <v>358.66666666666669</v>
      </c>
      <c r="BW419" s="36">
        <f t="shared" ref="BW419:BZ423" si="514">$U419/4</f>
        <v>359</v>
      </c>
      <c r="BX419" s="36">
        <f t="shared" si="514"/>
        <v>359</v>
      </c>
      <c r="BY419" s="36">
        <f t="shared" si="514"/>
        <v>359</v>
      </c>
      <c r="BZ419" s="36">
        <f t="shared" si="514"/>
        <v>359</v>
      </c>
      <c r="CA419" s="36">
        <f>$V419/4</f>
        <v>359</v>
      </c>
      <c r="CB419" s="36">
        <f t="shared" ref="CB419:CD423" si="515">$V419/4</f>
        <v>359</v>
      </c>
      <c r="CC419" s="36">
        <f t="shared" si="515"/>
        <v>359</v>
      </c>
      <c r="CD419" s="36">
        <f t="shared" si="515"/>
        <v>359</v>
      </c>
    </row>
    <row r="420" spans="2:82" outlineLevel="1">
      <c r="B420" s="241" t="s">
        <v>341</v>
      </c>
      <c r="Q420" s="265">
        <v>973</v>
      </c>
      <c r="R420" s="265">
        <v>973</v>
      </c>
      <c r="S420" s="265">
        <v>973</v>
      </c>
      <c r="T420" s="265">
        <v>973</v>
      </c>
      <c r="U420" s="265">
        <v>973</v>
      </c>
      <c r="V420" s="265">
        <v>973</v>
      </c>
      <c r="W420" s="265">
        <v>973</v>
      </c>
      <c r="X420" s="265">
        <v>973</v>
      </c>
      <c r="Y420" s="265">
        <v>973</v>
      </c>
      <c r="Z420" s="36"/>
      <c r="AA420" s="36"/>
      <c r="AB420" s="36"/>
      <c r="AC420" s="36"/>
      <c r="AD420" s="36"/>
      <c r="AE420" s="36"/>
      <c r="AF420" s="36"/>
      <c r="AG420" s="36"/>
      <c r="AH420" s="36"/>
      <c r="AI420" s="36"/>
      <c r="AJ420" s="36"/>
      <c r="AK420" s="36"/>
      <c r="AL420" s="36"/>
      <c r="AM420" s="36"/>
      <c r="AN420" s="36"/>
      <c r="AO420" s="36"/>
      <c r="AP420" s="36"/>
      <c r="AQ420" s="36"/>
      <c r="AR420" s="36"/>
      <c r="AS420" s="36"/>
      <c r="AT420" s="36"/>
      <c r="AU420" s="36"/>
      <c r="AV420" s="36"/>
      <c r="AW420" s="36"/>
      <c r="AX420" s="36"/>
      <c r="AY420" s="36"/>
      <c r="AZ420" s="36"/>
      <c r="BA420" s="36"/>
      <c r="BB420" s="36"/>
      <c r="BC420" s="36"/>
      <c r="BD420" s="36"/>
      <c r="BE420" s="36"/>
      <c r="BF420" s="36"/>
      <c r="BG420" s="36"/>
      <c r="BH420" s="36"/>
      <c r="BI420" s="36"/>
      <c r="BJ420" s="36"/>
      <c r="BK420" s="36"/>
      <c r="BL420" s="36"/>
      <c r="BM420" s="36"/>
      <c r="BN420" s="36"/>
      <c r="BO420" s="36"/>
      <c r="BP420" s="36"/>
      <c r="BQ420" s="36"/>
      <c r="BR420" s="36"/>
      <c r="BS420" s="36">
        <f t="shared" ref="BS420:BV423" si="516">+$T420/4</f>
        <v>243.25</v>
      </c>
      <c r="BT420" s="36">
        <f t="shared" si="516"/>
        <v>243.25</v>
      </c>
      <c r="BU420" s="36">
        <f t="shared" si="516"/>
        <v>243.25</v>
      </c>
      <c r="BV420" s="36">
        <f t="shared" si="516"/>
        <v>243.25</v>
      </c>
      <c r="BW420" s="36">
        <f t="shared" si="514"/>
        <v>243.25</v>
      </c>
      <c r="BX420" s="36">
        <f t="shared" si="514"/>
        <v>243.25</v>
      </c>
      <c r="BY420" s="36">
        <f t="shared" si="514"/>
        <v>243.25</v>
      </c>
      <c r="BZ420" s="36">
        <f t="shared" si="514"/>
        <v>243.25</v>
      </c>
      <c r="CA420" s="36">
        <f>$V420/4</f>
        <v>243.25</v>
      </c>
      <c r="CB420" s="36">
        <f t="shared" si="515"/>
        <v>243.25</v>
      </c>
      <c r="CC420" s="36">
        <f t="shared" si="515"/>
        <v>243.25</v>
      </c>
      <c r="CD420" s="36">
        <f t="shared" si="515"/>
        <v>243.25</v>
      </c>
    </row>
    <row r="421" spans="2:82" outlineLevel="1">
      <c r="B421" s="241" t="s">
        <v>345</v>
      </c>
      <c r="Q421" s="265">
        <v>34</v>
      </c>
      <c r="R421" s="265">
        <v>34</v>
      </c>
      <c r="S421" s="265">
        <v>34</v>
      </c>
      <c r="T421" s="265">
        <v>34</v>
      </c>
      <c r="U421" s="265">
        <v>0</v>
      </c>
      <c r="V421" s="265">
        <v>0</v>
      </c>
      <c r="W421" s="265">
        <v>0</v>
      </c>
      <c r="X421" s="265">
        <v>0</v>
      </c>
      <c r="Y421" s="265">
        <v>0</v>
      </c>
      <c r="Z421" s="36"/>
      <c r="AA421" s="36"/>
      <c r="AB421" s="36"/>
      <c r="AC421" s="36"/>
      <c r="AD421" s="36"/>
      <c r="AE421" s="36"/>
      <c r="AF421" s="36"/>
      <c r="AG421" s="36"/>
      <c r="AH421" s="36"/>
      <c r="AI421" s="36"/>
      <c r="AJ421" s="36"/>
      <c r="AK421" s="36"/>
      <c r="AL421" s="36"/>
      <c r="AM421" s="36"/>
      <c r="AN421" s="36"/>
      <c r="AO421" s="36"/>
      <c r="AP421" s="36"/>
      <c r="AQ421" s="36"/>
      <c r="AR421" s="36"/>
      <c r="AS421" s="36"/>
      <c r="AT421" s="36"/>
      <c r="AU421" s="36"/>
      <c r="AV421" s="36"/>
      <c r="AW421" s="36"/>
      <c r="AX421" s="36"/>
      <c r="AY421" s="36"/>
      <c r="AZ421" s="36"/>
      <c r="BA421" s="36"/>
      <c r="BB421" s="36"/>
      <c r="BC421" s="36"/>
      <c r="BD421" s="36"/>
      <c r="BE421" s="36"/>
      <c r="BF421" s="36"/>
      <c r="BG421" s="36"/>
      <c r="BH421" s="36"/>
      <c r="BI421" s="36"/>
      <c r="BJ421" s="36"/>
      <c r="BK421" s="36"/>
      <c r="BL421" s="36"/>
      <c r="BM421" s="36"/>
      <c r="BN421" s="36"/>
      <c r="BO421" s="36"/>
      <c r="BP421" s="36"/>
      <c r="BQ421" s="36"/>
      <c r="BR421" s="36"/>
      <c r="BS421" s="349">
        <f>T421</f>
        <v>34</v>
      </c>
      <c r="BT421" s="40">
        <v>0</v>
      </c>
      <c r="BU421" s="40">
        <v>0</v>
      </c>
      <c r="BV421" s="40">
        <v>0</v>
      </c>
      <c r="BW421" s="36">
        <f t="shared" si="514"/>
        <v>0</v>
      </c>
      <c r="BX421" s="36">
        <f t="shared" si="514"/>
        <v>0</v>
      </c>
      <c r="BY421" s="36">
        <f t="shared" si="514"/>
        <v>0</v>
      </c>
      <c r="BZ421" s="36">
        <f t="shared" si="514"/>
        <v>0</v>
      </c>
      <c r="CA421" s="36">
        <f>$V421/4</f>
        <v>0</v>
      </c>
      <c r="CB421" s="36">
        <f t="shared" si="515"/>
        <v>0</v>
      </c>
      <c r="CC421" s="36">
        <f t="shared" si="515"/>
        <v>0</v>
      </c>
      <c r="CD421" s="36">
        <f t="shared" si="515"/>
        <v>0</v>
      </c>
    </row>
    <row r="422" spans="2:82" outlineLevel="1">
      <c r="B422" s="241" t="s">
        <v>342</v>
      </c>
      <c r="Q422" s="265">
        <v>161</v>
      </c>
      <c r="R422" s="265">
        <v>161</v>
      </c>
      <c r="S422" s="265">
        <v>161</v>
      </c>
      <c r="T422" s="265">
        <v>161</v>
      </c>
      <c r="U422" s="265">
        <v>161</v>
      </c>
      <c r="V422" s="265">
        <v>161</v>
      </c>
      <c r="W422" s="265">
        <v>161</v>
      </c>
      <c r="X422" s="265">
        <v>161</v>
      </c>
      <c r="Y422" s="265">
        <v>161</v>
      </c>
      <c r="Z422" s="36"/>
      <c r="AA422" s="36"/>
      <c r="AB422" s="36"/>
      <c r="AC422" s="36"/>
      <c r="AD422" s="36"/>
      <c r="AE422" s="36"/>
      <c r="AF422" s="36"/>
      <c r="AG422" s="36"/>
      <c r="AH422" s="36"/>
      <c r="AI422" s="36"/>
      <c r="AJ422" s="36"/>
      <c r="AK422" s="36"/>
      <c r="AL422" s="36"/>
      <c r="AM422" s="36"/>
      <c r="AN422" s="36"/>
      <c r="AO422" s="36"/>
      <c r="AP422" s="36"/>
      <c r="AQ422" s="36"/>
      <c r="AR422" s="36"/>
      <c r="AS422" s="36"/>
      <c r="AT422" s="36"/>
      <c r="AU422" s="36"/>
      <c r="AV422" s="36"/>
      <c r="AW422" s="36"/>
      <c r="AX422" s="36"/>
      <c r="AY422" s="36"/>
      <c r="AZ422" s="36"/>
      <c r="BA422" s="36"/>
      <c r="BB422" s="36"/>
      <c r="BC422" s="36"/>
      <c r="BD422" s="36"/>
      <c r="BE422" s="36"/>
      <c r="BF422" s="36"/>
      <c r="BG422" s="36"/>
      <c r="BH422" s="36"/>
      <c r="BI422" s="36"/>
      <c r="BJ422" s="36"/>
      <c r="BK422" s="36"/>
      <c r="BL422" s="36"/>
      <c r="BM422" s="36"/>
      <c r="BN422" s="36"/>
      <c r="BO422" s="36"/>
      <c r="BP422" s="36"/>
      <c r="BQ422" s="36"/>
      <c r="BR422" s="36"/>
      <c r="BS422" s="36">
        <f t="shared" si="516"/>
        <v>40.25</v>
      </c>
      <c r="BT422" s="36">
        <f t="shared" si="516"/>
        <v>40.25</v>
      </c>
      <c r="BU422" s="36">
        <f t="shared" si="516"/>
        <v>40.25</v>
      </c>
      <c r="BV422" s="36">
        <f t="shared" si="516"/>
        <v>40.25</v>
      </c>
      <c r="BW422" s="36">
        <f t="shared" si="514"/>
        <v>40.25</v>
      </c>
      <c r="BX422" s="36">
        <f t="shared" si="514"/>
        <v>40.25</v>
      </c>
      <c r="BY422" s="36">
        <f t="shared" si="514"/>
        <v>40.25</v>
      </c>
      <c r="BZ422" s="36">
        <f t="shared" si="514"/>
        <v>40.25</v>
      </c>
      <c r="CA422" s="36">
        <f>$V422/4</f>
        <v>40.25</v>
      </c>
      <c r="CB422" s="36">
        <f t="shared" si="515"/>
        <v>40.25</v>
      </c>
      <c r="CC422" s="36">
        <f t="shared" si="515"/>
        <v>40.25</v>
      </c>
      <c r="CD422" s="36">
        <f t="shared" si="515"/>
        <v>40.25</v>
      </c>
    </row>
    <row r="423" spans="2:82" outlineLevel="1">
      <c r="B423" s="241" t="s">
        <v>344</v>
      </c>
      <c r="C423" s="242"/>
      <c r="D423" s="242"/>
      <c r="E423" s="242"/>
      <c r="F423" s="242"/>
      <c r="G423" s="242"/>
      <c r="H423" s="242"/>
      <c r="I423" s="242"/>
      <c r="J423" s="242"/>
      <c r="K423" s="242"/>
      <c r="L423" s="242"/>
      <c r="M423" s="242"/>
      <c r="N423" s="242"/>
      <c r="O423" s="242"/>
      <c r="P423" s="242"/>
      <c r="Q423" s="265">
        <v>387</v>
      </c>
      <c r="R423" s="265">
        <v>387</v>
      </c>
      <c r="S423" s="265">
        <v>387</v>
      </c>
      <c r="T423" s="265">
        <v>387</v>
      </c>
      <c r="U423" s="265">
        <v>387</v>
      </c>
      <c r="V423" s="265">
        <v>387</v>
      </c>
      <c r="W423" s="265">
        <v>387</v>
      </c>
      <c r="X423" s="265">
        <v>387</v>
      </c>
      <c r="Y423" s="265">
        <v>387</v>
      </c>
      <c r="Z423" s="36"/>
      <c r="AA423" s="36"/>
      <c r="AB423" s="36"/>
      <c r="AC423" s="36"/>
      <c r="AD423" s="36"/>
      <c r="AE423" s="36"/>
      <c r="AF423" s="36"/>
      <c r="AG423" s="36"/>
      <c r="AH423" s="36"/>
      <c r="AI423" s="36"/>
      <c r="AJ423" s="36"/>
      <c r="AK423" s="36"/>
      <c r="AL423" s="36"/>
      <c r="AM423" s="36"/>
      <c r="AN423" s="36"/>
      <c r="AO423" s="36"/>
      <c r="AP423" s="36"/>
      <c r="AQ423" s="36"/>
      <c r="AR423" s="36"/>
      <c r="AS423" s="36"/>
      <c r="AT423" s="36"/>
      <c r="AU423" s="36"/>
      <c r="AV423" s="36"/>
      <c r="AW423" s="36"/>
      <c r="AX423" s="36"/>
      <c r="AY423" s="36"/>
      <c r="AZ423" s="36"/>
      <c r="BA423" s="36"/>
      <c r="BB423" s="36"/>
      <c r="BC423" s="36"/>
      <c r="BD423" s="36"/>
      <c r="BE423" s="36"/>
      <c r="BF423" s="36"/>
      <c r="BG423" s="36"/>
      <c r="BH423" s="36"/>
      <c r="BI423" s="36"/>
      <c r="BJ423" s="36"/>
      <c r="BK423" s="36"/>
      <c r="BL423" s="36"/>
      <c r="BM423" s="36"/>
      <c r="BN423" s="36"/>
      <c r="BO423" s="36"/>
      <c r="BP423" s="36"/>
      <c r="BQ423" s="36"/>
      <c r="BR423" s="36"/>
      <c r="BS423" s="36">
        <f t="shared" si="516"/>
        <v>96.75</v>
      </c>
      <c r="BT423" s="36">
        <f t="shared" si="516"/>
        <v>96.75</v>
      </c>
      <c r="BU423" s="36">
        <f t="shared" si="516"/>
        <v>96.75</v>
      </c>
      <c r="BV423" s="36">
        <f t="shared" si="516"/>
        <v>96.75</v>
      </c>
      <c r="BW423" s="36">
        <f t="shared" si="514"/>
        <v>96.75</v>
      </c>
      <c r="BX423" s="36">
        <f t="shared" si="514"/>
        <v>96.75</v>
      </c>
      <c r="BY423" s="36">
        <f t="shared" si="514"/>
        <v>96.75</v>
      </c>
      <c r="BZ423" s="36">
        <f t="shared" si="514"/>
        <v>96.75</v>
      </c>
      <c r="CA423" s="36">
        <f>$V423/4</f>
        <v>96.75</v>
      </c>
      <c r="CB423" s="36">
        <f t="shared" si="515"/>
        <v>96.75</v>
      </c>
      <c r="CC423" s="36">
        <f t="shared" si="515"/>
        <v>96.75</v>
      </c>
      <c r="CD423" s="36">
        <f t="shared" si="515"/>
        <v>96.75</v>
      </c>
    </row>
    <row r="424" spans="2:82" s="18" customFormat="1" outlineLevel="1">
      <c r="B424" s="18" t="s">
        <v>396</v>
      </c>
      <c r="Q424" s="254">
        <f>SUM(Q419:Q423)</f>
        <v>3045</v>
      </c>
      <c r="R424" s="254">
        <f>SUM(R419:R423)</f>
        <v>3045</v>
      </c>
      <c r="S424" s="254">
        <f>SUM(S419:S423)</f>
        <v>3045</v>
      </c>
      <c r="T424" s="254">
        <f t="shared" ref="T424:Y424" si="517">SUM(T419:T423)</f>
        <v>3045</v>
      </c>
      <c r="U424" s="254">
        <f t="shared" si="517"/>
        <v>2957</v>
      </c>
      <c r="V424" s="254">
        <f t="shared" si="517"/>
        <v>2957</v>
      </c>
      <c r="W424" s="254">
        <f t="shared" si="517"/>
        <v>2957</v>
      </c>
      <c r="X424" s="254">
        <f t="shared" si="517"/>
        <v>2957</v>
      </c>
      <c r="Y424" s="254">
        <f t="shared" si="517"/>
        <v>2957</v>
      </c>
      <c r="Z424" s="36"/>
      <c r="AA424" s="36"/>
      <c r="AB424" s="36"/>
      <c r="AC424" s="253"/>
      <c r="AD424" s="253"/>
      <c r="AE424" s="253"/>
      <c r="AF424" s="253"/>
      <c r="AG424" s="253"/>
      <c r="AH424" s="253"/>
      <c r="AI424" s="253"/>
      <c r="AJ424" s="253"/>
      <c r="AK424" s="253"/>
      <c r="AL424" s="253"/>
      <c r="AM424" s="253"/>
      <c r="AN424" s="253"/>
      <c r="AO424" s="253"/>
      <c r="AP424" s="253"/>
      <c r="AQ424" s="253"/>
      <c r="AR424" s="253"/>
      <c r="AS424" s="253"/>
      <c r="AT424" s="253"/>
      <c r="AU424" s="253"/>
      <c r="AV424" s="253"/>
      <c r="AW424" s="253"/>
      <c r="AX424" s="253"/>
      <c r="AY424" s="253"/>
      <c r="AZ424" s="253"/>
      <c r="BA424" s="253"/>
      <c r="BB424" s="253"/>
      <c r="BC424" s="253"/>
      <c r="BD424" s="253"/>
      <c r="BE424" s="253"/>
      <c r="BF424" s="253"/>
      <c r="BG424" s="253"/>
      <c r="BH424" s="253"/>
      <c r="BI424" s="253"/>
      <c r="BJ424" s="253"/>
      <c r="BK424" s="253"/>
      <c r="BL424" s="253"/>
      <c r="BM424" s="253"/>
      <c r="BN424" s="253"/>
      <c r="BO424" s="253"/>
      <c r="BP424" s="253"/>
      <c r="BQ424" s="253"/>
      <c r="BR424" s="253"/>
      <c r="BS424" s="254">
        <f t="shared" ref="BS424:CD424" si="518">SUM(BS419:BS423)</f>
        <v>828.25</v>
      </c>
      <c r="BT424" s="254">
        <f t="shared" si="518"/>
        <v>738.91666666666674</v>
      </c>
      <c r="BU424" s="254">
        <f t="shared" si="518"/>
        <v>738.91666666666674</v>
      </c>
      <c r="BV424" s="254">
        <f t="shared" si="518"/>
        <v>738.91666666666674</v>
      </c>
      <c r="BW424" s="254">
        <f t="shared" si="518"/>
        <v>739.25</v>
      </c>
      <c r="BX424" s="254">
        <f t="shared" si="518"/>
        <v>739.25</v>
      </c>
      <c r="BY424" s="254">
        <f t="shared" si="518"/>
        <v>739.25</v>
      </c>
      <c r="BZ424" s="254">
        <f t="shared" si="518"/>
        <v>739.25</v>
      </c>
      <c r="CA424" s="254">
        <f t="shared" si="518"/>
        <v>739.25</v>
      </c>
      <c r="CB424" s="254">
        <f t="shared" si="518"/>
        <v>739.25</v>
      </c>
      <c r="CC424" s="254">
        <f t="shared" si="518"/>
        <v>739.25</v>
      </c>
      <c r="CD424" s="254">
        <f t="shared" si="518"/>
        <v>739.25</v>
      </c>
    </row>
    <row r="425" spans="2:82" outlineLevel="1">
      <c r="Q425" s="36"/>
      <c r="R425" s="36"/>
      <c r="S425" s="48"/>
      <c r="T425" s="36"/>
      <c r="U425" s="36"/>
      <c r="V425" s="36"/>
      <c r="W425" s="36"/>
      <c r="X425" s="36"/>
      <c r="Y425" s="36"/>
      <c r="Z425" s="36"/>
      <c r="AA425" s="36"/>
      <c r="AB425" s="36"/>
      <c r="AC425" s="36"/>
      <c r="AD425" s="36"/>
      <c r="AE425" s="36"/>
      <c r="AF425" s="36"/>
      <c r="AG425" s="36"/>
      <c r="AH425" s="36"/>
      <c r="AI425" s="36"/>
      <c r="AJ425" s="36"/>
      <c r="AK425" s="36"/>
      <c r="AL425" s="36"/>
      <c r="AM425" s="36"/>
      <c r="AN425" s="36"/>
      <c r="AO425" s="36"/>
      <c r="AP425" s="36"/>
      <c r="AQ425" s="36"/>
      <c r="AR425" s="36"/>
      <c r="AS425" s="36"/>
      <c r="AT425" s="36"/>
      <c r="AU425" s="36"/>
      <c r="AV425" s="36"/>
      <c r="AW425" s="36"/>
      <c r="AX425" s="36"/>
      <c r="AY425" s="36"/>
      <c r="AZ425" s="36"/>
      <c r="BA425" s="36"/>
      <c r="BB425" s="36"/>
      <c r="BC425" s="36"/>
      <c r="BD425" s="36"/>
      <c r="BE425" s="36"/>
      <c r="BF425" s="36"/>
      <c r="BG425" s="36"/>
      <c r="BH425" s="36"/>
      <c r="BI425" s="36"/>
      <c r="BJ425" s="36"/>
      <c r="BK425" s="36"/>
      <c r="BL425" s="36"/>
      <c r="BM425" s="36"/>
      <c r="BN425" s="36"/>
      <c r="BO425" s="36"/>
      <c r="BP425" s="36"/>
      <c r="BQ425" s="36"/>
      <c r="BR425" s="36"/>
      <c r="BS425" s="36"/>
      <c r="BT425" s="36"/>
      <c r="BU425" s="36"/>
      <c r="BV425" s="36"/>
      <c r="BW425" s="36"/>
      <c r="BX425" s="36"/>
      <c r="BY425" s="36"/>
      <c r="BZ425" s="36"/>
    </row>
    <row r="426" spans="2:82" outlineLevel="1">
      <c r="B426" s="241" t="s">
        <v>343</v>
      </c>
      <c r="Q426" s="265">
        <v>0</v>
      </c>
      <c r="R426" s="265">
        <v>0</v>
      </c>
      <c r="S426" s="265">
        <v>314</v>
      </c>
      <c r="T426" s="265">
        <v>1318</v>
      </c>
      <c r="U426" s="265">
        <v>1318</v>
      </c>
      <c r="V426" s="265">
        <v>1318</v>
      </c>
      <c r="W426" s="265">
        <v>1318</v>
      </c>
      <c r="X426" s="265">
        <v>1318</v>
      </c>
      <c r="Y426" s="265">
        <v>1318</v>
      </c>
      <c r="Z426" s="36"/>
      <c r="AA426" s="36"/>
      <c r="AB426" s="36"/>
      <c r="AC426" s="36"/>
      <c r="AD426" s="36"/>
      <c r="AE426" s="36"/>
      <c r="AF426" s="36"/>
      <c r="AG426" s="36"/>
      <c r="AH426" s="36"/>
      <c r="AI426" s="36"/>
      <c r="AJ426" s="36"/>
      <c r="AK426" s="36"/>
      <c r="AL426" s="36"/>
      <c r="AM426" s="36"/>
      <c r="AN426" s="36"/>
      <c r="AO426" s="36"/>
      <c r="AP426" s="36"/>
      <c r="AQ426" s="36"/>
      <c r="AR426" s="36"/>
      <c r="AS426" s="36"/>
      <c r="AT426" s="36"/>
      <c r="AU426" s="36"/>
      <c r="AV426" s="36"/>
      <c r="AW426" s="36"/>
      <c r="AX426" s="36"/>
      <c r="AY426" s="36"/>
      <c r="AZ426" s="36"/>
      <c r="BA426" s="36"/>
      <c r="BB426" s="36"/>
      <c r="BC426" s="36"/>
      <c r="BD426" s="36"/>
      <c r="BE426" s="36"/>
      <c r="BF426" s="36"/>
      <c r="BG426" s="36"/>
      <c r="BH426" s="36"/>
      <c r="BI426" s="36"/>
      <c r="BJ426" s="36"/>
      <c r="BK426" s="36"/>
      <c r="BL426" s="36"/>
      <c r="BM426" s="36"/>
      <c r="BN426" s="36"/>
      <c r="BO426" s="36"/>
      <c r="BP426" s="36"/>
      <c r="BQ426" s="36"/>
      <c r="BR426" s="36"/>
      <c r="BS426" s="36">
        <f t="shared" ref="BS426:BV430" si="519">+$T426/4</f>
        <v>329.5</v>
      </c>
      <c r="BT426" s="36">
        <f t="shared" si="519"/>
        <v>329.5</v>
      </c>
      <c r="BU426" s="36">
        <f t="shared" si="519"/>
        <v>329.5</v>
      </c>
      <c r="BV426" s="36">
        <f t="shared" si="519"/>
        <v>329.5</v>
      </c>
      <c r="BW426" s="36">
        <f t="shared" ref="BW426:BZ430" si="520">$U426/4</f>
        <v>329.5</v>
      </c>
      <c r="BX426" s="36">
        <f t="shared" si="520"/>
        <v>329.5</v>
      </c>
      <c r="BY426" s="36">
        <f t="shared" si="520"/>
        <v>329.5</v>
      </c>
      <c r="BZ426" s="36">
        <f t="shared" si="520"/>
        <v>329.5</v>
      </c>
      <c r="CA426" s="36">
        <f>$V426/4</f>
        <v>329.5</v>
      </c>
      <c r="CB426" s="36">
        <f t="shared" ref="CB426:CD430" si="521">$V426/4</f>
        <v>329.5</v>
      </c>
      <c r="CC426" s="36">
        <f t="shared" si="521"/>
        <v>329.5</v>
      </c>
      <c r="CD426" s="36">
        <f t="shared" si="521"/>
        <v>329.5</v>
      </c>
    </row>
    <row r="427" spans="2:82" outlineLevel="1">
      <c r="B427" s="241" t="s">
        <v>347</v>
      </c>
      <c r="Q427" s="265">
        <v>224</v>
      </c>
      <c r="R427" s="265">
        <v>224</v>
      </c>
      <c r="S427" s="265">
        <v>224</v>
      </c>
      <c r="T427" s="265">
        <v>224</v>
      </c>
      <c r="U427" s="265">
        <v>224</v>
      </c>
      <c r="V427" s="265">
        <v>224</v>
      </c>
      <c r="W427" s="265">
        <v>224</v>
      </c>
      <c r="X427" s="265">
        <v>224</v>
      </c>
      <c r="Y427" s="265">
        <v>224</v>
      </c>
      <c r="Z427" s="36"/>
      <c r="AA427" s="36"/>
      <c r="AB427" s="36"/>
      <c r="AC427" s="36"/>
      <c r="AD427" s="36"/>
      <c r="AE427" s="36"/>
      <c r="AF427" s="36"/>
      <c r="AG427" s="36"/>
      <c r="AH427" s="36"/>
      <c r="AI427" s="36"/>
      <c r="AJ427" s="36"/>
      <c r="AK427" s="36"/>
      <c r="AL427" s="36"/>
      <c r="AM427" s="36"/>
      <c r="AN427" s="36"/>
      <c r="AO427" s="36"/>
      <c r="AP427" s="36"/>
      <c r="AQ427" s="36"/>
      <c r="AR427" s="36"/>
      <c r="AS427" s="36"/>
      <c r="AT427" s="36"/>
      <c r="AU427" s="36"/>
      <c r="AV427" s="36"/>
      <c r="AW427" s="36"/>
      <c r="AX427" s="36"/>
      <c r="AY427" s="36"/>
      <c r="AZ427" s="36"/>
      <c r="BA427" s="36"/>
      <c r="BB427" s="36"/>
      <c r="BC427" s="36"/>
      <c r="BD427" s="36"/>
      <c r="BE427" s="36"/>
      <c r="BF427" s="36"/>
      <c r="BG427" s="36"/>
      <c r="BH427" s="36"/>
      <c r="BI427" s="36"/>
      <c r="BJ427" s="36"/>
      <c r="BK427" s="36"/>
      <c r="BL427" s="36"/>
      <c r="BM427" s="36"/>
      <c r="BN427" s="36"/>
      <c r="BO427" s="36"/>
      <c r="BP427" s="36"/>
      <c r="BQ427" s="36"/>
      <c r="BR427" s="36"/>
      <c r="BS427" s="36">
        <f t="shared" si="519"/>
        <v>56</v>
      </c>
      <c r="BT427" s="36">
        <f t="shared" si="519"/>
        <v>56</v>
      </c>
      <c r="BU427" s="36">
        <f t="shared" si="519"/>
        <v>56</v>
      </c>
      <c r="BV427" s="36">
        <f t="shared" si="519"/>
        <v>56</v>
      </c>
      <c r="BW427" s="36">
        <f t="shared" si="520"/>
        <v>56</v>
      </c>
      <c r="BX427" s="36">
        <f t="shared" si="520"/>
        <v>56</v>
      </c>
      <c r="BY427" s="36">
        <f t="shared" si="520"/>
        <v>56</v>
      </c>
      <c r="BZ427" s="36">
        <f t="shared" si="520"/>
        <v>56</v>
      </c>
      <c r="CA427" s="36">
        <f>$V427/4</f>
        <v>56</v>
      </c>
      <c r="CB427" s="36">
        <f t="shared" si="521"/>
        <v>56</v>
      </c>
      <c r="CC427" s="36">
        <f t="shared" si="521"/>
        <v>56</v>
      </c>
      <c r="CD427" s="36">
        <f t="shared" si="521"/>
        <v>56</v>
      </c>
    </row>
    <row r="428" spans="2:82" outlineLevel="1">
      <c r="B428" s="241" t="s">
        <v>346</v>
      </c>
      <c r="Q428" s="265">
        <v>273</v>
      </c>
      <c r="R428" s="265">
        <v>273</v>
      </c>
      <c r="S428" s="265">
        <v>273</v>
      </c>
      <c r="T428" s="265">
        <v>232</v>
      </c>
      <c r="U428" s="265">
        <v>218</v>
      </c>
      <c r="V428" s="265">
        <v>218</v>
      </c>
      <c r="W428" s="265">
        <v>218</v>
      </c>
      <c r="X428" s="265">
        <v>218</v>
      </c>
      <c r="Y428" s="265">
        <v>218</v>
      </c>
      <c r="Z428" s="36"/>
      <c r="AA428" s="36"/>
      <c r="AB428" s="36"/>
      <c r="AC428" s="36"/>
      <c r="AD428" s="36"/>
      <c r="AE428" s="36"/>
      <c r="AF428" s="36"/>
      <c r="AG428" s="36"/>
      <c r="AH428" s="36"/>
      <c r="AI428" s="36"/>
      <c r="AJ428" s="36"/>
      <c r="AK428" s="36"/>
      <c r="AL428" s="36"/>
      <c r="AM428" s="36"/>
      <c r="AN428" s="36"/>
      <c r="AO428" s="36"/>
      <c r="AP428" s="36"/>
      <c r="AQ428" s="36"/>
      <c r="AR428" s="36"/>
      <c r="AS428" s="36"/>
      <c r="AT428" s="36"/>
      <c r="AU428" s="36"/>
      <c r="AV428" s="36"/>
      <c r="AW428" s="36"/>
      <c r="AX428" s="36"/>
      <c r="AY428" s="36"/>
      <c r="AZ428" s="36"/>
      <c r="BA428" s="36"/>
      <c r="BB428" s="36"/>
      <c r="BC428" s="36"/>
      <c r="BD428" s="36"/>
      <c r="BE428" s="36"/>
      <c r="BF428" s="36"/>
      <c r="BG428" s="36"/>
      <c r="BH428" s="36"/>
      <c r="BI428" s="36"/>
      <c r="BJ428" s="36"/>
      <c r="BK428" s="36"/>
      <c r="BL428" s="36"/>
      <c r="BM428" s="36"/>
      <c r="BN428" s="36"/>
      <c r="BO428" s="36"/>
      <c r="BP428" s="36"/>
      <c r="BQ428" s="36"/>
      <c r="BR428" s="36"/>
      <c r="BS428" s="36">
        <f t="shared" si="519"/>
        <v>58</v>
      </c>
      <c r="BT428" s="36">
        <f t="shared" si="519"/>
        <v>58</v>
      </c>
      <c r="BU428" s="36">
        <f t="shared" si="519"/>
        <v>58</v>
      </c>
      <c r="BV428" s="36">
        <f t="shared" si="519"/>
        <v>58</v>
      </c>
      <c r="BW428" s="36">
        <f t="shared" si="520"/>
        <v>54.5</v>
      </c>
      <c r="BX428" s="36">
        <f t="shared" si="520"/>
        <v>54.5</v>
      </c>
      <c r="BY428" s="36">
        <f t="shared" si="520"/>
        <v>54.5</v>
      </c>
      <c r="BZ428" s="36">
        <f t="shared" si="520"/>
        <v>54.5</v>
      </c>
      <c r="CA428" s="36">
        <f>$V428/4</f>
        <v>54.5</v>
      </c>
      <c r="CB428" s="36">
        <f t="shared" si="521"/>
        <v>54.5</v>
      </c>
      <c r="CC428" s="36">
        <f t="shared" si="521"/>
        <v>54.5</v>
      </c>
      <c r="CD428" s="36">
        <f t="shared" si="521"/>
        <v>54.5</v>
      </c>
    </row>
    <row r="429" spans="2:82" outlineLevel="1">
      <c r="B429" s="241" t="s">
        <v>349</v>
      </c>
      <c r="Q429" s="265">
        <v>192</v>
      </c>
      <c r="R429" s="265">
        <v>198</v>
      </c>
      <c r="S429" s="265">
        <v>198</v>
      </c>
      <c r="T429" s="265">
        <v>198</v>
      </c>
      <c r="U429" s="265">
        <v>198</v>
      </c>
      <c r="V429" s="265">
        <v>198</v>
      </c>
      <c r="W429" s="265">
        <v>198</v>
      </c>
      <c r="X429" s="265">
        <v>198</v>
      </c>
      <c r="Y429" s="265">
        <v>198</v>
      </c>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36"/>
      <c r="BE429" s="36"/>
      <c r="BF429" s="36"/>
      <c r="BG429" s="36"/>
      <c r="BH429" s="36"/>
      <c r="BI429" s="36"/>
      <c r="BJ429" s="36"/>
      <c r="BK429" s="36"/>
      <c r="BL429" s="36"/>
      <c r="BM429" s="36"/>
      <c r="BN429" s="36"/>
      <c r="BO429" s="36"/>
      <c r="BP429" s="36"/>
      <c r="BQ429" s="36"/>
      <c r="BR429" s="36"/>
      <c r="BS429" s="36">
        <f t="shared" si="519"/>
        <v>49.5</v>
      </c>
      <c r="BT429" s="36">
        <f t="shared" si="519"/>
        <v>49.5</v>
      </c>
      <c r="BU429" s="36">
        <f t="shared" si="519"/>
        <v>49.5</v>
      </c>
      <c r="BV429" s="36">
        <f t="shared" si="519"/>
        <v>49.5</v>
      </c>
      <c r="BW429" s="36">
        <f t="shared" si="520"/>
        <v>49.5</v>
      </c>
      <c r="BX429" s="36">
        <f t="shared" si="520"/>
        <v>49.5</v>
      </c>
      <c r="BY429" s="36">
        <f t="shared" si="520"/>
        <v>49.5</v>
      </c>
      <c r="BZ429" s="36">
        <f t="shared" si="520"/>
        <v>49.5</v>
      </c>
      <c r="CA429" s="36">
        <f>$V429/4</f>
        <v>49.5</v>
      </c>
      <c r="CB429" s="36">
        <f t="shared" si="521"/>
        <v>49.5</v>
      </c>
      <c r="CC429" s="36">
        <f t="shared" si="521"/>
        <v>49.5</v>
      </c>
      <c r="CD429" s="36">
        <f t="shared" si="521"/>
        <v>49.5</v>
      </c>
    </row>
    <row r="430" spans="2:82" outlineLevel="1">
      <c r="B430" s="241" t="s">
        <v>344</v>
      </c>
      <c r="C430" s="242"/>
      <c r="D430" s="242"/>
      <c r="E430" s="242"/>
      <c r="F430" s="242"/>
      <c r="G430" s="242"/>
      <c r="H430" s="242"/>
      <c r="I430" s="242"/>
      <c r="J430" s="242"/>
      <c r="K430" s="242"/>
      <c r="L430" s="242"/>
      <c r="M430" s="242"/>
      <c r="N430" s="242"/>
      <c r="O430" s="242"/>
      <c r="P430" s="242"/>
      <c r="Q430" s="265">
        <v>320</v>
      </c>
      <c r="R430" s="265">
        <v>320</v>
      </c>
      <c r="S430" s="265">
        <v>320</v>
      </c>
      <c r="T430" s="265">
        <v>320</v>
      </c>
      <c r="U430" s="265">
        <v>320</v>
      </c>
      <c r="V430" s="265">
        <v>320</v>
      </c>
      <c r="W430" s="265">
        <v>320</v>
      </c>
      <c r="X430" s="265">
        <v>320</v>
      </c>
      <c r="Y430" s="265">
        <v>320</v>
      </c>
      <c r="Z430" s="36"/>
      <c r="AA430" s="36"/>
      <c r="AB430" s="36"/>
      <c r="AC430" s="36"/>
      <c r="AD430" s="36"/>
      <c r="AE430" s="36"/>
      <c r="AF430" s="36"/>
      <c r="AG430" s="36"/>
      <c r="AH430" s="36"/>
      <c r="AI430" s="36"/>
      <c r="AJ430" s="36"/>
      <c r="AK430" s="36"/>
      <c r="AL430" s="36"/>
      <c r="AM430" s="36"/>
      <c r="AN430" s="36"/>
      <c r="AO430" s="36"/>
      <c r="AP430" s="36"/>
      <c r="AQ430" s="36"/>
      <c r="AR430" s="36"/>
      <c r="AS430" s="36"/>
      <c r="AT430" s="36"/>
      <c r="AU430" s="36"/>
      <c r="AV430" s="36"/>
      <c r="AW430" s="36"/>
      <c r="AX430" s="36"/>
      <c r="AY430" s="36"/>
      <c r="AZ430" s="36"/>
      <c r="BA430" s="36"/>
      <c r="BB430" s="36"/>
      <c r="BC430" s="36"/>
      <c r="BD430" s="36"/>
      <c r="BE430" s="36"/>
      <c r="BF430" s="36"/>
      <c r="BG430" s="36"/>
      <c r="BH430" s="36"/>
      <c r="BI430" s="36"/>
      <c r="BJ430" s="36"/>
      <c r="BK430" s="36"/>
      <c r="BL430" s="36"/>
      <c r="BM430" s="36"/>
      <c r="BN430" s="36"/>
      <c r="BO430" s="36"/>
      <c r="BP430" s="36"/>
      <c r="BQ430" s="36"/>
      <c r="BR430" s="36"/>
      <c r="BS430" s="36">
        <f t="shared" si="519"/>
        <v>80</v>
      </c>
      <c r="BT430" s="36">
        <f t="shared" si="519"/>
        <v>80</v>
      </c>
      <c r="BU430" s="36">
        <f t="shared" si="519"/>
        <v>80</v>
      </c>
      <c r="BV430" s="36">
        <f t="shared" si="519"/>
        <v>80</v>
      </c>
      <c r="BW430" s="36">
        <f t="shared" si="520"/>
        <v>80</v>
      </c>
      <c r="BX430" s="36">
        <f t="shared" si="520"/>
        <v>80</v>
      </c>
      <c r="BY430" s="36">
        <f t="shared" si="520"/>
        <v>80</v>
      </c>
      <c r="BZ430" s="36">
        <f t="shared" si="520"/>
        <v>80</v>
      </c>
      <c r="CA430" s="36">
        <f>$V430/4</f>
        <v>80</v>
      </c>
      <c r="CB430" s="36">
        <f t="shared" si="521"/>
        <v>80</v>
      </c>
      <c r="CC430" s="36">
        <f t="shared" si="521"/>
        <v>80</v>
      </c>
      <c r="CD430" s="36">
        <f t="shared" si="521"/>
        <v>80</v>
      </c>
    </row>
    <row r="431" spans="2:82" s="18" customFormat="1" outlineLevel="1">
      <c r="B431" s="18" t="s">
        <v>397</v>
      </c>
      <c r="Q431" s="254">
        <f>SUM(Q426:Q430)</f>
        <v>1009</v>
      </c>
      <c r="R431" s="254">
        <f>SUM(R426:R430)</f>
        <v>1015</v>
      </c>
      <c r="S431" s="254">
        <f>SUM(S426:S430)</f>
        <v>1329</v>
      </c>
      <c r="T431" s="254">
        <f t="shared" ref="T431:Y431" si="522">SUM(T426:T430)</f>
        <v>2292</v>
      </c>
      <c r="U431" s="254">
        <f t="shared" si="522"/>
        <v>2278</v>
      </c>
      <c r="V431" s="254">
        <f t="shared" si="522"/>
        <v>2278</v>
      </c>
      <c r="W431" s="254">
        <f t="shared" si="522"/>
        <v>2278</v>
      </c>
      <c r="X431" s="254">
        <f t="shared" si="522"/>
        <v>2278</v>
      </c>
      <c r="Y431" s="254">
        <f t="shared" si="522"/>
        <v>2278</v>
      </c>
      <c r="Z431" s="36"/>
      <c r="AA431" s="36"/>
      <c r="AB431" s="36"/>
      <c r="AC431" s="253"/>
      <c r="AD431" s="253"/>
      <c r="AE431" s="253"/>
      <c r="AF431" s="253"/>
      <c r="AG431" s="253"/>
      <c r="AH431" s="253"/>
      <c r="AI431" s="253"/>
      <c r="AJ431" s="253"/>
      <c r="AK431" s="253"/>
      <c r="AL431" s="253"/>
      <c r="AM431" s="253"/>
      <c r="AN431" s="253"/>
      <c r="AO431" s="253"/>
      <c r="AP431" s="253"/>
      <c r="AQ431" s="253"/>
      <c r="AR431" s="253"/>
      <c r="AS431" s="253"/>
      <c r="AT431" s="253"/>
      <c r="AU431" s="253"/>
      <c r="AV431" s="253"/>
      <c r="AW431" s="253"/>
      <c r="AX431" s="253"/>
      <c r="AY431" s="253"/>
      <c r="AZ431" s="253"/>
      <c r="BA431" s="253"/>
      <c r="BB431" s="253"/>
      <c r="BC431" s="253"/>
      <c r="BD431" s="253"/>
      <c r="BE431" s="253"/>
      <c r="BF431" s="253"/>
      <c r="BG431" s="253"/>
      <c r="BH431" s="253"/>
      <c r="BI431" s="253"/>
      <c r="BJ431" s="253"/>
      <c r="BK431" s="253"/>
      <c r="BL431" s="253"/>
      <c r="BM431" s="253"/>
      <c r="BN431" s="253"/>
      <c r="BO431" s="253"/>
      <c r="BP431" s="253"/>
      <c r="BQ431" s="253"/>
      <c r="BR431" s="253"/>
      <c r="BS431" s="254">
        <f t="shared" ref="BS431:CD431" si="523">SUM(BS426:BS430)</f>
        <v>573</v>
      </c>
      <c r="BT431" s="254">
        <f t="shared" si="523"/>
        <v>573</v>
      </c>
      <c r="BU431" s="254">
        <f t="shared" si="523"/>
        <v>573</v>
      </c>
      <c r="BV431" s="254">
        <f t="shared" si="523"/>
        <v>573</v>
      </c>
      <c r="BW431" s="254">
        <f t="shared" si="523"/>
        <v>569.5</v>
      </c>
      <c r="BX431" s="254">
        <f t="shared" si="523"/>
        <v>569.5</v>
      </c>
      <c r="BY431" s="254">
        <f t="shared" si="523"/>
        <v>569.5</v>
      </c>
      <c r="BZ431" s="254">
        <f t="shared" si="523"/>
        <v>569.5</v>
      </c>
      <c r="CA431" s="254">
        <f t="shared" si="523"/>
        <v>569.5</v>
      </c>
      <c r="CB431" s="254">
        <f t="shared" si="523"/>
        <v>569.5</v>
      </c>
      <c r="CC431" s="254">
        <f t="shared" si="523"/>
        <v>569.5</v>
      </c>
      <c r="CD431" s="254">
        <f t="shared" si="523"/>
        <v>569.5</v>
      </c>
    </row>
    <row r="432" spans="2:82" outlineLevel="1">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row>
    <row r="433" spans="2:82" outlineLevel="1">
      <c r="B433" s="18" t="s">
        <v>400</v>
      </c>
      <c r="Q433" s="253">
        <f>+Q424+Q431</f>
        <v>4054</v>
      </c>
      <c r="R433" s="253">
        <f>+R424+R431</f>
        <v>4060</v>
      </c>
      <c r="S433" s="253">
        <f>+S424+S431</f>
        <v>4374</v>
      </c>
      <c r="T433" s="253">
        <f t="shared" ref="T433:Y433" si="524">+T424+T431</f>
        <v>5337</v>
      </c>
      <c r="U433" s="253">
        <f t="shared" si="524"/>
        <v>5235</v>
      </c>
      <c r="V433" s="253">
        <f t="shared" si="524"/>
        <v>5235</v>
      </c>
      <c r="W433" s="253">
        <f t="shared" si="524"/>
        <v>5235</v>
      </c>
      <c r="X433" s="253">
        <f t="shared" si="524"/>
        <v>5235</v>
      </c>
      <c r="Y433" s="253">
        <f t="shared" si="524"/>
        <v>5235</v>
      </c>
      <c r="Z433" s="36"/>
      <c r="AA433" s="36"/>
      <c r="AB433" s="36"/>
      <c r="AC433" s="36"/>
      <c r="AD433" s="36"/>
      <c r="AE433" s="36"/>
      <c r="AF433" s="36"/>
      <c r="AG433" s="36"/>
      <c r="AH433" s="36"/>
      <c r="AI433" s="36"/>
      <c r="AJ433" s="36"/>
      <c r="AK433" s="36"/>
      <c r="AL433" s="36"/>
      <c r="AM433" s="36"/>
      <c r="AN433" s="36"/>
      <c r="AO433" s="36"/>
      <c r="AP433" s="36"/>
      <c r="AQ433" s="36"/>
      <c r="AR433" s="36"/>
      <c r="AS433" s="36"/>
      <c r="AT433" s="36"/>
      <c r="AU433" s="36"/>
      <c r="AV433" s="36"/>
      <c r="AW433" s="36"/>
      <c r="AX433" s="36"/>
      <c r="AY433" s="36"/>
      <c r="AZ433" s="36"/>
      <c r="BA433" s="36"/>
      <c r="BB433" s="36"/>
      <c r="BC433" s="36"/>
      <c r="BD433" s="36"/>
      <c r="BE433" s="36"/>
      <c r="BF433" s="36"/>
      <c r="BG433" s="36"/>
      <c r="BH433" s="36"/>
      <c r="BI433" s="36"/>
      <c r="BJ433" s="36"/>
      <c r="BK433" s="36"/>
      <c r="BL433" s="36"/>
      <c r="BM433" s="36"/>
      <c r="BN433" s="36"/>
      <c r="BO433" s="36"/>
      <c r="BP433" s="36"/>
      <c r="BQ433" s="36"/>
      <c r="BR433" s="36"/>
      <c r="BS433" s="253">
        <f>+BS424+BS431</f>
        <v>1401.25</v>
      </c>
      <c r="BT433" s="253">
        <f t="shared" ref="BT433:CD433" si="525">+BT424+BT431</f>
        <v>1311.9166666666667</v>
      </c>
      <c r="BU433" s="253">
        <f t="shared" si="525"/>
        <v>1311.9166666666667</v>
      </c>
      <c r="BV433" s="253">
        <f t="shared" si="525"/>
        <v>1311.9166666666667</v>
      </c>
      <c r="BW433" s="253">
        <f t="shared" si="525"/>
        <v>1308.75</v>
      </c>
      <c r="BX433" s="253">
        <f t="shared" si="525"/>
        <v>1308.75</v>
      </c>
      <c r="BY433" s="253">
        <f t="shared" si="525"/>
        <v>1308.75</v>
      </c>
      <c r="BZ433" s="253">
        <f t="shared" si="525"/>
        <v>1308.75</v>
      </c>
      <c r="CA433" s="253">
        <f t="shared" si="525"/>
        <v>1308.75</v>
      </c>
      <c r="CB433" s="253">
        <f t="shared" si="525"/>
        <v>1308.75</v>
      </c>
      <c r="CC433" s="253">
        <f t="shared" si="525"/>
        <v>1308.75</v>
      </c>
      <c r="CD433" s="253">
        <f t="shared" si="525"/>
        <v>1308.75</v>
      </c>
    </row>
    <row r="434" spans="2:82" outlineLevel="1">
      <c r="Q434" s="36"/>
      <c r="R434" s="36"/>
      <c r="S434" s="36"/>
      <c r="T434" s="36"/>
      <c r="U434" s="36"/>
      <c r="V434" s="36"/>
      <c r="W434" s="36"/>
      <c r="X434" s="36"/>
      <c r="Y434" s="36"/>
      <c r="Z434" s="36"/>
      <c r="AA434" s="36"/>
      <c r="AB434" s="36"/>
      <c r="AC434" s="36"/>
      <c r="AD434" s="36"/>
      <c r="AE434" s="36"/>
      <c r="AF434" s="36"/>
      <c r="AG434" s="36"/>
      <c r="AH434" s="36"/>
      <c r="AI434" s="36"/>
      <c r="AJ434" s="36"/>
      <c r="AK434" s="36"/>
      <c r="AL434" s="36"/>
      <c r="AM434" s="36"/>
      <c r="AN434" s="36"/>
      <c r="AO434" s="36"/>
      <c r="AP434" s="36"/>
      <c r="AQ434" s="36"/>
      <c r="AR434" s="36"/>
      <c r="AS434" s="36"/>
      <c r="AT434" s="36"/>
      <c r="AU434" s="36"/>
      <c r="AV434" s="36"/>
      <c r="AW434" s="36"/>
      <c r="AX434" s="36"/>
      <c r="AY434" s="36"/>
      <c r="AZ434" s="36"/>
      <c r="BA434" s="36"/>
      <c r="BB434" s="36"/>
      <c r="BC434" s="36"/>
      <c r="BD434" s="36"/>
      <c r="BE434" s="36"/>
      <c r="BF434" s="36"/>
      <c r="BG434" s="36"/>
      <c r="BH434" s="36"/>
      <c r="BI434" s="36"/>
      <c r="BJ434" s="36"/>
      <c r="BK434" s="36"/>
      <c r="BL434" s="36"/>
      <c r="BM434" s="36"/>
      <c r="BN434" s="36"/>
      <c r="BO434" s="36"/>
      <c r="BP434" s="36"/>
      <c r="BQ434" s="36"/>
      <c r="BR434" s="36"/>
      <c r="BS434" s="36"/>
      <c r="BT434" s="36"/>
      <c r="BU434" s="36"/>
      <c r="BV434" s="36"/>
      <c r="BW434" s="36"/>
      <c r="BX434" s="36"/>
      <c r="BY434" s="36"/>
      <c r="BZ434" s="36"/>
    </row>
    <row r="435" spans="2:82" outlineLevel="1">
      <c r="B435" s="149" t="s">
        <v>360</v>
      </c>
      <c r="Q435" s="36"/>
      <c r="R435" s="36"/>
      <c r="S435" s="48"/>
      <c r="T435" s="36"/>
      <c r="U435" s="239"/>
      <c r="V435" s="36"/>
      <c r="W435" s="36"/>
      <c r="X435" s="36"/>
      <c r="Y435" s="36"/>
      <c r="Z435" s="36"/>
      <c r="AA435" s="36"/>
      <c r="AB435" s="36"/>
      <c r="AC435" s="36"/>
      <c r="AD435" s="36"/>
      <c r="AE435" s="36"/>
      <c r="AF435" s="36"/>
      <c r="AG435" s="36"/>
      <c r="AH435" s="36"/>
      <c r="AI435" s="36"/>
      <c r="AJ435" s="36"/>
      <c r="AK435" s="36"/>
      <c r="AL435" s="36"/>
      <c r="AM435" s="36"/>
      <c r="AN435" s="36"/>
      <c r="AO435" s="36"/>
      <c r="AP435" s="36"/>
      <c r="AQ435" s="36"/>
      <c r="AR435" s="36"/>
      <c r="AS435" s="36"/>
      <c r="AT435" s="36"/>
      <c r="AU435" s="36"/>
      <c r="AV435" s="36"/>
      <c r="AW435" s="36"/>
      <c r="AX435" s="36"/>
      <c r="AY435" s="36"/>
      <c r="AZ435" s="36"/>
      <c r="BA435" s="36"/>
      <c r="BB435" s="36"/>
      <c r="BC435" s="36"/>
      <c r="BD435" s="36"/>
      <c r="BE435" s="36"/>
      <c r="BF435" s="36"/>
      <c r="BG435" s="36"/>
      <c r="BH435" s="36"/>
      <c r="BI435" s="36"/>
      <c r="BJ435" s="36"/>
      <c r="BK435" s="36"/>
      <c r="BL435" s="36"/>
      <c r="BM435" s="36"/>
      <c r="BN435" s="36"/>
      <c r="BO435" s="36"/>
      <c r="BP435" s="36"/>
      <c r="BQ435" s="36"/>
      <c r="BR435" s="36"/>
      <c r="BS435" s="36"/>
      <c r="BT435" s="36"/>
      <c r="BU435" s="36"/>
      <c r="BV435" s="36"/>
      <c r="BW435" s="36"/>
      <c r="BX435" s="36"/>
      <c r="BY435" s="36"/>
      <c r="BZ435" s="36"/>
    </row>
    <row r="436" spans="2:82" outlineLevel="1">
      <c r="B436" s="241" t="s">
        <v>523</v>
      </c>
      <c r="Q436" s="265">
        <v>0</v>
      </c>
      <c r="R436" s="265">
        <v>0</v>
      </c>
      <c r="S436" s="265">
        <v>260</v>
      </c>
      <c r="T436" s="265">
        <v>1561</v>
      </c>
      <c r="U436" s="265">
        <v>1561</v>
      </c>
      <c r="V436" s="265">
        <v>1561</v>
      </c>
      <c r="W436" s="265">
        <v>1561</v>
      </c>
      <c r="X436" s="265">
        <v>1561</v>
      </c>
      <c r="Y436" s="265">
        <v>1561</v>
      </c>
      <c r="Z436" s="36"/>
      <c r="AA436" s="36"/>
      <c r="AB436" s="36"/>
      <c r="AC436" s="36"/>
      <c r="AD436" s="36"/>
      <c r="AE436" s="36"/>
      <c r="AF436" s="36"/>
      <c r="AG436" s="36"/>
      <c r="AH436" s="36"/>
      <c r="AI436" s="36"/>
      <c r="AJ436" s="36"/>
      <c r="AK436" s="36"/>
      <c r="AL436" s="36"/>
      <c r="AM436" s="36"/>
      <c r="AN436" s="36"/>
      <c r="AO436" s="36"/>
      <c r="AP436" s="36"/>
      <c r="AQ436" s="36"/>
      <c r="AR436" s="36"/>
      <c r="AS436" s="36"/>
      <c r="AT436" s="36"/>
      <c r="AU436" s="36"/>
      <c r="AV436" s="36"/>
      <c r="AW436" s="36"/>
      <c r="AX436" s="36"/>
      <c r="AY436" s="36"/>
      <c r="AZ436" s="36"/>
      <c r="BA436" s="36"/>
      <c r="BB436" s="36"/>
      <c r="BC436" s="36"/>
      <c r="BD436" s="36"/>
      <c r="BE436" s="36"/>
      <c r="BF436" s="36"/>
      <c r="BG436" s="36"/>
      <c r="BH436" s="36"/>
      <c r="BI436" s="36"/>
      <c r="BJ436" s="36"/>
      <c r="BK436" s="36"/>
      <c r="BL436" s="36"/>
      <c r="BM436" s="36"/>
      <c r="BN436" s="36"/>
      <c r="BO436" s="36"/>
      <c r="BP436" s="36"/>
      <c r="BQ436" s="36"/>
      <c r="BR436" s="36"/>
      <c r="BS436" s="36">
        <f t="shared" ref="BS436:BV439" si="526">+$T436/4</f>
        <v>390.25</v>
      </c>
      <c r="BT436" s="36">
        <f t="shared" si="526"/>
        <v>390.25</v>
      </c>
      <c r="BU436" s="36">
        <f t="shared" si="526"/>
        <v>390.25</v>
      </c>
      <c r="BV436" s="36">
        <f t="shared" si="526"/>
        <v>390.25</v>
      </c>
      <c r="BW436" s="36">
        <f t="shared" ref="BW436:BZ439" si="527">$U436/4</f>
        <v>390.25</v>
      </c>
      <c r="BX436" s="36">
        <f t="shared" si="527"/>
        <v>390.25</v>
      </c>
      <c r="BY436" s="36">
        <f t="shared" si="527"/>
        <v>390.25</v>
      </c>
      <c r="BZ436" s="36">
        <f t="shared" si="527"/>
        <v>390.25</v>
      </c>
      <c r="CA436" s="36">
        <f>$V436/4</f>
        <v>390.25</v>
      </c>
      <c r="CB436" s="36">
        <f t="shared" ref="CB436:CD439" si="528">$V436/4</f>
        <v>390.25</v>
      </c>
      <c r="CC436" s="36">
        <f t="shared" si="528"/>
        <v>390.25</v>
      </c>
      <c r="CD436" s="36">
        <f t="shared" si="528"/>
        <v>390.25</v>
      </c>
    </row>
    <row r="437" spans="2:82" outlineLevel="1">
      <c r="B437" s="241" t="s">
        <v>578</v>
      </c>
      <c r="Q437" s="265">
        <v>0</v>
      </c>
      <c r="R437" s="265">
        <v>0</v>
      </c>
      <c r="S437" s="265">
        <v>125</v>
      </c>
      <c r="T437" s="265">
        <v>748</v>
      </c>
      <c r="U437" s="265">
        <v>748</v>
      </c>
      <c r="V437" s="265">
        <v>748</v>
      </c>
      <c r="W437" s="265">
        <v>748</v>
      </c>
      <c r="X437" s="265">
        <v>748</v>
      </c>
      <c r="Y437" s="265">
        <v>748</v>
      </c>
      <c r="Z437" s="36"/>
      <c r="AA437" s="36"/>
      <c r="AB437" s="36"/>
      <c r="AC437" s="36"/>
      <c r="AD437" s="36"/>
      <c r="AE437" s="36"/>
      <c r="AF437" s="36"/>
      <c r="AG437" s="36"/>
      <c r="AH437" s="36"/>
      <c r="AI437" s="36"/>
      <c r="AJ437" s="36"/>
      <c r="AK437" s="36"/>
      <c r="AL437" s="36"/>
      <c r="AM437" s="36"/>
      <c r="AN437" s="36"/>
      <c r="AO437" s="36"/>
      <c r="AP437" s="36"/>
      <c r="AQ437" s="36"/>
      <c r="AR437" s="36"/>
      <c r="AS437" s="36"/>
      <c r="AT437" s="36"/>
      <c r="AU437" s="36"/>
      <c r="AV437" s="36"/>
      <c r="AW437" s="36"/>
      <c r="AX437" s="36"/>
      <c r="AY437" s="36"/>
      <c r="AZ437" s="36"/>
      <c r="BA437" s="36"/>
      <c r="BB437" s="36"/>
      <c r="BC437" s="36"/>
      <c r="BD437" s="36"/>
      <c r="BE437" s="36"/>
      <c r="BF437" s="36"/>
      <c r="BG437" s="36"/>
      <c r="BH437" s="36"/>
      <c r="BI437" s="36"/>
      <c r="BJ437" s="36"/>
      <c r="BK437" s="36"/>
      <c r="BL437" s="36"/>
      <c r="BM437" s="36"/>
      <c r="BN437" s="36"/>
      <c r="BO437" s="36"/>
      <c r="BP437" s="36"/>
      <c r="BQ437" s="36"/>
      <c r="BR437" s="36"/>
      <c r="BS437" s="36">
        <f t="shared" si="526"/>
        <v>187</v>
      </c>
      <c r="BT437" s="36">
        <f t="shared" si="526"/>
        <v>187</v>
      </c>
      <c r="BU437" s="36">
        <f t="shared" si="526"/>
        <v>187</v>
      </c>
      <c r="BV437" s="36">
        <f t="shared" si="526"/>
        <v>187</v>
      </c>
      <c r="BW437" s="36">
        <f t="shared" si="527"/>
        <v>187</v>
      </c>
      <c r="BX437" s="36">
        <f t="shared" si="527"/>
        <v>187</v>
      </c>
      <c r="BY437" s="36">
        <f t="shared" si="527"/>
        <v>187</v>
      </c>
      <c r="BZ437" s="36">
        <f t="shared" si="527"/>
        <v>187</v>
      </c>
      <c r="CA437" s="36">
        <f>$V437/4</f>
        <v>187</v>
      </c>
      <c r="CB437" s="36">
        <f t="shared" si="528"/>
        <v>187</v>
      </c>
      <c r="CC437" s="36">
        <f t="shared" si="528"/>
        <v>187</v>
      </c>
      <c r="CD437" s="36">
        <f t="shared" si="528"/>
        <v>187</v>
      </c>
    </row>
    <row r="438" spans="2:82" outlineLevel="1">
      <c r="B438" s="241" t="s">
        <v>522</v>
      </c>
      <c r="Q438" s="265">
        <v>0</v>
      </c>
      <c r="R438" s="265">
        <v>0</v>
      </c>
      <c r="S438" s="265">
        <v>29</v>
      </c>
      <c r="T438" s="265">
        <v>172</v>
      </c>
      <c r="U438" s="265">
        <v>172</v>
      </c>
      <c r="V438" s="265">
        <v>172</v>
      </c>
      <c r="W438" s="265">
        <v>172</v>
      </c>
      <c r="X438" s="265">
        <v>172</v>
      </c>
      <c r="Y438" s="265">
        <v>172</v>
      </c>
      <c r="Z438" s="36"/>
      <c r="AA438" s="36"/>
      <c r="AB438" s="36"/>
      <c r="AC438" s="36"/>
      <c r="AD438" s="36"/>
      <c r="AE438" s="36"/>
      <c r="AF438" s="36"/>
      <c r="AG438" s="36"/>
      <c r="AH438" s="36"/>
      <c r="AI438" s="36"/>
      <c r="AJ438" s="36"/>
      <c r="AK438" s="36"/>
      <c r="AL438" s="36"/>
      <c r="AM438" s="36"/>
      <c r="AN438" s="36"/>
      <c r="AO438" s="36"/>
      <c r="AP438" s="36"/>
      <c r="AQ438" s="36"/>
      <c r="AR438" s="36"/>
      <c r="AS438" s="36"/>
      <c r="AT438" s="36"/>
      <c r="AU438" s="36"/>
      <c r="AV438" s="36"/>
      <c r="AW438" s="36"/>
      <c r="AX438" s="36"/>
      <c r="AY438" s="36"/>
      <c r="AZ438" s="36"/>
      <c r="BA438" s="36"/>
      <c r="BB438" s="36"/>
      <c r="BC438" s="36"/>
      <c r="BD438" s="36"/>
      <c r="BE438" s="36"/>
      <c r="BF438" s="36"/>
      <c r="BG438" s="36"/>
      <c r="BH438" s="36"/>
      <c r="BI438" s="36"/>
      <c r="BJ438" s="36"/>
      <c r="BK438" s="36"/>
      <c r="BL438" s="36"/>
      <c r="BM438" s="36"/>
      <c r="BN438" s="36"/>
      <c r="BO438" s="36"/>
      <c r="BP438" s="36"/>
      <c r="BQ438" s="36"/>
      <c r="BR438" s="36"/>
      <c r="BS438" s="36">
        <f t="shared" si="526"/>
        <v>43</v>
      </c>
      <c r="BT438" s="36">
        <f t="shared" si="526"/>
        <v>43</v>
      </c>
      <c r="BU438" s="36">
        <f t="shared" si="526"/>
        <v>43</v>
      </c>
      <c r="BV438" s="36">
        <f t="shared" si="526"/>
        <v>43</v>
      </c>
      <c r="BW438" s="36">
        <f t="shared" si="527"/>
        <v>43</v>
      </c>
      <c r="BX438" s="36">
        <f t="shared" si="527"/>
        <v>43</v>
      </c>
      <c r="BY438" s="36">
        <f t="shared" si="527"/>
        <v>43</v>
      </c>
      <c r="BZ438" s="36">
        <f t="shared" si="527"/>
        <v>43</v>
      </c>
      <c r="CA438" s="36">
        <f>$V438/4</f>
        <v>43</v>
      </c>
      <c r="CB438" s="36">
        <f t="shared" si="528"/>
        <v>43</v>
      </c>
      <c r="CC438" s="36">
        <f t="shared" si="528"/>
        <v>43</v>
      </c>
      <c r="CD438" s="36">
        <f t="shared" si="528"/>
        <v>43</v>
      </c>
    </row>
    <row r="439" spans="2:82" outlineLevel="1">
      <c r="B439" s="241" t="s">
        <v>579</v>
      </c>
      <c r="C439" s="242"/>
      <c r="D439" s="242"/>
      <c r="E439" s="242"/>
      <c r="F439" s="242"/>
      <c r="G439" s="242"/>
      <c r="H439" s="242"/>
      <c r="I439" s="242"/>
      <c r="J439" s="242"/>
      <c r="K439" s="242"/>
      <c r="L439" s="242"/>
      <c r="M439" s="242"/>
      <c r="N439" s="242"/>
      <c r="O439" s="242"/>
      <c r="P439" s="242"/>
      <c r="Q439" s="265">
        <v>0</v>
      </c>
      <c r="R439" s="265">
        <v>0</v>
      </c>
      <c r="S439" s="265">
        <v>70</v>
      </c>
      <c r="T439" s="265">
        <v>421</v>
      </c>
      <c r="U439" s="265">
        <v>421</v>
      </c>
      <c r="V439" s="265">
        <v>421</v>
      </c>
      <c r="W439" s="265">
        <v>421</v>
      </c>
      <c r="X439" s="265">
        <v>421</v>
      </c>
      <c r="Y439" s="265">
        <v>421</v>
      </c>
      <c r="Z439" s="36"/>
      <c r="AA439" s="36"/>
      <c r="AB439" s="36"/>
      <c r="AC439" s="36"/>
      <c r="AD439" s="36"/>
      <c r="AE439" s="36"/>
      <c r="AF439" s="36"/>
      <c r="AG439" s="36"/>
      <c r="AH439" s="36"/>
      <c r="AI439" s="36"/>
      <c r="AJ439" s="36"/>
      <c r="AK439" s="36"/>
      <c r="AL439" s="36"/>
      <c r="AM439" s="36"/>
      <c r="AN439" s="36"/>
      <c r="AO439" s="36"/>
      <c r="AP439" s="36"/>
      <c r="AQ439" s="36"/>
      <c r="AR439" s="36"/>
      <c r="AS439" s="36"/>
      <c r="AT439" s="36"/>
      <c r="AU439" s="36"/>
      <c r="AV439" s="36"/>
      <c r="AW439" s="36"/>
      <c r="AX439" s="36"/>
      <c r="AY439" s="36"/>
      <c r="AZ439" s="36"/>
      <c r="BA439" s="36"/>
      <c r="BB439" s="36"/>
      <c r="BC439" s="36"/>
      <c r="BD439" s="36"/>
      <c r="BE439" s="36"/>
      <c r="BF439" s="36"/>
      <c r="BG439" s="36"/>
      <c r="BH439" s="36"/>
      <c r="BI439" s="36"/>
      <c r="BJ439" s="36"/>
      <c r="BK439" s="36"/>
      <c r="BL439" s="36"/>
      <c r="BM439" s="36"/>
      <c r="BN439" s="36"/>
      <c r="BO439" s="36"/>
      <c r="BP439" s="36"/>
      <c r="BQ439" s="36"/>
      <c r="BR439" s="36"/>
      <c r="BS439" s="36">
        <f t="shared" si="526"/>
        <v>105.25</v>
      </c>
      <c r="BT439" s="36">
        <f t="shared" si="526"/>
        <v>105.25</v>
      </c>
      <c r="BU439" s="36">
        <f t="shared" si="526"/>
        <v>105.25</v>
      </c>
      <c r="BV439" s="36">
        <f t="shared" si="526"/>
        <v>105.25</v>
      </c>
      <c r="BW439" s="36">
        <f t="shared" si="527"/>
        <v>105.25</v>
      </c>
      <c r="BX439" s="36">
        <f t="shared" si="527"/>
        <v>105.25</v>
      </c>
      <c r="BY439" s="36">
        <f t="shared" si="527"/>
        <v>105.25</v>
      </c>
      <c r="BZ439" s="36">
        <f t="shared" si="527"/>
        <v>105.25</v>
      </c>
      <c r="CA439" s="36">
        <f>$V439/4</f>
        <v>105.25</v>
      </c>
      <c r="CB439" s="36">
        <f t="shared" si="528"/>
        <v>105.25</v>
      </c>
      <c r="CC439" s="36">
        <f t="shared" si="528"/>
        <v>105.25</v>
      </c>
      <c r="CD439" s="36">
        <f t="shared" si="528"/>
        <v>105.25</v>
      </c>
    </row>
    <row r="440" spans="2:82" outlineLevel="1">
      <c r="B440" s="18" t="s">
        <v>361</v>
      </c>
      <c r="Q440" s="254">
        <f>SUM(Q436:Q439)</f>
        <v>0</v>
      </c>
      <c r="R440" s="254">
        <f>SUM(R436:R439)</f>
        <v>0</v>
      </c>
      <c r="S440" s="254">
        <f>SUM(S436:S439)</f>
        <v>484</v>
      </c>
      <c r="T440" s="254">
        <f t="shared" ref="T440:Y440" si="529">SUM(T436:T439)</f>
        <v>2902</v>
      </c>
      <c r="U440" s="254">
        <f t="shared" si="529"/>
        <v>2902</v>
      </c>
      <c r="V440" s="254">
        <f t="shared" si="529"/>
        <v>2902</v>
      </c>
      <c r="W440" s="254">
        <f t="shared" si="529"/>
        <v>2902</v>
      </c>
      <c r="X440" s="254">
        <f t="shared" si="529"/>
        <v>2902</v>
      </c>
      <c r="Y440" s="254">
        <f t="shared" si="529"/>
        <v>2902</v>
      </c>
      <c r="Z440" s="36"/>
      <c r="AA440" s="36"/>
      <c r="AB440" s="36"/>
      <c r="AC440" s="36"/>
      <c r="AD440" s="36"/>
      <c r="AE440" s="36"/>
      <c r="AF440" s="36"/>
      <c r="AG440" s="36"/>
      <c r="AH440" s="36"/>
      <c r="AI440" s="36"/>
      <c r="AJ440" s="36"/>
      <c r="AK440" s="36"/>
      <c r="AL440" s="36"/>
      <c r="AM440" s="36"/>
      <c r="AN440" s="36"/>
      <c r="AO440" s="36"/>
      <c r="AP440" s="36"/>
      <c r="AQ440" s="36"/>
      <c r="AR440" s="36"/>
      <c r="AS440" s="36"/>
      <c r="AT440" s="36"/>
      <c r="AU440" s="36"/>
      <c r="AV440" s="36"/>
      <c r="AW440" s="36"/>
      <c r="AX440" s="36"/>
      <c r="AY440" s="36"/>
      <c r="AZ440" s="36"/>
      <c r="BA440" s="36"/>
      <c r="BB440" s="36"/>
      <c r="BC440" s="36"/>
      <c r="BD440" s="36"/>
      <c r="BE440" s="36"/>
      <c r="BF440" s="36"/>
      <c r="BG440" s="36"/>
      <c r="BH440" s="36"/>
      <c r="BI440" s="36"/>
      <c r="BJ440" s="36"/>
      <c r="BK440" s="36"/>
      <c r="BL440" s="36"/>
      <c r="BM440" s="36"/>
      <c r="BN440" s="36"/>
      <c r="BO440" s="36"/>
      <c r="BP440" s="36"/>
      <c r="BQ440" s="36"/>
      <c r="BR440" s="36"/>
      <c r="BS440" s="254">
        <f>SUM(BS436:BS439)</f>
        <v>725.5</v>
      </c>
      <c r="BT440" s="254">
        <f t="shared" ref="BT440:CD440" si="530">SUM(BT436:BT439)</f>
        <v>725.5</v>
      </c>
      <c r="BU440" s="254">
        <f t="shared" si="530"/>
        <v>725.5</v>
      </c>
      <c r="BV440" s="254">
        <f t="shared" si="530"/>
        <v>725.5</v>
      </c>
      <c r="BW440" s="254">
        <f t="shared" si="530"/>
        <v>725.5</v>
      </c>
      <c r="BX440" s="254">
        <f t="shared" si="530"/>
        <v>725.5</v>
      </c>
      <c r="BY440" s="254">
        <f t="shared" si="530"/>
        <v>725.5</v>
      </c>
      <c r="BZ440" s="254">
        <f t="shared" si="530"/>
        <v>725.5</v>
      </c>
      <c r="CA440" s="254">
        <f t="shared" si="530"/>
        <v>725.5</v>
      </c>
      <c r="CB440" s="254">
        <f t="shared" si="530"/>
        <v>725.5</v>
      </c>
      <c r="CC440" s="254">
        <f t="shared" si="530"/>
        <v>725.5</v>
      </c>
      <c r="CD440" s="254">
        <f t="shared" si="530"/>
        <v>725.5</v>
      </c>
    </row>
    <row r="441" spans="2:82" outlineLevel="1">
      <c r="Q441" s="36"/>
      <c r="R441" s="36"/>
      <c r="S441" s="36"/>
      <c r="T441" s="36"/>
      <c r="U441" s="36"/>
      <c r="V441" s="36"/>
      <c r="W441" s="36"/>
      <c r="X441" s="36"/>
      <c r="Y441" s="36"/>
      <c r="Z441" s="36"/>
      <c r="AA441" s="36"/>
      <c r="AB441" s="36"/>
      <c r="AC441" s="36"/>
      <c r="AD441" s="36"/>
      <c r="AE441" s="36"/>
      <c r="AF441" s="36"/>
      <c r="AG441" s="36"/>
      <c r="AH441" s="36"/>
      <c r="AI441" s="36"/>
      <c r="AJ441" s="36"/>
      <c r="AK441" s="36"/>
      <c r="AL441" s="36"/>
      <c r="AM441" s="36"/>
      <c r="AN441" s="36"/>
      <c r="AO441" s="36"/>
      <c r="AP441" s="36"/>
      <c r="AQ441" s="36"/>
      <c r="AR441" s="36"/>
      <c r="AS441" s="36"/>
      <c r="AT441" s="36"/>
      <c r="AU441" s="36"/>
      <c r="AV441" s="36"/>
      <c r="AW441" s="36"/>
      <c r="AX441" s="36"/>
      <c r="AY441" s="36"/>
      <c r="AZ441" s="36"/>
      <c r="BA441" s="36"/>
      <c r="BB441" s="36"/>
      <c r="BC441" s="36"/>
      <c r="BD441" s="36"/>
      <c r="BE441" s="36"/>
      <c r="BF441" s="36"/>
      <c r="BG441" s="36"/>
      <c r="BH441" s="36"/>
      <c r="BI441" s="36"/>
      <c r="BJ441" s="36"/>
      <c r="BK441" s="36"/>
      <c r="BL441" s="36"/>
      <c r="BM441" s="36"/>
      <c r="BN441" s="36"/>
      <c r="BO441" s="36"/>
      <c r="BP441" s="36"/>
      <c r="BQ441" s="36"/>
      <c r="BR441" s="36"/>
      <c r="BS441" s="36"/>
      <c r="BT441" s="36"/>
      <c r="BU441" s="36"/>
      <c r="BV441" s="36"/>
      <c r="BW441" s="36"/>
      <c r="BX441" s="36"/>
      <c r="BY441" s="36"/>
      <c r="BZ441" s="36"/>
    </row>
    <row r="442" spans="2:82" outlineLevel="1">
      <c r="B442" s="149" t="s">
        <v>362</v>
      </c>
      <c r="Q442" s="36"/>
      <c r="R442" s="36"/>
      <c r="S442" s="48"/>
      <c r="T442" s="36"/>
      <c r="U442" s="36"/>
      <c r="V442" s="36"/>
      <c r="W442" s="36"/>
      <c r="X442" s="36"/>
      <c r="Y442" s="36"/>
      <c r="Z442" s="36"/>
      <c r="AA442" s="36"/>
      <c r="AB442" s="36"/>
      <c r="AC442" s="36"/>
      <c r="AD442" s="36"/>
      <c r="AE442" s="36"/>
      <c r="AF442" s="36"/>
      <c r="AG442" s="36"/>
      <c r="AH442" s="36"/>
      <c r="AI442" s="36"/>
      <c r="AJ442" s="36"/>
      <c r="AK442" s="36"/>
      <c r="AL442" s="36"/>
      <c r="AM442" s="36"/>
      <c r="AN442" s="36"/>
      <c r="AO442" s="36"/>
      <c r="AP442" s="36"/>
      <c r="AQ442" s="36"/>
      <c r="AR442" s="36"/>
      <c r="AS442" s="36"/>
      <c r="AT442" s="36"/>
      <c r="AU442" s="36"/>
      <c r="AV442" s="36"/>
      <c r="AW442" s="36"/>
      <c r="AX442" s="36"/>
      <c r="AY442" s="36"/>
      <c r="AZ442" s="36"/>
      <c r="BA442" s="36"/>
      <c r="BB442" s="36"/>
      <c r="BC442" s="36"/>
      <c r="BD442" s="36"/>
      <c r="BE442" s="36"/>
      <c r="BF442" s="36"/>
      <c r="BG442" s="36"/>
      <c r="BH442" s="36"/>
      <c r="BI442" s="36"/>
      <c r="BJ442" s="36"/>
      <c r="BK442" s="36"/>
      <c r="BL442" s="36"/>
      <c r="BM442" s="36"/>
      <c r="BN442" s="36"/>
      <c r="BO442" s="36"/>
      <c r="BP442" s="36"/>
      <c r="BQ442" s="36"/>
      <c r="BR442" s="36"/>
      <c r="BS442" s="36"/>
      <c r="BT442" s="36"/>
      <c r="BU442" s="36"/>
      <c r="BV442" s="36"/>
      <c r="BW442" s="36"/>
      <c r="BX442" s="36"/>
      <c r="BY442" s="36"/>
      <c r="BZ442" s="36"/>
    </row>
    <row r="443" spans="2:82" outlineLevel="1">
      <c r="B443" s="241" t="s">
        <v>343</v>
      </c>
      <c r="Q443" s="265">
        <v>0</v>
      </c>
      <c r="R443" s="265">
        <v>0</v>
      </c>
      <c r="S443" s="265">
        <v>11.43</v>
      </c>
      <c r="T443" s="265">
        <v>68.599999999999994</v>
      </c>
      <c r="U443" s="265">
        <v>68.599999999999994</v>
      </c>
      <c r="V443" s="265">
        <v>68.599999999999994</v>
      </c>
      <c r="W443" s="265">
        <v>68.599999999999994</v>
      </c>
      <c r="X443" s="265">
        <v>68.599999999999994</v>
      </c>
      <c r="Y443" s="265">
        <v>68.599999999999994</v>
      </c>
      <c r="Z443" s="36"/>
      <c r="AA443" s="36"/>
      <c r="AB443" s="36"/>
      <c r="AC443" s="36"/>
      <c r="AD443" s="36"/>
      <c r="AE443" s="36"/>
      <c r="AF443" s="36"/>
      <c r="AG443" s="36"/>
      <c r="AH443" s="36"/>
      <c r="AI443" s="36"/>
      <c r="AJ443" s="36"/>
      <c r="AK443" s="36"/>
      <c r="AL443" s="36"/>
      <c r="AM443" s="36"/>
      <c r="AN443" s="36"/>
      <c r="AO443" s="36"/>
      <c r="AP443" s="36"/>
      <c r="AQ443" s="36"/>
      <c r="AR443" s="36"/>
      <c r="AS443" s="36"/>
      <c r="AT443" s="36"/>
      <c r="AU443" s="36"/>
      <c r="AV443" s="36"/>
      <c r="AW443" s="36"/>
      <c r="AX443" s="36"/>
      <c r="AY443" s="36"/>
      <c r="AZ443" s="36"/>
      <c r="BA443" s="36"/>
      <c r="BB443" s="36"/>
      <c r="BC443" s="36"/>
      <c r="BD443" s="36"/>
      <c r="BE443" s="36"/>
      <c r="BF443" s="36"/>
      <c r="BG443" s="36"/>
      <c r="BH443" s="36"/>
      <c r="BI443" s="36"/>
      <c r="BJ443" s="36"/>
      <c r="BK443" s="36"/>
      <c r="BL443" s="36"/>
      <c r="BM443" s="36"/>
      <c r="BN443" s="36"/>
      <c r="BO443" s="36"/>
      <c r="BP443" s="36"/>
      <c r="BQ443" s="36"/>
      <c r="BR443" s="36"/>
      <c r="BS443" s="36">
        <f t="shared" ref="BS443:BV451" si="531">+$T443/4</f>
        <v>17.149999999999999</v>
      </c>
      <c r="BT443" s="36">
        <f t="shared" si="531"/>
        <v>17.149999999999999</v>
      </c>
      <c r="BU443" s="36">
        <f t="shared" si="531"/>
        <v>17.149999999999999</v>
      </c>
      <c r="BV443" s="36">
        <f t="shared" si="531"/>
        <v>17.149999999999999</v>
      </c>
      <c r="BW443" s="36">
        <f t="shared" ref="BW443:BZ451" si="532">$U443/4</f>
        <v>17.149999999999999</v>
      </c>
      <c r="BX443" s="36">
        <f t="shared" si="532"/>
        <v>17.149999999999999</v>
      </c>
      <c r="BY443" s="36">
        <f t="shared" si="532"/>
        <v>17.149999999999999</v>
      </c>
      <c r="BZ443" s="36">
        <f t="shared" si="532"/>
        <v>17.149999999999999</v>
      </c>
      <c r="CA443" s="36">
        <f t="shared" ref="CA443:CD449" si="533">$V443/4</f>
        <v>17.149999999999999</v>
      </c>
      <c r="CB443" s="36">
        <f t="shared" si="533"/>
        <v>17.149999999999999</v>
      </c>
      <c r="CC443" s="36">
        <f t="shared" si="533"/>
        <v>17.149999999999999</v>
      </c>
      <c r="CD443" s="36">
        <f t="shared" si="533"/>
        <v>17.149999999999999</v>
      </c>
    </row>
    <row r="444" spans="2:82" outlineLevel="1">
      <c r="B444" s="241" t="s">
        <v>352</v>
      </c>
      <c r="Q444" s="265">
        <v>0</v>
      </c>
      <c r="R444" s="265">
        <v>0</v>
      </c>
      <c r="S444" s="265">
        <v>70.760999999999996</v>
      </c>
      <c r="T444" s="265">
        <v>424.56799999999998</v>
      </c>
      <c r="U444" s="265">
        <v>424.56799999999998</v>
      </c>
      <c r="V444" s="265">
        <v>424.56799999999998</v>
      </c>
      <c r="W444" s="265">
        <v>424.56799999999998</v>
      </c>
      <c r="X444" s="265">
        <v>424.56799999999998</v>
      </c>
      <c r="Y444" s="265">
        <v>424.56799999999998</v>
      </c>
      <c r="Z444" s="36"/>
      <c r="AA444" s="36"/>
      <c r="AB444" s="36"/>
      <c r="AC444" s="36"/>
      <c r="AD444" s="36"/>
      <c r="AE444" s="36"/>
      <c r="AF444" s="36"/>
      <c r="AG444" s="36"/>
      <c r="AH444" s="36"/>
      <c r="AI444" s="36"/>
      <c r="AJ444" s="36"/>
      <c r="AK444" s="36"/>
      <c r="AL444" s="36"/>
      <c r="AM444" s="36"/>
      <c r="AN444" s="36"/>
      <c r="AO444" s="36"/>
      <c r="AP444" s="36"/>
      <c r="AQ444" s="36"/>
      <c r="AR444" s="36"/>
      <c r="AS444" s="36"/>
      <c r="AT444" s="36"/>
      <c r="AU444" s="36"/>
      <c r="AV444" s="36"/>
      <c r="AW444" s="36"/>
      <c r="AX444" s="36"/>
      <c r="AY444" s="36"/>
      <c r="AZ444" s="36"/>
      <c r="BA444" s="36"/>
      <c r="BB444" s="36"/>
      <c r="BC444" s="36"/>
      <c r="BD444" s="36"/>
      <c r="BE444" s="36"/>
      <c r="BF444" s="36"/>
      <c r="BG444" s="36"/>
      <c r="BH444" s="36"/>
      <c r="BI444" s="36"/>
      <c r="BJ444" s="36"/>
      <c r="BK444" s="36"/>
      <c r="BL444" s="36"/>
      <c r="BM444" s="36"/>
      <c r="BN444" s="36"/>
      <c r="BO444" s="36"/>
      <c r="BP444" s="36"/>
      <c r="BQ444" s="36"/>
      <c r="BR444" s="36"/>
      <c r="BS444" s="36">
        <f t="shared" si="531"/>
        <v>106.142</v>
      </c>
      <c r="BT444" s="36">
        <f t="shared" si="531"/>
        <v>106.142</v>
      </c>
      <c r="BU444" s="36">
        <f t="shared" si="531"/>
        <v>106.142</v>
      </c>
      <c r="BV444" s="36">
        <f t="shared" si="531"/>
        <v>106.142</v>
      </c>
      <c r="BW444" s="36">
        <f t="shared" si="532"/>
        <v>106.142</v>
      </c>
      <c r="BX444" s="36">
        <f t="shared" si="532"/>
        <v>106.142</v>
      </c>
      <c r="BY444" s="36">
        <f t="shared" si="532"/>
        <v>106.142</v>
      </c>
      <c r="BZ444" s="36">
        <f t="shared" si="532"/>
        <v>106.142</v>
      </c>
      <c r="CA444" s="36">
        <f t="shared" si="533"/>
        <v>106.142</v>
      </c>
      <c r="CB444" s="36">
        <f t="shared" si="533"/>
        <v>106.142</v>
      </c>
      <c r="CC444" s="36">
        <f t="shared" si="533"/>
        <v>106.142</v>
      </c>
      <c r="CD444" s="36">
        <f t="shared" si="533"/>
        <v>106.142</v>
      </c>
    </row>
    <row r="445" spans="2:82" outlineLevel="1">
      <c r="B445" s="241" t="s">
        <v>344</v>
      </c>
      <c r="Q445" s="265">
        <v>42</v>
      </c>
      <c r="R445" s="265">
        <v>42</v>
      </c>
      <c r="S445" s="265">
        <v>42</v>
      </c>
      <c r="T445" s="265">
        <v>42</v>
      </c>
      <c r="U445" s="265">
        <v>42</v>
      </c>
      <c r="V445" s="265">
        <v>42</v>
      </c>
      <c r="W445" s="265">
        <v>42</v>
      </c>
      <c r="X445" s="265">
        <v>42</v>
      </c>
      <c r="Y445" s="265">
        <v>42</v>
      </c>
      <c r="Z445" s="36"/>
      <c r="AA445" s="36"/>
      <c r="AB445" s="36"/>
      <c r="AC445" s="36"/>
      <c r="AD445" s="36"/>
      <c r="AE445" s="36"/>
      <c r="AF445" s="36"/>
      <c r="AG445" s="36"/>
      <c r="AH445" s="36"/>
      <c r="AI445" s="36"/>
      <c r="AJ445" s="36"/>
      <c r="AK445" s="36"/>
      <c r="AL445" s="36"/>
      <c r="AM445" s="36"/>
      <c r="AN445" s="36"/>
      <c r="AO445" s="36"/>
      <c r="AP445" s="36"/>
      <c r="AQ445" s="36"/>
      <c r="AR445" s="36"/>
      <c r="AS445" s="36"/>
      <c r="AT445" s="36"/>
      <c r="AU445" s="36"/>
      <c r="AV445" s="36"/>
      <c r="AW445" s="36"/>
      <c r="AX445" s="36"/>
      <c r="AY445" s="36"/>
      <c r="AZ445" s="36"/>
      <c r="BA445" s="36"/>
      <c r="BB445" s="36"/>
      <c r="BC445" s="36"/>
      <c r="BD445" s="36"/>
      <c r="BE445" s="36"/>
      <c r="BF445" s="36"/>
      <c r="BG445" s="36"/>
      <c r="BH445" s="36"/>
      <c r="BI445" s="36"/>
      <c r="BJ445" s="36"/>
      <c r="BK445" s="36"/>
      <c r="BL445" s="36"/>
      <c r="BM445" s="36"/>
      <c r="BN445" s="36"/>
      <c r="BO445" s="36"/>
      <c r="BP445" s="36"/>
      <c r="BQ445" s="36"/>
      <c r="BR445" s="36"/>
      <c r="BS445" s="36">
        <f t="shared" si="531"/>
        <v>10.5</v>
      </c>
      <c r="BT445" s="36">
        <f t="shared" si="531"/>
        <v>10.5</v>
      </c>
      <c r="BU445" s="36">
        <f t="shared" si="531"/>
        <v>10.5</v>
      </c>
      <c r="BV445" s="36">
        <f t="shared" si="531"/>
        <v>10.5</v>
      </c>
      <c r="BW445" s="36">
        <f t="shared" si="532"/>
        <v>10.5</v>
      </c>
      <c r="BX445" s="36">
        <f t="shared" si="532"/>
        <v>10.5</v>
      </c>
      <c r="BY445" s="36">
        <f t="shared" si="532"/>
        <v>10.5</v>
      </c>
      <c r="BZ445" s="36">
        <f t="shared" si="532"/>
        <v>10.5</v>
      </c>
      <c r="CA445" s="36">
        <f t="shared" si="533"/>
        <v>10.5</v>
      </c>
      <c r="CB445" s="36">
        <f t="shared" si="533"/>
        <v>10.5</v>
      </c>
      <c r="CC445" s="36">
        <f t="shared" si="533"/>
        <v>10.5</v>
      </c>
      <c r="CD445" s="36">
        <f t="shared" si="533"/>
        <v>10.5</v>
      </c>
    </row>
    <row r="446" spans="2:82" outlineLevel="1">
      <c r="B446" s="241" t="s">
        <v>346</v>
      </c>
      <c r="Q446" s="265">
        <v>40</v>
      </c>
      <c r="R446" s="265">
        <v>40</v>
      </c>
      <c r="S446" s="265">
        <v>40</v>
      </c>
      <c r="T446" s="265">
        <v>40</v>
      </c>
      <c r="U446" s="265">
        <v>40</v>
      </c>
      <c r="V446" s="265">
        <v>40</v>
      </c>
      <c r="W446" s="265">
        <v>40</v>
      </c>
      <c r="X446" s="265">
        <v>40</v>
      </c>
      <c r="Y446" s="265">
        <v>40</v>
      </c>
      <c r="Z446" s="36"/>
      <c r="AA446" s="36"/>
      <c r="AB446" s="36"/>
      <c r="AC446" s="36"/>
      <c r="AD446" s="36"/>
      <c r="AE446" s="36"/>
      <c r="AF446" s="36"/>
      <c r="AG446" s="36"/>
      <c r="AH446" s="36"/>
      <c r="AI446" s="36"/>
      <c r="AJ446" s="36"/>
      <c r="AK446" s="36"/>
      <c r="AL446" s="36"/>
      <c r="AM446" s="36"/>
      <c r="AN446" s="36"/>
      <c r="AO446" s="36"/>
      <c r="AP446" s="36"/>
      <c r="AQ446" s="36"/>
      <c r="AR446" s="36"/>
      <c r="AS446" s="36"/>
      <c r="AT446" s="36"/>
      <c r="AU446" s="36"/>
      <c r="AV446" s="36"/>
      <c r="AW446" s="36"/>
      <c r="AX446" s="36"/>
      <c r="AY446" s="36"/>
      <c r="AZ446" s="36"/>
      <c r="BA446" s="36"/>
      <c r="BB446" s="36"/>
      <c r="BC446" s="36"/>
      <c r="BD446" s="36"/>
      <c r="BE446" s="36"/>
      <c r="BF446" s="36"/>
      <c r="BG446" s="36"/>
      <c r="BH446" s="36"/>
      <c r="BI446" s="36"/>
      <c r="BJ446" s="36"/>
      <c r="BK446" s="36"/>
      <c r="BL446" s="36"/>
      <c r="BM446" s="36"/>
      <c r="BN446" s="36"/>
      <c r="BO446" s="36"/>
      <c r="BP446" s="36"/>
      <c r="BQ446" s="36"/>
      <c r="BR446" s="36"/>
      <c r="BS446" s="36">
        <f t="shared" si="531"/>
        <v>10</v>
      </c>
      <c r="BT446" s="36">
        <f t="shared" si="531"/>
        <v>10</v>
      </c>
      <c r="BU446" s="36">
        <f t="shared" si="531"/>
        <v>10</v>
      </c>
      <c r="BV446" s="36">
        <f t="shared" si="531"/>
        <v>10</v>
      </c>
      <c r="BW446" s="36">
        <f t="shared" si="532"/>
        <v>10</v>
      </c>
      <c r="BX446" s="36">
        <f t="shared" si="532"/>
        <v>10</v>
      </c>
      <c r="BY446" s="36">
        <f t="shared" si="532"/>
        <v>10</v>
      </c>
      <c r="BZ446" s="36">
        <f t="shared" si="532"/>
        <v>10</v>
      </c>
      <c r="CA446" s="36">
        <f t="shared" si="533"/>
        <v>10</v>
      </c>
      <c r="CB446" s="36">
        <f t="shared" si="533"/>
        <v>10</v>
      </c>
      <c r="CC446" s="36">
        <f t="shared" si="533"/>
        <v>10</v>
      </c>
      <c r="CD446" s="36">
        <f t="shared" si="533"/>
        <v>10</v>
      </c>
    </row>
    <row r="447" spans="2:82" outlineLevel="1">
      <c r="B447" s="241" t="s">
        <v>349</v>
      </c>
      <c r="Q447" s="265">
        <v>15</v>
      </c>
      <c r="R447" s="265">
        <v>15</v>
      </c>
      <c r="S447" s="265">
        <v>15</v>
      </c>
      <c r="T447" s="265">
        <v>15</v>
      </c>
      <c r="U447" s="265">
        <v>15</v>
      </c>
      <c r="V447" s="265">
        <v>15</v>
      </c>
      <c r="W447" s="265">
        <v>15</v>
      </c>
      <c r="X447" s="265">
        <v>15</v>
      </c>
      <c r="Y447" s="265">
        <v>15</v>
      </c>
      <c r="Z447" s="36"/>
      <c r="AA447" s="36"/>
      <c r="AB447" s="36"/>
      <c r="AC447" s="36"/>
      <c r="AD447" s="36"/>
      <c r="AE447" s="36"/>
      <c r="AF447" s="36"/>
      <c r="AG447" s="36"/>
      <c r="AH447" s="36"/>
      <c r="AI447" s="36"/>
      <c r="AJ447" s="36"/>
      <c r="AK447" s="36"/>
      <c r="AL447" s="36"/>
      <c r="AM447" s="36"/>
      <c r="AN447" s="36"/>
      <c r="AO447" s="36"/>
      <c r="AP447" s="36"/>
      <c r="AQ447" s="36"/>
      <c r="AR447" s="36"/>
      <c r="AS447" s="36"/>
      <c r="AT447" s="36"/>
      <c r="AU447" s="36"/>
      <c r="AV447" s="36"/>
      <c r="AW447" s="36"/>
      <c r="AX447" s="36"/>
      <c r="AY447" s="36"/>
      <c r="AZ447" s="36"/>
      <c r="BA447" s="36"/>
      <c r="BB447" s="36"/>
      <c r="BC447" s="36"/>
      <c r="BD447" s="36"/>
      <c r="BE447" s="36"/>
      <c r="BF447" s="36"/>
      <c r="BG447" s="36"/>
      <c r="BH447" s="36"/>
      <c r="BI447" s="36"/>
      <c r="BJ447" s="36"/>
      <c r="BK447" s="36"/>
      <c r="BL447" s="36"/>
      <c r="BM447" s="36"/>
      <c r="BN447" s="36"/>
      <c r="BO447" s="36"/>
      <c r="BP447" s="36"/>
      <c r="BQ447" s="36"/>
      <c r="BR447" s="36"/>
      <c r="BS447" s="36">
        <f t="shared" si="531"/>
        <v>3.75</v>
      </c>
      <c r="BT447" s="36">
        <f t="shared" si="531"/>
        <v>3.75</v>
      </c>
      <c r="BU447" s="36">
        <f t="shared" si="531"/>
        <v>3.75</v>
      </c>
      <c r="BV447" s="36">
        <f t="shared" si="531"/>
        <v>3.75</v>
      </c>
      <c r="BW447" s="36">
        <f t="shared" si="532"/>
        <v>3.75</v>
      </c>
      <c r="BX447" s="36">
        <f t="shared" si="532"/>
        <v>3.75</v>
      </c>
      <c r="BY447" s="36">
        <f t="shared" si="532"/>
        <v>3.75</v>
      </c>
      <c r="BZ447" s="36">
        <f t="shared" si="532"/>
        <v>3.75</v>
      </c>
      <c r="CA447" s="36">
        <f t="shared" si="533"/>
        <v>3.75</v>
      </c>
      <c r="CB447" s="36">
        <f t="shared" si="533"/>
        <v>3.75</v>
      </c>
      <c r="CC447" s="36">
        <f t="shared" si="533"/>
        <v>3.75</v>
      </c>
      <c r="CD447" s="36">
        <f t="shared" si="533"/>
        <v>3.75</v>
      </c>
    </row>
    <row r="448" spans="2:82" outlineLevel="1">
      <c r="B448" s="241" t="s">
        <v>348</v>
      </c>
      <c r="Q448" s="265">
        <v>21</v>
      </c>
      <c r="R448" s="265">
        <v>21</v>
      </c>
      <c r="S448" s="265">
        <v>21</v>
      </c>
      <c r="T448" s="265">
        <v>21</v>
      </c>
      <c r="U448" s="265">
        <v>21</v>
      </c>
      <c r="V448" s="265">
        <v>21</v>
      </c>
      <c r="W448" s="265">
        <v>21</v>
      </c>
      <c r="X448" s="265">
        <v>21</v>
      </c>
      <c r="Y448" s="265">
        <v>21</v>
      </c>
      <c r="Z448" s="36"/>
      <c r="AA448" s="36"/>
      <c r="AB448" s="36"/>
      <c r="AC448" s="36"/>
      <c r="AD448" s="36"/>
      <c r="AE448" s="36"/>
      <c r="AF448" s="36"/>
      <c r="AG448" s="36"/>
      <c r="AH448" s="36"/>
      <c r="AI448" s="36"/>
      <c r="AJ448" s="36"/>
      <c r="AK448" s="36"/>
      <c r="AL448" s="36"/>
      <c r="AM448" s="36"/>
      <c r="AN448" s="36"/>
      <c r="AO448" s="36"/>
      <c r="AP448" s="36"/>
      <c r="AQ448" s="36"/>
      <c r="AR448" s="36"/>
      <c r="AS448" s="36"/>
      <c r="AT448" s="36"/>
      <c r="AU448" s="36"/>
      <c r="AV448" s="36"/>
      <c r="AW448" s="36"/>
      <c r="AX448" s="36"/>
      <c r="AY448" s="36"/>
      <c r="AZ448" s="36"/>
      <c r="BA448" s="36"/>
      <c r="BB448" s="36"/>
      <c r="BC448" s="36"/>
      <c r="BD448" s="36"/>
      <c r="BE448" s="36"/>
      <c r="BF448" s="36"/>
      <c r="BG448" s="36"/>
      <c r="BH448" s="36"/>
      <c r="BI448" s="36"/>
      <c r="BJ448" s="36"/>
      <c r="BK448" s="36"/>
      <c r="BL448" s="36"/>
      <c r="BM448" s="36"/>
      <c r="BN448" s="36"/>
      <c r="BO448" s="36"/>
      <c r="BP448" s="36"/>
      <c r="BQ448" s="36"/>
      <c r="BR448" s="36"/>
      <c r="BS448" s="36">
        <f t="shared" si="531"/>
        <v>5.25</v>
      </c>
      <c r="BT448" s="36">
        <f t="shared" si="531"/>
        <v>5.25</v>
      </c>
      <c r="BU448" s="36">
        <f t="shared" si="531"/>
        <v>5.25</v>
      </c>
      <c r="BV448" s="36">
        <f t="shared" si="531"/>
        <v>5.25</v>
      </c>
      <c r="BW448" s="36">
        <f t="shared" si="532"/>
        <v>5.25</v>
      </c>
      <c r="BX448" s="36">
        <f t="shared" si="532"/>
        <v>5.25</v>
      </c>
      <c r="BY448" s="36">
        <f t="shared" si="532"/>
        <v>5.25</v>
      </c>
      <c r="BZ448" s="36">
        <f t="shared" si="532"/>
        <v>5.25</v>
      </c>
      <c r="CA448" s="36">
        <f t="shared" si="533"/>
        <v>5.25</v>
      </c>
      <c r="CB448" s="36">
        <f t="shared" si="533"/>
        <v>5.25</v>
      </c>
      <c r="CC448" s="36">
        <f t="shared" si="533"/>
        <v>5.25</v>
      </c>
      <c r="CD448" s="36">
        <f t="shared" si="533"/>
        <v>5.25</v>
      </c>
    </row>
    <row r="449" spans="1:82" outlineLevel="1">
      <c r="B449" s="241" t="s">
        <v>345</v>
      </c>
      <c r="Q449" s="265">
        <v>52</v>
      </c>
      <c r="R449" s="265">
        <v>52</v>
      </c>
      <c r="S449" s="265">
        <v>52</v>
      </c>
      <c r="T449" s="265">
        <v>13</v>
      </c>
      <c r="U449" s="265">
        <v>0</v>
      </c>
      <c r="V449" s="265">
        <v>0</v>
      </c>
      <c r="W449" s="265">
        <v>0</v>
      </c>
      <c r="X449" s="265">
        <v>0</v>
      </c>
      <c r="Y449" s="265">
        <v>0</v>
      </c>
      <c r="Z449" s="36"/>
      <c r="AA449" s="36"/>
      <c r="AB449" s="36"/>
      <c r="AC449" s="36"/>
      <c r="AD449" s="36"/>
      <c r="AE449" s="36"/>
      <c r="AF449" s="36"/>
      <c r="AG449" s="36"/>
      <c r="AH449" s="36"/>
      <c r="AI449" s="36"/>
      <c r="AJ449" s="36"/>
      <c r="AK449" s="36"/>
      <c r="AL449" s="36"/>
      <c r="AM449" s="36"/>
      <c r="AN449" s="36"/>
      <c r="AO449" s="36"/>
      <c r="AP449" s="36"/>
      <c r="AQ449" s="36"/>
      <c r="AR449" s="36"/>
      <c r="AS449" s="36"/>
      <c r="AT449" s="36"/>
      <c r="AU449" s="36"/>
      <c r="AV449" s="36"/>
      <c r="AW449" s="36"/>
      <c r="AX449" s="36"/>
      <c r="AY449" s="36"/>
      <c r="AZ449" s="36"/>
      <c r="BA449" s="36"/>
      <c r="BB449" s="36"/>
      <c r="BC449" s="36"/>
      <c r="BD449" s="36"/>
      <c r="BE449" s="36"/>
      <c r="BF449" s="36"/>
      <c r="BG449" s="36"/>
      <c r="BH449" s="36"/>
      <c r="BI449" s="36"/>
      <c r="BJ449" s="36"/>
      <c r="BK449" s="36"/>
      <c r="BL449" s="36"/>
      <c r="BM449" s="36"/>
      <c r="BN449" s="36"/>
      <c r="BO449" s="36"/>
      <c r="BP449" s="36"/>
      <c r="BQ449" s="36"/>
      <c r="BR449" s="36"/>
      <c r="BS449" s="36">
        <f t="shared" si="531"/>
        <v>3.25</v>
      </c>
      <c r="BT449" s="36">
        <f t="shared" si="531"/>
        <v>3.25</v>
      </c>
      <c r="BU449" s="36">
        <f t="shared" si="531"/>
        <v>3.25</v>
      </c>
      <c r="BV449" s="36">
        <f t="shared" si="531"/>
        <v>3.25</v>
      </c>
      <c r="BW449" s="36">
        <f t="shared" si="532"/>
        <v>0</v>
      </c>
      <c r="BX449" s="36">
        <f t="shared" si="532"/>
        <v>0</v>
      </c>
      <c r="BY449" s="36">
        <f t="shared" si="532"/>
        <v>0</v>
      </c>
      <c r="BZ449" s="36">
        <f t="shared" si="532"/>
        <v>0</v>
      </c>
      <c r="CA449" s="36">
        <f t="shared" si="533"/>
        <v>0</v>
      </c>
      <c r="CB449" s="36">
        <f t="shared" si="533"/>
        <v>0</v>
      </c>
      <c r="CC449" s="36">
        <f t="shared" si="533"/>
        <v>0</v>
      </c>
      <c r="CD449" s="36">
        <f t="shared" si="533"/>
        <v>0</v>
      </c>
    </row>
    <row r="450" spans="1:82" outlineLevel="1">
      <c r="B450" s="241" t="s">
        <v>342</v>
      </c>
      <c r="Q450" s="265">
        <v>75</v>
      </c>
      <c r="R450" s="265">
        <v>75</v>
      </c>
      <c r="S450" s="265">
        <v>75</v>
      </c>
      <c r="T450" s="265">
        <v>75</v>
      </c>
      <c r="U450" s="265">
        <v>75</v>
      </c>
      <c r="V450" s="265">
        <v>75</v>
      </c>
      <c r="W450" s="265">
        <v>75</v>
      </c>
      <c r="X450" s="265">
        <v>75</v>
      </c>
      <c r="Y450" s="265">
        <v>75</v>
      </c>
      <c r="Z450" s="36"/>
      <c r="AA450" s="36"/>
      <c r="AB450" s="36"/>
      <c r="AC450" s="36"/>
      <c r="AD450" s="36"/>
      <c r="AE450" s="36"/>
      <c r="AF450" s="36"/>
      <c r="AG450" s="36"/>
      <c r="AH450" s="36"/>
      <c r="AI450" s="36"/>
      <c r="AJ450" s="36"/>
      <c r="AK450" s="36"/>
      <c r="AL450" s="36"/>
      <c r="AM450" s="36"/>
      <c r="AN450" s="36"/>
      <c r="AO450" s="36"/>
      <c r="AP450" s="36"/>
      <c r="AQ450" s="36"/>
      <c r="AR450" s="36"/>
      <c r="AS450" s="36"/>
      <c r="AT450" s="36"/>
      <c r="AU450" s="36"/>
      <c r="AV450" s="36"/>
      <c r="AW450" s="36"/>
      <c r="AX450" s="36"/>
      <c r="AY450" s="36"/>
      <c r="AZ450" s="36"/>
      <c r="BA450" s="36"/>
      <c r="BB450" s="36"/>
      <c r="BC450" s="36"/>
      <c r="BD450" s="36"/>
      <c r="BE450" s="36"/>
      <c r="BF450" s="36"/>
      <c r="BG450" s="36"/>
      <c r="BH450" s="36"/>
      <c r="BI450" s="36"/>
      <c r="BJ450" s="36"/>
      <c r="BK450" s="36"/>
      <c r="BL450" s="36"/>
      <c r="BM450" s="36"/>
      <c r="BN450" s="36"/>
      <c r="BO450" s="36"/>
      <c r="BP450" s="36"/>
      <c r="BQ450" s="36"/>
      <c r="BR450" s="36"/>
      <c r="BS450" s="36">
        <f t="shared" si="531"/>
        <v>18.75</v>
      </c>
      <c r="BT450" s="36">
        <f t="shared" si="531"/>
        <v>18.75</v>
      </c>
      <c r="BU450" s="36">
        <f t="shared" si="531"/>
        <v>18.75</v>
      </c>
      <c r="BV450" s="36">
        <f t="shared" si="531"/>
        <v>18.75</v>
      </c>
      <c r="BW450" s="36">
        <f t="shared" si="532"/>
        <v>18.75</v>
      </c>
      <c r="BX450" s="36">
        <f t="shared" si="532"/>
        <v>18.75</v>
      </c>
      <c r="BY450" s="36">
        <f t="shared" si="532"/>
        <v>18.75</v>
      </c>
      <c r="BZ450" s="36">
        <f t="shared" si="532"/>
        <v>18.75</v>
      </c>
      <c r="CA450" s="36">
        <f>$V450/4</f>
        <v>18.75</v>
      </c>
      <c r="CB450" s="36">
        <f t="shared" ref="CB450:CD451" si="534">$V450/4</f>
        <v>18.75</v>
      </c>
      <c r="CC450" s="36">
        <f t="shared" si="534"/>
        <v>18.75</v>
      </c>
      <c r="CD450" s="36">
        <f t="shared" si="534"/>
        <v>18.75</v>
      </c>
    </row>
    <row r="451" spans="1:82" outlineLevel="1">
      <c r="B451" s="241" t="s">
        <v>350</v>
      </c>
      <c r="C451" s="242"/>
      <c r="D451" s="242"/>
      <c r="E451" s="242"/>
      <c r="F451" s="242"/>
      <c r="G451" s="242"/>
      <c r="H451" s="242"/>
      <c r="I451" s="242"/>
      <c r="J451" s="242"/>
      <c r="K451" s="242"/>
      <c r="L451" s="242"/>
      <c r="M451" s="242"/>
      <c r="N451" s="242"/>
      <c r="O451" s="242"/>
      <c r="P451" s="242"/>
      <c r="Q451" s="265">
        <v>55</v>
      </c>
      <c r="R451" s="265">
        <v>55</v>
      </c>
      <c r="S451" s="265">
        <v>80</v>
      </c>
      <c r="T451" s="265">
        <v>265</v>
      </c>
      <c r="U451" s="265">
        <v>265</v>
      </c>
      <c r="V451" s="265">
        <v>265</v>
      </c>
      <c r="W451" s="265">
        <v>265</v>
      </c>
      <c r="X451" s="265">
        <v>265</v>
      </c>
      <c r="Y451" s="265">
        <v>265</v>
      </c>
      <c r="Z451" s="36"/>
      <c r="AA451" s="36"/>
      <c r="AB451" s="36"/>
      <c r="AC451" s="36"/>
      <c r="AD451" s="36"/>
      <c r="AE451" s="36"/>
      <c r="AF451" s="36"/>
      <c r="AG451" s="36"/>
      <c r="AH451" s="36"/>
      <c r="AI451" s="36"/>
      <c r="AJ451" s="36"/>
      <c r="AK451" s="36"/>
      <c r="AL451" s="36"/>
      <c r="AM451" s="36"/>
      <c r="AN451" s="36"/>
      <c r="AO451" s="36"/>
      <c r="AP451" s="36"/>
      <c r="AQ451" s="36"/>
      <c r="AR451" s="36"/>
      <c r="AS451" s="36"/>
      <c r="AT451" s="36"/>
      <c r="AU451" s="36"/>
      <c r="AV451" s="36"/>
      <c r="AW451" s="36"/>
      <c r="AX451" s="36"/>
      <c r="AY451" s="36"/>
      <c r="AZ451" s="36"/>
      <c r="BA451" s="36"/>
      <c r="BB451" s="36"/>
      <c r="BC451" s="36"/>
      <c r="BD451" s="36"/>
      <c r="BE451" s="36"/>
      <c r="BF451" s="36"/>
      <c r="BG451" s="36"/>
      <c r="BH451" s="36"/>
      <c r="BI451" s="36"/>
      <c r="BJ451" s="36"/>
      <c r="BK451" s="36"/>
      <c r="BL451" s="36"/>
      <c r="BM451" s="36"/>
      <c r="BN451" s="36"/>
      <c r="BO451" s="36"/>
      <c r="BP451" s="36"/>
      <c r="BQ451" s="36"/>
      <c r="BR451" s="36"/>
      <c r="BS451" s="36">
        <f t="shared" si="531"/>
        <v>66.25</v>
      </c>
      <c r="BT451" s="36">
        <f t="shared" si="531"/>
        <v>66.25</v>
      </c>
      <c r="BU451" s="36">
        <f t="shared" si="531"/>
        <v>66.25</v>
      </c>
      <c r="BV451" s="36">
        <f t="shared" si="531"/>
        <v>66.25</v>
      </c>
      <c r="BW451" s="36">
        <f t="shared" si="532"/>
        <v>66.25</v>
      </c>
      <c r="BX451" s="36">
        <f t="shared" si="532"/>
        <v>66.25</v>
      </c>
      <c r="BY451" s="36">
        <f t="shared" si="532"/>
        <v>66.25</v>
      </c>
      <c r="BZ451" s="36">
        <f t="shared" si="532"/>
        <v>66.25</v>
      </c>
      <c r="CA451" s="36">
        <f>$V451/4</f>
        <v>66.25</v>
      </c>
      <c r="CB451" s="36">
        <f t="shared" si="534"/>
        <v>66.25</v>
      </c>
      <c r="CC451" s="36">
        <f t="shared" si="534"/>
        <v>66.25</v>
      </c>
      <c r="CD451" s="36">
        <f t="shared" si="534"/>
        <v>66.25</v>
      </c>
    </row>
    <row r="452" spans="1:82" outlineLevel="1">
      <c r="B452" s="18" t="s">
        <v>363</v>
      </c>
      <c r="Q452" s="254">
        <f>SUM(Q443:Q451)</f>
        <v>300</v>
      </c>
      <c r="R452" s="254">
        <f>SUM(R443:R451)</f>
        <v>300</v>
      </c>
      <c r="S452" s="254">
        <f>SUM(S443:S451)</f>
        <v>407.19100000000003</v>
      </c>
      <c r="T452" s="254">
        <f t="shared" ref="T452:Y452" si="535">SUM(T443:T451)</f>
        <v>964.16800000000001</v>
      </c>
      <c r="U452" s="254">
        <f t="shared" si="535"/>
        <v>951.16800000000001</v>
      </c>
      <c r="V452" s="254">
        <f t="shared" si="535"/>
        <v>951.16800000000001</v>
      </c>
      <c r="W452" s="254">
        <f t="shared" si="535"/>
        <v>951.16800000000001</v>
      </c>
      <c r="X452" s="254">
        <f t="shared" si="535"/>
        <v>951.16800000000001</v>
      </c>
      <c r="Y452" s="254">
        <f t="shared" si="535"/>
        <v>951.16800000000001</v>
      </c>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36"/>
      <c r="BE452" s="36"/>
      <c r="BF452" s="36"/>
      <c r="BG452" s="36"/>
      <c r="BH452" s="36"/>
      <c r="BI452" s="36"/>
      <c r="BJ452" s="36"/>
      <c r="BK452" s="36"/>
      <c r="BL452" s="36"/>
      <c r="BM452" s="36"/>
      <c r="BN452" s="36"/>
      <c r="BO452" s="36"/>
      <c r="BP452" s="36"/>
      <c r="BQ452" s="36"/>
      <c r="BR452" s="36"/>
      <c r="BS452" s="254">
        <f t="shared" ref="BS452:CD452" si="536">SUM(BS443:BS451)</f>
        <v>241.042</v>
      </c>
      <c r="BT452" s="254">
        <f t="shared" si="536"/>
        <v>241.042</v>
      </c>
      <c r="BU452" s="254">
        <f t="shared" si="536"/>
        <v>241.042</v>
      </c>
      <c r="BV452" s="254">
        <f t="shared" si="536"/>
        <v>241.042</v>
      </c>
      <c r="BW452" s="254">
        <f t="shared" si="536"/>
        <v>237.792</v>
      </c>
      <c r="BX452" s="254">
        <f t="shared" si="536"/>
        <v>237.792</v>
      </c>
      <c r="BY452" s="254">
        <f t="shared" si="536"/>
        <v>237.792</v>
      </c>
      <c r="BZ452" s="254">
        <f t="shared" si="536"/>
        <v>237.792</v>
      </c>
      <c r="CA452" s="254">
        <f t="shared" si="536"/>
        <v>237.792</v>
      </c>
      <c r="CB452" s="254">
        <f t="shared" si="536"/>
        <v>237.792</v>
      </c>
      <c r="CC452" s="254">
        <f t="shared" si="536"/>
        <v>237.792</v>
      </c>
      <c r="CD452" s="254">
        <f t="shared" si="536"/>
        <v>237.792</v>
      </c>
    </row>
    <row r="453" spans="1:82" outlineLevel="1">
      <c r="Q453" s="36"/>
      <c r="R453" s="36"/>
      <c r="S453" s="36"/>
      <c r="T453" s="36"/>
      <c r="U453" s="36"/>
      <c r="V453" s="36"/>
      <c r="W453" s="36"/>
      <c r="X453" s="36"/>
      <c r="Y453" s="36"/>
      <c r="Z453" s="36"/>
      <c r="AA453" s="36"/>
      <c r="AB453" s="36"/>
      <c r="AC453" s="36"/>
      <c r="AD453" s="36"/>
      <c r="AE453" s="36"/>
      <c r="AF453" s="36"/>
      <c r="AG453" s="36"/>
      <c r="AH453" s="36"/>
      <c r="AI453" s="36"/>
      <c r="AJ453" s="36"/>
      <c r="AK453" s="36"/>
      <c r="AL453" s="36"/>
      <c r="AM453" s="36"/>
      <c r="AN453" s="36"/>
      <c r="AO453" s="36"/>
      <c r="AP453" s="36"/>
      <c r="AQ453" s="36"/>
      <c r="AR453" s="36"/>
      <c r="AS453" s="36"/>
      <c r="AT453" s="36"/>
      <c r="AU453" s="36"/>
      <c r="AV453" s="36"/>
      <c r="AW453" s="36"/>
      <c r="AX453" s="36"/>
      <c r="AY453" s="36"/>
      <c r="AZ453" s="36"/>
      <c r="BA453" s="36"/>
      <c r="BB453" s="36"/>
      <c r="BC453" s="36"/>
      <c r="BD453" s="36"/>
      <c r="BE453" s="36"/>
      <c r="BF453" s="36"/>
      <c r="BG453" s="36"/>
      <c r="BH453" s="36"/>
      <c r="BI453" s="36"/>
      <c r="BJ453" s="36"/>
      <c r="BK453" s="36"/>
      <c r="BL453" s="36"/>
      <c r="BM453" s="36"/>
      <c r="BN453" s="36"/>
      <c r="BO453" s="36"/>
      <c r="BP453" s="36"/>
      <c r="BQ453" s="36"/>
      <c r="BR453" s="36"/>
      <c r="BS453" s="36"/>
      <c r="BT453" s="36"/>
      <c r="BU453" s="36"/>
      <c r="BV453" s="36"/>
      <c r="BW453" s="36"/>
      <c r="BX453" s="36"/>
      <c r="BY453" s="36"/>
      <c r="BZ453" s="36"/>
    </row>
    <row r="454" spans="1:82" outlineLevel="1">
      <c r="B454" s="149" t="s">
        <v>367</v>
      </c>
      <c r="Q454" s="36"/>
      <c r="R454" s="36"/>
      <c r="S454" s="48"/>
      <c r="T454" s="36"/>
      <c r="U454" s="36"/>
      <c r="V454" s="36"/>
      <c r="W454" s="36"/>
      <c r="X454" s="36"/>
      <c r="Y454" s="36"/>
      <c r="Z454" s="36"/>
      <c r="AA454" s="36"/>
      <c r="AB454" s="36"/>
      <c r="AC454" s="36"/>
      <c r="AD454" s="36"/>
      <c r="AE454" s="36"/>
      <c r="AF454" s="36"/>
      <c r="AG454" s="36"/>
      <c r="AH454" s="36"/>
      <c r="AI454" s="36"/>
      <c r="AJ454" s="36"/>
      <c r="AK454" s="36"/>
      <c r="AL454" s="36"/>
      <c r="AM454" s="36"/>
      <c r="AN454" s="36"/>
      <c r="AO454" s="36"/>
      <c r="AP454" s="36"/>
      <c r="AQ454" s="36"/>
      <c r="AR454" s="36"/>
      <c r="AS454" s="36"/>
      <c r="AT454" s="36"/>
      <c r="AU454" s="36"/>
      <c r="AV454" s="36"/>
      <c r="AW454" s="36"/>
      <c r="AX454" s="36"/>
      <c r="AY454" s="36"/>
      <c r="AZ454" s="36"/>
      <c r="BA454" s="36"/>
      <c r="BB454" s="36"/>
      <c r="BC454" s="36"/>
      <c r="BD454" s="36"/>
      <c r="BE454" s="36"/>
      <c r="BF454" s="36"/>
      <c r="BG454" s="36"/>
      <c r="BH454" s="36"/>
      <c r="BI454" s="36"/>
      <c r="BJ454" s="36"/>
      <c r="BK454" s="36"/>
      <c r="BL454" s="36"/>
      <c r="BM454" s="36"/>
      <c r="BN454" s="36"/>
      <c r="BO454" s="36"/>
      <c r="BP454" s="36"/>
      <c r="BQ454" s="36"/>
      <c r="BR454" s="36"/>
      <c r="BS454" s="36"/>
      <c r="BT454" s="36"/>
      <c r="BU454" s="36"/>
      <c r="BV454" s="36"/>
      <c r="BW454" s="36"/>
      <c r="BX454" s="36"/>
      <c r="BY454" s="36"/>
      <c r="BZ454" s="36"/>
    </row>
    <row r="455" spans="1:82" outlineLevel="1">
      <c r="B455" s="241" t="s">
        <v>352</v>
      </c>
      <c r="Q455" s="265">
        <v>0</v>
      </c>
      <c r="R455" s="265">
        <v>0</v>
      </c>
      <c r="S455" s="265">
        <v>128</v>
      </c>
      <c r="T455" s="265">
        <v>771</v>
      </c>
      <c r="U455" s="265">
        <v>771</v>
      </c>
      <c r="V455" s="265">
        <v>771</v>
      </c>
      <c r="W455" s="265">
        <v>771</v>
      </c>
      <c r="X455" s="265">
        <v>771</v>
      </c>
      <c r="Y455" s="265">
        <v>771</v>
      </c>
      <c r="Z455" s="36"/>
      <c r="AA455" s="36"/>
      <c r="AB455" s="36"/>
      <c r="AC455" s="36"/>
      <c r="AD455" s="36"/>
      <c r="AE455" s="36"/>
      <c r="AF455" s="36"/>
      <c r="AG455" s="36"/>
      <c r="AH455" s="36"/>
      <c r="AI455" s="36"/>
      <c r="AJ455" s="36"/>
      <c r="AK455" s="36"/>
      <c r="AL455" s="36"/>
      <c r="AM455" s="36"/>
      <c r="AN455" s="36"/>
      <c r="AO455" s="36"/>
      <c r="AP455" s="36"/>
      <c r="AQ455" s="36"/>
      <c r="AR455" s="36"/>
      <c r="AS455" s="36"/>
      <c r="AT455" s="36"/>
      <c r="AU455" s="36"/>
      <c r="AV455" s="36"/>
      <c r="AW455" s="36"/>
      <c r="AX455" s="36"/>
      <c r="AY455" s="36"/>
      <c r="AZ455" s="36"/>
      <c r="BA455" s="36"/>
      <c r="BB455" s="36"/>
      <c r="BC455" s="36"/>
      <c r="BD455" s="36"/>
      <c r="BE455" s="36"/>
      <c r="BF455" s="36"/>
      <c r="BG455" s="36"/>
      <c r="BH455" s="36"/>
      <c r="BI455" s="36"/>
      <c r="BJ455" s="36"/>
      <c r="BK455" s="36"/>
      <c r="BL455" s="36"/>
      <c r="BM455" s="36"/>
      <c r="BN455" s="36"/>
      <c r="BO455" s="36"/>
      <c r="BP455" s="36"/>
      <c r="BQ455" s="36"/>
      <c r="BR455" s="36"/>
      <c r="BS455" s="36">
        <f>+$T455/4</f>
        <v>192.75</v>
      </c>
      <c r="BT455" s="36">
        <f>+$T455/4</f>
        <v>192.75</v>
      </c>
      <c r="BU455" s="36">
        <f>+$T455/4</f>
        <v>192.75</v>
      </c>
      <c r="BV455" s="36">
        <f>+$T455/4</f>
        <v>192.75</v>
      </c>
      <c r="BW455" s="36">
        <f>$U455/4</f>
        <v>192.75</v>
      </c>
      <c r="BX455" s="36">
        <f>$U455/4</f>
        <v>192.75</v>
      </c>
      <c r="BY455" s="36">
        <f>$U455/4</f>
        <v>192.75</v>
      </c>
      <c r="BZ455" s="36">
        <f>$U455/4</f>
        <v>192.75</v>
      </c>
      <c r="CA455" s="36">
        <f>$V455/4</f>
        <v>192.75</v>
      </c>
      <c r="CB455" s="36">
        <f>$V455/4</f>
        <v>192.75</v>
      </c>
      <c r="CC455" s="36">
        <f>$V455/4</f>
        <v>192.75</v>
      </c>
      <c r="CD455" s="36">
        <f>$V455/4</f>
        <v>192.75</v>
      </c>
    </row>
    <row r="456" spans="1:82" outlineLevel="1">
      <c r="B456" s="18" t="s">
        <v>368</v>
      </c>
      <c r="Q456" s="254">
        <f>SUM(Q455)</f>
        <v>0</v>
      </c>
      <c r="R456" s="254">
        <f>SUM(R455)</f>
        <v>0</v>
      </c>
      <c r="S456" s="254">
        <f>SUM(S455)</f>
        <v>128</v>
      </c>
      <c r="T456" s="254">
        <f t="shared" ref="T456:Y456" si="537">SUM(T455)</f>
        <v>771</v>
      </c>
      <c r="U456" s="254">
        <f t="shared" si="537"/>
        <v>771</v>
      </c>
      <c r="V456" s="254">
        <f t="shared" si="537"/>
        <v>771</v>
      </c>
      <c r="W456" s="254">
        <f t="shared" si="537"/>
        <v>771</v>
      </c>
      <c r="X456" s="254">
        <f t="shared" si="537"/>
        <v>771</v>
      </c>
      <c r="Y456" s="254">
        <f t="shared" si="537"/>
        <v>771</v>
      </c>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36"/>
      <c r="BE456" s="36"/>
      <c r="BF456" s="36"/>
      <c r="BG456" s="36"/>
      <c r="BH456" s="36"/>
      <c r="BI456" s="36"/>
      <c r="BJ456" s="36"/>
      <c r="BK456" s="36"/>
      <c r="BL456" s="36"/>
      <c r="BM456" s="36"/>
      <c r="BN456" s="36"/>
      <c r="BO456" s="36"/>
      <c r="BP456" s="36"/>
      <c r="BQ456" s="36"/>
      <c r="BR456" s="36"/>
      <c r="BS456" s="254">
        <f>SUM(BS455)</f>
        <v>192.75</v>
      </c>
      <c r="BT456" s="254">
        <f t="shared" ref="BT456:CD456" si="538">SUM(BT455)</f>
        <v>192.75</v>
      </c>
      <c r="BU456" s="254">
        <f t="shared" si="538"/>
        <v>192.75</v>
      </c>
      <c r="BV456" s="254">
        <f t="shared" si="538"/>
        <v>192.75</v>
      </c>
      <c r="BW456" s="254">
        <f t="shared" si="538"/>
        <v>192.75</v>
      </c>
      <c r="BX456" s="254">
        <f t="shared" si="538"/>
        <v>192.75</v>
      </c>
      <c r="BY456" s="254">
        <f t="shared" si="538"/>
        <v>192.75</v>
      </c>
      <c r="BZ456" s="254">
        <f t="shared" si="538"/>
        <v>192.75</v>
      </c>
      <c r="CA456" s="254">
        <f t="shared" si="538"/>
        <v>192.75</v>
      </c>
      <c r="CB456" s="254">
        <f t="shared" si="538"/>
        <v>192.75</v>
      </c>
      <c r="CC456" s="254">
        <f t="shared" si="538"/>
        <v>192.75</v>
      </c>
      <c r="CD456" s="254">
        <f t="shared" si="538"/>
        <v>192.75</v>
      </c>
    </row>
    <row r="457" spans="1:82" outlineLevel="1">
      <c r="B457" s="18"/>
      <c r="Q457" s="91"/>
      <c r="R457" s="91"/>
      <c r="S457" s="91"/>
      <c r="T457" s="91"/>
      <c r="U457" s="91"/>
      <c r="V457" s="91"/>
      <c r="W457" s="91"/>
      <c r="X457" s="91"/>
      <c r="Y457" s="91"/>
      <c r="Z457" s="36"/>
      <c r="AA457" s="36"/>
      <c r="AB457" s="36"/>
      <c r="AC457" s="36"/>
      <c r="AD457" s="36"/>
      <c r="AE457" s="36"/>
      <c r="AF457" s="36"/>
      <c r="AG457" s="36"/>
      <c r="AH457" s="36"/>
      <c r="AI457" s="36"/>
      <c r="AJ457" s="36"/>
      <c r="AK457" s="36"/>
      <c r="AL457" s="36"/>
      <c r="AM457" s="36"/>
      <c r="AN457" s="36"/>
      <c r="AO457" s="36"/>
      <c r="AP457" s="36"/>
      <c r="AQ457" s="36"/>
      <c r="AR457" s="36"/>
      <c r="AS457" s="36"/>
      <c r="AT457" s="36"/>
      <c r="AU457" s="36"/>
      <c r="AV457" s="36"/>
      <c r="AW457" s="36"/>
      <c r="AX457" s="36"/>
      <c r="AY457" s="36"/>
      <c r="AZ457" s="36"/>
      <c r="BA457" s="36"/>
      <c r="BB457" s="36"/>
      <c r="BC457" s="36"/>
      <c r="BD457" s="36"/>
      <c r="BE457" s="36"/>
      <c r="BF457" s="36"/>
      <c r="BG457" s="36"/>
      <c r="BH457" s="36"/>
      <c r="BI457" s="36"/>
      <c r="BJ457" s="36"/>
      <c r="BK457" s="36"/>
      <c r="BL457" s="36"/>
      <c r="BM457" s="36"/>
      <c r="BN457" s="36"/>
      <c r="BO457" s="36"/>
      <c r="BP457" s="36"/>
      <c r="BQ457" s="36"/>
      <c r="BR457" s="36"/>
      <c r="BS457" s="91"/>
      <c r="BT457" s="91"/>
      <c r="BU457" s="91"/>
      <c r="BV457" s="91"/>
      <c r="BW457" s="91"/>
      <c r="BX457" s="91"/>
      <c r="BY457" s="91"/>
      <c r="BZ457" s="91"/>
    </row>
    <row r="458" spans="1:82" outlineLevel="1">
      <c r="B458" s="149" t="s">
        <v>574</v>
      </c>
      <c r="Q458" s="36"/>
      <c r="R458" s="36"/>
      <c r="S458" s="48"/>
      <c r="T458" s="36"/>
      <c r="U458" s="36"/>
      <c r="V458" s="36"/>
      <c r="W458" s="36"/>
      <c r="X458" s="36"/>
      <c r="Y458" s="36"/>
      <c r="Z458" s="36"/>
      <c r="AA458" s="36"/>
      <c r="AB458" s="36"/>
      <c r="AC458" s="36"/>
      <c r="AD458" s="36"/>
      <c r="AE458" s="36"/>
      <c r="AF458" s="36"/>
      <c r="AG458" s="36"/>
      <c r="AH458" s="36"/>
      <c r="AI458" s="36"/>
      <c r="AJ458" s="36"/>
      <c r="AK458" s="36"/>
      <c r="AL458" s="36"/>
      <c r="AM458" s="36"/>
      <c r="AN458" s="36"/>
      <c r="AO458" s="36"/>
      <c r="AP458" s="36"/>
      <c r="AQ458" s="36"/>
      <c r="AR458" s="36"/>
      <c r="AS458" s="36"/>
      <c r="AT458" s="36"/>
      <c r="AU458" s="36"/>
      <c r="AV458" s="36"/>
      <c r="AW458" s="36"/>
      <c r="AX458" s="36"/>
      <c r="AY458" s="36"/>
      <c r="AZ458" s="36"/>
      <c r="BA458" s="36"/>
      <c r="BB458" s="36"/>
      <c r="BC458" s="36"/>
      <c r="BD458" s="36"/>
      <c r="BE458" s="36"/>
      <c r="BF458" s="36"/>
      <c r="BG458" s="36"/>
      <c r="BH458" s="36"/>
      <c r="BI458" s="36"/>
      <c r="BJ458" s="36"/>
      <c r="BK458" s="36"/>
      <c r="BL458" s="36"/>
      <c r="BM458" s="36"/>
      <c r="BN458" s="36"/>
      <c r="BO458" s="36"/>
      <c r="BP458" s="36"/>
      <c r="BQ458" s="36"/>
      <c r="BR458" s="36"/>
      <c r="BS458" s="36"/>
      <c r="BT458" s="36"/>
      <c r="BU458" s="36"/>
      <c r="BV458" s="36"/>
      <c r="BW458" s="36"/>
      <c r="BX458" s="36"/>
      <c r="BY458" s="36"/>
      <c r="BZ458" s="36"/>
    </row>
    <row r="459" spans="1:82" outlineLevel="1">
      <c r="B459" s="241" t="s">
        <v>343</v>
      </c>
      <c r="Q459" s="265">
        <v>0</v>
      </c>
      <c r="R459" s="265">
        <v>0</v>
      </c>
      <c r="S459" s="265">
        <v>60</v>
      </c>
      <c r="T459" s="265">
        <v>367</v>
      </c>
      <c r="U459" s="265">
        <v>367</v>
      </c>
      <c r="V459" s="265">
        <v>367</v>
      </c>
      <c r="W459" s="265">
        <v>367</v>
      </c>
      <c r="X459" s="265">
        <v>367</v>
      </c>
      <c r="Y459" s="265">
        <v>367</v>
      </c>
      <c r="Z459" s="36"/>
      <c r="AA459" s="36"/>
      <c r="AB459" s="36"/>
      <c r="AC459" s="36"/>
      <c r="AD459" s="36"/>
      <c r="AE459" s="36"/>
      <c r="AF459" s="36"/>
      <c r="AG459" s="36"/>
      <c r="AH459" s="36"/>
      <c r="AI459" s="36"/>
      <c r="AJ459" s="36"/>
      <c r="AK459" s="36"/>
      <c r="AL459" s="36"/>
      <c r="AM459" s="36"/>
      <c r="AN459" s="36"/>
      <c r="AO459" s="36"/>
      <c r="AP459" s="36"/>
      <c r="AQ459" s="36"/>
      <c r="AR459" s="36"/>
      <c r="AS459" s="36"/>
      <c r="AT459" s="36"/>
      <c r="AU459" s="36"/>
      <c r="AV459" s="36"/>
      <c r="AW459" s="36"/>
      <c r="AX459" s="36"/>
      <c r="AY459" s="36"/>
      <c r="AZ459" s="36"/>
      <c r="BA459" s="36"/>
      <c r="BB459" s="36"/>
      <c r="BC459" s="36"/>
      <c r="BD459" s="36"/>
      <c r="BE459" s="36"/>
      <c r="BF459" s="36"/>
      <c r="BG459" s="36"/>
      <c r="BH459" s="36"/>
      <c r="BI459" s="36"/>
      <c r="BJ459" s="36"/>
      <c r="BK459" s="36"/>
      <c r="BL459" s="36"/>
      <c r="BM459" s="36"/>
      <c r="BN459" s="36"/>
      <c r="BO459" s="36"/>
      <c r="BP459" s="36"/>
      <c r="BQ459" s="36"/>
      <c r="BR459" s="36"/>
      <c r="BS459" s="36">
        <f t="shared" ref="BS459:BV460" si="539">+$T459/4</f>
        <v>91.75</v>
      </c>
      <c r="BT459" s="36">
        <f t="shared" si="539"/>
        <v>91.75</v>
      </c>
      <c r="BU459" s="36">
        <f t="shared" si="539"/>
        <v>91.75</v>
      </c>
      <c r="BV459" s="36">
        <f t="shared" si="539"/>
        <v>91.75</v>
      </c>
      <c r="BW459" s="36">
        <f>+$U459/4</f>
        <v>91.75</v>
      </c>
      <c r="BX459" s="36">
        <f t="shared" ref="BX459:BZ460" si="540">+$U459/4</f>
        <v>91.75</v>
      </c>
      <c r="BY459" s="36">
        <f t="shared" si="540"/>
        <v>91.75</v>
      </c>
      <c r="BZ459" s="36">
        <f t="shared" si="540"/>
        <v>91.75</v>
      </c>
      <c r="CA459" s="36">
        <f>$V459/4</f>
        <v>91.75</v>
      </c>
      <c r="CB459" s="36">
        <f t="shared" ref="CB459:CD460" si="541">$V459/4</f>
        <v>91.75</v>
      </c>
      <c r="CC459" s="36">
        <f t="shared" si="541"/>
        <v>91.75</v>
      </c>
      <c r="CD459" s="36">
        <f t="shared" si="541"/>
        <v>91.75</v>
      </c>
    </row>
    <row r="460" spans="1:82" outlineLevel="1">
      <c r="B460" s="241" t="s">
        <v>350</v>
      </c>
      <c r="Q460" s="265">
        <v>0</v>
      </c>
      <c r="R460" s="265">
        <v>0</v>
      </c>
      <c r="S460" s="265">
        <v>19</v>
      </c>
      <c r="T460" s="265">
        <v>115</v>
      </c>
      <c r="U460" s="265">
        <v>115</v>
      </c>
      <c r="V460" s="265">
        <v>115</v>
      </c>
      <c r="W460" s="265">
        <v>115</v>
      </c>
      <c r="X460" s="265">
        <v>115</v>
      </c>
      <c r="Y460" s="265">
        <v>115</v>
      </c>
      <c r="Z460" s="36"/>
      <c r="AA460" s="36"/>
      <c r="AB460" s="36"/>
      <c r="AC460" s="36"/>
      <c r="AD460" s="36"/>
      <c r="AE460" s="36"/>
      <c r="AF460" s="36"/>
      <c r="AG460" s="36"/>
      <c r="AH460" s="36"/>
      <c r="AI460" s="36"/>
      <c r="AJ460" s="36"/>
      <c r="AK460" s="36"/>
      <c r="AL460" s="36"/>
      <c r="AM460" s="36"/>
      <c r="AN460" s="36"/>
      <c r="AO460" s="36"/>
      <c r="AP460" s="36"/>
      <c r="AQ460" s="36"/>
      <c r="AR460" s="36"/>
      <c r="AS460" s="36"/>
      <c r="AT460" s="36"/>
      <c r="AU460" s="36"/>
      <c r="AV460" s="36"/>
      <c r="AW460" s="36"/>
      <c r="AX460" s="36"/>
      <c r="AY460" s="36"/>
      <c r="AZ460" s="36"/>
      <c r="BA460" s="36"/>
      <c r="BB460" s="36"/>
      <c r="BC460" s="36"/>
      <c r="BD460" s="36"/>
      <c r="BE460" s="36"/>
      <c r="BF460" s="36"/>
      <c r="BG460" s="36"/>
      <c r="BH460" s="36"/>
      <c r="BI460" s="36"/>
      <c r="BJ460" s="36"/>
      <c r="BK460" s="36"/>
      <c r="BL460" s="36"/>
      <c r="BM460" s="36"/>
      <c r="BN460" s="36"/>
      <c r="BO460" s="36"/>
      <c r="BP460" s="36"/>
      <c r="BQ460" s="36"/>
      <c r="BR460" s="36"/>
      <c r="BS460" s="36">
        <f t="shared" si="539"/>
        <v>28.75</v>
      </c>
      <c r="BT460" s="36">
        <f t="shared" si="539"/>
        <v>28.75</v>
      </c>
      <c r="BU460" s="36">
        <f t="shared" si="539"/>
        <v>28.75</v>
      </c>
      <c r="BV460" s="36">
        <f t="shared" si="539"/>
        <v>28.75</v>
      </c>
      <c r="BW460" s="36">
        <f>+$U460/4</f>
        <v>28.75</v>
      </c>
      <c r="BX460" s="36">
        <f t="shared" si="540"/>
        <v>28.75</v>
      </c>
      <c r="BY460" s="36">
        <f t="shared" si="540"/>
        <v>28.75</v>
      </c>
      <c r="BZ460" s="36">
        <f t="shared" si="540"/>
        <v>28.75</v>
      </c>
      <c r="CA460" s="36">
        <f>$V460/4</f>
        <v>28.75</v>
      </c>
      <c r="CB460" s="36">
        <f t="shared" si="541"/>
        <v>28.75</v>
      </c>
      <c r="CC460" s="36">
        <f t="shared" si="541"/>
        <v>28.75</v>
      </c>
      <c r="CD460" s="36">
        <f t="shared" si="541"/>
        <v>28.75</v>
      </c>
    </row>
    <row r="461" spans="1:82" outlineLevel="1">
      <c r="B461" s="18" t="s">
        <v>575</v>
      </c>
      <c r="Q461" s="254">
        <f>SUM(Q459:Q460)</f>
        <v>0</v>
      </c>
      <c r="R461" s="254">
        <f>SUM(R459:R460)</f>
        <v>0</v>
      </c>
      <c r="S461" s="254">
        <f>SUM(S459:S460)</f>
        <v>79</v>
      </c>
      <c r="T461" s="254">
        <f t="shared" ref="T461:Y461" si="542">SUM(T459:T460)</f>
        <v>482</v>
      </c>
      <c r="U461" s="254">
        <f t="shared" si="542"/>
        <v>482</v>
      </c>
      <c r="V461" s="254">
        <f t="shared" si="542"/>
        <v>482</v>
      </c>
      <c r="W461" s="254">
        <f t="shared" si="542"/>
        <v>482</v>
      </c>
      <c r="X461" s="254">
        <f t="shared" si="542"/>
        <v>482</v>
      </c>
      <c r="Y461" s="254">
        <f t="shared" si="542"/>
        <v>482</v>
      </c>
      <c r="Z461" s="36"/>
      <c r="AA461" s="36"/>
      <c r="AB461" s="36"/>
      <c r="AC461" s="36"/>
      <c r="AD461" s="36"/>
      <c r="AE461" s="36"/>
      <c r="AF461" s="36"/>
      <c r="AG461" s="36"/>
      <c r="AH461" s="36"/>
      <c r="AI461" s="36"/>
      <c r="AJ461" s="36"/>
      <c r="AK461" s="36"/>
      <c r="AL461" s="36"/>
      <c r="AM461" s="36"/>
      <c r="AN461" s="36"/>
      <c r="AO461" s="36"/>
      <c r="AP461" s="36"/>
      <c r="AQ461" s="36"/>
      <c r="AR461" s="36"/>
      <c r="AS461" s="36"/>
      <c r="AT461" s="36"/>
      <c r="AU461" s="36"/>
      <c r="AV461" s="36"/>
      <c r="AW461" s="36"/>
      <c r="AX461" s="36"/>
      <c r="AY461" s="36"/>
      <c r="AZ461" s="36"/>
      <c r="BA461" s="36"/>
      <c r="BB461" s="36"/>
      <c r="BC461" s="36"/>
      <c r="BD461" s="36"/>
      <c r="BE461" s="36"/>
      <c r="BF461" s="36"/>
      <c r="BG461" s="36"/>
      <c r="BH461" s="36"/>
      <c r="BI461" s="36"/>
      <c r="BJ461" s="36"/>
      <c r="BK461" s="36"/>
      <c r="BL461" s="36"/>
      <c r="BM461" s="36"/>
      <c r="BN461" s="36"/>
      <c r="BO461" s="36"/>
      <c r="BP461" s="36"/>
      <c r="BQ461" s="36"/>
      <c r="BR461" s="36"/>
      <c r="BS461" s="254">
        <f t="shared" ref="BS461:CD461" si="543">SUM(BS459:BS460)</f>
        <v>120.5</v>
      </c>
      <c r="BT461" s="254">
        <f t="shared" si="543"/>
        <v>120.5</v>
      </c>
      <c r="BU461" s="254">
        <f t="shared" si="543"/>
        <v>120.5</v>
      </c>
      <c r="BV461" s="254">
        <f t="shared" si="543"/>
        <v>120.5</v>
      </c>
      <c r="BW461" s="254">
        <f t="shared" si="543"/>
        <v>120.5</v>
      </c>
      <c r="BX461" s="254">
        <f t="shared" si="543"/>
        <v>120.5</v>
      </c>
      <c r="BY461" s="254">
        <f t="shared" si="543"/>
        <v>120.5</v>
      </c>
      <c r="BZ461" s="254">
        <f t="shared" si="543"/>
        <v>120.5</v>
      </c>
      <c r="CA461" s="254">
        <f t="shared" si="543"/>
        <v>120.5</v>
      </c>
      <c r="CB461" s="254">
        <f t="shared" si="543"/>
        <v>120.5</v>
      </c>
      <c r="CC461" s="254">
        <f t="shared" si="543"/>
        <v>120.5</v>
      </c>
      <c r="CD461" s="254">
        <f t="shared" si="543"/>
        <v>120.5</v>
      </c>
    </row>
    <row r="462" spans="1:82" outlineLevel="1"/>
    <row r="463" spans="1:82" outlineLevel="1">
      <c r="A463" s="51" t="s">
        <v>150</v>
      </c>
      <c r="B463" s="27" t="s">
        <v>409</v>
      </c>
      <c r="C463" s="28"/>
      <c r="D463" s="28"/>
      <c r="E463" s="28"/>
      <c r="F463" s="28"/>
      <c r="G463" s="28"/>
      <c r="H463" s="28"/>
      <c r="I463" s="28"/>
      <c r="J463" s="28"/>
      <c r="K463" s="28"/>
      <c r="L463" s="28"/>
      <c r="M463" s="28"/>
      <c r="N463" s="28"/>
      <c r="O463" s="28"/>
      <c r="P463" s="28"/>
      <c r="Q463" s="28"/>
      <c r="R463" s="28"/>
      <c r="S463" s="28"/>
      <c r="T463" s="251"/>
      <c r="U463" s="251"/>
      <c r="V463" s="251"/>
      <c r="W463" s="251"/>
      <c r="X463" s="251"/>
      <c r="Y463" s="251"/>
      <c r="Z463" s="28"/>
      <c r="AA463" s="28"/>
      <c r="AB463" s="28"/>
      <c r="AC463" s="28"/>
      <c r="AD463" s="28"/>
      <c r="AE463" s="28"/>
      <c r="AF463" s="28"/>
      <c r="AG463" s="28"/>
      <c r="AH463" s="28"/>
      <c r="AI463" s="28"/>
      <c r="AJ463" s="28"/>
      <c r="AK463" s="28"/>
      <c r="AL463" s="28"/>
      <c r="AM463" s="28"/>
      <c r="AN463" s="28"/>
      <c r="AO463" s="28"/>
      <c r="AP463" s="28"/>
      <c r="AQ463" s="28"/>
      <c r="AR463" s="28"/>
      <c r="AS463" s="28"/>
      <c r="AT463" s="28"/>
      <c r="AU463" s="28"/>
      <c r="AV463" s="28"/>
      <c r="AW463" s="28"/>
      <c r="AX463" s="28"/>
      <c r="AY463" s="28"/>
      <c r="AZ463" s="28"/>
      <c r="BA463" s="28"/>
      <c r="BB463" s="28"/>
      <c r="BC463" s="28"/>
      <c r="BD463" s="28"/>
      <c r="BE463" s="28"/>
      <c r="BF463" s="28"/>
      <c r="BG463" s="28"/>
      <c r="BH463" s="28"/>
      <c r="BI463" s="28"/>
      <c r="BJ463" s="28"/>
      <c r="BK463" s="28"/>
      <c r="BL463" s="28"/>
      <c r="BM463" s="28"/>
      <c r="BN463" s="28"/>
      <c r="BO463" s="28"/>
      <c r="BP463" s="28"/>
      <c r="BQ463" s="28"/>
      <c r="BR463" s="28"/>
      <c r="BS463" s="251"/>
      <c r="BT463" s="251"/>
      <c r="BU463" s="251"/>
      <c r="BV463" s="251"/>
      <c r="BW463" s="251"/>
      <c r="BX463" s="251"/>
      <c r="BY463" s="251"/>
      <c r="BZ463" s="251"/>
      <c r="CA463" s="251"/>
      <c r="CB463" s="251"/>
      <c r="CC463" s="251"/>
      <c r="CD463" s="251"/>
    </row>
    <row r="464" spans="1:82" outlineLevel="1">
      <c r="A464" s="34"/>
      <c r="B464" s="149" t="s">
        <v>410</v>
      </c>
      <c r="BS464" s="36"/>
      <c r="BT464" s="36"/>
      <c r="BU464" s="36"/>
      <c r="BV464" s="36"/>
      <c r="BW464" s="36"/>
      <c r="BX464" s="36"/>
      <c r="BY464" s="36"/>
      <c r="BZ464" s="36"/>
    </row>
    <row r="465" spans="2:82" outlineLevel="1">
      <c r="B465" s="241" t="s">
        <v>411</v>
      </c>
      <c r="T465" s="40">
        <v>325</v>
      </c>
      <c r="U465" s="40">
        <v>325</v>
      </c>
      <c r="V465" s="40">
        <v>325</v>
      </c>
      <c r="W465" s="40">
        <v>325</v>
      </c>
      <c r="X465" s="40">
        <v>325</v>
      </c>
      <c r="Y465" s="40">
        <v>325</v>
      </c>
      <c r="BS465" s="36">
        <f t="shared" ref="BS465:BV466" si="544">+$T465/4</f>
        <v>81.25</v>
      </c>
      <c r="BT465" s="36">
        <f t="shared" si="544"/>
        <v>81.25</v>
      </c>
      <c r="BU465" s="36">
        <f t="shared" si="544"/>
        <v>81.25</v>
      </c>
      <c r="BV465" s="36">
        <f t="shared" si="544"/>
        <v>81.25</v>
      </c>
      <c r="BW465" s="36">
        <f t="shared" ref="BW465:BZ466" si="545">$U465/4</f>
        <v>81.25</v>
      </c>
      <c r="BX465" s="36">
        <f t="shared" si="545"/>
        <v>81.25</v>
      </c>
      <c r="BY465" s="36">
        <f t="shared" si="545"/>
        <v>81.25</v>
      </c>
      <c r="BZ465" s="36">
        <f t="shared" si="545"/>
        <v>81.25</v>
      </c>
      <c r="CA465" s="36">
        <f>$V465/4</f>
        <v>81.25</v>
      </c>
      <c r="CB465" s="36">
        <f t="shared" ref="CB465:CD469" si="546">$V465/4</f>
        <v>81.25</v>
      </c>
      <c r="CC465" s="36">
        <f t="shared" si="546"/>
        <v>81.25</v>
      </c>
      <c r="CD465" s="36">
        <f t="shared" si="546"/>
        <v>81.25</v>
      </c>
    </row>
    <row r="466" spans="2:82" outlineLevel="1">
      <c r="B466" s="241" t="s">
        <v>412</v>
      </c>
      <c r="H466" s="69"/>
      <c r="I466" s="69"/>
      <c r="J466" s="69"/>
      <c r="K466" s="69"/>
      <c r="L466" s="69"/>
      <c r="M466" s="69"/>
      <c r="N466" s="69"/>
      <c r="O466" s="69"/>
      <c r="P466" s="69"/>
      <c r="Q466" s="69"/>
      <c r="R466" s="69"/>
      <c r="S466" s="69"/>
      <c r="T466" s="40">
        <v>720</v>
      </c>
      <c r="U466" s="40">
        <v>720</v>
      </c>
      <c r="V466" s="40">
        <v>720</v>
      </c>
      <c r="W466" s="40">
        <v>720</v>
      </c>
      <c r="X466" s="40">
        <v>720</v>
      </c>
      <c r="Y466" s="40">
        <v>720</v>
      </c>
      <c r="Z466" s="69"/>
      <c r="AA466" s="69"/>
      <c r="AB466" s="69"/>
      <c r="AC466" s="69"/>
      <c r="AD466" s="69"/>
      <c r="AE466" s="69"/>
      <c r="AF466" s="69"/>
      <c r="AG466" s="69"/>
      <c r="AH466" s="69"/>
      <c r="AI466" s="69"/>
      <c r="AJ466" s="69"/>
      <c r="AK466" s="69"/>
      <c r="AL466" s="69"/>
      <c r="AM466" s="69"/>
      <c r="AN466" s="69"/>
      <c r="AO466" s="69"/>
      <c r="AP466" s="69"/>
      <c r="AQ466" s="69"/>
      <c r="AR466" s="69"/>
      <c r="AS466" s="69"/>
      <c r="AT466" s="69"/>
      <c r="AU466" s="69"/>
      <c r="AV466" s="69"/>
      <c r="AW466" s="69"/>
      <c r="AX466" s="69"/>
      <c r="AY466" s="69"/>
      <c r="AZ466" s="69"/>
      <c r="BA466" s="69"/>
      <c r="BB466" s="69"/>
      <c r="BC466" s="69"/>
      <c r="BD466" s="69"/>
      <c r="BE466" s="69"/>
      <c r="BF466" s="69"/>
      <c r="BG466" s="69"/>
      <c r="BH466" s="69"/>
      <c r="BI466" s="69"/>
      <c r="BJ466" s="69"/>
      <c r="BK466" s="69"/>
      <c r="BL466" s="69"/>
      <c r="BM466" s="69"/>
      <c r="BN466" s="69"/>
      <c r="BO466" s="69"/>
      <c r="BP466" s="69"/>
      <c r="BQ466" s="69"/>
      <c r="BR466" s="69"/>
      <c r="BS466" s="36">
        <f t="shared" si="544"/>
        <v>180</v>
      </c>
      <c r="BT466" s="36">
        <f t="shared" si="544"/>
        <v>180</v>
      </c>
      <c r="BU466" s="36">
        <f t="shared" si="544"/>
        <v>180</v>
      </c>
      <c r="BV466" s="36">
        <f t="shared" si="544"/>
        <v>180</v>
      </c>
      <c r="BW466" s="36">
        <f t="shared" si="545"/>
        <v>180</v>
      </c>
      <c r="BX466" s="36">
        <f t="shared" si="545"/>
        <v>180</v>
      </c>
      <c r="BY466" s="36">
        <f t="shared" si="545"/>
        <v>180</v>
      </c>
      <c r="BZ466" s="36">
        <f t="shared" si="545"/>
        <v>180</v>
      </c>
      <c r="CA466" s="36">
        <f>$V466/4</f>
        <v>180</v>
      </c>
      <c r="CB466" s="36">
        <f t="shared" si="546"/>
        <v>180</v>
      </c>
      <c r="CC466" s="36">
        <f t="shared" si="546"/>
        <v>180</v>
      </c>
      <c r="CD466" s="36">
        <f t="shared" si="546"/>
        <v>180</v>
      </c>
    </row>
    <row r="467" spans="2:82" outlineLevel="1">
      <c r="B467" s="18" t="s">
        <v>417</v>
      </c>
      <c r="H467" s="69"/>
      <c r="I467" s="69"/>
      <c r="J467" s="69"/>
      <c r="K467" s="69"/>
      <c r="L467" s="69"/>
      <c r="M467" s="69"/>
      <c r="N467" s="69"/>
      <c r="O467" s="69"/>
      <c r="P467" s="69"/>
      <c r="Q467" s="69"/>
      <c r="R467" s="69"/>
      <c r="S467" s="69"/>
      <c r="T467" s="254">
        <f t="shared" ref="T467:Y467" si="547">SUM(T465:T466)</f>
        <v>1045</v>
      </c>
      <c r="U467" s="254">
        <f t="shared" si="547"/>
        <v>1045</v>
      </c>
      <c r="V467" s="254">
        <f t="shared" si="547"/>
        <v>1045</v>
      </c>
      <c r="W467" s="254">
        <f t="shared" si="547"/>
        <v>1045</v>
      </c>
      <c r="X467" s="254">
        <f t="shared" si="547"/>
        <v>1045</v>
      </c>
      <c r="Y467" s="254">
        <f t="shared" si="547"/>
        <v>1045</v>
      </c>
      <c r="Z467" s="69"/>
      <c r="AA467" s="69"/>
      <c r="AB467" s="69"/>
      <c r="AC467" s="69"/>
      <c r="AD467" s="69"/>
      <c r="AE467" s="69"/>
      <c r="AF467" s="69"/>
      <c r="AG467" s="69"/>
      <c r="AH467" s="69"/>
      <c r="AI467" s="69"/>
      <c r="AJ467" s="69"/>
      <c r="AK467" s="69"/>
      <c r="AL467" s="69"/>
      <c r="AM467" s="69"/>
      <c r="AN467" s="69"/>
      <c r="AO467" s="69"/>
      <c r="AP467" s="69"/>
      <c r="AQ467" s="69"/>
      <c r="AR467" s="69"/>
      <c r="AS467" s="69"/>
      <c r="AT467" s="69"/>
      <c r="AU467" s="69"/>
      <c r="AV467" s="69"/>
      <c r="AW467" s="69"/>
      <c r="AX467" s="69"/>
      <c r="AY467" s="69"/>
      <c r="AZ467" s="69"/>
      <c r="BA467" s="69"/>
      <c r="BB467" s="69"/>
      <c r="BC467" s="69"/>
      <c r="BD467" s="69"/>
      <c r="BE467" s="69"/>
      <c r="BF467" s="69"/>
      <c r="BG467" s="69"/>
      <c r="BH467" s="69"/>
      <c r="BI467" s="69"/>
      <c r="BJ467" s="69"/>
      <c r="BK467" s="69"/>
      <c r="BL467" s="69"/>
      <c r="BM467" s="69"/>
      <c r="BN467" s="69"/>
      <c r="BO467" s="69"/>
      <c r="BP467" s="69"/>
      <c r="BQ467" s="69"/>
      <c r="BR467" s="69"/>
      <c r="BS467" s="254">
        <f t="shared" ref="BS467:BZ467" si="548">SUM(BS465:BS466)</f>
        <v>261.25</v>
      </c>
      <c r="BT467" s="254">
        <f t="shared" si="548"/>
        <v>261.25</v>
      </c>
      <c r="BU467" s="254">
        <f t="shared" si="548"/>
        <v>261.25</v>
      </c>
      <c r="BV467" s="254">
        <f t="shared" si="548"/>
        <v>261.25</v>
      </c>
      <c r="BW467" s="254">
        <f t="shared" si="548"/>
        <v>261.25</v>
      </c>
      <c r="BX467" s="254">
        <f t="shared" si="548"/>
        <v>261.25</v>
      </c>
      <c r="BY467" s="254">
        <f t="shared" si="548"/>
        <v>261.25</v>
      </c>
      <c r="BZ467" s="254">
        <f t="shared" si="548"/>
        <v>261.25</v>
      </c>
      <c r="CA467" s="254">
        <f>SUM(CA465:CA466)</f>
        <v>261.25</v>
      </c>
      <c r="CB467" s="254">
        <f>SUM(CB465:CB466)</f>
        <v>261.25</v>
      </c>
      <c r="CC467" s="254">
        <f>SUM(CC465:CC466)</f>
        <v>261.25</v>
      </c>
      <c r="CD467" s="254">
        <f>SUM(CD465:CD466)</f>
        <v>261.25</v>
      </c>
    </row>
    <row r="468" spans="2:82" outlineLevel="1">
      <c r="B468" s="241" t="s">
        <v>413</v>
      </c>
      <c r="T468" s="40">
        <v>245</v>
      </c>
      <c r="U468" s="40">
        <v>245</v>
      </c>
      <c r="V468" s="40">
        <v>245</v>
      </c>
      <c r="W468" s="40">
        <v>245</v>
      </c>
      <c r="X468" s="40">
        <v>245</v>
      </c>
      <c r="Y468" s="40">
        <v>245</v>
      </c>
      <c r="BS468" s="36">
        <f t="shared" ref="BS468:BV469" si="549">+$T468/4</f>
        <v>61.25</v>
      </c>
      <c r="BT468" s="36">
        <f t="shared" si="549"/>
        <v>61.25</v>
      </c>
      <c r="BU468" s="36">
        <f t="shared" si="549"/>
        <v>61.25</v>
      </c>
      <c r="BV468" s="36">
        <f t="shared" si="549"/>
        <v>61.25</v>
      </c>
      <c r="BW468" s="36">
        <f t="shared" ref="BW468:BZ469" si="550">$U468/4</f>
        <v>61.25</v>
      </c>
      <c r="BX468" s="36">
        <f t="shared" si="550"/>
        <v>61.25</v>
      </c>
      <c r="BY468" s="36">
        <f t="shared" si="550"/>
        <v>61.25</v>
      </c>
      <c r="BZ468" s="36">
        <f t="shared" si="550"/>
        <v>61.25</v>
      </c>
      <c r="CA468" s="36">
        <f>$V468/4</f>
        <v>61.25</v>
      </c>
      <c r="CB468" s="36">
        <f t="shared" si="546"/>
        <v>61.25</v>
      </c>
      <c r="CC468" s="36">
        <f t="shared" si="546"/>
        <v>61.25</v>
      </c>
      <c r="CD468" s="36">
        <f t="shared" si="546"/>
        <v>61.25</v>
      </c>
    </row>
    <row r="469" spans="2:82" outlineLevel="1">
      <c r="B469" s="241" t="s">
        <v>414</v>
      </c>
      <c r="T469" s="40">
        <v>640</v>
      </c>
      <c r="U469" s="40">
        <v>640</v>
      </c>
      <c r="V469" s="40">
        <v>640</v>
      </c>
      <c r="W469" s="40">
        <v>640</v>
      </c>
      <c r="X469" s="40">
        <v>640</v>
      </c>
      <c r="Y469" s="40">
        <v>640</v>
      </c>
      <c r="BS469" s="36">
        <f t="shared" si="549"/>
        <v>160</v>
      </c>
      <c r="BT469" s="36">
        <f t="shared" si="549"/>
        <v>160</v>
      </c>
      <c r="BU469" s="36">
        <f t="shared" si="549"/>
        <v>160</v>
      </c>
      <c r="BV469" s="36">
        <f t="shared" si="549"/>
        <v>160</v>
      </c>
      <c r="BW469" s="36">
        <f t="shared" si="550"/>
        <v>160</v>
      </c>
      <c r="BX469" s="36">
        <f t="shared" si="550"/>
        <v>160</v>
      </c>
      <c r="BY469" s="36">
        <f t="shared" si="550"/>
        <v>160</v>
      </c>
      <c r="BZ469" s="36">
        <f t="shared" si="550"/>
        <v>160</v>
      </c>
      <c r="CA469" s="36">
        <f>$V469/4</f>
        <v>160</v>
      </c>
      <c r="CB469" s="36">
        <f t="shared" si="546"/>
        <v>160</v>
      </c>
      <c r="CC469" s="36">
        <f t="shared" si="546"/>
        <v>160</v>
      </c>
      <c r="CD469" s="36">
        <f t="shared" si="546"/>
        <v>160</v>
      </c>
    </row>
    <row r="470" spans="2:82" outlineLevel="1">
      <c r="B470" s="18" t="s">
        <v>418</v>
      </c>
      <c r="T470" s="254">
        <f t="shared" ref="T470:Y470" si="551">SUM(T467:T469)</f>
        <v>1930</v>
      </c>
      <c r="U470" s="254">
        <f t="shared" si="551"/>
        <v>1930</v>
      </c>
      <c r="V470" s="254">
        <f t="shared" si="551"/>
        <v>1930</v>
      </c>
      <c r="W470" s="254">
        <f t="shared" si="551"/>
        <v>1930</v>
      </c>
      <c r="X470" s="254">
        <f t="shared" si="551"/>
        <v>1930</v>
      </c>
      <c r="Y470" s="254">
        <f t="shared" si="551"/>
        <v>1930</v>
      </c>
      <c r="BS470" s="254">
        <f t="shared" ref="BS470:CD470" si="552">SUM(BS467:BS469)</f>
        <v>482.5</v>
      </c>
      <c r="BT470" s="254">
        <f t="shared" si="552"/>
        <v>482.5</v>
      </c>
      <c r="BU470" s="254">
        <f t="shared" si="552"/>
        <v>482.5</v>
      </c>
      <c r="BV470" s="254">
        <f t="shared" si="552"/>
        <v>482.5</v>
      </c>
      <c r="BW470" s="254">
        <f t="shared" si="552"/>
        <v>482.5</v>
      </c>
      <c r="BX470" s="254">
        <f t="shared" si="552"/>
        <v>482.5</v>
      </c>
      <c r="BY470" s="254">
        <f t="shared" si="552"/>
        <v>482.5</v>
      </c>
      <c r="BZ470" s="254">
        <f t="shared" si="552"/>
        <v>482.5</v>
      </c>
      <c r="CA470" s="254">
        <f t="shared" si="552"/>
        <v>482.5</v>
      </c>
      <c r="CB470" s="254">
        <f t="shared" si="552"/>
        <v>482.5</v>
      </c>
      <c r="CC470" s="254">
        <f t="shared" si="552"/>
        <v>482.5</v>
      </c>
      <c r="CD470" s="254">
        <f t="shared" si="552"/>
        <v>482.5</v>
      </c>
    </row>
    <row r="515" spans="1:1">
      <c r="A515" s="34"/>
    </row>
    <row r="518" spans="1:1">
      <c r="A518" s="36"/>
    </row>
    <row r="520" spans="1:1">
      <c r="A520" s="34"/>
    </row>
    <row r="531" spans="1:1">
      <c r="A531" s="34"/>
    </row>
    <row r="534" spans="1:1">
      <c r="A534" s="36"/>
    </row>
    <row r="536" spans="1:1">
      <c r="A536" s="34"/>
    </row>
    <row r="546" spans="1:1">
      <c r="A546" s="34"/>
    </row>
    <row r="547" spans="1:1">
      <c r="A547" s="34"/>
    </row>
    <row r="548" spans="1:1">
      <c r="A548" s="34"/>
    </row>
    <row r="549" spans="1:1">
      <c r="A549" s="34"/>
    </row>
    <row r="550" spans="1:1">
      <c r="A550" s="34"/>
    </row>
    <row r="553" spans="1:1">
      <c r="A553" s="34"/>
    </row>
    <row r="556" spans="1:1">
      <c r="A556" s="36"/>
    </row>
    <row r="558" spans="1:1">
      <c r="A558" s="34"/>
    </row>
    <row r="561" spans="1:1">
      <c r="A561" s="7"/>
    </row>
    <row r="562" spans="1:1">
      <c r="A562" s="51"/>
    </row>
    <row r="563" spans="1:1">
      <c r="A563" s="51"/>
    </row>
    <row r="588" spans="1:1">
      <c r="A588" s="51"/>
    </row>
    <row r="591" spans="1:1">
      <c r="A591" s="36"/>
    </row>
    <row r="593" spans="1:1">
      <c r="A593" s="34"/>
    </row>
    <row r="596" spans="1:1">
      <c r="A596" s="7"/>
    </row>
    <row r="597" spans="1:1">
      <c r="A597" s="51"/>
    </row>
    <row r="598" spans="1:1">
      <c r="A598" s="51"/>
    </row>
    <row r="624" spans="1:1">
      <c r="A624" s="34"/>
    </row>
    <row r="625" spans="1:1">
      <c r="A625" s="34"/>
    </row>
    <row r="626" spans="1:1">
      <c r="A626" s="34"/>
    </row>
    <row r="627" spans="1:1">
      <c r="A627" s="34"/>
    </row>
    <row r="628" spans="1:1">
      <c r="A628" s="34"/>
    </row>
    <row r="630" spans="1:1">
      <c r="A630" s="3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4"/>
    <pageSetUpPr fitToPage="1"/>
  </sheetPr>
  <dimension ref="A1:CN79"/>
  <sheetViews>
    <sheetView zoomScale="85" zoomScaleNormal="85" workbookViewId="0">
      <pane xSplit="6" ySplit="2" topLeftCell="M3" activePane="bottomRight" state="frozen"/>
      <selection activeCell="BZ113" sqref="BZ113"/>
      <selection pane="topRight" activeCell="BZ113" sqref="BZ113"/>
      <selection pane="bottomLeft" activeCell="BZ113" sqref="BZ113"/>
      <selection pane="bottomRight" activeCell="M3" sqref="M3"/>
    </sheetView>
  </sheetViews>
  <sheetFormatPr defaultRowHeight="12.75" outlineLevelRow="1" outlineLevelCol="1"/>
  <cols>
    <col min="1" max="1" width="1.7109375" style="7" customWidth="1"/>
    <col min="2" max="6" width="9.140625" style="7"/>
    <col min="7" max="12" width="9.5703125" style="7" hidden="1" customWidth="1" outlineLevel="1"/>
    <col min="13" max="13" width="9.42578125" style="7" bestFit="1" customWidth="1" collapsed="1"/>
    <col min="14" max="15" width="9.42578125" style="7" bestFit="1" customWidth="1"/>
    <col min="16" max="16" width="10.140625" style="7" bestFit="1" customWidth="1"/>
    <col min="17" max="17" width="9.42578125" style="7" bestFit="1" customWidth="1"/>
    <col min="18" max="18" width="9.85546875" style="7" bestFit="1" customWidth="1"/>
    <col min="19" max="21" width="9.42578125" style="7" bestFit="1" customWidth="1"/>
    <col min="22" max="22" width="9.140625" style="7"/>
    <col min="23" max="46" width="9.140625" style="7" hidden="1" customWidth="1" outlineLevel="1"/>
    <col min="47" max="47" width="9.28515625" style="7" bestFit="1" customWidth="1" collapsed="1"/>
    <col min="48" max="53" width="9.28515625" style="7" bestFit="1" customWidth="1"/>
    <col min="54" max="54" width="9.28515625" style="7" customWidth="1"/>
    <col min="55" max="66" width="9.28515625" style="7" bestFit="1" customWidth="1"/>
    <col min="67" max="70" width="9.28515625" style="7" customWidth="1"/>
    <col min="71" max="71" width="9.7109375" style="7" bestFit="1" customWidth="1"/>
    <col min="72" max="75" width="9.140625" customWidth="1" outlineLevel="1"/>
    <col min="78" max="16384" width="9.140625" style="7"/>
  </cols>
  <sheetData>
    <row r="1" spans="1:91">
      <c r="A1" s="7" t="s">
        <v>150</v>
      </c>
      <c r="B1" s="96" t="s">
        <v>267</v>
      </c>
      <c r="C1" s="96"/>
      <c r="D1" s="96"/>
      <c r="E1" s="96"/>
      <c r="F1" s="96"/>
      <c r="G1" s="96"/>
      <c r="H1" s="96"/>
      <c r="I1" s="96"/>
      <c r="J1" s="96"/>
      <c r="K1" s="96"/>
      <c r="L1" s="96"/>
      <c r="M1" s="96"/>
      <c r="N1" s="96"/>
      <c r="O1" s="96"/>
      <c r="P1" s="96"/>
      <c r="Q1" s="96"/>
      <c r="R1" s="96"/>
      <c r="S1" s="96"/>
      <c r="T1" s="6"/>
      <c r="U1" s="6"/>
      <c r="V1" s="15"/>
      <c r="W1" s="96" t="s">
        <v>268</v>
      </c>
      <c r="X1" s="96"/>
      <c r="Y1" s="96"/>
      <c r="Z1" s="96"/>
      <c r="AA1" s="96"/>
      <c r="AB1" s="96"/>
      <c r="AC1" s="96"/>
      <c r="AD1" s="96"/>
      <c r="AE1" s="96"/>
      <c r="AF1" s="96"/>
      <c r="AG1" s="96"/>
      <c r="AH1" s="96"/>
      <c r="AI1" s="96"/>
      <c r="AJ1" s="96"/>
      <c r="AK1" s="96"/>
      <c r="AL1" s="96"/>
      <c r="AM1" s="96"/>
      <c r="AN1" s="96"/>
      <c r="AO1" s="96"/>
      <c r="AP1" s="96"/>
      <c r="AQ1" s="96"/>
      <c r="AR1" s="96"/>
      <c r="AS1" s="96"/>
      <c r="AT1" s="96"/>
      <c r="AU1" s="96" t="s">
        <v>268</v>
      </c>
      <c r="AV1" s="96"/>
      <c r="AW1" s="96"/>
      <c r="AX1" s="96"/>
      <c r="AY1" s="96"/>
      <c r="AZ1" s="96"/>
      <c r="BA1" s="96"/>
      <c r="BB1" s="96"/>
      <c r="BC1" s="96"/>
      <c r="BD1" s="96"/>
      <c r="BE1" s="96"/>
      <c r="BF1" s="6"/>
      <c r="BG1" s="96"/>
      <c r="BH1" s="96"/>
      <c r="BI1" s="96"/>
      <c r="BJ1" s="6"/>
      <c r="BK1" s="96"/>
      <c r="BL1" s="96"/>
      <c r="BM1" s="96"/>
      <c r="BN1" s="6"/>
      <c r="BO1" s="6"/>
      <c r="BP1" s="6"/>
      <c r="BQ1" s="6"/>
      <c r="BR1" s="6" t="s">
        <v>233</v>
      </c>
      <c r="BS1" s="97"/>
      <c r="BZ1" s="98"/>
      <c r="CA1" s="98"/>
      <c r="CB1" s="98"/>
      <c r="CC1" s="98"/>
      <c r="CD1" s="98"/>
      <c r="CE1" s="98"/>
      <c r="CF1" s="98"/>
      <c r="CG1" s="98"/>
      <c r="CH1" s="98"/>
      <c r="CI1" s="98"/>
      <c r="CJ1" s="98"/>
      <c r="CK1" s="98"/>
      <c r="CL1" s="98"/>
      <c r="CM1" s="98"/>
    </row>
    <row r="2" spans="1:91">
      <c r="B2" s="99"/>
      <c r="C2" s="99"/>
      <c r="D2" s="100"/>
      <c r="E2" s="100"/>
      <c r="F2" s="100"/>
      <c r="G2" s="9">
        <f>Segments!G2</f>
        <v>2007</v>
      </c>
      <c r="H2" s="9">
        <f>Segments!H2</f>
        <v>2008</v>
      </c>
      <c r="I2" s="9">
        <f>Segments!I2</f>
        <v>2009</v>
      </c>
      <c r="J2" s="9">
        <f>Segments!J2</f>
        <v>2010</v>
      </c>
      <c r="K2" s="9">
        <f>Segments!K2</f>
        <v>2011</v>
      </c>
      <c r="L2" s="9">
        <f>Segments!L2</f>
        <v>2012</v>
      </c>
      <c r="M2" s="9">
        <f>Segments!M2</f>
        <v>2013</v>
      </c>
      <c r="N2" s="9">
        <f>Segments!N2</f>
        <v>2014</v>
      </c>
      <c r="O2" s="9">
        <f>Segments!O2</f>
        <v>2015</v>
      </c>
      <c r="P2" s="9">
        <f>Segments!P2</f>
        <v>2016</v>
      </c>
      <c r="Q2" s="9">
        <f>Segments!Q2</f>
        <v>2017</v>
      </c>
      <c r="R2" s="10">
        <f>Segments!R2</f>
        <v>2018</v>
      </c>
      <c r="S2" s="10">
        <f>Segments!S2</f>
        <v>2019</v>
      </c>
      <c r="T2" s="10">
        <f>Segments!T2</f>
        <v>2020</v>
      </c>
      <c r="U2" s="10">
        <f>Segments!U2</f>
        <v>2021</v>
      </c>
      <c r="V2" s="15"/>
      <c r="W2" s="31" t="str">
        <f>Segments!W2</f>
        <v>1Q07</v>
      </c>
      <c r="X2" s="31" t="str">
        <f>Segments!X2</f>
        <v>2Q07</v>
      </c>
      <c r="Y2" s="31" t="str">
        <f>Segments!Y2</f>
        <v>3Q07</v>
      </c>
      <c r="Z2" s="31" t="str">
        <f>Segments!Z2</f>
        <v>4Q07</v>
      </c>
      <c r="AA2" s="31" t="str">
        <f>Segments!AA2</f>
        <v>1Q08</v>
      </c>
      <c r="AB2" s="31" t="str">
        <f>Segments!AB2</f>
        <v>2Q08</v>
      </c>
      <c r="AC2" s="31" t="str">
        <f>Segments!AC2</f>
        <v>3Q08</v>
      </c>
      <c r="AD2" s="31" t="str">
        <f>Segments!AD2</f>
        <v>4Q08</v>
      </c>
      <c r="AE2" s="31" t="str">
        <f>Segments!AE2</f>
        <v>1Q09</v>
      </c>
      <c r="AF2" s="31" t="str">
        <f>Segments!AF2</f>
        <v>2Q09</v>
      </c>
      <c r="AG2" s="31" t="str">
        <f>Segments!AG2</f>
        <v>3Q09</v>
      </c>
      <c r="AH2" s="31" t="str">
        <f>Segments!AH2</f>
        <v>4Q09</v>
      </c>
      <c r="AI2" s="31" t="str">
        <f>Segments!AI2</f>
        <v>1Q10</v>
      </c>
      <c r="AJ2" s="31" t="str">
        <f>Segments!AJ2</f>
        <v>2Q10</v>
      </c>
      <c r="AK2" s="31" t="str">
        <f>Segments!AK2</f>
        <v>3Q10</v>
      </c>
      <c r="AL2" s="31" t="str">
        <f>Segments!AL2</f>
        <v>4Q10</v>
      </c>
      <c r="AM2" s="31" t="str">
        <f>Segments!AM2</f>
        <v>1Q11</v>
      </c>
      <c r="AN2" s="31" t="str">
        <f>Segments!AN2</f>
        <v>2Q11</v>
      </c>
      <c r="AO2" s="31" t="str">
        <f>Segments!AO2</f>
        <v>3Q11</v>
      </c>
      <c r="AP2" s="31" t="str">
        <f>Segments!AP2</f>
        <v>4Q11</v>
      </c>
      <c r="AQ2" s="31" t="str">
        <f>Segments!AQ2</f>
        <v>1Q12</v>
      </c>
      <c r="AR2" s="31" t="str">
        <f>Segments!AR2</f>
        <v>2Q12</v>
      </c>
      <c r="AS2" s="31" t="str">
        <f>Segments!AS2</f>
        <v>3Q12</v>
      </c>
      <c r="AT2" s="31" t="str">
        <f>Segments!AT2</f>
        <v>4Q12</v>
      </c>
      <c r="AU2" s="31" t="str">
        <f>Segments!AU2</f>
        <v>1Q13</v>
      </c>
      <c r="AV2" s="31" t="str">
        <f>Segments!AV2</f>
        <v>2Q13</v>
      </c>
      <c r="AW2" s="31" t="str">
        <f>Segments!AW2</f>
        <v>3Q13</v>
      </c>
      <c r="AX2" s="31" t="str">
        <f>Segments!AX2</f>
        <v>4Q13</v>
      </c>
      <c r="AY2" s="31" t="str">
        <f>Segments!AY2</f>
        <v>1Q14</v>
      </c>
      <c r="AZ2" s="31" t="str">
        <f>Segments!AZ2</f>
        <v>2Q14</v>
      </c>
      <c r="BA2" s="31" t="str">
        <f>Segments!BA2</f>
        <v>3Q14</v>
      </c>
      <c r="BB2" s="31" t="str">
        <f>Segments!BB2</f>
        <v>4Q14</v>
      </c>
      <c r="BC2" s="31" t="str">
        <f>Segments!BC2</f>
        <v>1Q15</v>
      </c>
      <c r="BD2" s="31" t="str">
        <f>Segments!BD2</f>
        <v>2Q15</v>
      </c>
      <c r="BE2" s="31" t="str">
        <f>Segments!BE2</f>
        <v>3Q15</v>
      </c>
      <c r="BF2" s="31" t="str">
        <f>Segments!BF2</f>
        <v>4Q15</v>
      </c>
      <c r="BG2" s="31" t="str">
        <f>Segments!BG2</f>
        <v>1Q16</v>
      </c>
      <c r="BH2" s="31" t="str">
        <f>Segments!BH2</f>
        <v>2Q16</v>
      </c>
      <c r="BI2" s="31" t="str">
        <f>Segments!BI2</f>
        <v>3Q16</v>
      </c>
      <c r="BJ2" s="31" t="str">
        <f>Segments!BJ2</f>
        <v>4Q16</v>
      </c>
      <c r="BK2" s="31" t="str">
        <f>Segments!BK2</f>
        <v>1Q17</v>
      </c>
      <c r="BL2" s="31" t="str">
        <f>Segments!BL2</f>
        <v>2Q17</v>
      </c>
      <c r="BM2" s="31" t="str">
        <f>Segments!BM2</f>
        <v>3Q17</v>
      </c>
      <c r="BN2" s="31" t="str">
        <f>Segments!BN2</f>
        <v>4Q17</v>
      </c>
      <c r="BO2" s="32" t="str">
        <f>Segments!BO2</f>
        <v>1Q18</v>
      </c>
      <c r="BP2" s="32" t="str">
        <f>Segments!BP2</f>
        <v>2Q18</v>
      </c>
      <c r="BQ2" s="32" t="str">
        <f>Segments!BQ2</f>
        <v>3Q18</v>
      </c>
      <c r="BR2" s="32" t="str">
        <f>Segments!BR2</f>
        <v>4Q18</v>
      </c>
      <c r="BS2" s="97"/>
    </row>
    <row r="3" spans="1:91" s="51" customFormat="1">
      <c r="B3" s="38" t="s">
        <v>195</v>
      </c>
      <c r="C3" s="90"/>
      <c r="D3" s="89"/>
      <c r="E3" s="89"/>
      <c r="F3" s="89"/>
      <c r="G3" s="101">
        <f>SUM(W3:Z3)</f>
        <v>1276.8</v>
      </c>
      <c r="H3" s="101">
        <f>SUM(AA3:AD3)</f>
        <v>1764.5</v>
      </c>
      <c r="I3" s="101">
        <f>SUM(AE3:AH3)</f>
        <v>1531.5</v>
      </c>
      <c r="J3" s="101">
        <f>SUM(AI3:AL3)</f>
        <v>1585.9</v>
      </c>
      <c r="K3" s="101">
        <f>SUM(AM3:AP3)</f>
        <v>1961.1000000000001</v>
      </c>
      <c r="L3" s="101">
        <f>SUM(AQ3:AT3)</f>
        <v>2184.6999999999998</v>
      </c>
      <c r="M3" s="101">
        <f>SUM(AU3:AX3)</f>
        <v>2515</v>
      </c>
      <c r="N3" s="101">
        <f>SUM(AY3:BB3)</f>
        <v>2241.2000000000003</v>
      </c>
      <c r="O3" s="101">
        <f>SUM(BC3:BF3)</f>
        <v>2854.4</v>
      </c>
      <c r="P3" s="101">
        <f>SUM(BG3:BJ3)</f>
        <v>5550.5999999999995</v>
      </c>
      <c r="Q3" s="101">
        <f>SUM(BK3:BN3)</f>
        <v>6268.4</v>
      </c>
      <c r="R3" s="101">
        <f>SUM(BO3:BR3)</f>
        <v>6981.4521402718947</v>
      </c>
      <c r="S3" s="102">
        <f>Segments!S7</f>
        <v>7273.2234977724711</v>
      </c>
      <c r="T3" s="102">
        <f>Segments!T7</f>
        <v>7621.5526577217033</v>
      </c>
      <c r="U3" s="102">
        <f>Segments!U7</f>
        <v>7934.3484537036111</v>
      </c>
      <c r="V3" s="390"/>
      <c r="W3" s="102">
        <f>Segments!W7</f>
        <v>255.5</v>
      </c>
      <c r="X3" s="102">
        <f>Segments!X7</f>
        <v>266.2</v>
      </c>
      <c r="Y3" s="102">
        <f>Segments!Y7</f>
        <v>350.3</v>
      </c>
      <c r="Z3" s="102">
        <f>Segments!Z7</f>
        <v>404.8</v>
      </c>
      <c r="AA3" s="102">
        <f>Segments!AA7</f>
        <v>399.1</v>
      </c>
      <c r="AB3" s="102">
        <f>Segments!AB7</f>
        <v>428.29999999999995</v>
      </c>
      <c r="AC3" s="102">
        <f>Segments!AC7</f>
        <v>502.90000000000003</v>
      </c>
      <c r="AD3" s="102">
        <f>Segments!AD7</f>
        <v>434.20000000000005</v>
      </c>
      <c r="AE3" s="102">
        <f>Segments!AE7</f>
        <v>400.6</v>
      </c>
      <c r="AF3" s="102">
        <f>Segments!AF7</f>
        <v>383</v>
      </c>
      <c r="AG3" s="102">
        <f>Segments!AG7</f>
        <v>397</v>
      </c>
      <c r="AH3" s="102">
        <f>Segments!AH7</f>
        <v>350.9</v>
      </c>
      <c r="AI3" s="102">
        <f>Segments!AI7</f>
        <v>362</v>
      </c>
      <c r="AJ3" s="102">
        <f>Segments!AJ7</f>
        <v>405.7</v>
      </c>
      <c r="AK3" s="102">
        <f>Segments!AK7</f>
        <v>432.8</v>
      </c>
      <c r="AL3" s="102">
        <f>Segments!AL7</f>
        <v>385.4</v>
      </c>
      <c r="AM3" s="102">
        <f>Segments!AM7</f>
        <v>436</v>
      </c>
      <c r="AN3" s="102">
        <f>Segments!AN7</f>
        <v>529.1</v>
      </c>
      <c r="AO3" s="102">
        <f>Segments!AO7</f>
        <v>550.20000000000005</v>
      </c>
      <c r="AP3" s="102">
        <f>Segments!AP7</f>
        <v>445.8</v>
      </c>
      <c r="AQ3" s="102">
        <f>Segments!AQ7</f>
        <v>507.2</v>
      </c>
      <c r="AR3" s="102">
        <f>Segments!AR7</f>
        <v>508.7</v>
      </c>
      <c r="AS3" s="102">
        <f>Segments!AS7</f>
        <v>581.20000000000005</v>
      </c>
      <c r="AT3" s="102">
        <f>Segments!AT7</f>
        <v>587.59999999999991</v>
      </c>
      <c r="AU3" s="102">
        <f>Segments!AU7</f>
        <v>630</v>
      </c>
      <c r="AV3" s="102">
        <f>Segments!AV7</f>
        <v>652.19999999999993</v>
      </c>
      <c r="AW3" s="102">
        <f>Segments!AW7</f>
        <v>670.7</v>
      </c>
      <c r="AX3" s="102">
        <f>Segments!AX7</f>
        <v>562.1</v>
      </c>
      <c r="AY3" s="102">
        <f>Segments!AY7</f>
        <v>577.4</v>
      </c>
      <c r="AZ3" s="102">
        <f>Segments!AZ7</f>
        <v>570.40000000000009</v>
      </c>
      <c r="BA3" s="102">
        <f>Segments!BA7</f>
        <v>593.59999999999991</v>
      </c>
      <c r="BB3" s="102">
        <f>Segments!BB7</f>
        <v>499.8</v>
      </c>
      <c r="BC3" s="102">
        <f>Segments!BC7</f>
        <v>518</v>
      </c>
      <c r="BD3" s="102">
        <f>Segments!BD7</f>
        <v>535.4</v>
      </c>
      <c r="BE3" s="102">
        <f>Segments!BE7</f>
        <v>533.59999999999991</v>
      </c>
      <c r="BF3" s="102">
        <f>Segments!BF7</f>
        <v>1267.4000000000001</v>
      </c>
      <c r="BG3" s="102">
        <f>Segments!BG7</f>
        <v>1348.2</v>
      </c>
      <c r="BH3" s="102">
        <f>Segments!BH7</f>
        <v>1364</v>
      </c>
      <c r="BI3" s="102">
        <f>Segments!BI7</f>
        <v>1452.7</v>
      </c>
      <c r="BJ3" s="102">
        <f>Segments!BJ7</f>
        <v>1385.7</v>
      </c>
      <c r="BK3" s="102">
        <f>Segments!BK7</f>
        <v>1567.1</v>
      </c>
      <c r="BL3" s="102">
        <f>Segments!BL7</f>
        <v>1526.5</v>
      </c>
      <c r="BM3" s="102">
        <f>Segments!BM7</f>
        <v>1554.8999999999999</v>
      </c>
      <c r="BN3" s="102">
        <f>Segments!BN7</f>
        <v>1619.9</v>
      </c>
      <c r="BO3" s="102">
        <f>Segments!BO7</f>
        <v>1663.16047604656</v>
      </c>
      <c r="BP3" s="102">
        <f>Segments!BP7</f>
        <v>1740.0832326738985</v>
      </c>
      <c r="BQ3" s="102">
        <f>Segments!BQ7</f>
        <v>1779.4582090134882</v>
      </c>
      <c r="BR3" s="102">
        <f>Segments!BR7</f>
        <v>1798.750222537949</v>
      </c>
      <c r="BS3" s="89"/>
      <c r="BT3"/>
      <c r="BU3"/>
      <c r="BV3"/>
      <c r="BW3"/>
      <c r="BX3"/>
      <c r="BY3"/>
      <c r="BZ3" s="89"/>
      <c r="CA3" s="89"/>
      <c r="CB3" s="89"/>
      <c r="CC3" s="89"/>
      <c r="CD3" s="89"/>
      <c r="CE3" s="89"/>
      <c r="CF3" s="89"/>
      <c r="CG3" s="89"/>
      <c r="CH3" s="89"/>
      <c r="CI3" s="89"/>
      <c r="CJ3" s="89"/>
      <c r="CK3" s="89"/>
      <c r="CL3" s="89"/>
      <c r="CM3" s="89"/>
    </row>
    <row r="4" spans="1:91" s="51" customFormat="1">
      <c r="B4" s="103" t="s">
        <v>573</v>
      </c>
      <c r="C4" s="89"/>
      <c r="G4" s="42">
        <f>SUM(W4:Z4)</f>
        <v>-1036.3</v>
      </c>
      <c r="H4" s="42">
        <f>SUM(AA4:AD4)</f>
        <v>-1377.1999999999998</v>
      </c>
      <c r="I4" s="42">
        <f>SUM(AE4:AH4)</f>
        <v>-1222.7</v>
      </c>
      <c r="J4" s="42">
        <f>SUM(AI4:AL4)</f>
        <v>-1349.9</v>
      </c>
      <c r="K4" s="42">
        <f>SUM(AM4:AP4)</f>
        <v>-1573.9</v>
      </c>
      <c r="L4" s="42">
        <f>SUM(AQ4:AT4)</f>
        <v>-1747.9999999999998</v>
      </c>
      <c r="M4" s="42">
        <f>SUM(AU4:AX4)</f>
        <v>-2033.7</v>
      </c>
      <c r="N4" s="42">
        <f>SUM(AY4:BB4)</f>
        <v>-1853.1999999999998</v>
      </c>
      <c r="O4" s="47">
        <f>SUM(BC4:BF4)</f>
        <v>-2462.8000000000002</v>
      </c>
      <c r="P4" s="47">
        <f>SUM(BG4:BJ4)</f>
        <v>-4923.7000000000007</v>
      </c>
      <c r="Q4" s="47">
        <f>SUM(BK4:BN4)</f>
        <v>-5536.7</v>
      </c>
      <c r="R4" s="47">
        <f>SUM(BO4:BR4)</f>
        <v>-5865.0697499789376</v>
      </c>
      <c r="S4" s="47">
        <f>+S5-S3</f>
        <v>-6023.4461860418542</v>
      </c>
      <c r="T4" s="47">
        <f>+T5-T3</f>
        <v>-6290.9237896895957</v>
      </c>
      <c r="U4" s="47">
        <f>+U5-U3</f>
        <v>-6505.2012187154805</v>
      </c>
      <c r="V4" s="45"/>
      <c r="W4" s="47">
        <f t="shared" ref="W4:BK4" si="0">+W5-W3</f>
        <v>-207.2</v>
      </c>
      <c r="X4" s="47">
        <f t="shared" si="0"/>
        <v>-211.89999999999998</v>
      </c>
      <c r="Y4" s="47">
        <f t="shared" si="0"/>
        <v>-281.8</v>
      </c>
      <c r="Z4" s="47">
        <f t="shared" si="0"/>
        <v>-335.4</v>
      </c>
      <c r="AA4" s="47">
        <f t="shared" si="0"/>
        <v>-314</v>
      </c>
      <c r="AB4" s="47">
        <f t="shared" si="0"/>
        <v>-347.19999999999993</v>
      </c>
      <c r="AC4" s="47">
        <f t="shared" si="0"/>
        <v>-380</v>
      </c>
      <c r="AD4" s="47">
        <f t="shared" si="0"/>
        <v>-336.00000000000006</v>
      </c>
      <c r="AE4" s="47">
        <f t="shared" si="0"/>
        <v>-306.20000000000005</v>
      </c>
      <c r="AF4" s="47">
        <f t="shared" si="0"/>
        <v>-312</v>
      </c>
      <c r="AG4" s="47">
        <f t="shared" si="0"/>
        <v>-316.39999999999998</v>
      </c>
      <c r="AH4" s="47">
        <f t="shared" si="0"/>
        <v>-288.09999999999997</v>
      </c>
      <c r="AI4" s="47">
        <f t="shared" si="0"/>
        <v>-312.5</v>
      </c>
      <c r="AJ4" s="47">
        <f t="shared" si="0"/>
        <v>-347.7</v>
      </c>
      <c r="AK4" s="47">
        <f t="shared" si="0"/>
        <v>-366.5</v>
      </c>
      <c r="AL4" s="47">
        <f t="shared" si="0"/>
        <v>-323.2</v>
      </c>
      <c r="AM4" s="47">
        <f t="shared" si="0"/>
        <v>-359.2</v>
      </c>
      <c r="AN4" s="47">
        <f t="shared" si="0"/>
        <v>-413.70000000000005</v>
      </c>
      <c r="AO4" s="47">
        <f t="shared" si="0"/>
        <v>-432.70000000000005</v>
      </c>
      <c r="AP4" s="47">
        <f t="shared" si="0"/>
        <v>-368.3</v>
      </c>
      <c r="AQ4" s="47">
        <f t="shared" si="0"/>
        <v>-392.9</v>
      </c>
      <c r="AR4" s="47">
        <f t="shared" si="0"/>
        <v>-391.4</v>
      </c>
      <c r="AS4" s="47">
        <f t="shared" si="0"/>
        <v>-475.80000000000007</v>
      </c>
      <c r="AT4" s="47">
        <f t="shared" si="0"/>
        <v>-487.89999999999992</v>
      </c>
      <c r="AU4" s="47">
        <f t="shared" si="0"/>
        <v>-504.4</v>
      </c>
      <c r="AV4" s="47">
        <f t="shared" si="0"/>
        <v>-531.09999999999991</v>
      </c>
      <c r="AW4" s="47">
        <f t="shared" si="0"/>
        <v>-528.5</v>
      </c>
      <c r="AX4" s="47">
        <f t="shared" si="0"/>
        <v>-469.70000000000005</v>
      </c>
      <c r="AY4" s="47">
        <f t="shared" si="0"/>
        <v>-475.4</v>
      </c>
      <c r="AZ4" s="47">
        <f t="shared" si="0"/>
        <v>-463.60000000000008</v>
      </c>
      <c r="BA4" s="47">
        <f t="shared" si="0"/>
        <v>-492.2999999999999</v>
      </c>
      <c r="BB4" s="47">
        <f t="shared" si="0"/>
        <v>-421.9</v>
      </c>
      <c r="BC4" s="47">
        <f t="shared" si="0"/>
        <v>-433.2</v>
      </c>
      <c r="BD4" s="47">
        <f t="shared" si="0"/>
        <v>-445.5</v>
      </c>
      <c r="BE4" s="47">
        <f t="shared" si="0"/>
        <v>-459.99999999999989</v>
      </c>
      <c r="BF4" s="47">
        <f t="shared" si="0"/>
        <v>-1124.1000000000001</v>
      </c>
      <c r="BG4" s="47">
        <f t="shared" si="0"/>
        <v>-1175.4000000000001</v>
      </c>
      <c r="BH4" s="47">
        <f t="shared" si="0"/>
        <v>-1236.9000000000001</v>
      </c>
      <c r="BI4" s="47">
        <f t="shared" si="0"/>
        <v>-1284.4000000000001</v>
      </c>
      <c r="BJ4" s="47">
        <f t="shared" si="0"/>
        <v>-1227</v>
      </c>
      <c r="BK4" s="47">
        <f t="shared" si="0"/>
        <v>-1393.6999999999998</v>
      </c>
      <c r="BL4" s="47">
        <f t="shared" ref="BL4:BR4" si="1">+BL5-BL3</f>
        <v>-1404.1</v>
      </c>
      <c r="BM4" s="47">
        <f t="shared" si="1"/>
        <v>-1342.6999999999998</v>
      </c>
      <c r="BN4" s="47">
        <f t="shared" si="1"/>
        <v>-1396.2</v>
      </c>
      <c r="BO4" s="47">
        <f t="shared" si="1"/>
        <v>-1476.5425794772277</v>
      </c>
      <c r="BP4" s="47">
        <f t="shared" si="1"/>
        <v>-1478.7214325830196</v>
      </c>
      <c r="BQ4" s="47">
        <f t="shared" si="1"/>
        <v>-1445.258322076528</v>
      </c>
      <c r="BR4" s="47">
        <f t="shared" si="1"/>
        <v>-1464.5474158421619</v>
      </c>
      <c r="BS4" s="89"/>
      <c r="BT4"/>
      <c r="BU4"/>
      <c r="BV4"/>
      <c r="BW4"/>
      <c r="BX4"/>
      <c r="BY4"/>
    </row>
    <row r="5" spans="1:91" s="51" customFormat="1">
      <c r="B5" s="106" t="s">
        <v>104</v>
      </c>
      <c r="C5" s="107"/>
      <c r="D5" s="108"/>
      <c r="E5" s="108"/>
      <c r="F5" s="108"/>
      <c r="G5" s="110">
        <f t="shared" ref="G5:T5" si="2">G11-SUM(G7:G10)</f>
        <v>240.49999999999997</v>
      </c>
      <c r="H5" s="110">
        <f t="shared" si="2"/>
        <v>387.30000000000007</v>
      </c>
      <c r="I5" s="110">
        <f t="shared" si="2"/>
        <v>308.8</v>
      </c>
      <c r="J5" s="110">
        <f t="shared" si="2"/>
        <v>236</v>
      </c>
      <c r="K5" s="110">
        <f t="shared" si="2"/>
        <v>387.2</v>
      </c>
      <c r="L5" s="110">
        <f t="shared" si="2"/>
        <v>436.70000000000005</v>
      </c>
      <c r="M5" s="110">
        <f t="shared" si="2"/>
        <v>481.3</v>
      </c>
      <c r="N5" s="110">
        <f t="shared" si="2"/>
        <v>388</v>
      </c>
      <c r="O5" s="110">
        <f t="shared" si="2"/>
        <v>391.6</v>
      </c>
      <c r="P5" s="110">
        <f t="shared" si="2"/>
        <v>626.9</v>
      </c>
      <c r="Q5" s="110">
        <f t="shared" si="2"/>
        <v>731.7</v>
      </c>
      <c r="R5" s="110">
        <f t="shared" si="2"/>
        <v>1116.3823902929585</v>
      </c>
      <c r="S5" s="110">
        <f t="shared" si="2"/>
        <v>1249.7773117306174</v>
      </c>
      <c r="T5" s="110">
        <f t="shared" si="2"/>
        <v>1330.6288680321081</v>
      </c>
      <c r="U5" s="110">
        <f>U11-SUM(U7:U10)</f>
        <v>1429.1472349881305</v>
      </c>
      <c r="W5" s="110">
        <f t="shared" ref="W5:BN5" si="3">W11-SUM(W7:W10)</f>
        <v>48.300000000000004</v>
      </c>
      <c r="X5" s="110">
        <f t="shared" si="3"/>
        <v>54.3</v>
      </c>
      <c r="Y5" s="110">
        <f t="shared" si="3"/>
        <v>68.5</v>
      </c>
      <c r="Z5" s="110">
        <f t="shared" si="3"/>
        <v>69.400000000000006</v>
      </c>
      <c r="AA5" s="110">
        <f t="shared" si="3"/>
        <v>85.1</v>
      </c>
      <c r="AB5" s="110">
        <f t="shared" si="3"/>
        <v>81.099999999999994</v>
      </c>
      <c r="AC5" s="110">
        <f t="shared" si="3"/>
        <v>122.9</v>
      </c>
      <c r="AD5" s="110">
        <f t="shared" si="3"/>
        <v>98.199999999999989</v>
      </c>
      <c r="AE5" s="110">
        <f t="shared" si="3"/>
        <v>94.4</v>
      </c>
      <c r="AF5" s="110">
        <f t="shared" si="3"/>
        <v>71</v>
      </c>
      <c r="AG5" s="110">
        <f t="shared" si="3"/>
        <v>80.599999999999994</v>
      </c>
      <c r="AH5" s="110">
        <f t="shared" si="3"/>
        <v>62.8</v>
      </c>
      <c r="AI5" s="110">
        <f t="shared" si="3"/>
        <v>49.5</v>
      </c>
      <c r="AJ5" s="110">
        <f t="shared" si="3"/>
        <v>58</v>
      </c>
      <c r="AK5" s="110">
        <f t="shared" si="3"/>
        <v>66.299999999999983</v>
      </c>
      <c r="AL5" s="110">
        <f t="shared" si="3"/>
        <v>62.199999999999996</v>
      </c>
      <c r="AM5" s="110">
        <f t="shared" si="3"/>
        <v>76.800000000000011</v>
      </c>
      <c r="AN5" s="110">
        <f t="shared" si="3"/>
        <v>115.39999999999998</v>
      </c>
      <c r="AO5" s="110">
        <f t="shared" si="3"/>
        <v>117.5</v>
      </c>
      <c r="AP5" s="110">
        <f t="shared" si="3"/>
        <v>77.5</v>
      </c>
      <c r="AQ5" s="110">
        <f t="shared" si="3"/>
        <v>114.30000000000001</v>
      </c>
      <c r="AR5" s="110">
        <f t="shared" si="3"/>
        <v>117.30000000000001</v>
      </c>
      <c r="AS5" s="110">
        <f t="shared" si="3"/>
        <v>105.4</v>
      </c>
      <c r="AT5" s="110">
        <f t="shared" si="3"/>
        <v>99.7</v>
      </c>
      <c r="AU5" s="110">
        <f t="shared" si="3"/>
        <v>125.6</v>
      </c>
      <c r="AV5" s="110">
        <f t="shared" si="3"/>
        <v>121.10000000000001</v>
      </c>
      <c r="AW5" s="110">
        <f t="shared" si="3"/>
        <v>142.20000000000002</v>
      </c>
      <c r="AX5" s="110">
        <f t="shared" si="3"/>
        <v>92.4</v>
      </c>
      <c r="AY5" s="110">
        <f t="shared" si="3"/>
        <v>102</v>
      </c>
      <c r="AZ5" s="110">
        <f t="shared" si="3"/>
        <v>106.80000000000001</v>
      </c>
      <c r="BA5" s="110">
        <f t="shared" si="3"/>
        <v>101.30000000000001</v>
      </c>
      <c r="BB5" s="110">
        <f t="shared" si="3"/>
        <v>77.900000000000006</v>
      </c>
      <c r="BC5" s="110">
        <f t="shared" si="3"/>
        <v>84.800000000000011</v>
      </c>
      <c r="BD5" s="110">
        <f t="shared" si="3"/>
        <v>89.899999999999991</v>
      </c>
      <c r="BE5" s="110">
        <f t="shared" si="3"/>
        <v>73.599999999999994</v>
      </c>
      <c r="BF5" s="110">
        <f t="shared" si="3"/>
        <v>143.30000000000001</v>
      </c>
      <c r="BG5" s="110">
        <f t="shared" si="3"/>
        <v>172.79999999999998</v>
      </c>
      <c r="BH5" s="110">
        <f t="shared" si="3"/>
        <v>127.1</v>
      </c>
      <c r="BI5" s="110">
        <f t="shared" si="3"/>
        <v>168.3</v>
      </c>
      <c r="BJ5" s="110">
        <f t="shared" si="3"/>
        <v>158.70000000000002</v>
      </c>
      <c r="BK5" s="110">
        <f t="shared" si="3"/>
        <v>173.40000000000003</v>
      </c>
      <c r="BL5" s="110">
        <f t="shared" si="3"/>
        <v>122.4</v>
      </c>
      <c r="BM5" s="110">
        <f t="shared" si="3"/>
        <v>212.2</v>
      </c>
      <c r="BN5" s="110">
        <f t="shared" si="3"/>
        <v>223.7</v>
      </c>
      <c r="BO5" s="110">
        <f>BO11-SUM(BO7:BO10)</f>
        <v>186.6178965693322</v>
      </c>
      <c r="BP5" s="110">
        <f>BP11-SUM(BP7:BP10)</f>
        <v>261.36180009087889</v>
      </c>
      <c r="BQ5" s="110">
        <f>BQ11-SUM(BQ7:BQ10)</f>
        <v>334.19988693696018</v>
      </c>
      <c r="BR5" s="110">
        <f>BR11-SUM(BR7:BR10)</f>
        <v>334.20280669578716</v>
      </c>
      <c r="BS5" s="89"/>
      <c r="BT5"/>
      <c r="BU5"/>
      <c r="BV5"/>
      <c r="BW5"/>
      <c r="BX5"/>
      <c r="BY5"/>
      <c r="CB5" s="89"/>
    </row>
    <row r="6" spans="1:91">
      <c r="B6" s="97"/>
      <c r="C6" s="97"/>
      <c r="L6" s="15"/>
      <c r="M6" s="15"/>
      <c r="P6" s="14"/>
      <c r="Q6" s="14"/>
      <c r="R6" s="14"/>
      <c r="S6" s="14"/>
      <c r="W6" s="97"/>
      <c r="X6" s="97"/>
      <c r="Y6" s="97"/>
      <c r="Z6" s="97"/>
      <c r="AA6" s="97"/>
      <c r="AB6" s="97"/>
      <c r="AC6" s="97"/>
      <c r="AD6" s="97"/>
      <c r="AE6" s="97"/>
      <c r="AF6" s="97"/>
      <c r="AI6" s="57"/>
      <c r="BL6" s="45"/>
      <c r="BM6" s="51"/>
    </row>
    <row r="7" spans="1:91" s="45" customFormat="1">
      <c r="B7" s="59" t="s">
        <v>197</v>
      </c>
      <c r="C7" s="47"/>
      <c r="D7" s="47"/>
      <c r="E7" s="47"/>
      <c r="F7" s="47"/>
      <c r="G7" s="42">
        <f>SUM(W7:Z7)</f>
        <v>-128.39999999999998</v>
      </c>
      <c r="H7" s="42">
        <f>SUM(AA7:AD7)</f>
        <v>-137.30000000000001</v>
      </c>
      <c r="I7" s="42">
        <f>SUM(AE7:AH7)</f>
        <v>-135.30000000000001</v>
      </c>
      <c r="J7" s="42">
        <f>SUM(AI7:AL7)</f>
        <v>-134.4</v>
      </c>
      <c r="K7" s="42">
        <f>SUM(AM7:AP7)</f>
        <v>-161.4</v>
      </c>
      <c r="L7" s="42">
        <f>SUM(AQ7:AT7)</f>
        <v>-168.60000000000002</v>
      </c>
      <c r="M7" s="42">
        <f>SUM(AU7:AX7)</f>
        <v>-190</v>
      </c>
      <c r="N7" s="42">
        <f>SUM(AY7:BB7)</f>
        <v>-166.1</v>
      </c>
      <c r="O7" s="42">
        <f>SUM(BC7:BF7)</f>
        <v>-186.5</v>
      </c>
      <c r="P7" s="42">
        <f>SUM(BG7:BJ7)</f>
        <v>-323.2</v>
      </c>
      <c r="Q7" s="42">
        <f>SUM(BK7:BN7)</f>
        <v>-350.7</v>
      </c>
      <c r="R7" s="42">
        <f>SUM(BO7:BR7)</f>
        <v>-390.38795129346846</v>
      </c>
      <c r="S7" s="42">
        <f>-S69*S3</f>
        <v>-406.70318488845635</v>
      </c>
      <c r="T7" s="42">
        <f>-T69*T3</f>
        <v>-426.18101047490512</v>
      </c>
      <c r="U7" s="42">
        <f>-U69*U3</f>
        <v>-443.67188594223035</v>
      </c>
      <c r="V7" s="47"/>
      <c r="W7" s="41">
        <v>-30.4</v>
      </c>
      <c r="X7" s="41">
        <v>-32.799999999999997</v>
      </c>
      <c r="Y7" s="41">
        <v>-31</v>
      </c>
      <c r="Z7" s="41">
        <v>-34.200000000000003</v>
      </c>
      <c r="AA7" s="41">
        <v>-33.299999999999997</v>
      </c>
      <c r="AB7" s="41">
        <v>-35.6</v>
      </c>
      <c r="AC7" s="41">
        <v>-35.6</v>
      </c>
      <c r="AD7" s="41">
        <v>-32.799999999999997</v>
      </c>
      <c r="AE7" s="41">
        <v>-39.200000000000003</v>
      </c>
      <c r="AF7" s="41">
        <v>-36.1</v>
      </c>
      <c r="AG7" s="41">
        <v>-31.2</v>
      </c>
      <c r="AH7" s="41">
        <v>-28.8</v>
      </c>
      <c r="AI7" s="41">
        <v>-32.1</v>
      </c>
      <c r="AJ7" s="41">
        <v>-35.9</v>
      </c>
      <c r="AK7" s="41">
        <v>-33.299999999999997</v>
      </c>
      <c r="AL7" s="41">
        <v>-33.1</v>
      </c>
      <c r="AM7" s="41">
        <v>-39.5</v>
      </c>
      <c r="AN7" s="41">
        <v>-42.5</v>
      </c>
      <c r="AO7" s="41">
        <v>-39.799999999999997</v>
      </c>
      <c r="AP7" s="41">
        <v>-39.6</v>
      </c>
      <c r="AQ7" s="41">
        <v>-43.7</v>
      </c>
      <c r="AR7" s="41">
        <v>-45.1</v>
      </c>
      <c r="AS7" s="41">
        <v>-42.4</v>
      </c>
      <c r="AT7" s="41">
        <v>-37.4</v>
      </c>
      <c r="AU7" s="41">
        <v>-49.1</v>
      </c>
      <c r="AV7" s="41">
        <v>-48.7</v>
      </c>
      <c r="AW7" s="41">
        <v>-36.5</v>
      </c>
      <c r="AX7" s="41">
        <v>-55.7</v>
      </c>
      <c r="AY7" s="41">
        <v>-43.5</v>
      </c>
      <c r="AZ7" s="41">
        <v>-41.7</v>
      </c>
      <c r="BA7" s="41">
        <v>-41.8</v>
      </c>
      <c r="BB7" s="41">
        <v>-39.1</v>
      </c>
      <c r="BC7" s="41">
        <v>-47</v>
      </c>
      <c r="BD7" s="41">
        <v>-39.9</v>
      </c>
      <c r="BE7" s="41">
        <v>-35.799999999999997</v>
      </c>
      <c r="BF7" s="41">
        <v>-63.8</v>
      </c>
      <c r="BG7" s="41">
        <v>-88.1</v>
      </c>
      <c r="BH7" s="41">
        <v>-79.3</v>
      </c>
      <c r="BI7" s="41">
        <v>-82</v>
      </c>
      <c r="BJ7" s="41">
        <v>-73.8</v>
      </c>
      <c r="BK7" s="41">
        <v>-88.2</v>
      </c>
      <c r="BL7" s="41">
        <v>-80</v>
      </c>
      <c r="BM7" s="41">
        <v>-86.4</v>
      </c>
      <c r="BN7" s="41">
        <v>-96.1</v>
      </c>
      <c r="BO7" s="42">
        <f>-BO69*BO3</f>
        <v>-93.60650500115284</v>
      </c>
      <c r="BP7" s="42">
        <f>-BP69*BP3</f>
        <v>-91.193356445405755</v>
      </c>
      <c r="BQ7" s="42">
        <f>-BQ69*BQ3</f>
        <v>-98.877863051492312</v>
      </c>
      <c r="BR7" s="42">
        <f>-BR69*BR3</f>
        <v>-106.71022679541754</v>
      </c>
      <c r="BS7" s="47"/>
      <c r="BT7"/>
      <c r="BU7"/>
      <c r="BV7"/>
      <c r="BW7"/>
      <c r="BX7"/>
      <c r="BY7"/>
      <c r="CB7" s="47"/>
      <c r="CC7" s="47"/>
      <c r="CD7" s="47"/>
      <c r="CE7" s="47"/>
      <c r="CF7" s="47"/>
      <c r="CG7" s="47"/>
      <c r="CH7" s="47"/>
      <c r="CI7" s="47"/>
      <c r="CJ7" s="47"/>
      <c r="CK7" s="47"/>
      <c r="CL7" s="47"/>
      <c r="CM7" s="47"/>
    </row>
    <row r="8" spans="1:91" s="45" customFormat="1">
      <c r="B8" s="59" t="s">
        <v>553</v>
      </c>
      <c r="C8" s="47"/>
      <c r="D8" s="47"/>
      <c r="E8" s="47"/>
      <c r="F8" s="47"/>
      <c r="G8" s="42">
        <f>SUM(W8:Z8)</f>
        <v>0</v>
      </c>
      <c r="H8" s="42">
        <f>SUM(AA8:AD8)</f>
        <v>0</v>
      </c>
      <c r="I8" s="42">
        <f>SUM(AE8:AH8)</f>
        <v>0</v>
      </c>
      <c r="J8" s="42">
        <f>SUM(AI8:AL8)</f>
        <v>-34.200000000000003</v>
      </c>
      <c r="K8" s="42">
        <f>SUM(AM8:AP8)</f>
        <v>-10.7</v>
      </c>
      <c r="L8" s="42">
        <f>SUM(AQ8:AT8)</f>
        <v>-16.8</v>
      </c>
      <c r="M8" s="42">
        <f>SUM(AU8:AX8)</f>
        <v>-5.5</v>
      </c>
      <c r="N8" s="42">
        <f>SUM(AY8:BB8)</f>
        <v>-15.7</v>
      </c>
      <c r="O8" s="42">
        <f>SUM(BC8:BF8)</f>
        <v>-2.6999999999999997</v>
      </c>
      <c r="P8" s="42">
        <f>SUM(BG8:BJ8)</f>
        <v>0</v>
      </c>
      <c r="Q8" s="42">
        <f>SUM(BK8:BN8)</f>
        <v>0</v>
      </c>
      <c r="R8" s="42">
        <f>SUM(BO8:BR8)</f>
        <v>0</v>
      </c>
      <c r="S8" s="41">
        <v>0</v>
      </c>
      <c r="T8" s="41">
        <v>0</v>
      </c>
      <c r="U8" s="41">
        <v>0</v>
      </c>
      <c r="V8" s="47"/>
      <c r="W8" s="341">
        <f>+Segments!W249+Segments!W250</f>
        <v>0</v>
      </c>
      <c r="X8" s="341">
        <f>+Segments!X249+Segments!X250</f>
        <v>0</v>
      </c>
      <c r="Y8" s="341">
        <f>+Segments!Y249+Segments!Y250</f>
        <v>0</v>
      </c>
      <c r="Z8" s="341">
        <f>+Segments!Z249+Segments!Z250</f>
        <v>0</v>
      </c>
      <c r="AA8" s="341">
        <f>+Segments!AA249+Segments!AA250</f>
        <v>0</v>
      </c>
      <c r="AB8" s="341">
        <f>+Segments!AB249+Segments!AB250</f>
        <v>0</v>
      </c>
      <c r="AC8" s="341">
        <f>+Segments!AC249+Segments!AC250</f>
        <v>0</v>
      </c>
      <c r="AD8" s="341">
        <f>+Segments!AD249+Segments!AD250</f>
        <v>0</v>
      </c>
      <c r="AE8" s="341">
        <f>+Segments!AE249+Segments!AE250</f>
        <v>0</v>
      </c>
      <c r="AF8" s="341">
        <f>+Segments!AF249+Segments!AF250</f>
        <v>0</v>
      </c>
      <c r="AG8" s="341">
        <f>+Segments!AG249+Segments!AG250</f>
        <v>0</v>
      </c>
      <c r="AH8" s="341">
        <f>+Segments!AH249+Segments!AH250</f>
        <v>0</v>
      </c>
      <c r="AI8" s="341">
        <f>+Segments!AI249+Segments!AI250</f>
        <v>0</v>
      </c>
      <c r="AJ8" s="341">
        <f>+Segments!AJ249+Segments!AJ250</f>
        <v>0</v>
      </c>
      <c r="AK8" s="341">
        <f>+Segments!AK249+Segments!AK250</f>
        <v>0</v>
      </c>
      <c r="AL8" s="341">
        <f>+Segments!AL249+Segments!AL250</f>
        <v>-34.200000000000003</v>
      </c>
      <c r="AM8" s="341">
        <f>+Segments!AM249+Segments!AM250</f>
        <v>-0.1</v>
      </c>
      <c r="AN8" s="341">
        <f>+Segments!AN249+Segments!AN250</f>
        <v>-2.4</v>
      </c>
      <c r="AO8" s="341">
        <f>+Segments!AO249+Segments!AO250</f>
        <v>-4.0999999999999996</v>
      </c>
      <c r="AP8" s="341">
        <f>+Segments!AP249+Segments!AP250</f>
        <v>-4.0999999999999996</v>
      </c>
      <c r="AQ8" s="341">
        <f>+Segments!AQ249+Segments!AQ250</f>
        <v>-1.9</v>
      </c>
      <c r="AR8" s="341">
        <f>+Segments!AR249+Segments!AR250</f>
        <v>-1.8</v>
      </c>
      <c r="AS8" s="341">
        <f>+Segments!AS249+Segments!AS250</f>
        <v>-10.600000000000001</v>
      </c>
      <c r="AT8" s="341">
        <f>+Segments!AT249+Segments!AT250</f>
        <v>-2.5</v>
      </c>
      <c r="AU8" s="341">
        <f>+Segments!AU249+Segments!AU250</f>
        <v>-2.2999999999999998</v>
      </c>
      <c r="AV8" s="341">
        <f>+Segments!AV249+Segments!AV250</f>
        <v>-0.2</v>
      </c>
      <c r="AW8" s="341">
        <f>+Segments!AW249+Segments!AW250</f>
        <v>-1.6</v>
      </c>
      <c r="AX8" s="341">
        <f>+Segments!AX249+Segments!AX250</f>
        <v>-1.4</v>
      </c>
      <c r="AY8" s="341">
        <f>+Segments!AY249+Segments!AY250</f>
        <v>-1</v>
      </c>
      <c r="AZ8" s="341">
        <f>+Segments!AZ249+Segments!AZ250</f>
        <v>-2.2999999999999998</v>
      </c>
      <c r="BA8" s="341">
        <f>+Segments!BA249+Segments!BA250</f>
        <v>-1.2</v>
      </c>
      <c r="BB8" s="341">
        <f>+Segments!BB249+Segments!BB250</f>
        <v>-11.2</v>
      </c>
      <c r="BC8" s="341">
        <f>+Segments!BC249+Segments!BC250</f>
        <v>-1.2</v>
      </c>
      <c r="BD8" s="341">
        <f>+Segments!BD249+Segments!BD250</f>
        <v>-0.7</v>
      </c>
      <c r="BE8" s="341">
        <f>+Segments!BE249+Segments!BE250</f>
        <v>-0.3</v>
      </c>
      <c r="BF8" s="341">
        <f>+Segments!BF249+Segments!BF250</f>
        <v>-0.5</v>
      </c>
      <c r="BG8" s="341">
        <f>+Segments!BG249+Segments!BG250</f>
        <v>0</v>
      </c>
      <c r="BH8" s="341">
        <f>+Segments!BH249+Segments!BH250</f>
        <v>0</v>
      </c>
      <c r="BI8" s="341">
        <f>+Segments!BI249+Segments!BI250</f>
        <v>0</v>
      </c>
      <c r="BJ8" s="341">
        <f>+Segments!BJ249+Segments!BJ250</f>
        <v>0</v>
      </c>
      <c r="BK8" s="341">
        <f>+Segments!BK249+Segments!BK250</f>
        <v>0</v>
      </c>
      <c r="BL8" s="341">
        <f>+Segments!BL249+Segments!BL250</f>
        <v>0</v>
      </c>
      <c r="BM8" s="341">
        <f>+Segments!BM249+Segments!BM250</f>
        <v>0</v>
      </c>
      <c r="BN8" s="341">
        <f>+Segments!BN249+Segments!BN250</f>
        <v>0</v>
      </c>
      <c r="BO8" s="341">
        <f>+Segments!BO249+Segments!BO250</f>
        <v>0</v>
      </c>
      <c r="BP8" s="341">
        <f>+Segments!BP249+Segments!BP250</f>
        <v>0</v>
      </c>
      <c r="BQ8" s="341">
        <f>+Segments!BQ249+Segments!BQ250</f>
        <v>0</v>
      </c>
      <c r="BR8" s="341">
        <f>+Segments!BR249+Segments!BR250</f>
        <v>0</v>
      </c>
      <c r="BS8" s="47"/>
      <c r="BT8"/>
      <c r="BU8"/>
      <c r="BV8"/>
      <c r="BW8"/>
      <c r="BX8"/>
      <c r="BY8"/>
      <c r="CB8" s="47"/>
      <c r="CC8" s="47"/>
      <c r="CD8" s="47"/>
      <c r="CE8" s="47"/>
      <c r="CF8" s="47"/>
      <c r="CG8" s="47"/>
      <c r="CH8" s="47"/>
      <c r="CI8" s="47"/>
      <c r="CJ8" s="47"/>
      <c r="CK8" s="47"/>
      <c r="CL8" s="47"/>
      <c r="CM8" s="47"/>
    </row>
    <row r="9" spans="1:91" s="45" customFormat="1">
      <c r="B9" s="116" t="s">
        <v>263</v>
      </c>
      <c r="C9" s="47"/>
      <c r="D9" s="47"/>
      <c r="E9" s="47"/>
      <c r="F9" s="47"/>
      <c r="G9" s="42">
        <f>SUM(W9:Z9)</f>
        <v>1.9</v>
      </c>
      <c r="H9" s="42">
        <f>SUM(AA9:AD9)</f>
        <v>1.2</v>
      </c>
      <c r="I9" s="42">
        <f>SUM(AE9:AH9)</f>
        <v>9.1000000000000014</v>
      </c>
      <c r="J9" s="42">
        <f>SUM(AI9:AL9)</f>
        <v>2.4999999999999996</v>
      </c>
      <c r="K9" s="42">
        <f>SUM(AM9:AP9)</f>
        <v>8.7999999999999989</v>
      </c>
      <c r="L9" s="42">
        <f>SUM(AQ9:AT9)</f>
        <v>7.6</v>
      </c>
      <c r="M9" s="42">
        <f>SUM(AU9:AX9)</f>
        <v>0.69999999999999984</v>
      </c>
      <c r="N9" s="42">
        <f>SUM(AY9:BB9)</f>
        <v>1.5</v>
      </c>
      <c r="O9" s="42">
        <f>SUM(BC9:BF9)</f>
        <v>45.699999999999996</v>
      </c>
      <c r="P9" s="42">
        <f>SUM(BG9:BJ9)</f>
        <v>-0.39999999999999969</v>
      </c>
      <c r="Q9" s="42">
        <f t="shared" ref="Q9:Q15" si="4">SUM(BK9:BN9)</f>
        <v>2.4</v>
      </c>
      <c r="R9" s="42">
        <f>SUM(BO9:BR9)</f>
        <v>0</v>
      </c>
      <c r="S9" s="341">
        <f>Segments!S252</f>
        <v>0</v>
      </c>
      <c r="T9" s="341">
        <f>Segments!T252</f>
        <v>0</v>
      </c>
      <c r="U9" s="341">
        <f>Segments!U252</f>
        <v>0</v>
      </c>
      <c r="V9" s="47"/>
      <c r="W9" s="341">
        <f>Segments!W252</f>
        <v>0</v>
      </c>
      <c r="X9" s="341">
        <f>Segments!X252</f>
        <v>0.2</v>
      </c>
      <c r="Y9" s="341">
        <f>Segments!Y252</f>
        <v>0.3</v>
      </c>
      <c r="Z9" s="341">
        <f>Segments!Z252</f>
        <v>1.4</v>
      </c>
      <c r="AA9" s="341">
        <f>Segments!AA252</f>
        <v>0.6</v>
      </c>
      <c r="AB9" s="341">
        <f>Segments!AB252</f>
        <v>0.4</v>
      </c>
      <c r="AC9" s="341">
        <f>Segments!AC252</f>
        <v>-0.3</v>
      </c>
      <c r="AD9" s="341">
        <f>Segments!AD252</f>
        <v>0.5</v>
      </c>
      <c r="AE9" s="341">
        <f>Segments!AE252</f>
        <v>5.5</v>
      </c>
      <c r="AF9" s="341">
        <f>Segments!AF252</f>
        <v>0.2</v>
      </c>
      <c r="AG9" s="341">
        <f>Segments!AG252</f>
        <v>1.2</v>
      </c>
      <c r="AH9" s="341">
        <f>Segments!AH252</f>
        <v>2.2000000000000002</v>
      </c>
      <c r="AI9" s="341">
        <f>Segments!AI252</f>
        <v>2.2999999999999998</v>
      </c>
      <c r="AJ9" s="341">
        <f>Segments!AJ252</f>
        <v>0</v>
      </c>
      <c r="AK9" s="341">
        <f>Segments!AK252</f>
        <v>0.3</v>
      </c>
      <c r="AL9" s="341">
        <f>Segments!AL252</f>
        <v>-0.1</v>
      </c>
      <c r="AM9" s="341">
        <f>Segments!AM252</f>
        <v>1.4</v>
      </c>
      <c r="AN9" s="341">
        <f>Segments!AN252</f>
        <v>0.2</v>
      </c>
      <c r="AO9" s="341">
        <f>Segments!AO252</f>
        <v>4.3</v>
      </c>
      <c r="AP9" s="341">
        <f>Segments!AP252</f>
        <v>2.9</v>
      </c>
      <c r="AQ9" s="341">
        <f>Segments!AQ252</f>
        <v>0.5</v>
      </c>
      <c r="AR9" s="341">
        <f>Segments!AR252</f>
        <v>-0.1</v>
      </c>
      <c r="AS9" s="341">
        <f>Segments!AS252</f>
        <v>1.1000000000000001</v>
      </c>
      <c r="AT9" s="341">
        <f>Segments!AT252</f>
        <v>6.1</v>
      </c>
      <c r="AU9" s="341">
        <f>Segments!AU252</f>
        <v>0.2</v>
      </c>
      <c r="AV9" s="341">
        <f>Segments!AV252</f>
        <v>1.5</v>
      </c>
      <c r="AW9" s="341">
        <f>Segments!AW252</f>
        <v>-0.4</v>
      </c>
      <c r="AX9" s="341">
        <f>Segments!AX252</f>
        <v>-0.6</v>
      </c>
      <c r="AY9" s="341">
        <f>Segments!AY252</f>
        <v>-0.1</v>
      </c>
      <c r="AZ9" s="341">
        <f>Segments!AZ252</f>
        <v>0.9</v>
      </c>
      <c r="BA9" s="341">
        <f>Segments!BA252</f>
        <v>0</v>
      </c>
      <c r="BB9" s="341">
        <f>Segments!BB252</f>
        <v>0.7</v>
      </c>
      <c r="BC9" s="341">
        <f>Segments!BC252</f>
        <v>-0.2</v>
      </c>
      <c r="BD9" s="341">
        <f>Segments!BD252</f>
        <v>42.4</v>
      </c>
      <c r="BE9" s="341">
        <f>Segments!BE252</f>
        <v>-0.1</v>
      </c>
      <c r="BF9" s="341">
        <f>Segments!BF252</f>
        <v>3.6</v>
      </c>
      <c r="BG9" s="341">
        <f>Segments!BG252</f>
        <v>-9.9999999999999645E-2</v>
      </c>
      <c r="BH9" s="341">
        <f>Segments!BH252</f>
        <v>-0.2</v>
      </c>
      <c r="BI9" s="341">
        <f>Segments!BI252</f>
        <v>-0.2</v>
      </c>
      <c r="BJ9" s="341">
        <f>Segments!BJ252</f>
        <v>0.1</v>
      </c>
      <c r="BK9" s="341">
        <f>Segments!BK252</f>
        <v>-0.4</v>
      </c>
      <c r="BL9" s="341">
        <f>Segments!BL252</f>
        <v>0.3</v>
      </c>
      <c r="BM9" s="341">
        <f>Segments!BM252</f>
        <v>0</v>
      </c>
      <c r="BN9" s="341">
        <f>Segments!BN252</f>
        <v>2.5</v>
      </c>
      <c r="BO9" s="341">
        <f>Segments!BO252</f>
        <v>0</v>
      </c>
      <c r="BP9" s="341">
        <f>Segments!BP252</f>
        <v>0</v>
      </c>
      <c r="BQ9" s="341">
        <f>Segments!BQ252</f>
        <v>0</v>
      </c>
      <c r="BR9" s="341">
        <f>Segments!BR252</f>
        <v>0</v>
      </c>
      <c r="BS9" s="47"/>
      <c r="BT9"/>
      <c r="BU9"/>
      <c r="BV9"/>
      <c r="BW9"/>
      <c r="BX9"/>
      <c r="BY9"/>
      <c r="CA9" s="47"/>
      <c r="CB9" s="47"/>
      <c r="CC9" s="47"/>
      <c r="CD9" s="47"/>
      <c r="CE9" s="47"/>
      <c r="CF9" s="47"/>
      <c r="CG9" s="47"/>
      <c r="CH9" s="47"/>
      <c r="CI9" s="47"/>
      <c r="CJ9" s="47"/>
      <c r="CK9" s="47"/>
      <c r="CL9" s="47"/>
      <c r="CM9" s="47"/>
    </row>
    <row r="10" spans="1:91" s="51" customFormat="1">
      <c r="B10" s="103" t="s">
        <v>264</v>
      </c>
      <c r="C10" s="89"/>
      <c r="D10" s="89"/>
      <c r="E10" s="89"/>
      <c r="F10" s="89"/>
      <c r="G10" s="112">
        <f>SUM(W10:Z10)</f>
        <v>46</v>
      </c>
      <c r="H10" s="112">
        <f>SUM(AA10:AD10)</f>
        <v>39.400000000000006</v>
      </c>
      <c r="I10" s="112">
        <f>SUM(AE10:AH10)</f>
        <v>37.699999999999996</v>
      </c>
      <c r="J10" s="112">
        <f>SUM(AI10:AL10)</f>
        <v>29.9</v>
      </c>
      <c r="K10" s="47">
        <f>SUM(AM10:AP10)</f>
        <v>9.6</v>
      </c>
      <c r="L10" s="47">
        <f>SUM(AQ10:AT10)</f>
        <v>3</v>
      </c>
      <c r="M10" s="112">
        <f>SUM(AU10:AX10)</f>
        <v>2.8</v>
      </c>
      <c r="N10" s="112">
        <f>SUM(AY10:BB10)</f>
        <v>1.7</v>
      </c>
      <c r="O10" s="47">
        <f>SUM(BC10:BF10)</f>
        <v>1.7000000000000002</v>
      </c>
      <c r="P10" s="47">
        <f>SUM(BG10:BJ10)</f>
        <v>1.7000000000000002</v>
      </c>
      <c r="Q10" s="42">
        <f>SUM(BK10:BN10)</f>
        <v>1.8</v>
      </c>
      <c r="R10" s="42">
        <f>SUM(BO10:BR10)</f>
        <v>2</v>
      </c>
      <c r="S10" s="41">
        <v>2</v>
      </c>
      <c r="T10" s="41">
        <v>2</v>
      </c>
      <c r="U10" s="41">
        <v>2</v>
      </c>
      <c r="V10" s="115"/>
      <c r="W10" s="41">
        <v>8.1</v>
      </c>
      <c r="X10" s="41">
        <v>12.2</v>
      </c>
      <c r="Y10" s="41">
        <v>14.1</v>
      </c>
      <c r="Z10" s="41">
        <v>11.6</v>
      </c>
      <c r="AA10" s="41">
        <v>8.1</v>
      </c>
      <c r="AB10" s="41">
        <v>11</v>
      </c>
      <c r="AC10" s="41">
        <v>12</v>
      </c>
      <c r="AD10" s="41">
        <v>8.3000000000000007</v>
      </c>
      <c r="AE10" s="41">
        <v>14.8</v>
      </c>
      <c r="AF10" s="41">
        <v>11</v>
      </c>
      <c r="AG10" s="41">
        <v>7.1</v>
      </c>
      <c r="AH10" s="41">
        <v>4.8</v>
      </c>
      <c r="AI10" s="41">
        <v>2.2000000000000002</v>
      </c>
      <c r="AJ10" s="41">
        <v>9</v>
      </c>
      <c r="AK10" s="41">
        <v>11.6</v>
      </c>
      <c r="AL10" s="41">
        <v>7.1</v>
      </c>
      <c r="AM10" s="41">
        <v>7</v>
      </c>
      <c r="AN10" s="41">
        <v>0.7</v>
      </c>
      <c r="AO10" s="41">
        <v>0.8</v>
      </c>
      <c r="AP10" s="41">
        <v>1.1000000000000001</v>
      </c>
      <c r="AQ10" s="41">
        <v>0.2</v>
      </c>
      <c r="AR10" s="41">
        <v>0.6</v>
      </c>
      <c r="AS10" s="41">
        <v>1.2</v>
      </c>
      <c r="AT10" s="41">
        <v>1</v>
      </c>
      <c r="AU10" s="41">
        <v>0.6</v>
      </c>
      <c r="AV10" s="41">
        <v>0.8</v>
      </c>
      <c r="AW10" s="41">
        <v>1</v>
      </c>
      <c r="AX10" s="41">
        <v>0.4</v>
      </c>
      <c r="AY10" s="41">
        <v>0.4</v>
      </c>
      <c r="AZ10" s="41">
        <v>0.5</v>
      </c>
      <c r="BA10" s="41">
        <v>0.5</v>
      </c>
      <c r="BB10" s="41">
        <v>0.3</v>
      </c>
      <c r="BC10" s="41">
        <v>0.4</v>
      </c>
      <c r="BD10" s="41">
        <v>0.4</v>
      </c>
      <c r="BE10" s="41">
        <v>0.5</v>
      </c>
      <c r="BF10" s="41">
        <v>0.4</v>
      </c>
      <c r="BG10" s="41">
        <v>0.2</v>
      </c>
      <c r="BH10" s="41">
        <v>0.4</v>
      </c>
      <c r="BI10" s="41">
        <v>0.5</v>
      </c>
      <c r="BJ10" s="41">
        <v>0.6</v>
      </c>
      <c r="BK10" s="41">
        <v>0.5</v>
      </c>
      <c r="BL10" s="41">
        <v>0.5</v>
      </c>
      <c r="BM10" s="41">
        <v>0.5</v>
      </c>
      <c r="BN10" s="41">
        <v>0.3</v>
      </c>
      <c r="BO10" s="41">
        <v>0.5</v>
      </c>
      <c r="BP10" s="41">
        <v>0.5</v>
      </c>
      <c r="BQ10" s="41">
        <v>0.5</v>
      </c>
      <c r="BR10" s="41">
        <v>0.5</v>
      </c>
      <c r="BS10" s="118"/>
      <c r="BT10"/>
      <c r="BU10"/>
      <c r="BV10"/>
      <c r="BW10"/>
      <c r="BX10"/>
      <c r="BY10"/>
      <c r="BZ10" s="89"/>
      <c r="CA10" s="89"/>
      <c r="CB10" s="89"/>
      <c r="CC10" s="89"/>
      <c r="CD10" s="89"/>
      <c r="CE10" s="89"/>
      <c r="CF10" s="89"/>
      <c r="CG10" s="89"/>
      <c r="CH10" s="89"/>
      <c r="CI10" s="89"/>
      <c r="CJ10" s="89"/>
      <c r="CK10" s="89"/>
      <c r="CL10" s="89"/>
      <c r="CM10" s="89"/>
    </row>
    <row r="11" spans="1:91" s="51" customFormat="1">
      <c r="B11" s="106" t="s">
        <v>109</v>
      </c>
      <c r="C11" s="107"/>
      <c r="D11" s="108"/>
      <c r="E11" s="108"/>
      <c r="F11" s="108"/>
      <c r="G11" s="347">
        <f>SUM(W11:Z11)</f>
        <v>160</v>
      </c>
      <c r="H11" s="347">
        <f>SUM(AA11:AD11)</f>
        <v>290.60000000000002</v>
      </c>
      <c r="I11" s="347">
        <f>SUM(AE11:AH11)</f>
        <v>220.29999999999998</v>
      </c>
      <c r="J11" s="347">
        <f>SUM(AI11:AL11)</f>
        <v>99.8</v>
      </c>
      <c r="K11" s="347">
        <f>SUM(AM11:AP11)</f>
        <v>233.5</v>
      </c>
      <c r="L11" s="347">
        <f>SUM(AQ11:AT11)</f>
        <v>261.89999999999998</v>
      </c>
      <c r="M11" s="347">
        <f>SUM(AU11:AX11)</f>
        <v>289.3</v>
      </c>
      <c r="N11" s="347">
        <f>SUM(AY11:BB11)</f>
        <v>209.4</v>
      </c>
      <c r="O11" s="347">
        <f>SUM(BC11:BF11)</f>
        <v>249.8</v>
      </c>
      <c r="P11" s="347">
        <f>SUM(BG11:BJ11)</f>
        <v>305</v>
      </c>
      <c r="Q11" s="347">
        <f t="shared" si="4"/>
        <v>385.2</v>
      </c>
      <c r="R11" s="347">
        <f>SUM(BO11:BR11)</f>
        <v>727.99443899949006</v>
      </c>
      <c r="S11" s="117">
        <f>Segments!S14</f>
        <v>845.07412684216115</v>
      </c>
      <c r="T11" s="117">
        <f>Segments!T14</f>
        <v>906.44785755720295</v>
      </c>
      <c r="U11" s="117">
        <f>Segments!U14</f>
        <v>987.4753490459002</v>
      </c>
      <c r="V11" s="52"/>
      <c r="W11" s="117">
        <f>Segments!W14</f>
        <v>26.000000000000007</v>
      </c>
      <c r="X11" s="117">
        <f>Segments!X14</f>
        <v>33.9</v>
      </c>
      <c r="Y11" s="117">
        <f>Segments!Y14</f>
        <v>51.900000000000006</v>
      </c>
      <c r="Z11" s="117">
        <f>Segments!Z14</f>
        <v>48.199999999999996</v>
      </c>
      <c r="AA11" s="117">
        <f>Segments!AA14</f>
        <v>60.5</v>
      </c>
      <c r="AB11" s="117">
        <f>Segments!AB14</f>
        <v>56.9</v>
      </c>
      <c r="AC11" s="117">
        <f>Segments!AC14</f>
        <v>99</v>
      </c>
      <c r="AD11" s="117">
        <f>Segments!AD14</f>
        <v>74.199999999999989</v>
      </c>
      <c r="AE11" s="117">
        <f>Segments!AE14</f>
        <v>75.5</v>
      </c>
      <c r="AF11" s="117">
        <f>Segments!AF14</f>
        <v>46.1</v>
      </c>
      <c r="AG11" s="117">
        <f>Segments!AG14</f>
        <v>57.699999999999989</v>
      </c>
      <c r="AH11" s="117">
        <f>Segments!AH14</f>
        <v>41</v>
      </c>
      <c r="AI11" s="117">
        <f>Segments!AI14</f>
        <v>21.900000000000002</v>
      </c>
      <c r="AJ11" s="117">
        <f>Segments!AJ14</f>
        <v>31.100000000000005</v>
      </c>
      <c r="AK11" s="117">
        <f>Segments!AK14</f>
        <v>44.899999999999991</v>
      </c>
      <c r="AL11" s="117">
        <f>Segments!AL14</f>
        <v>1.8999999999999915</v>
      </c>
      <c r="AM11" s="117">
        <f>Segments!AM14</f>
        <v>45.6</v>
      </c>
      <c r="AN11" s="117">
        <f>Segments!AN14</f>
        <v>71.399999999999991</v>
      </c>
      <c r="AO11" s="117">
        <f>Segments!AO14</f>
        <v>78.7</v>
      </c>
      <c r="AP11" s="117">
        <f>Segments!AP14</f>
        <v>37.799999999999997</v>
      </c>
      <c r="AQ11" s="117">
        <f>Segments!AQ14</f>
        <v>69.400000000000006</v>
      </c>
      <c r="AR11" s="117">
        <f>Segments!AR14</f>
        <v>70.900000000000006</v>
      </c>
      <c r="AS11" s="117">
        <f>Segments!AS14</f>
        <v>54.7</v>
      </c>
      <c r="AT11" s="117">
        <f>Segments!AT14</f>
        <v>66.900000000000006</v>
      </c>
      <c r="AU11" s="117">
        <f>Segments!AU14</f>
        <v>75</v>
      </c>
      <c r="AV11" s="117">
        <f>Segments!AV14</f>
        <v>74.5</v>
      </c>
      <c r="AW11" s="117">
        <f>Segments!AW14</f>
        <v>104.70000000000002</v>
      </c>
      <c r="AX11" s="117">
        <f>Segments!AX14</f>
        <v>35.099999999999994</v>
      </c>
      <c r="AY11" s="117">
        <f>Segments!AY14</f>
        <v>57.8</v>
      </c>
      <c r="AZ11" s="117">
        <f>Segments!AZ14</f>
        <v>64.2</v>
      </c>
      <c r="BA11" s="117">
        <f>Segments!BA14</f>
        <v>58.800000000000004</v>
      </c>
      <c r="BB11" s="117">
        <f>Segments!BB14</f>
        <v>28.6</v>
      </c>
      <c r="BC11" s="117">
        <f>Segments!BC14</f>
        <v>36.800000000000004</v>
      </c>
      <c r="BD11" s="117">
        <f>Segments!BD14</f>
        <v>92.1</v>
      </c>
      <c r="BE11" s="117">
        <f>Segments!BE14</f>
        <v>37.9</v>
      </c>
      <c r="BF11" s="117">
        <f>Segments!BF14</f>
        <v>83</v>
      </c>
      <c r="BG11" s="117">
        <f>Segments!BG14</f>
        <v>84.8</v>
      </c>
      <c r="BH11" s="117">
        <f>Segments!BH14</f>
        <v>48</v>
      </c>
      <c r="BI11" s="117">
        <f>Segments!BI14</f>
        <v>86.6</v>
      </c>
      <c r="BJ11" s="117">
        <f>Segments!BJ14</f>
        <v>85.600000000000009</v>
      </c>
      <c r="BK11" s="117">
        <f>Segments!BK14</f>
        <v>85.300000000000011</v>
      </c>
      <c r="BL11" s="117">
        <f>Segments!BL14</f>
        <v>43.199999999999996</v>
      </c>
      <c r="BM11" s="117">
        <f>Segments!BM14</f>
        <v>126.29999999999998</v>
      </c>
      <c r="BN11" s="117">
        <f>Segments!BN14</f>
        <v>130.4</v>
      </c>
      <c r="BO11" s="117">
        <f>Segments!BO14</f>
        <v>93.511391568179363</v>
      </c>
      <c r="BP11" s="117">
        <f>Segments!BP14</f>
        <v>170.66844364547313</v>
      </c>
      <c r="BQ11" s="117">
        <f>Segments!BQ14</f>
        <v>235.8220238854679</v>
      </c>
      <c r="BR11" s="117">
        <f>Segments!BR14</f>
        <v>227.99257990036963</v>
      </c>
      <c r="BS11" s="89"/>
      <c r="BT11"/>
      <c r="BU11"/>
      <c r="BV11"/>
      <c r="BW11"/>
      <c r="BX11"/>
      <c r="BY11"/>
      <c r="BZ11" s="89"/>
      <c r="CA11" s="90"/>
    </row>
    <row r="12" spans="1:91">
      <c r="B12" s="97"/>
      <c r="C12" s="97"/>
      <c r="G12" s="112"/>
      <c r="H12" s="112"/>
      <c r="I12" s="112"/>
      <c r="J12" s="112"/>
      <c r="K12" s="112"/>
      <c r="L12" s="112"/>
      <c r="N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S12" s="97"/>
    </row>
    <row r="13" spans="1:91" s="51" customFormat="1">
      <c r="B13" s="119" t="s">
        <v>305</v>
      </c>
      <c r="C13" s="89"/>
      <c r="D13" s="89"/>
      <c r="E13" s="89"/>
      <c r="F13" s="89"/>
      <c r="G13" s="112">
        <f>SUM(W13:Z13)</f>
        <v>1.2</v>
      </c>
      <c r="H13" s="112">
        <f>SUM(AA13:AD13)</f>
        <v>-25.999999999999996</v>
      </c>
      <c r="I13" s="112">
        <f>SUM(AE13:AH13)</f>
        <v>0.1</v>
      </c>
      <c r="J13" s="112">
        <f>SUM(AI13:AL13)</f>
        <v>1.5</v>
      </c>
      <c r="K13" s="47">
        <f>SUM(AM13:AP13)</f>
        <v>175.1</v>
      </c>
      <c r="L13" s="47">
        <f>SUM(AQ13:AT13)</f>
        <v>-11.3</v>
      </c>
      <c r="M13" s="112">
        <f>SUM(AU13:AX13)</f>
        <v>-1.3000000000000007</v>
      </c>
      <c r="N13" s="112">
        <f>SUM(AY13:BB13)</f>
        <v>0</v>
      </c>
      <c r="O13" s="47">
        <f>SUM(BC13:BF13)</f>
        <v>0.2</v>
      </c>
      <c r="P13" s="47">
        <f>SUM(BG13:BJ13)</f>
        <v>0</v>
      </c>
      <c r="Q13" s="42">
        <f t="shared" si="4"/>
        <v>0</v>
      </c>
      <c r="R13" s="42">
        <f>SUM(BO13:BR13)</f>
        <v>0</v>
      </c>
      <c r="S13" s="41">
        <v>0</v>
      </c>
      <c r="T13" s="41">
        <v>0</v>
      </c>
      <c r="U13" s="41">
        <v>0</v>
      </c>
      <c r="V13" s="115"/>
      <c r="W13" s="41">
        <v>0.1</v>
      </c>
      <c r="X13" s="41">
        <v>0.1</v>
      </c>
      <c r="Y13" s="41">
        <v>0</v>
      </c>
      <c r="Z13" s="41">
        <v>1</v>
      </c>
      <c r="AA13" s="41">
        <v>0.1</v>
      </c>
      <c r="AB13" s="41">
        <v>0.2</v>
      </c>
      <c r="AC13" s="41">
        <v>-26.4</v>
      </c>
      <c r="AD13" s="41">
        <v>0.1</v>
      </c>
      <c r="AE13" s="41">
        <v>0</v>
      </c>
      <c r="AF13" s="41">
        <v>0.1</v>
      </c>
      <c r="AG13" s="41">
        <v>0</v>
      </c>
      <c r="AH13" s="41">
        <v>0</v>
      </c>
      <c r="AI13" s="41">
        <v>0</v>
      </c>
      <c r="AJ13" s="41">
        <v>0.1</v>
      </c>
      <c r="AK13" s="41">
        <v>0</v>
      </c>
      <c r="AL13" s="41">
        <v>1.4</v>
      </c>
      <c r="AM13" s="41">
        <v>181.2</v>
      </c>
      <c r="AN13" s="41">
        <v>-0.6</v>
      </c>
      <c r="AO13" s="41">
        <v>-1.6</v>
      </c>
      <c r="AP13" s="41">
        <v>-3.9</v>
      </c>
      <c r="AQ13" s="41">
        <v>-2.6</v>
      </c>
      <c r="AR13" s="41">
        <v>-2.1</v>
      </c>
      <c r="AS13" s="41">
        <v>-2.2000000000000002</v>
      </c>
      <c r="AT13" s="41">
        <v>-4.4000000000000004</v>
      </c>
      <c r="AU13" s="41">
        <v>-2.2000000000000002</v>
      </c>
      <c r="AV13" s="41">
        <v>-2.2000000000000002</v>
      </c>
      <c r="AW13" s="41">
        <v>-1.9</v>
      </c>
      <c r="AX13" s="41">
        <v>5</v>
      </c>
      <c r="AY13" s="41">
        <v>0</v>
      </c>
      <c r="AZ13" s="41">
        <v>0</v>
      </c>
      <c r="BA13" s="41">
        <v>0</v>
      </c>
      <c r="BB13" s="41">
        <v>0</v>
      </c>
      <c r="BC13" s="41">
        <v>0</v>
      </c>
      <c r="BD13" s="41">
        <v>0</v>
      </c>
      <c r="BE13" s="41">
        <v>0</v>
      </c>
      <c r="BF13" s="41">
        <v>0.2</v>
      </c>
      <c r="BG13" s="41">
        <v>0</v>
      </c>
      <c r="BH13" s="41">
        <v>0</v>
      </c>
      <c r="BI13" s="41">
        <v>0</v>
      </c>
      <c r="BJ13" s="41">
        <v>0</v>
      </c>
      <c r="BK13" s="41">
        <v>0</v>
      </c>
      <c r="BL13" s="41">
        <v>0</v>
      </c>
      <c r="BM13" s="41">
        <v>0</v>
      </c>
      <c r="BN13" s="41">
        <v>0</v>
      </c>
      <c r="BO13" s="41">
        <v>0</v>
      </c>
      <c r="BP13" s="41">
        <v>0</v>
      </c>
      <c r="BQ13" s="41">
        <v>0</v>
      </c>
      <c r="BR13" s="41">
        <v>0</v>
      </c>
      <c r="BS13" s="516"/>
      <c r="BT13"/>
      <c r="BU13"/>
      <c r="BV13"/>
      <c r="BW13"/>
      <c r="BX13"/>
      <c r="BY13"/>
      <c r="BZ13" s="89"/>
      <c r="CA13" s="89"/>
      <c r="CB13" s="89"/>
      <c r="CC13" s="89"/>
      <c r="CD13" s="89"/>
      <c r="CE13" s="89"/>
      <c r="CF13" s="89"/>
      <c r="CG13" s="89"/>
      <c r="CH13" s="89"/>
      <c r="CI13" s="89"/>
      <c r="CJ13" s="89"/>
      <c r="CK13" s="89"/>
      <c r="CL13" s="89"/>
      <c r="CM13" s="89"/>
    </row>
    <row r="14" spans="1:91" s="51" customFormat="1">
      <c r="B14" s="103" t="s">
        <v>262</v>
      </c>
      <c r="C14" s="89"/>
      <c r="D14" s="89"/>
      <c r="E14" s="89"/>
      <c r="F14" s="89"/>
      <c r="G14" s="112">
        <f>SUM(W14:Z14)</f>
        <v>-22.1</v>
      </c>
      <c r="H14" s="112">
        <f>SUM(AA14:AD14)</f>
        <v>-13.3</v>
      </c>
      <c r="I14" s="112">
        <f>SUM(AE14:AH14)</f>
        <v>-11.6</v>
      </c>
      <c r="J14" s="112">
        <f>SUM(AI14:AL14)</f>
        <v>-25.4</v>
      </c>
      <c r="K14" s="47">
        <f>SUM(AM14:AP14)</f>
        <v>-30.4</v>
      </c>
      <c r="L14" s="112">
        <f>SUM(AQ14:AT14)</f>
        <v>-26.4</v>
      </c>
      <c r="M14" s="112">
        <f>SUM(AU14:AX14)</f>
        <v>-38.599999999999994</v>
      </c>
      <c r="N14" s="112">
        <f>SUM(AY14:BB14)</f>
        <v>-43.8</v>
      </c>
      <c r="O14" s="47">
        <f>SUM(BC14:BF14)</f>
        <v>-97</v>
      </c>
      <c r="P14" s="47">
        <f>SUM(BG14:BJ14)</f>
        <v>-191.89999999999998</v>
      </c>
      <c r="Q14" s="42">
        <f t="shared" si="4"/>
        <v>-217.4</v>
      </c>
      <c r="R14" s="42">
        <f>SUM(BO14:BR14)</f>
        <v>-240.04222874999999</v>
      </c>
      <c r="S14" s="341">
        <f>BS!S101</f>
        <v>-236.57293187499999</v>
      </c>
      <c r="T14" s="341">
        <f>BS!T101</f>
        <v>-232.47285374999998</v>
      </c>
      <c r="U14" s="341">
        <f>BS!U101</f>
        <v>-227.42660375000003</v>
      </c>
      <c r="V14" s="115"/>
      <c r="W14" s="41">
        <v>-5</v>
      </c>
      <c r="X14" s="41">
        <v>-4.9000000000000004</v>
      </c>
      <c r="Y14" s="41">
        <v>-6</v>
      </c>
      <c r="Z14" s="41">
        <v>-6.2</v>
      </c>
      <c r="AA14" s="41">
        <v>-4.5</v>
      </c>
      <c r="AB14" s="41">
        <v>-3.7</v>
      </c>
      <c r="AC14" s="41">
        <v>-3.3</v>
      </c>
      <c r="AD14" s="41">
        <v>-1.8</v>
      </c>
      <c r="AE14" s="41">
        <v>-1.6</v>
      </c>
      <c r="AF14" s="41">
        <v>-1.7</v>
      </c>
      <c r="AG14" s="41">
        <v>-1.9</v>
      </c>
      <c r="AH14" s="41">
        <v>-6.4</v>
      </c>
      <c r="AI14" s="41">
        <v>-6.9</v>
      </c>
      <c r="AJ14" s="41">
        <v>-6.2</v>
      </c>
      <c r="AK14" s="41">
        <v>-6.4</v>
      </c>
      <c r="AL14" s="41">
        <v>-5.9</v>
      </c>
      <c r="AM14" s="41">
        <v>-7.2</v>
      </c>
      <c r="AN14" s="41">
        <v>-7.4</v>
      </c>
      <c r="AO14" s="41">
        <v>-7.9</v>
      </c>
      <c r="AP14" s="41">
        <v>-7.9</v>
      </c>
      <c r="AQ14" s="41">
        <v>-6.5</v>
      </c>
      <c r="AR14" s="41">
        <v>-5.8</v>
      </c>
      <c r="AS14" s="41">
        <v>-6</v>
      </c>
      <c r="AT14" s="41">
        <v>-8.1</v>
      </c>
      <c r="AU14" s="41">
        <v>-9.1</v>
      </c>
      <c r="AV14" s="41">
        <v>-9.6999999999999993</v>
      </c>
      <c r="AW14" s="41">
        <v>-9.9</v>
      </c>
      <c r="AX14" s="41">
        <v>-9.9</v>
      </c>
      <c r="AY14" s="41">
        <v>-9.6999999999999993</v>
      </c>
      <c r="AZ14" s="41">
        <v>-9.6</v>
      </c>
      <c r="BA14" s="41">
        <v>-17.7</v>
      </c>
      <c r="BB14" s="41">
        <v>-6.8</v>
      </c>
      <c r="BC14" s="41">
        <v>-7.1</v>
      </c>
      <c r="BD14" s="41">
        <v>-18.2</v>
      </c>
      <c r="BE14" s="41">
        <v>-14.4</v>
      </c>
      <c r="BF14" s="41">
        <v>-57.3</v>
      </c>
      <c r="BG14" s="41">
        <v>-48.5</v>
      </c>
      <c r="BH14" s="41">
        <v>-47.6</v>
      </c>
      <c r="BI14" s="41">
        <v>-47.5</v>
      </c>
      <c r="BJ14" s="41">
        <v>-48.3</v>
      </c>
      <c r="BK14" s="41">
        <v>-52.4</v>
      </c>
      <c r="BL14" s="41">
        <v>-52.5</v>
      </c>
      <c r="BM14" s="41">
        <v>-53.1</v>
      </c>
      <c r="BN14" s="41">
        <v>-59.4</v>
      </c>
      <c r="BO14" s="341">
        <f>BS!$R$101/4</f>
        <v>-60.010557187499998</v>
      </c>
      <c r="BP14" s="341">
        <f>BS!$R$101/4</f>
        <v>-60.010557187499998</v>
      </c>
      <c r="BQ14" s="341">
        <f>BS!$R$101/4</f>
        <v>-60.010557187499998</v>
      </c>
      <c r="BR14" s="341">
        <f>BS!$R$101/4</f>
        <v>-60.010557187499998</v>
      </c>
      <c r="BS14" s="517"/>
      <c r="BT14"/>
      <c r="BU14"/>
      <c r="BV14"/>
      <c r="BW14"/>
      <c r="BX14"/>
      <c r="BY14"/>
      <c r="BZ14" s="89"/>
      <c r="CA14" s="89"/>
      <c r="CB14" s="89"/>
      <c r="CC14" s="89"/>
      <c r="CD14" s="89"/>
      <c r="CE14" s="89"/>
      <c r="CF14" s="89"/>
      <c r="CG14" s="89"/>
      <c r="CH14" s="89"/>
      <c r="CI14" s="89"/>
      <c r="CJ14" s="89"/>
      <c r="CK14" s="89"/>
      <c r="CL14" s="89"/>
      <c r="CM14" s="89"/>
    </row>
    <row r="15" spans="1:91" s="51" customFormat="1">
      <c r="B15" s="103" t="s">
        <v>261</v>
      </c>
      <c r="C15" s="89"/>
      <c r="D15" s="89"/>
      <c r="E15" s="89"/>
      <c r="F15" s="89"/>
      <c r="G15" s="112">
        <f>SUM(W15:Z15)</f>
        <v>11.6</v>
      </c>
      <c r="H15" s="112">
        <f>SUM(AA15:AD15)</f>
        <v>6.1999999999999993</v>
      </c>
      <c r="I15" s="112">
        <f>SUM(AE15:AH15)</f>
        <v>1.1000000000000001</v>
      </c>
      <c r="J15" s="112">
        <f>SUM(AI15:AL15)</f>
        <v>1</v>
      </c>
      <c r="K15" s="47">
        <f>SUM(AM15:AP15)</f>
        <v>1.2</v>
      </c>
      <c r="L15" s="112">
        <f>SUM(AQ15:AT15)</f>
        <v>1</v>
      </c>
      <c r="M15" s="112">
        <f>SUM(AU15:AX15)</f>
        <v>0.60000000000000009</v>
      </c>
      <c r="N15" s="112">
        <f>SUM(AY15:BB15)</f>
        <v>1.2999999999999998</v>
      </c>
      <c r="O15" s="47">
        <f>SUM(BC15:BF15)</f>
        <v>1.0999999999999999</v>
      </c>
      <c r="P15" s="47">
        <f>SUM(BG15:BJ15)</f>
        <v>3.4000000000000004</v>
      </c>
      <c r="Q15" s="42">
        <f t="shared" si="4"/>
        <v>1.8</v>
      </c>
      <c r="R15" s="42">
        <f>SUM(BO15:BR15)</f>
        <v>2</v>
      </c>
      <c r="S15" s="41">
        <f>+R15</f>
        <v>2</v>
      </c>
      <c r="T15" s="41">
        <f t="shared" ref="T15:U15" si="5">+S15</f>
        <v>2</v>
      </c>
      <c r="U15" s="41">
        <f t="shared" si="5"/>
        <v>2</v>
      </c>
      <c r="V15" s="115"/>
      <c r="W15" s="41">
        <v>3.4</v>
      </c>
      <c r="X15" s="41">
        <v>3.1</v>
      </c>
      <c r="Y15" s="41">
        <v>2.7</v>
      </c>
      <c r="Z15" s="41">
        <v>2.4</v>
      </c>
      <c r="AA15" s="41">
        <v>2.8</v>
      </c>
      <c r="AB15" s="41">
        <v>1.4</v>
      </c>
      <c r="AC15" s="41">
        <v>1</v>
      </c>
      <c r="AD15" s="41">
        <v>1</v>
      </c>
      <c r="AE15" s="41">
        <v>0.5</v>
      </c>
      <c r="AF15" s="41">
        <v>0.3</v>
      </c>
      <c r="AG15" s="41">
        <v>0.1</v>
      </c>
      <c r="AH15" s="41">
        <v>0.2</v>
      </c>
      <c r="AI15" s="41">
        <v>0.2</v>
      </c>
      <c r="AJ15" s="41">
        <v>0.2</v>
      </c>
      <c r="AK15" s="41">
        <v>0.3</v>
      </c>
      <c r="AL15" s="41">
        <v>0.3</v>
      </c>
      <c r="AM15" s="41">
        <v>0.2</v>
      </c>
      <c r="AN15" s="41">
        <v>0.3</v>
      </c>
      <c r="AO15" s="41">
        <v>0.2</v>
      </c>
      <c r="AP15" s="41">
        <v>0.5</v>
      </c>
      <c r="AQ15" s="41">
        <v>0.2</v>
      </c>
      <c r="AR15" s="41">
        <v>0.3</v>
      </c>
      <c r="AS15" s="41">
        <v>0.2</v>
      </c>
      <c r="AT15" s="41">
        <v>0.3</v>
      </c>
      <c r="AU15" s="41">
        <v>0.1</v>
      </c>
      <c r="AV15" s="41">
        <v>0.1</v>
      </c>
      <c r="AW15" s="41">
        <v>0.1</v>
      </c>
      <c r="AX15" s="41">
        <v>0.3</v>
      </c>
      <c r="AY15" s="41">
        <v>0.3</v>
      </c>
      <c r="AZ15" s="41">
        <v>0.4</v>
      </c>
      <c r="BA15" s="41">
        <v>0.2</v>
      </c>
      <c r="BB15" s="41">
        <v>0.4</v>
      </c>
      <c r="BC15" s="41">
        <v>0.3</v>
      </c>
      <c r="BD15" s="41">
        <v>0.3</v>
      </c>
      <c r="BE15" s="41">
        <v>0.3</v>
      </c>
      <c r="BF15" s="41">
        <v>0.2</v>
      </c>
      <c r="BG15" s="41">
        <v>0.3</v>
      </c>
      <c r="BH15" s="41">
        <v>0.5</v>
      </c>
      <c r="BI15" s="41">
        <v>0.5</v>
      </c>
      <c r="BJ15" s="41">
        <v>2.1</v>
      </c>
      <c r="BK15" s="41">
        <v>0.2</v>
      </c>
      <c r="BL15" s="41">
        <v>0.4</v>
      </c>
      <c r="BM15" s="41">
        <v>0.4</v>
      </c>
      <c r="BN15" s="41">
        <v>0.8</v>
      </c>
      <c r="BO15" s="41">
        <v>0.5</v>
      </c>
      <c r="BP15" s="41">
        <v>0.5</v>
      </c>
      <c r="BQ15" s="41">
        <v>0.5</v>
      </c>
      <c r="BR15" s="41">
        <v>0.5</v>
      </c>
      <c r="BS15" s="118"/>
      <c r="BT15"/>
      <c r="BU15"/>
      <c r="BV15"/>
      <c r="BW15"/>
      <c r="BX15"/>
      <c r="BY15"/>
      <c r="BZ15" s="89"/>
      <c r="CA15" s="89"/>
      <c r="CB15" s="89"/>
      <c r="CC15" s="89"/>
      <c r="CD15" s="89"/>
      <c r="CE15" s="89"/>
      <c r="CF15" s="89"/>
      <c r="CG15" s="89"/>
      <c r="CH15" s="89"/>
      <c r="CI15" s="89"/>
      <c r="CJ15" s="89"/>
      <c r="CK15" s="89"/>
      <c r="CL15" s="89"/>
      <c r="CM15" s="89"/>
    </row>
    <row r="16" spans="1:91" s="51" customFormat="1">
      <c r="B16" s="38" t="s">
        <v>265</v>
      </c>
      <c r="C16" s="90"/>
      <c r="G16" s="120">
        <f t="shared" ref="G16:T16" si="6">G11+SUM(G13:G15)</f>
        <v>150.69999999999999</v>
      </c>
      <c r="H16" s="120">
        <f t="shared" si="6"/>
        <v>257.5</v>
      </c>
      <c r="I16" s="120">
        <f t="shared" si="6"/>
        <v>209.89999999999998</v>
      </c>
      <c r="J16" s="120">
        <f t="shared" si="6"/>
        <v>76.900000000000006</v>
      </c>
      <c r="K16" s="120">
        <f t="shared" si="6"/>
        <v>379.4</v>
      </c>
      <c r="L16" s="120">
        <f t="shared" si="6"/>
        <v>225.2</v>
      </c>
      <c r="M16" s="120">
        <f t="shared" si="6"/>
        <v>250.00000000000003</v>
      </c>
      <c r="N16" s="120">
        <f t="shared" si="6"/>
        <v>166.9</v>
      </c>
      <c r="O16" s="120">
        <f t="shared" si="6"/>
        <v>154.10000000000002</v>
      </c>
      <c r="P16" s="120">
        <f t="shared" si="6"/>
        <v>116.50000000000003</v>
      </c>
      <c r="Q16" s="120">
        <f t="shared" si="6"/>
        <v>169.6</v>
      </c>
      <c r="R16" s="120">
        <f t="shared" si="6"/>
        <v>489.95221024949007</v>
      </c>
      <c r="S16" s="120">
        <f t="shared" si="6"/>
        <v>610.50119496716115</v>
      </c>
      <c r="T16" s="120">
        <f t="shared" si="6"/>
        <v>675.97500380720294</v>
      </c>
      <c r="U16" s="120">
        <f>U11+SUM(U13:U15)</f>
        <v>762.04874529590018</v>
      </c>
      <c r="W16" s="120">
        <f t="shared" ref="W16:AT16" si="7">W11+SUM(W13:W15)</f>
        <v>24.500000000000007</v>
      </c>
      <c r="X16" s="120">
        <f t="shared" si="7"/>
        <v>32.199999999999996</v>
      </c>
      <c r="Y16" s="120">
        <f t="shared" si="7"/>
        <v>48.600000000000009</v>
      </c>
      <c r="Z16" s="120">
        <f t="shared" si="7"/>
        <v>45.4</v>
      </c>
      <c r="AA16" s="120">
        <f t="shared" si="7"/>
        <v>58.9</v>
      </c>
      <c r="AB16" s="120">
        <f t="shared" si="7"/>
        <v>54.8</v>
      </c>
      <c r="AC16" s="120">
        <f t="shared" si="7"/>
        <v>70.3</v>
      </c>
      <c r="AD16" s="120">
        <f t="shared" si="7"/>
        <v>73.499999999999986</v>
      </c>
      <c r="AE16" s="120">
        <f t="shared" si="7"/>
        <v>74.400000000000006</v>
      </c>
      <c r="AF16" s="120">
        <f t="shared" si="7"/>
        <v>44.800000000000004</v>
      </c>
      <c r="AG16" s="120">
        <f t="shared" si="7"/>
        <v>55.899999999999991</v>
      </c>
      <c r="AH16" s="120">
        <f t="shared" si="7"/>
        <v>34.799999999999997</v>
      </c>
      <c r="AI16" s="120">
        <f t="shared" si="7"/>
        <v>15.200000000000003</v>
      </c>
      <c r="AJ16" s="120">
        <f t="shared" si="7"/>
        <v>25.200000000000003</v>
      </c>
      <c r="AK16" s="120">
        <f t="shared" si="7"/>
        <v>38.79999999999999</v>
      </c>
      <c r="AL16" s="120">
        <f t="shared" si="7"/>
        <v>-2.3000000000000087</v>
      </c>
      <c r="AM16" s="120">
        <f t="shared" si="7"/>
        <v>219.79999999999998</v>
      </c>
      <c r="AN16" s="120">
        <f t="shared" si="7"/>
        <v>63.699999999999989</v>
      </c>
      <c r="AO16" s="120">
        <f t="shared" si="7"/>
        <v>69.400000000000006</v>
      </c>
      <c r="AP16" s="120">
        <f t="shared" si="7"/>
        <v>26.499999999999996</v>
      </c>
      <c r="AQ16" s="120">
        <f t="shared" si="7"/>
        <v>60.500000000000007</v>
      </c>
      <c r="AR16" s="120">
        <f t="shared" si="7"/>
        <v>63.300000000000004</v>
      </c>
      <c r="AS16" s="120">
        <f t="shared" si="7"/>
        <v>46.7</v>
      </c>
      <c r="AT16" s="120">
        <f t="shared" si="7"/>
        <v>54.7</v>
      </c>
      <c r="AU16" s="120">
        <f t="shared" ref="AU16:BM16" si="8">AU11+SUM(AU13:AU15)</f>
        <v>63.8</v>
      </c>
      <c r="AV16" s="120">
        <f t="shared" si="8"/>
        <v>62.7</v>
      </c>
      <c r="AW16" s="120">
        <f t="shared" si="8"/>
        <v>93.000000000000014</v>
      </c>
      <c r="AX16" s="120">
        <f t="shared" si="8"/>
        <v>30.499999999999993</v>
      </c>
      <c r="AY16" s="120">
        <f t="shared" si="8"/>
        <v>48.4</v>
      </c>
      <c r="AZ16" s="120">
        <f t="shared" si="8"/>
        <v>55</v>
      </c>
      <c r="BA16" s="120">
        <f t="shared" si="8"/>
        <v>41.300000000000004</v>
      </c>
      <c r="BB16" s="120">
        <f t="shared" si="8"/>
        <v>22.200000000000003</v>
      </c>
      <c r="BC16" s="120">
        <f t="shared" si="8"/>
        <v>30.000000000000004</v>
      </c>
      <c r="BD16" s="120">
        <f t="shared" si="8"/>
        <v>74.199999999999989</v>
      </c>
      <c r="BE16" s="120">
        <f t="shared" si="8"/>
        <v>23.799999999999997</v>
      </c>
      <c r="BF16" s="120">
        <f t="shared" si="8"/>
        <v>26.100000000000009</v>
      </c>
      <c r="BG16" s="120">
        <f t="shared" si="8"/>
        <v>36.599999999999994</v>
      </c>
      <c r="BH16" s="120">
        <f t="shared" si="8"/>
        <v>0.89999999999999858</v>
      </c>
      <c r="BI16" s="120">
        <f t="shared" si="8"/>
        <v>39.599999999999994</v>
      </c>
      <c r="BJ16" s="120">
        <f t="shared" si="8"/>
        <v>39.400000000000013</v>
      </c>
      <c r="BK16" s="120">
        <f t="shared" si="8"/>
        <v>33.100000000000016</v>
      </c>
      <c r="BL16" s="120">
        <f t="shared" si="8"/>
        <v>-8.9000000000000057</v>
      </c>
      <c r="BM16" s="120">
        <f t="shared" si="8"/>
        <v>73.59999999999998</v>
      </c>
      <c r="BN16" s="120">
        <f>BN11+SUM(BN13:BN15)</f>
        <v>71.800000000000011</v>
      </c>
      <c r="BO16" s="120">
        <f>BO11+SUM(BO13:BO15)</f>
        <v>34.000834380679365</v>
      </c>
      <c r="BP16" s="120">
        <f>BP11+SUM(BP13:BP15)</f>
        <v>111.15788645797313</v>
      </c>
      <c r="BQ16" s="120">
        <f>BQ11+SUM(BQ13:BQ15)</f>
        <v>176.31146669796789</v>
      </c>
      <c r="BR16" s="120">
        <f>BR11+SUM(BR13:BR15)</f>
        <v>168.48202271286965</v>
      </c>
      <c r="BS16" s="118"/>
      <c r="BT16"/>
      <c r="BU16"/>
      <c r="BV16"/>
      <c r="BW16"/>
      <c r="BX16"/>
      <c r="BY16"/>
    </row>
    <row r="17" spans="2:91">
      <c r="B17" s="43"/>
      <c r="C17" s="43"/>
      <c r="D17" s="15"/>
      <c r="E17" s="15"/>
      <c r="F17" s="15"/>
      <c r="G17" s="97"/>
      <c r="H17" s="97"/>
      <c r="I17" s="97"/>
      <c r="J17" s="97"/>
      <c r="K17" s="97"/>
      <c r="L17" s="97"/>
      <c r="M17" s="97"/>
      <c r="N17" s="97"/>
      <c r="O17" s="97"/>
      <c r="P17" s="97"/>
      <c r="Q17" s="97"/>
      <c r="R17" s="97"/>
      <c r="S17" s="505"/>
      <c r="T17" s="97"/>
      <c r="U17" s="97"/>
      <c r="V17" s="43"/>
      <c r="W17" s="97"/>
      <c r="X17" s="97"/>
      <c r="Y17" s="97"/>
      <c r="Z17" s="97"/>
      <c r="AA17" s="97"/>
      <c r="AB17" s="97"/>
      <c r="AC17" s="97"/>
      <c r="AD17" s="97"/>
      <c r="AE17" s="97"/>
      <c r="AF17" s="97"/>
      <c r="AG17" s="97"/>
      <c r="AH17" s="97"/>
      <c r="AI17" s="97"/>
      <c r="AJ17" s="121"/>
      <c r="AK17" s="97"/>
      <c r="AL17" s="97"/>
      <c r="AM17" s="97"/>
      <c r="AN17" s="97"/>
      <c r="AO17" s="97"/>
      <c r="AP17" s="122"/>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c r="BS17" s="118"/>
      <c r="BZ17" s="43"/>
      <c r="CA17" s="43"/>
      <c r="CB17" s="43"/>
      <c r="CC17" s="43"/>
      <c r="CD17" s="43"/>
      <c r="CE17" s="43"/>
      <c r="CF17" s="43"/>
      <c r="CG17" s="43"/>
      <c r="CH17" s="43"/>
      <c r="CI17" s="43"/>
      <c r="CJ17" s="43"/>
      <c r="CK17" s="43"/>
      <c r="CL17" s="43"/>
      <c r="CM17" s="43"/>
    </row>
    <row r="18" spans="2:91" s="45" customFormat="1">
      <c r="B18" s="103" t="s">
        <v>537</v>
      </c>
      <c r="C18" s="123"/>
      <c r="D18" s="47"/>
      <c r="E18" s="47"/>
      <c r="F18" s="47"/>
      <c r="G18" s="42">
        <f t="shared" ref="G18:Q18" si="9">+G19+G20</f>
        <v>-49.900000000000006</v>
      </c>
      <c r="H18" s="42">
        <f t="shared" si="9"/>
        <v>-99.8</v>
      </c>
      <c r="I18" s="42">
        <f t="shared" si="9"/>
        <v>-74.2</v>
      </c>
      <c r="J18" s="42">
        <f t="shared" si="9"/>
        <v>-12.099999999999998</v>
      </c>
      <c r="K18" s="42">
        <f t="shared" si="9"/>
        <v>-137.69999999999999</v>
      </c>
      <c r="L18" s="42">
        <f t="shared" si="9"/>
        <v>-75.599999999999994</v>
      </c>
      <c r="M18" s="42">
        <f t="shared" si="9"/>
        <v>-71.399999999999991</v>
      </c>
      <c r="N18" s="42">
        <f t="shared" si="9"/>
        <v>-59.169999999999995</v>
      </c>
      <c r="O18" s="42">
        <f t="shared" si="9"/>
        <v>-58.5</v>
      </c>
      <c r="P18" s="42">
        <f t="shared" si="9"/>
        <v>-25.458999999999996</v>
      </c>
      <c r="Q18" s="42">
        <f t="shared" si="9"/>
        <v>-18.699999999999932</v>
      </c>
      <c r="R18" s="42">
        <f>+R19+R20</f>
        <v>-122.48805256237252</v>
      </c>
      <c r="S18" s="42">
        <f>-S21*S16</f>
        <v>-152.62529874179029</v>
      </c>
      <c r="T18" s="42">
        <f>-T21*T16</f>
        <v>-168.99375095180073</v>
      </c>
      <c r="U18" s="42">
        <f>-U21*U16</f>
        <v>-190.51218632397504</v>
      </c>
      <c r="V18" s="47"/>
      <c r="W18" s="42">
        <f t="shared" ref="W18:BK18" si="10">+W19+W20</f>
        <v>-7.9</v>
      </c>
      <c r="X18" s="42">
        <f t="shared" si="10"/>
        <v>-10.3</v>
      </c>
      <c r="Y18" s="42">
        <f t="shared" si="10"/>
        <v>-15.9</v>
      </c>
      <c r="Z18" s="42">
        <f t="shared" si="10"/>
        <v>-15.8</v>
      </c>
      <c r="AA18" s="42">
        <f t="shared" si="10"/>
        <v>-21.6</v>
      </c>
      <c r="AB18" s="42">
        <f t="shared" si="10"/>
        <v>-19.3</v>
      </c>
      <c r="AC18" s="42">
        <f t="shared" si="10"/>
        <v>-32.6</v>
      </c>
      <c r="AD18" s="42">
        <f t="shared" si="10"/>
        <v>-26.3</v>
      </c>
      <c r="AE18" s="42">
        <f t="shared" si="10"/>
        <v>-27.7</v>
      </c>
      <c r="AF18" s="42">
        <f t="shared" si="10"/>
        <v>-17</v>
      </c>
      <c r="AG18" s="42">
        <f t="shared" si="10"/>
        <v>-16.5</v>
      </c>
      <c r="AH18" s="42">
        <f t="shared" si="10"/>
        <v>-13</v>
      </c>
      <c r="AI18" s="42">
        <f t="shared" si="10"/>
        <v>-1.1000000000000001</v>
      </c>
      <c r="AJ18" s="42">
        <f t="shared" si="10"/>
        <v>-8.3000000000000007</v>
      </c>
      <c r="AK18" s="42">
        <f t="shared" si="10"/>
        <v>-7</v>
      </c>
      <c r="AL18" s="42">
        <f t="shared" si="10"/>
        <v>4.3</v>
      </c>
      <c r="AM18" s="42">
        <f t="shared" si="10"/>
        <v>-86.1</v>
      </c>
      <c r="AN18" s="42">
        <f t="shared" si="10"/>
        <v>-21.6</v>
      </c>
      <c r="AO18" s="42">
        <f t="shared" si="10"/>
        <v>-22.2</v>
      </c>
      <c r="AP18" s="42">
        <f t="shared" si="10"/>
        <v>-7.8</v>
      </c>
      <c r="AQ18" s="42">
        <f t="shared" si="10"/>
        <v>-21.8</v>
      </c>
      <c r="AR18" s="42">
        <f t="shared" si="10"/>
        <v>-15.7</v>
      </c>
      <c r="AS18" s="42">
        <f t="shared" si="10"/>
        <v>-18</v>
      </c>
      <c r="AT18" s="42">
        <f t="shared" si="10"/>
        <v>-20.100000000000001</v>
      </c>
      <c r="AU18" s="42">
        <f t="shared" si="10"/>
        <v>-23.3</v>
      </c>
      <c r="AV18" s="42">
        <f t="shared" si="10"/>
        <v>-19</v>
      </c>
      <c r="AW18" s="42">
        <f t="shared" si="10"/>
        <v>-23.3</v>
      </c>
      <c r="AX18" s="42">
        <f t="shared" si="10"/>
        <v>-5.8</v>
      </c>
      <c r="AY18" s="42">
        <f t="shared" si="10"/>
        <v>-18.77</v>
      </c>
      <c r="AZ18" s="42">
        <f t="shared" si="10"/>
        <v>-18.27</v>
      </c>
      <c r="BA18" s="42">
        <f t="shared" si="10"/>
        <v>-14.549999999999999</v>
      </c>
      <c r="BB18" s="42">
        <f t="shared" si="10"/>
        <v>-7.5799999999999992</v>
      </c>
      <c r="BC18" s="42">
        <f t="shared" si="10"/>
        <v>-10.14</v>
      </c>
      <c r="BD18" s="42">
        <f t="shared" si="10"/>
        <v>-25.074999999999999</v>
      </c>
      <c r="BE18" s="42">
        <f t="shared" si="10"/>
        <v>-8.4749999999999996</v>
      </c>
      <c r="BF18" s="42">
        <f t="shared" si="10"/>
        <v>-14.809999999999999</v>
      </c>
      <c r="BG18" s="42">
        <f t="shared" si="10"/>
        <v>-16.54</v>
      </c>
      <c r="BH18" s="42">
        <f t="shared" si="10"/>
        <v>13.535000000000002</v>
      </c>
      <c r="BI18" s="42">
        <f t="shared" si="10"/>
        <v>-10.571</v>
      </c>
      <c r="BJ18" s="42">
        <f>+BJ19+BJ20</f>
        <v>-11.882999999999999</v>
      </c>
      <c r="BK18" s="42">
        <f t="shared" si="10"/>
        <v>-8.3000000000000007</v>
      </c>
      <c r="BL18" s="42">
        <f>+BL19+BL20</f>
        <v>12.675000000000001</v>
      </c>
      <c r="BM18" s="42">
        <f>+BM19+BM20</f>
        <v>-11</v>
      </c>
      <c r="BN18" s="42">
        <f>+BN19+BN20</f>
        <v>-12.074999999999932</v>
      </c>
      <c r="BO18" s="42">
        <f>-BO21*BO16</f>
        <v>-8.5002085951698412</v>
      </c>
      <c r="BP18" s="42">
        <f>-BP21*BP16</f>
        <v>-27.789471614493284</v>
      </c>
      <c r="BQ18" s="42">
        <f>-BQ21*BQ16</f>
        <v>-44.077866674491972</v>
      </c>
      <c r="BR18" s="42">
        <f>-BR21*BR16</f>
        <v>-42.120505678217413</v>
      </c>
      <c r="BS18" s="118"/>
      <c r="BT18"/>
      <c r="BU18"/>
      <c r="BV18"/>
      <c r="BW18"/>
      <c r="BX18"/>
      <c r="BY18"/>
      <c r="BZ18" s="47"/>
      <c r="CA18" s="47"/>
      <c r="CB18" s="47"/>
      <c r="CC18" s="47"/>
      <c r="CD18" s="47"/>
      <c r="CE18" s="47"/>
      <c r="CF18" s="47"/>
      <c r="CG18" s="47"/>
      <c r="CH18" s="47"/>
      <c r="CI18" s="47"/>
      <c r="CJ18" s="47"/>
      <c r="CK18" s="47"/>
      <c r="CL18" s="47"/>
      <c r="CM18" s="47"/>
    </row>
    <row r="19" spans="2:91" s="45" customFormat="1">
      <c r="B19" s="232" t="s">
        <v>538</v>
      </c>
      <c r="C19" s="123"/>
      <c r="D19" s="47"/>
      <c r="E19" s="47"/>
      <c r="F19" s="47"/>
      <c r="G19" s="112">
        <f>SUM(W19:Z19)</f>
        <v>-49.900000000000006</v>
      </c>
      <c r="H19" s="112">
        <f>SUM(AA19:AD19)</f>
        <v>-99.8</v>
      </c>
      <c r="I19" s="112">
        <f>SUM(AE19:AH19)</f>
        <v>-74.2</v>
      </c>
      <c r="J19" s="112">
        <f>SUM(AI19:AL19)</f>
        <v>-12.099999999999998</v>
      </c>
      <c r="K19" s="47">
        <f>SUM(AM19:AP19)</f>
        <v>-137.69999999999999</v>
      </c>
      <c r="L19" s="112">
        <f>SUM(AQ19:AT19)</f>
        <v>-75.599999999999994</v>
      </c>
      <c r="M19" s="112">
        <f>SUM(AU19:AX19)</f>
        <v>-71.399999999999991</v>
      </c>
      <c r="N19" s="112">
        <f>SUM(AY19:BB19)</f>
        <v>-57.699999999999996</v>
      </c>
      <c r="O19" s="112">
        <f>SUM(BC19:BF19)</f>
        <v>-8.0999999999999979</v>
      </c>
      <c r="P19" s="47">
        <f>SUM(BG19:BJ19)</f>
        <v>30.300000000000004</v>
      </c>
      <c r="Q19" s="42">
        <f>SUM(BK19:BN19)</f>
        <v>432.3</v>
      </c>
      <c r="R19" s="42">
        <f>SUM(BO19:BR19)</f>
        <v>-104.98805256237252</v>
      </c>
      <c r="S19" s="42">
        <f>+S18-S20</f>
        <v>-145.12529874179029</v>
      </c>
      <c r="T19" s="42">
        <f>+T18-T20</f>
        <v>-165.24375095180073</v>
      </c>
      <c r="U19" s="42">
        <f>+U18-U20</f>
        <v>-190.51218632397504</v>
      </c>
      <c r="V19" s="47"/>
      <c r="W19" s="41">
        <v>-7.9</v>
      </c>
      <c r="X19" s="41">
        <v>-10.3</v>
      </c>
      <c r="Y19" s="41">
        <v>-15.9</v>
      </c>
      <c r="Z19" s="41">
        <v>-15.8</v>
      </c>
      <c r="AA19" s="41">
        <v>-21.6</v>
      </c>
      <c r="AB19" s="41">
        <v>-19.3</v>
      </c>
      <c r="AC19" s="41">
        <v>-32.6</v>
      </c>
      <c r="AD19" s="41">
        <v>-26.3</v>
      </c>
      <c r="AE19" s="41">
        <v>-27.7</v>
      </c>
      <c r="AF19" s="41">
        <v>-17</v>
      </c>
      <c r="AG19" s="41">
        <v>-16.5</v>
      </c>
      <c r="AH19" s="41">
        <v>-13</v>
      </c>
      <c r="AI19" s="41">
        <v>-1.1000000000000001</v>
      </c>
      <c r="AJ19" s="41">
        <v>-8.3000000000000007</v>
      </c>
      <c r="AK19" s="41">
        <v>-7</v>
      </c>
      <c r="AL19" s="41">
        <v>4.3</v>
      </c>
      <c r="AM19" s="41">
        <v>-86.1</v>
      </c>
      <c r="AN19" s="41">
        <v>-21.6</v>
      </c>
      <c r="AO19" s="41">
        <v>-22.2</v>
      </c>
      <c r="AP19" s="41">
        <v>-7.8</v>
      </c>
      <c r="AQ19" s="41">
        <v>-21.8</v>
      </c>
      <c r="AR19" s="41">
        <v>-15.7</v>
      </c>
      <c r="AS19" s="41">
        <v>-18</v>
      </c>
      <c r="AT19" s="41">
        <v>-20.100000000000001</v>
      </c>
      <c r="AU19" s="41">
        <v>-23.3</v>
      </c>
      <c r="AV19" s="41">
        <v>-19</v>
      </c>
      <c r="AW19" s="41">
        <v>-23.3</v>
      </c>
      <c r="AX19" s="41">
        <v>-5.8</v>
      </c>
      <c r="AY19" s="41">
        <v>-18.7</v>
      </c>
      <c r="AZ19" s="41">
        <v>-18.2</v>
      </c>
      <c r="BA19" s="41">
        <v>-14.2</v>
      </c>
      <c r="BB19" s="41">
        <v>-6.6</v>
      </c>
      <c r="BC19" s="41">
        <v>-6.5</v>
      </c>
      <c r="BD19" s="41">
        <v>-21.4</v>
      </c>
      <c r="BE19" s="41">
        <v>-3.4</v>
      </c>
      <c r="BF19" s="41">
        <v>23.2</v>
      </c>
      <c r="BG19" s="41">
        <v>17.5</v>
      </c>
      <c r="BH19" s="41">
        <v>22.6</v>
      </c>
      <c r="BI19" s="41">
        <v>-3.8</v>
      </c>
      <c r="BJ19" s="41">
        <v>-6</v>
      </c>
      <c r="BK19" s="41">
        <v>-4.5</v>
      </c>
      <c r="BL19" s="41">
        <v>15.9</v>
      </c>
      <c r="BM19" s="41">
        <v>-7.7</v>
      </c>
      <c r="BN19" s="41">
        <v>428.6</v>
      </c>
      <c r="BO19" s="42">
        <f>+BO18-BO20</f>
        <v>-4.1252085951698412</v>
      </c>
      <c r="BP19" s="42">
        <f>+BP18-BP20</f>
        <v>-23.414471614493284</v>
      </c>
      <c r="BQ19" s="42">
        <f>+BQ18-BQ20</f>
        <v>-39.702866674491972</v>
      </c>
      <c r="BR19" s="42">
        <f>+BR18-BR20</f>
        <v>-37.745505678217413</v>
      </c>
      <c r="BS19" s="118"/>
      <c r="BT19"/>
      <c r="BU19"/>
      <c r="BV19"/>
      <c r="BW19"/>
      <c r="BX19"/>
      <c r="BY19"/>
      <c r="BZ19" s="47"/>
      <c r="CA19" s="47"/>
      <c r="CB19" s="47"/>
      <c r="CC19" s="47"/>
      <c r="CD19" s="47"/>
      <c r="CE19" s="47"/>
      <c r="CF19" s="47"/>
      <c r="CG19" s="47"/>
      <c r="CH19" s="47"/>
      <c r="CI19" s="47"/>
      <c r="CJ19" s="47"/>
      <c r="CK19" s="47"/>
      <c r="CL19" s="47"/>
      <c r="CM19" s="47"/>
    </row>
    <row r="20" spans="2:91" s="45" customFormat="1">
      <c r="B20" s="232" t="s">
        <v>539</v>
      </c>
      <c r="C20" s="123"/>
      <c r="D20" s="47"/>
      <c r="E20" s="47"/>
      <c r="F20" s="47"/>
      <c r="G20" s="112">
        <f>SUM(W20:Z20)</f>
        <v>0</v>
      </c>
      <c r="H20" s="112">
        <f>SUM(AA20:AD20)</f>
        <v>0</v>
      </c>
      <c r="I20" s="112">
        <f>SUM(AE20:AH20)</f>
        <v>0</v>
      </c>
      <c r="J20" s="112">
        <f>SUM(AI20:AL20)</f>
        <v>0</v>
      </c>
      <c r="K20" s="47">
        <f>SUM(AM20:AP20)</f>
        <v>0</v>
      </c>
      <c r="L20" s="112">
        <f>SUM(AQ20:AT20)</f>
        <v>0</v>
      </c>
      <c r="M20" s="112">
        <f>SUM(AU20:AX20)</f>
        <v>0</v>
      </c>
      <c r="N20" s="112">
        <f>SUM(AY20:BB20)</f>
        <v>-1.4699999999999998</v>
      </c>
      <c r="O20" s="112">
        <f>SUM(BC20:BF20)</f>
        <v>-50.4</v>
      </c>
      <c r="P20" s="47">
        <f>SUM(BG20:BJ20)</f>
        <v>-55.759</v>
      </c>
      <c r="Q20" s="42">
        <f>SUM(BK20:BN20)</f>
        <v>-450.99999999999994</v>
      </c>
      <c r="R20" s="47">
        <f>SUM(BO20:BR20)</f>
        <v>-17.5</v>
      </c>
      <c r="S20" s="41">
        <f>+S45*25%</f>
        <v>-7.5</v>
      </c>
      <c r="T20" s="41">
        <f t="shared" ref="T20:U20" si="11">+T45*25%</f>
        <v>-3.75</v>
      </c>
      <c r="U20" s="41">
        <f t="shared" si="11"/>
        <v>0</v>
      </c>
      <c r="V20" s="47"/>
      <c r="W20" s="41">
        <f t="shared" ref="W20:AX20" si="12">+W45*35%</f>
        <v>0</v>
      </c>
      <c r="X20" s="41">
        <f t="shared" si="12"/>
        <v>0</v>
      </c>
      <c r="Y20" s="41">
        <f t="shared" si="12"/>
        <v>0</v>
      </c>
      <c r="Z20" s="41">
        <f t="shared" si="12"/>
        <v>0</v>
      </c>
      <c r="AA20" s="41">
        <f t="shared" si="12"/>
        <v>0</v>
      </c>
      <c r="AB20" s="41">
        <f t="shared" si="12"/>
        <v>0</v>
      </c>
      <c r="AC20" s="41">
        <f t="shared" si="12"/>
        <v>0</v>
      </c>
      <c r="AD20" s="41">
        <f t="shared" si="12"/>
        <v>0</v>
      </c>
      <c r="AE20" s="41">
        <f t="shared" si="12"/>
        <v>0</v>
      </c>
      <c r="AF20" s="41">
        <f t="shared" si="12"/>
        <v>0</v>
      </c>
      <c r="AG20" s="41">
        <f t="shared" si="12"/>
        <v>0</v>
      </c>
      <c r="AH20" s="41">
        <f t="shared" si="12"/>
        <v>0</v>
      </c>
      <c r="AI20" s="41">
        <f t="shared" si="12"/>
        <v>0</v>
      </c>
      <c r="AJ20" s="41">
        <f t="shared" si="12"/>
        <v>0</v>
      </c>
      <c r="AK20" s="41">
        <f t="shared" si="12"/>
        <v>0</v>
      </c>
      <c r="AL20" s="41">
        <f t="shared" si="12"/>
        <v>0</v>
      </c>
      <c r="AM20" s="41">
        <f t="shared" si="12"/>
        <v>0</v>
      </c>
      <c r="AN20" s="41">
        <f t="shared" si="12"/>
        <v>0</v>
      </c>
      <c r="AO20" s="41">
        <f t="shared" si="12"/>
        <v>0</v>
      </c>
      <c r="AP20" s="41">
        <f t="shared" si="12"/>
        <v>0</v>
      </c>
      <c r="AQ20" s="41">
        <f t="shared" si="12"/>
        <v>0</v>
      </c>
      <c r="AR20" s="41">
        <f t="shared" si="12"/>
        <v>0</v>
      </c>
      <c r="AS20" s="41">
        <f t="shared" si="12"/>
        <v>0</v>
      </c>
      <c r="AT20" s="41">
        <f t="shared" si="12"/>
        <v>0</v>
      </c>
      <c r="AU20" s="41">
        <f t="shared" si="12"/>
        <v>0</v>
      </c>
      <c r="AV20" s="41">
        <f t="shared" si="12"/>
        <v>0</v>
      </c>
      <c r="AW20" s="41">
        <f t="shared" si="12"/>
        <v>0</v>
      </c>
      <c r="AX20" s="41">
        <f t="shared" si="12"/>
        <v>0</v>
      </c>
      <c r="AY20" s="41">
        <f t="shared" ref="AY20:BF20" si="13">+AY45*35%</f>
        <v>-6.9999999999999993E-2</v>
      </c>
      <c r="AZ20" s="41">
        <f t="shared" si="13"/>
        <v>-6.9999999999999993E-2</v>
      </c>
      <c r="BA20" s="41">
        <f t="shared" si="13"/>
        <v>-0.35</v>
      </c>
      <c r="BB20" s="41">
        <f t="shared" si="13"/>
        <v>-0.97999999999999987</v>
      </c>
      <c r="BC20" s="41">
        <f t="shared" si="13"/>
        <v>-3.6399999999999997</v>
      </c>
      <c r="BD20" s="41">
        <f t="shared" si="13"/>
        <v>-3.6749999999999998</v>
      </c>
      <c r="BE20" s="41">
        <f t="shared" si="13"/>
        <v>-5.0749999999999993</v>
      </c>
      <c r="BF20" s="41">
        <f t="shared" si="13"/>
        <v>-38.01</v>
      </c>
      <c r="BG20" s="41">
        <f>+BG45*37%</f>
        <v>-34.04</v>
      </c>
      <c r="BH20" s="41">
        <f>+BH45*37%</f>
        <v>-9.0649999999999995</v>
      </c>
      <c r="BI20" s="41">
        <f>+BI45*37%</f>
        <v>-6.7709999999999999</v>
      </c>
      <c r="BJ20" s="41">
        <f>+BJ45*37%</f>
        <v>-5.8829999999999991</v>
      </c>
      <c r="BK20" s="41">
        <f t="shared" ref="BK20:BM20" si="14">+BK45*25%</f>
        <v>-3.8</v>
      </c>
      <c r="BL20" s="41">
        <f t="shared" si="14"/>
        <v>-3.2250000000000001</v>
      </c>
      <c r="BM20" s="41">
        <f t="shared" si="14"/>
        <v>-3.3</v>
      </c>
      <c r="BN20" s="41">
        <f>-437.9+BN45*25%</f>
        <v>-440.67499999999995</v>
      </c>
      <c r="BO20" s="41">
        <f>+BO45*25%</f>
        <v>-4.375</v>
      </c>
      <c r="BP20" s="41">
        <f t="shared" ref="BP20:BR20" si="15">+BP45*25%</f>
        <v>-4.375</v>
      </c>
      <c r="BQ20" s="41">
        <f t="shared" si="15"/>
        <v>-4.375</v>
      </c>
      <c r="BR20" s="41">
        <f t="shared" si="15"/>
        <v>-4.375</v>
      </c>
      <c r="BS20" s="118"/>
      <c r="BT20"/>
      <c r="BU20"/>
      <c r="BV20"/>
      <c r="BW20"/>
      <c r="BX20"/>
      <c r="BY20"/>
      <c r="BZ20" s="47"/>
      <c r="CA20" s="47"/>
      <c r="CB20" s="47"/>
      <c r="CC20" s="47"/>
      <c r="CD20" s="47"/>
      <c r="CE20" s="47"/>
      <c r="CF20" s="47"/>
      <c r="CG20" s="47"/>
      <c r="CH20" s="47"/>
      <c r="CI20" s="47"/>
      <c r="CJ20" s="47"/>
      <c r="CK20" s="47"/>
      <c r="CL20" s="47"/>
      <c r="CM20" s="47"/>
    </row>
    <row r="21" spans="2:91" ht="15" customHeight="1">
      <c r="B21" s="355" t="s">
        <v>540</v>
      </c>
      <c r="C21" s="124"/>
      <c r="F21" s="47"/>
      <c r="G21" s="124">
        <f t="shared" ref="G21:R21" si="16">-G18/G16</f>
        <v>0.33112143331121441</v>
      </c>
      <c r="H21" s="124">
        <f t="shared" si="16"/>
        <v>0.3875728155339806</v>
      </c>
      <c r="I21" s="124">
        <f t="shared" si="16"/>
        <v>0.35350166746069561</v>
      </c>
      <c r="J21" s="124">
        <f t="shared" si="16"/>
        <v>0.15734720416124834</v>
      </c>
      <c r="K21" s="124">
        <f t="shared" si="16"/>
        <v>0.36294148655772274</v>
      </c>
      <c r="L21" s="124">
        <f t="shared" si="16"/>
        <v>0.33570159857904086</v>
      </c>
      <c r="M21" s="124">
        <f t="shared" si="16"/>
        <v>0.28559999999999991</v>
      </c>
      <c r="N21" s="124">
        <f t="shared" si="16"/>
        <v>0.35452366686638703</v>
      </c>
      <c r="O21" s="124">
        <f t="shared" si="16"/>
        <v>0.37962362102530817</v>
      </c>
      <c r="P21" s="124">
        <f t="shared" si="16"/>
        <v>0.21853218884120162</v>
      </c>
      <c r="Q21" s="124">
        <f t="shared" si="16"/>
        <v>0.11025943396226376</v>
      </c>
      <c r="R21" s="124">
        <f t="shared" si="16"/>
        <v>0.25</v>
      </c>
      <c r="S21" s="125">
        <v>0.25</v>
      </c>
      <c r="T21" s="125">
        <v>0.25</v>
      </c>
      <c r="U21" s="125">
        <v>0.25</v>
      </c>
      <c r="W21" s="124">
        <f t="shared" ref="W21:AD21" si="17">-W18/W16</f>
        <v>0.32244897959183666</v>
      </c>
      <c r="X21" s="124">
        <f t="shared" si="17"/>
        <v>0.31987577639751558</v>
      </c>
      <c r="Y21" s="124">
        <f t="shared" si="17"/>
        <v>0.32716049382716045</v>
      </c>
      <c r="Z21" s="124">
        <f t="shared" si="17"/>
        <v>0.34801762114537449</v>
      </c>
      <c r="AA21" s="124">
        <f t="shared" si="17"/>
        <v>0.36672325976230902</v>
      </c>
      <c r="AB21" s="124">
        <f t="shared" si="17"/>
        <v>0.35218978102189785</v>
      </c>
      <c r="AC21" s="124">
        <f t="shared" si="17"/>
        <v>0.4637268847795164</v>
      </c>
      <c r="AD21" s="124">
        <f t="shared" si="17"/>
        <v>0.35782312925170073</v>
      </c>
      <c r="AE21" s="124">
        <f t="shared" ref="AE21:BJ21" si="18">-AE18/AE16</f>
        <v>0.37231182795698919</v>
      </c>
      <c r="AF21" s="124">
        <f t="shared" si="18"/>
        <v>0.3794642857142857</v>
      </c>
      <c r="AG21" s="124">
        <f t="shared" si="18"/>
        <v>0.29516994633273708</v>
      </c>
      <c r="AH21" s="124">
        <f t="shared" si="18"/>
        <v>0.37356321839080464</v>
      </c>
      <c r="AI21" s="124">
        <f t="shared" si="18"/>
        <v>7.2368421052631568E-2</v>
      </c>
      <c r="AJ21" s="124">
        <f t="shared" si="18"/>
        <v>0.32936507936507936</v>
      </c>
      <c r="AK21" s="124">
        <f t="shared" si="18"/>
        <v>0.18041237113402067</v>
      </c>
      <c r="AL21" s="124">
        <f t="shared" si="18"/>
        <v>1.8695652173912971</v>
      </c>
      <c r="AM21" s="124">
        <f t="shared" si="18"/>
        <v>0.39171974522292996</v>
      </c>
      <c r="AN21" s="124">
        <f t="shared" si="18"/>
        <v>0.33908948194662486</v>
      </c>
      <c r="AO21" s="124">
        <f t="shared" si="18"/>
        <v>0.31988472622478381</v>
      </c>
      <c r="AP21" s="124">
        <f t="shared" si="18"/>
        <v>0.29433962264150948</v>
      </c>
      <c r="AQ21" s="124">
        <f t="shared" si="18"/>
        <v>0.36033057851239664</v>
      </c>
      <c r="AR21" s="124">
        <f t="shared" si="18"/>
        <v>0.24802527646129538</v>
      </c>
      <c r="AS21" s="124">
        <f t="shared" si="18"/>
        <v>0.38543897216274087</v>
      </c>
      <c r="AT21" s="124">
        <f t="shared" si="18"/>
        <v>0.36745886654478976</v>
      </c>
      <c r="AU21" s="124">
        <f t="shared" si="18"/>
        <v>0.36520376175548591</v>
      </c>
      <c r="AV21" s="124">
        <f t="shared" si="18"/>
        <v>0.30303030303030304</v>
      </c>
      <c r="AW21" s="124">
        <f t="shared" si="18"/>
        <v>0.25053763440860211</v>
      </c>
      <c r="AX21" s="124">
        <f t="shared" si="18"/>
        <v>0.19016393442622956</v>
      </c>
      <c r="AY21" s="124">
        <f t="shared" si="18"/>
        <v>0.3878099173553719</v>
      </c>
      <c r="AZ21" s="124">
        <f t="shared" si="18"/>
        <v>0.33218181818181819</v>
      </c>
      <c r="BA21" s="124">
        <f t="shared" si="18"/>
        <v>0.35230024213075056</v>
      </c>
      <c r="BB21" s="124">
        <f t="shared" si="18"/>
        <v>0.34144144144144134</v>
      </c>
      <c r="BC21" s="124">
        <f t="shared" si="18"/>
        <v>0.33799999999999997</v>
      </c>
      <c r="BD21" s="124">
        <f t="shared" si="18"/>
        <v>0.33793800539083563</v>
      </c>
      <c r="BE21" s="124">
        <f t="shared" si="18"/>
        <v>0.35609243697478993</v>
      </c>
      <c r="BF21" s="124">
        <f t="shared" si="18"/>
        <v>0.5674329501915707</v>
      </c>
      <c r="BG21" s="124">
        <f t="shared" si="18"/>
        <v>0.45191256830601095</v>
      </c>
      <c r="BH21" s="124">
        <f t="shared" si="18"/>
        <v>-15.038888888888915</v>
      </c>
      <c r="BI21" s="124">
        <f t="shared" si="18"/>
        <v>0.26694444444444448</v>
      </c>
      <c r="BJ21" s="124">
        <f t="shared" si="18"/>
        <v>0.30159898477157349</v>
      </c>
      <c r="BK21" s="124">
        <f>-BK18/BK16</f>
        <v>0.25075528700906335</v>
      </c>
      <c r="BL21" s="124">
        <f>-BL18/BL16</f>
        <v>1.4241573033707857</v>
      </c>
      <c r="BM21" s="124">
        <f>-BM18/BM16</f>
        <v>0.14945652173913049</v>
      </c>
      <c r="BN21" s="124">
        <f>-BN18/BN16</f>
        <v>0.16817548746518007</v>
      </c>
      <c r="BO21" s="125">
        <v>0.25</v>
      </c>
      <c r="BP21" s="125">
        <v>0.25</v>
      </c>
      <c r="BQ21" s="125">
        <v>0.25</v>
      </c>
      <c r="BR21" s="125">
        <v>0.25</v>
      </c>
      <c r="BS21" s="126"/>
    </row>
    <row r="22" spans="2:91">
      <c r="B22" s="97"/>
      <c r="C22" s="97"/>
      <c r="G22" s="15"/>
      <c r="H22" s="15"/>
      <c r="I22" s="15"/>
      <c r="J22" s="95"/>
      <c r="L22" s="15"/>
      <c r="M22" s="15"/>
      <c r="Q22" s="57"/>
      <c r="W22" s="97"/>
      <c r="X22" s="97"/>
      <c r="Y22" s="97"/>
      <c r="Z22" s="97"/>
      <c r="AA22" s="97"/>
      <c r="AB22" s="97"/>
      <c r="AC22" s="97"/>
      <c r="AD22" s="97"/>
      <c r="AE22" s="97"/>
      <c r="AF22" s="97"/>
      <c r="AG22" s="97"/>
      <c r="AL22" s="15"/>
      <c r="AM22" s="15"/>
      <c r="AN22" s="15"/>
      <c r="BC22" s="111"/>
      <c r="BD22" s="111"/>
      <c r="BE22" s="111"/>
      <c r="BF22" s="111"/>
      <c r="BG22" s="95"/>
      <c r="BK22" s="95"/>
      <c r="BM22" s="127"/>
      <c r="BN22" s="508"/>
      <c r="BO22" s="127"/>
      <c r="BP22" s="127"/>
      <c r="BQ22" s="127"/>
      <c r="BR22" s="127"/>
    </row>
    <row r="23" spans="2:91" s="51" customFormat="1">
      <c r="B23" s="106" t="s">
        <v>237</v>
      </c>
      <c r="C23" s="107"/>
      <c r="D23" s="108"/>
      <c r="E23" s="108"/>
      <c r="F23" s="108"/>
      <c r="G23" s="109">
        <f t="shared" ref="G23:T23" si="19">+G16+G18</f>
        <v>100.79999999999998</v>
      </c>
      <c r="H23" s="109">
        <f t="shared" si="19"/>
        <v>157.69999999999999</v>
      </c>
      <c r="I23" s="109">
        <f t="shared" si="19"/>
        <v>135.69999999999999</v>
      </c>
      <c r="J23" s="109">
        <f t="shared" si="19"/>
        <v>64.800000000000011</v>
      </c>
      <c r="K23" s="109">
        <f t="shared" si="19"/>
        <v>241.7</v>
      </c>
      <c r="L23" s="109">
        <f t="shared" si="19"/>
        <v>149.6</v>
      </c>
      <c r="M23" s="109">
        <f t="shared" si="19"/>
        <v>178.60000000000002</v>
      </c>
      <c r="N23" s="109">
        <f t="shared" si="19"/>
        <v>107.73000000000002</v>
      </c>
      <c r="O23" s="109">
        <f t="shared" si="19"/>
        <v>95.600000000000023</v>
      </c>
      <c r="P23" s="109">
        <f t="shared" si="19"/>
        <v>91.041000000000025</v>
      </c>
      <c r="Q23" s="109">
        <f t="shared" si="19"/>
        <v>150.90000000000006</v>
      </c>
      <c r="R23" s="109">
        <f>+R16+R18</f>
        <v>367.46415768711756</v>
      </c>
      <c r="S23" s="109">
        <f t="shared" si="19"/>
        <v>457.87589622537087</v>
      </c>
      <c r="T23" s="109">
        <f t="shared" si="19"/>
        <v>506.9812528554022</v>
      </c>
      <c r="U23" s="109">
        <f>+U16+U18</f>
        <v>571.53655897192516</v>
      </c>
      <c r="W23" s="109">
        <f t="shared" ref="W23:BK23" si="20">+W16+W18</f>
        <v>16.600000000000009</v>
      </c>
      <c r="X23" s="109">
        <f t="shared" si="20"/>
        <v>21.899999999999995</v>
      </c>
      <c r="Y23" s="109">
        <f t="shared" si="20"/>
        <v>32.70000000000001</v>
      </c>
      <c r="Z23" s="109">
        <f t="shared" si="20"/>
        <v>29.599999999999998</v>
      </c>
      <c r="AA23" s="109">
        <f t="shared" si="20"/>
        <v>37.299999999999997</v>
      </c>
      <c r="AB23" s="109">
        <f t="shared" si="20"/>
        <v>35.5</v>
      </c>
      <c r="AC23" s="109">
        <f t="shared" si="20"/>
        <v>37.699999999999996</v>
      </c>
      <c r="AD23" s="109">
        <f t="shared" si="20"/>
        <v>47.199999999999989</v>
      </c>
      <c r="AE23" s="109">
        <f t="shared" si="20"/>
        <v>46.7</v>
      </c>
      <c r="AF23" s="109">
        <f t="shared" si="20"/>
        <v>27.800000000000004</v>
      </c>
      <c r="AG23" s="109">
        <f t="shared" si="20"/>
        <v>39.399999999999991</v>
      </c>
      <c r="AH23" s="109">
        <f t="shared" si="20"/>
        <v>21.799999999999997</v>
      </c>
      <c r="AI23" s="109">
        <f t="shared" si="20"/>
        <v>14.100000000000003</v>
      </c>
      <c r="AJ23" s="109">
        <f t="shared" si="20"/>
        <v>16.900000000000002</v>
      </c>
      <c r="AK23" s="109">
        <f t="shared" si="20"/>
        <v>31.79999999999999</v>
      </c>
      <c r="AL23" s="109">
        <f t="shared" si="20"/>
        <v>1.9999999999999911</v>
      </c>
      <c r="AM23" s="109">
        <f t="shared" si="20"/>
        <v>133.69999999999999</v>
      </c>
      <c r="AN23" s="109">
        <f t="shared" si="20"/>
        <v>42.099999999999987</v>
      </c>
      <c r="AO23" s="109">
        <f t="shared" si="20"/>
        <v>47.2</v>
      </c>
      <c r="AP23" s="109">
        <f t="shared" si="20"/>
        <v>18.699999999999996</v>
      </c>
      <c r="AQ23" s="109">
        <f t="shared" si="20"/>
        <v>38.700000000000003</v>
      </c>
      <c r="AR23" s="109">
        <f t="shared" si="20"/>
        <v>47.600000000000009</v>
      </c>
      <c r="AS23" s="109">
        <f t="shared" si="20"/>
        <v>28.700000000000003</v>
      </c>
      <c r="AT23" s="109">
        <f t="shared" si="20"/>
        <v>34.6</v>
      </c>
      <c r="AU23" s="109">
        <f t="shared" si="20"/>
        <v>40.5</v>
      </c>
      <c r="AV23" s="109">
        <f t="shared" si="20"/>
        <v>43.7</v>
      </c>
      <c r="AW23" s="109">
        <f t="shared" si="20"/>
        <v>69.700000000000017</v>
      </c>
      <c r="AX23" s="109">
        <f t="shared" si="20"/>
        <v>24.699999999999992</v>
      </c>
      <c r="AY23" s="109">
        <f t="shared" si="20"/>
        <v>29.63</v>
      </c>
      <c r="AZ23" s="109">
        <f t="shared" si="20"/>
        <v>36.730000000000004</v>
      </c>
      <c r="BA23" s="109">
        <f t="shared" si="20"/>
        <v>26.750000000000007</v>
      </c>
      <c r="BB23" s="109">
        <f t="shared" si="20"/>
        <v>14.620000000000005</v>
      </c>
      <c r="BC23" s="109">
        <f t="shared" si="20"/>
        <v>19.860000000000003</v>
      </c>
      <c r="BD23" s="109">
        <f t="shared" si="20"/>
        <v>49.124999999999986</v>
      </c>
      <c r="BE23" s="109">
        <f t="shared" si="20"/>
        <v>15.324999999999998</v>
      </c>
      <c r="BF23" s="109">
        <f t="shared" si="20"/>
        <v>11.29000000000001</v>
      </c>
      <c r="BG23" s="109">
        <f t="shared" si="20"/>
        <v>20.059999999999995</v>
      </c>
      <c r="BH23" s="109">
        <f t="shared" si="20"/>
        <v>14.435</v>
      </c>
      <c r="BI23" s="109">
        <f t="shared" si="20"/>
        <v>29.028999999999996</v>
      </c>
      <c r="BJ23" s="109">
        <f t="shared" si="20"/>
        <v>27.517000000000014</v>
      </c>
      <c r="BK23" s="109">
        <f t="shared" si="20"/>
        <v>24.800000000000015</v>
      </c>
      <c r="BL23" s="109">
        <f t="shared" ref="BL23:BR23" si="21">+BL16+BL18</f>
        <v>3.774999999999995</v>
      </c>
      <c r="BM23" s="109">
        <f t="shared" si="21"/>
        <v>62.59999999999998</v>
      </c>
      <c r="BN23" s="109">
        <f t="shared" si="21"/>
        <v>59.72500000000008</v>
      </c>
      <c r="BO23" s="109">
        <f t="shared" si="21"/>
        <v>25.500625785509524</v>
      </c>
      <c r="BP23" s="109">
        <f t="shared" si="21"/>
        <v>83.368414843479854</v>
      </c>
      <c r="BQ23" s="109">
        <f t="shared" si="21"/>
        <v>132.2336000234759</v>
      </c>
      <c r="BR23" s="109">
        <f t="shared" si="21"/>
        <v>126.36151703465224</v>
      </c>
      <c r="BS23" s="89"/>
      <c r="BT23"/>
      <c r="BU23"/>
      <c r="BV23"/>
      <c r="BW23"/>
      <c r="BX23"/>
      <c r="BY23"/>
    </row>
    <row r="24" spans="2:91" s="45" customFormat="1" outlineLevel="1">
      <c r="B24" s="116"/>
      <c r="C24" s="123"/>
      <c r="D24" s="47"/>
      <c r="E24" s="47"/>
      <c r="F24" s="47"/>
      <c r="G24" s="112"/>
      <c r="H24" s="112"/>
      <c r="I24" s="112"/>
      <c r="J24" s="112"/>
      <c r="K24" s="47"/>
      <c r="L24" s="112"/>
      <c r="M24" s="112"/>
      <c r="N24" s="112"/>
      <c r="O24" s="112"/>
      <c r="P24" s="47"/>
      <c r="Q24" s="42"/>
      <c r="R24" s="42"/>
      <c r="S24" s="42"/>
      <c r="T24" s="42"/>
      <c r="U24" s="42"/>
      <c r="V24" s="47"/>
      <c r="W24" s="115"/>
      <c r="X24" s="115"/>
      <c r="Y24" s="115"/>
      <c r="Z24" s="115"/>
      <c r="AA24" s="115"/>
      <c r="AB24" s="115"/>
      <c r="AC24" s="115"/>
      <c r="AD24" s="115"/>
      <c r="AE24" s="115"/>
      <c r="AF24" s="115"/>
      <c r="AG24" s="115"/>
      <c r="AH24" s="115"/>
      <c r="AI24" s="115"/>
      <c r="AJ24" s="115"/>
      <c r="AK24" s="115"/>
      <c r="AL24" s="115"/>
      <c r="AM24" s="115"/>
      <c r="AN24" s="115"/>
      <c r="AO24" s="115"/>
      <c r="AP24" s="115"/>
      <c r="AQ24" s="115"/>
      <c r="AR24" s="115"/>
      <c r="AS24" s="115"/>
      <c r="AT24" s="115"/>
      <c r="AU24" s="115"/>
      <c r="AV24" s="115"/>
      <c r="AW24" s="115"/>
      <c r="AX24" s="115"/>
      <c r="AY24" s="47"/>
      <c r="AZ24" s="47"/>
      <c r="BA24" s="47"/>
      <c r="BB24" s="47"/>
      <c r="BC24" s="47"/>
      <c r="BD24" s="47"/>
      <c r="BE24" s="47"/>
      <c r="BF24" s="47"/>
      <c r="BG24" s="47"/>
      <c r="BH24" s="47"/>
      <c r="BI24" s="47"/>
      <c r="BJ24" s="47"/>
      <c r="BK24" s="47"/>
      <c r="BL24" s="47"/>
      <c r="BM24" s="42"/>
      <c r="BN24" s="47"/>
      <c r="BO24" s="47"/>
      <c r="BP24" s="47"/>
      <c r="BQ24" s="47"/>
      <c r="BR24" s="47"/>
      <c r="BS24" s="47"/>
      <c r="BT24"/>
      <c r="BU24"/>
      <c r="BV24"/>
      <c r="BW24"/>
      <c r="BX24"/>
      <c r="BY24"/>
      <c r="BZ24" s="47"/>
      <c r="CA24" s="47"/>
      <c r="CB24" s="47"/>
      <c r="CC24" s="47"/>
      <c r="CD24" s="47"/>
      <c r="CE24" s="47"/>
      <c r="CF24" s="47"/>
      <c r="CG24" s="47"/>
      <c r="CH24" s="47"/>
      <c r="CI24" s="47"/>
      <c r="CJ24" s="47"/>
      <c r="CK24" s="47"/>
      <c r="CL24" s="47"/>
      <c r="CM24" s="47"/>
    </row>
    <row r="25" spans="2:91" s="45" customFormat="1" outlineLevel="1">
      <c r="B25" s="103" t="s">
        <v>199</v>
      </c>
      <c r="C25" s="123"/>
      <c r="D25" s="47"/>
      <c r="E25" s="47"/>
      <c r="F25" s="47"/>
      <c r="G25" s="112">
        <f>SUM(W25:Z25)</f>
        <v>0</v>
      </c>
      <c r="H25" s="112">
        <f>SUM(AA25:AD25)</f>
        <v>0</v>
      </c>
      <c r="I25" s="112">
        <f>SUM(AE25:AH25)</f>
        <v>0</v>
      </c>
      <c r="J25" s="112">
        <f>SUM(AI25:AL25)</f>
        <v>0</v>
      </c>
      <c r="K25" s="47">
        <f>SUM(AM25:AP25)</f>
        <v>0</v>
      </c>
      <c r="L25" s="112">
        <f>SUM(AQ25:AT25)</f>
        <v>0</v>
      </c>
      <c r="M25" s="112">
        <f>SUM(AU25:AX25)</f>
        <v>0</v>
      </c>
      <c r="N25" s="112">
        <f>SUM(AY25:BB25)</f>
        <v>-2.73</v>
      </c>
      <c r="O25" s="112">
        <f>SUM(BC25:BF25)</f>
        <v>-93.600000000000009</v>
      </c>
      <c r="P25" s="47">
        <f>SUM(BG25:BJ25)</f>
        <v>-94.940999999999988</v>
      </c>
      <c r="Q25" s="42">
        <f>SUM(BK25:BN25)</f>
        <v>398.59999999999991</v>
      </c>
      <c r="R25" s="42">
        <f>SUM(BO25:BR25)</f>
        <v>-52.5</v>
      </c>
      <c r="S25" s="42">
        <f>+S45-S20</f>
        <v>-22.5</v>
      </c>
      <c r="T25" s="42">
        <f>+T45-T20</f>
        <v>-11.25</v>
      </c>
      <c r="U25" s="42">
        <f>+U45-U20</f>
        <v>0</v>
      </c>
      <c r="V25" s="47"/>
      <c r="W25" s="42">
        <f t="shared" ref="W25:BN25" si="22">+W45-W20</f>
        <v>0</v>
      </c>
      <c r="X25" s="42">
        <f t="shared" si="22"/>
        <v>0</v>
      </c>
      <c r="Y25" s="42">
        <f t="shared" si="22"/>
        <v>0</v>
      </c>
      <c r="Z25" s="42">
        <f t="shared" si="22"/>
        <v>0</v>
      </c>
      <c r="AA25" s="42">
        <f t="shared" si="22"/>
        <v>0</v>
      </c>
      <c r="AB25" s="42">
        <f t="shared" si="22"/>
        <v>0</v>
      </c>
      <c r="AC25" s="42">
        <f t="shared" si="22"/>
        <v>0</v>
      </c>
      <c r="AD25" s="42">
        <f t="shared" si="22"/>
        <v>0</v>
      </c>
      <c r="AE25" s="42">
        <f t="shared" si="22"/>
        <v>0</v>
      </c>
      <c r="AF25" s="42">
        <f t="shared" si="22"/>
        <v>0</v>
      </c>
      <c r="AG25" s="42">
        <f t="shared" si="22"/>
        <v>0</v>
      </c>
      <c r="AH25" s="42">
        <f t="shared" si="22"/>
        <v>0</v>
      </c>
      <c r="AI25" s="42">
        <f t="shared" si="22"/>
        <v>0</v>
      </c>
      <c r="AJ25" s="42">
        <f t="shared" si="22"/>
        <v>0</v>
      </c>
      <c r="AK25" s="42">
        <f t="shared" si="22"/>
        <v>0</v>
      </c>
      <c r="AL25" s="42">
        <f t="shared" si="22"/>
        <v>0</v>
      </c>
      <c r="AM25" s="42">
        <f t="shared" si="22"/>
        <v>0</v>
      </c>
      <c r="AN25" s="42">
        <f t="shared" si="22"/>
        <v>0</v>
      </c>
      <c r="AO25" s="42">
        <f t="shared" si="22"/>
        <v>0</v>
      </c>
      <c r="AP25" s="42">
        <f t="shared" si="22"/>
        <v>0</v>
      </c>
      <c r="AQ25" s="42">
        <f t="shared" si="22"/>
        <v>0</v>
      </c>
      <c r="AR25" s="42">
        <f t="shared" si="22"/>
        <v>0</v>
      </c>
      <c r="AS25" s="42">
        <f t="shared" si="22"/>
        <v>0</v>
      </c>
      <c r="AT25" s="42">
        <f t="shared" si="22"/>
        <v>0</v>
      </c>
      <c r="AU25" s="42">
        <f t="shared" si="22"/>
        <v>0</v>
      </c>
      <c r="AV25" s="42">
        <f t="shared" si="22"/>
        <v>0</v>
      </c>
      <c r="AW25" s="42">
        <f t="shared" si="22"/>
        <v>0</v>
      </c>
      <c r="AX25" s="42">
        <f t="shared" si="22"/>
        <v>0</v>
      </c>
      <c r="AY25" s="42">
        <f t="shared" si="22"/>
        <v>-0.13</v>
      </c>
      <c r="AZ25" s="42">
        <f t="shared" si="22"/>
        <v>-0.13</v>
      </c>
      <c r="BA25" s="42">
        <f t="shared" si="22"/>
        <v>-0.65</v>
      </c>
      <c r="BB25" s="42">
        <f t="shared" si="22"/>
        <v>-1.8199999999999998</v>
      </c>
      <c r="BC25" s="42">
        <f t="shared" si="22"/>
        <v>-6.7600000000000007</v>
      </c>
      <c r="BD25" s="42">
        <f t="shared" si="22"/>
        <v>-6.8250000000000002</v>
      </c>
      <c r="BE25" s="42">
        <f t="shared" si="22"/>
        <v>-9.4250000000000007</v>
      </c>
      <c r="BF25" s="42">
        <f t="shared" si="22"/>
        <v>-70.59</v>
      </c>
      <c r="BG25" s="42">
        <f t="shared" si="22"/>
        <v>-57.96</v>
      </c>
      <c r="BH25" s="42">
        <f t="shared" si="22"/>
        <v>-15.435</v>
      </c>
      <c r="BI25" s="42">
        <f t="shared" si="22"/>
        <v>-11.529</v>
      </c>
      <c r="BJ25" s="42">
        <f t="shared" si="22"/>
        <v>-10.016999999999999</v>
      </c>
      <c r="BK25" s="42">
        <f t="shared" si="22"/>
        <v>-11.399999999999999</v>
      </c>
      <c r="BL25" s="42">
        <f t="shared" si="22"/>
        <v>-9.6750000000000007</v>
      </c>
      <c r="BM25" s="42">
        <f t="shared" si="22"/>
        <v>-9.8999999999999986</v>
      </c>
      <c r="BN25" s="42">
        <f t="shared" si="22"/>
        <v>429.57499999999993</v>
      </c>
      <c r="BO25" s="42">
        <f>+BO45-BO20</f>
        <v>-13.125</v>
      </c>
      <c r="BP25" s="42">
        <f>+BP45-BP20</f>
        <v>-13.125</v>
      </c>
      <c r="BQ25" s="42">
        <f>+BQ45-BQ20</f>
        <v>-13.125</v>
      </c>
      <c r="BR25" s="42">
        <f>+BR45-BR20</f>
        <v>-13.125</v>
      </c>
      <c r="BS25" s="47"/>
      <c r="BT25"/>
      <c r="BU25"/>
      <c r="BV25"/>
      <c r="BW25"/>
      <c r="BX25"/>
      <c r="BY25"/>
      <c r="BZ25" s="47"/>
      <c r="CA25" s="47"/>
      <c r="CB25" s="47"/>
      <c r="CC25" s="47"/>
      <c r="CD25" s="47"/>
      <c r="CE25" s="47"/>
      <c r="CF25" s="47"/>
      <c r="CG25" s="47"/>
      <c r="CH25" s="47"/>
      <c r="CI25" s="47"/>
      <c r="CJ25" s="47"/>
      <c r="CK25" s="47"/>
      <c r="CL25" s="47"/>
      <c r="CM25" s="47"/>
    </row>
    <row r="26" spans="2:91" s="45" customFormat="1" outlineLevel="1">
      <c r="B26" s="59" t="s">
        <v>552</v>
      </c>
      <c r="C26" s="47"/>
      <c r="D26" s="47"/>
      <c r="E26" s="47"/>
      <c r="F26" s="47"/>
      <c r="G26" s="112">
        <f>SUM(W26:Z26)</f>
        <v>29</v>
      </c>
      <c r="H26" s="112">
        <f>SUM(AA26:AD26)</f>
        <v>0</v>
      </c>
      <c r="I26" s="112">
        <f>SUM(AE26:AH26)</f>
        <v>0</v>
      </c>
      <c r="J26" s="112">
        <f>SUM(AI26:AL26)</f>
        <v>0</v>
      </c>
      <c r="K26" s="47">
        <f>SUM(AM26:AP26)</f>
        <v>0</v>
      </c>
      <c r="L26" s="112">
        <f>SUM(AQ26:AT26)</f>
        <v>0</v>
      </c>
      <c r="M26" s="112">
        <f>SUM(AU26:AX26)</f>
        <v>0</v>
      </c>
      <c r="N26" s="112">
        <f>SUM(AY26:BB26)</f>
        <v>0.7</v>
      </c>
      <c r="O26" s="112">
        <f>SUM(BC26:BF26)</f>
        <v>0</v>
      </c>
      <c r="P26" s="47">
        <f>SUM(BG26:BJ26)</f>
        <v>0</v>
      </c>
      <c r="Q26" s="42">
        <f>SUM(BK26:BN26)</f>
        <v>0</v>
      </c>
      <c r="R26" s="47">
        <f>SUM(BO26:BR26)</f>
        <v>0</v>
      </c>
      <c r="S26" s="41">
        <v>0</v>
      </c>
      <c r="T26" s="41">
        <v>0</v>
      </c>
      <c r="U26" s="41">
        <v>0</v>
      </c>
      <c r="W26" s="41">
        <v>6.5</v>
      </c>
      <c r="X26" s="41">
        <v>13.7</v>
      </c>
      <c r="Y26" s="41">
        <v>9.5</v>
      </c>
      <c r="Z26" s="41">
        <v>-0.7</v>
      </c>
      <c r="AA26" s="41">
        <v>0</v>
      </c>
      <c r="AB26" s="41">
        <v>0</v>
      </c>
      <c r="AC26" s="41">
        <v>0</v>
      </c>
      <c r="AD26" s="41">
        <v>0</v>
      </c>
      <c r="AE26" s="41">
        <v>0</v>
      </c>
      <c r="AF26" s="41">
        <v>0</v>
      </c>
      <c r="AG26" s="41">
        <v>0</v>
      </c>
      <c r="AH26" s="41">
        <v>0</v>
      </c>
      <c r="AI26" s="41">
        <v>0</v>
      </c>
      <c r="AJ26" s="41">
        <v>0</v>
      </c>
      <c r="AK26" s="41">
        <v>0</v>
      </c>
      <c r="AL26" s="41">
        <v>0</v>
      </c>
      <c r="AM26" s="41">
        <v>0</v>
      </c>
      <c r="AN26" s="41">
        <v>0</v>
      </c>
      <c r="AO26" s="41">
        <v>0</v>
      </c>
      <c r="AP26" s="41">
        <v>0</v>
      </c>
      <c r="AQ26" s="41">
        <v>0</v>
      </c>
      <c r="AR26" s="41">
        <v>0</v>
      </c>
      <c r="AS26" s="41">
        <v>0</v>
      </c>
      <c r="AT26" s="41">
        <v>0</v>
      </c>
      <c r="AU26" s="41">
        <v>0</v>
      </c>
      <c r="AV26" s="41">
        <v>0</v>
      </c>
      <c r="AW26" s="41">
        <v>0</v>
      </c>
      <c r="AX26" s="41">
        <v>0</v>
      </c>
      <c r="AY26" s="41">
        <v>0</v>
      </c>
      <c r="AZ26" s="41">
        <v>0.7</v>
      </c>
      <c r="BA26" s="41">
        <v>0</v>
      </c>
      <c r="BB26" s="41">
        <v>0</v>
      </c>
      <c r="BC26" s="41">
        <v>0</v>
      </c>
      <c r="BD26" s="41">
        <v>0</v>
      </c>
      <c r="BE26" s="41">
        <v>0</v>
      </c>
      <c r="BF26" s="41">
        <v>0</v>
      </c>
      <c r="BG26" s="41">
        <v>0</v>
      </c>
      <c r="BH26" s="41">
        <v>0</v>
      </c>
      <c r="BI26" s="41">
        <v>0</v>
      </c>
      <c r="BJ26" s="41">
        <v>0</v>
      </c>
      <c r="BK26" s="41">
        <v>0</v>
      </c>
      <c r="BL26" s="41">
        <v>0</v>
      </c>
      <c r="BM26" s="41">
        <v>0</v>
      </c>
      <c r="BN26" s="41">
        <v>0</v>
      </c>
      <c r="BO26" s="41">
        <v>0</v>
      </c>
      <c r="BP26" s="41">
        <v>0</v>
      </c>
      <c r="BQ26" s="41">
        <v>0</v>
      </c>
      <c r="BR26" s="41">
        <v>0</v>
      </c>
      <c r="BS26" s="128"/>
      <c r="BT26"/>
      <c r="BU26"/>
      <c r="BV26"/>
      <c r="BW26"/>
      <c r="BX26"/>
      <c r="BY26"/>
      <c r="BZ26" s="47"/>
      <c r="CA26" s="47"/>
      <c r="CB26" s="47"/>
      <c r="CC26" s="47"/>
      <c r="CD26" s="47"/>
      <c r="CE26" s="47"/>
      <c r="CF26" s="47"/>
      <c r="CG26" s="47"/>
      <c r="CH26" s="47"/>
      <c r="CI26" s="47"/>
      <c r="CJ26" s="47"/>
      <c r="CK26" s="47"/>
      <c r="CL26" s="47"/>
      <c r="CM26" s="47"/>
    </row>
    <row r="27" spans="2:91" s="45" customFormat="1" outlineLevel="1">
      <c r="B27" s="38" t="s">
        <v>198</v>
      </c>
      <c r="C27" s="123"/>
      <c r="D27" s="47"/>
      <c r="E27" s="47"/>
      <c r="F27" s="47"/>
      <c r="G27" s="93">
        <f>SUM(G23,G25:G26)</f>
        <v>129.79999999999998</v>
      </c>
      <c r="H27" s="93">
        <f t="shared" ref="H27:T27" si="23">SUM(H23,H25:H26)</f>
        <v>157.69999999999999</v>
      </c>
      <c r="I27" s="93">
        <f t="shared" si="23"/>
        <v>135.69999999999999</v>
      </c>
      <c r="J27" s="93">
        <f t="shared" si="23"/>
        <v>64.800000000000011</v>
      </c>
      <c r="K27" s="93">
        <f t="shared" si="23"/>
        <v>241.7</v>
      </c>
      <c r="L27" s="93">
        <f t="shared" si="23"/>
        <v>149.6</v>
      </c>
      <c r="M27" s="93">
        <f t="shared" si="23"/>
        <v>178.60000000000002</v>
      </c>
      <c r="N27" s="93">
        <f t="shared" si="23"/>
        <v>105.70000000000002</v>
      </c>
      <c r="O27" s="93">
        <f t="shared" si="23"/>
        <v>2.0000000000000142</v>
      </c>
      <c r="P27" s="93">
        <f t="shared" si="23"/>
        <v>-3.8999999999999631</v>
      </c>
      <c r="Q27" s="93">
        <f>SUM(Q23,Q25:Q26)-0.1</f>
        <v>549.4</v>
      </c>
      <c r="R27" s="93">
        <f t="shared" si="23"/>
        <v>314.96415768711756</v>
      </c>
      <c r="S27" s="93">
        <f t="shared" si="23"/>
        <v>435.37589622537087</v>
      </c>
      <c r="T27" s="93">
        <f t="shared" si="23"/>
        <v>495.7312528554022</v>
      </c>
      <c r="U27" s="93">
        <f>SUM(U23,U25:U26)</f>
        <v>571.53655897192516</v>
      </c>
      <c r="V27" s="47"/>
      <c r="W27" s="93">
        <f>SUM(W23,W25:W26)</f>
        <v>23.100000000000009</v>
      </c>
      <c r="X27" s="93">
        <f t="shared" ref="X27:BN27" si="24">SUM(X23,X25:X26)</f>
        <v>35.599999999999994</v>
      </c>
      <c r="Y27" s="93">
        <f t="shared" si="24"/>
        <v>42.20000000000001</v>
      </c>
      <c r="Z27" s="93">
        <f t="shared" si="24"/>
        <v>28.9</v>
      </c>
      <c r="AA27" s="93">
        <f t="shared" si="24"/>
        <v>37.299999999999997</v>
      </c>
      <c r="AB27" s="93">
        <f t="shared" si="24"/>
        <v>35.5</v>
      </c>
      <c r="AC27" s="93">
        <f t="shared" si="24"/>
        <v>37.699999999999996</v>
      </c>
      <c r="AD27" s="93">
        <f t="shared" si="24"/>
        <v>47.199999999999989</v>
      </c>
      <c r="AE27" s="93">
        <f t="shared" si="24"/>
        <v>46.7</v>
      </c>
      <c r="AF27" s="93">
        <f t="shared" si="24"/>
        <v>27.800000000000004</v>
      </c>
      <c r="AG27" s="93">
        <f t="shared" si="24"/>
        <v>39.399999999999991</v>
      </c>
      <c r="AH27" s="93">
        <f t="shared" si="24"/>
        <v>21.799999999999997</v>
      </c>
      <c r="AI27" s="93">
        <f t="shared" si="24"/>
        <v>14.100000000000003</v>
      </c>
      <c r="AJ27" s="93">
        <f t="shared" si="24"/>
        <v>16.900000000000002</v>
      </c>
      <c r="AK27" s="93">
        <f t="shared" si="24"/>
        <v>31.79999999999999</v>
      </c>
      <c r="AL27" s="93">
        <f t="shared" si="24"/>
        <v>1.9999999999999911</v>
      </c>
      <c r="AM27" s="93">
        <f t="shared" si="24"/>
        <v>133.69999999999999</v>
      </c>
      <c r="AN27" s="93">
        <f t="shared" si="24"/>
        <v>42.099999999999987</v>
      </c>
      <c r="AO27" s="93">
        <f t="shared" si="24"/>
        <v>47.2</v>
      </c>
      <c r="AP27" s="93">
        <f t="shared" si="24"/>
        <v>18.699999999999996</v>
      </c>
      <c r="AQ27" s="93">
        <f t="shared" si="24"/>
        <v>38.700000000000003</v>
      </c>
      <c r="AR27" s="93">
        <f t="shared" si="24"/>
        <v>47.600000000000009</v>
      </c>
      <c r="AS27" s="93">
        <f t="shared" si="24"/>
        <v>28.700000000000003</v>
      </c>
      <c r="AT27" s="93">
        <f t="shared" si="24"/>
        <v>34.6</v>
      </c>
      <c r="AU27" s="93">
        <f t="shared" si="24"/>
        <v>40.5</v>
      </c>
      <c r="AV27" s="93">
        <f t="shared" si="24"/>
        <v>43.7</v>
      </c>
      <c r="AW27" s="93">
        <f t="shared" si="24"/>
        <v>69.700000000000017</v>
      </c>
      <c r="AX27" s="93">
        <f t="shared" si="24"/>
        <v>24.699999999999992</v>
      </c>
      <c r="AY27" s="93">
        <f t="shared" si="24"/>
        <v>29.5</v>
      </c>
      <c r="AZ27" s="93">
        <f t="shared" si="24"/>
        <v>37.300000000000004</v>
      </c>
      <c r="BA27" s="93">
        <f t="shared" si="24"/>
        <v>26.100000000000009</v>
      </c>
      <c r="BB27" s="93">
        <f t="shared" si="24"/>
        <v>12.800000000000004</v>
      </c>
      <c r="BC27" s="93">
        <f t="shared" si="24"/>
        <v>13.100000000000001</v>
      </c>
      <c r="BD27" s="93">
        <f t="shared" si="24"/>
        <v>42.299999999999983</v>
      </c>
      <c r="BE27" s="93">
        <f t="shared" si="24"/>
        <v>5.8999999999999968</v>
      </c>
      <c r="BF27" s="93">
        <f t="shared" si="24"/>
        <v>-59.3</v>
      </c>
      <c r="BG27" s="93">
        <f t="shared" si="24"/>
        <v>-37.900000000000006</v>
      </c>
      <c r="BH27" s="93">
        <f t="shared" si="24"/>
        <v>-1</v>
      </c>
      <c r="BI27" s="93">
        <f t="shared" si="24"/>
        <v>17.499999999999996</v>
      </c>
      <c r="BJ27" s="93">
        <f t="shared" si="24"/>
        <v>17.500000000000014</v>
      </c>
      <c r="BK27" s="93">
        <f t="shared" si="24"/>
        <v>13.400000000000016</v>
      </c>
      <c r="BL27" s="93">
        <f t="shared" si="24"/>
        <v>-5.9000000000000057</v>
      </c>
      <c r="BM27" s="93">
        <f t="shared" si="24"/>
        <v>52.699999999999982</v>
      </c>
      <c r="BN27" s="93">
        <f t="shared" si="24"/>
        <v>489.3</v>
      </c>
      <c r="BO27" s="93">
        <f>SUM(BO23,BO25:BO26)</f>
        <v>12.375625785509524</v>
      </c>
      <c r="BP27" s="93">
        <f>SUM(BP23,BP25:BP26)</f>
        <v>70.243414843479854</v>
      </c>
      <c r="BQ27" s="93">
        <f>SUM(BQ23,BQ25:BQ26)</f>
        <v>119.1086000234759</v>
      </c>
      <c r="BR27" s="93">
        <f>SUM(BR23,BR25:BR26)</f>
        <v>113.23651703465224</v>
      </c>
      <c r="BS27" s="47"/>
      <c r="BT27"/>
      <c r="BU27"/>
      <c r="BV27"/>
      <c r="BW27"/>
      <c r="BX27"/>
      <c r="BY27"/>
      <c r="BZ27" s="47"/>
      <c r="CA27" s="47"/>
      <c r="CB27" s="47"/>
      <c r="CC27" s="47"/>
      <c r="CD27" s="47"/>
      <c r="CE27" s="47"/>
      <c r="CF27" s="47"/>
      <c r="CG27" s="47"/>
      <c r="CH27" s="47"/>
      <c r="CI27" s="47"/>
      <c r="CJ27" s="47"/>
      <c r="CK27" s="47"/>
      <c r="CL27" s="47"/>
      <c r="CM27" s="47"/>
    </row>
    <row r="28" spans="2:91" s="45" customFormat="1">
      <c r="B28" s="116"/>
      <c r="C28" s="123"/>
      <c r="D28" s="47"/>
      <c r="E28" s="47"/>
      <c r="F28" s="47"/>
      <c r="G28" s="112"/>
      <c r="H28" s="112"/>
      <c r="I28" s="112"/>
      <c r="J28" s="112"/>
      <c r="K28" s="47"/>
      <c r="L28" s="112"/>
      <c r="M28" s="112"/>
      <c r="N28" s="112"/>
      <c r="O28" s="112"/>
      <c r="P28" s="47"/>
      <c r="Q28" s="42"/>
      <c r="R28" s="42"/>
      <c r="S28" s="42"/>
      <c r="T28" s="42"/>
      <c r="U28" s="42"/>
      <c r="V28" s="47"/>
      <c r="W28" s="115"/>
      <c r="X28" s="115"/>
      <c r="Y28" s="115"/>
      <c r="Z28" s="115"/>
      <c r="AA28" s="115"/>
      <c r="AB28" s="115"/>
      <c r="AC28" s="115"/>
      <c r="AD28" s="115"/>
      <c r="AE28" s="115"/>
      <c r="AF28" s="115"/>
      <c r="AG28" s="115"/>
      <c r="AH28" s="115"/>
      <c r="AI28" s="115"/>
      <c r="AJ28" s="115"/>
      <c r="AK28" s="115"/>
      <c r="AL28" s="115"/>
      <c r="AM28" s="115"/>
      <c r="AN28" s="115"/>
      <c r="AO28" s="115"/>
      <c r="AP28" s="115"/>
      <c r="AQ28" s="115"/>
      <c r="AR28" s="115"/>
      <c r="AS28" s="115"/>
      <c r="AT28" s="115"/>
      <c r="AU28" s="115"/>
      <c r="AV28" s="115"/>
      <c r="AW28" s="115"/>
      <c r="AX28" s="115"/>
      <c r="AY28" s="47"/>
      <c r="AZ28" s="47"/>
      <c r="BA28" s="47"/>
      <c r="BB28" s="47"/>
      <c r="BC28" s="47"/>
      <c r="BD28" s="47"/>
      <c r="BE28" s="47"/>
      <c r="BF28" s="47"/>
      <c r="BG28" s="47"/>
      <c r="BH28" s="47"/>
      <c r="BI28" s="47"/>
      <c r="BJ28" s="47"/>
      <c r="BK28" s="47"/>
      <c r="BL28" s="47"/>
      <c r="BM28" s="42"/>
      <c r="BN28" s="47"/>
      <c r="BO28" s="47"/>
      <c r="BP28" s="47"/>
      <c r="BQ28" s="47"/>
      <c r="BR28" s="47"/>
      <c r="BS28" s="47"/>
      <c r="BT28"/>
      <c r="BU28"/>
      <c r="BV28"/>
      <c r="BW28"/>
      <c r="BX28"/>
      <c r="BY28"/>
      <c r="BZ28" s="47"/>
      <c r="CA28" s="47"/>
      <c r="CB28" s="47"/>
      <c r="CC28" s="47"/>
      <c r="CD28" s="47"/>
      <c r="CE28" s="47"/>
      <c r="CF28" s="47"/>
      <c r="CG28" s="47"/>
      <c r="CH28" s="47"/>
      <c r="CI28" s="47"/>
      <c r="CJ28" s="47"/>
      <c r="CK28" s="47"/>
      <c r="CL28" s="47"/>
      <c r="CM28" s="47"/>
    </row>
    <row r="29" spans="2:91">
      <c r="B29" s="97" t="s">
        <v>99</v>
      </c>
      <c r="C29" s="97"/>
      <c r="D29" s="15"/>
      <c r="E29" s="15"/>
      <c r="F29" s="15"/>
      <c r="G29" s="131">
        <v>74</v>
      </c>
      <c r="H29" s="131">
        <v>75.8</v>
      </c>
      <c r="I29" s="131">
        <v>78.099999999999994</v>
      </c>
      <c r="J29" s="131">
        <v>79.2</v>
      </c>
      <c r="K29" s="131">
        <v>80</v>
      </c>
      <c r="L29" s="131">
        <v>80.099999999999994</v>
      </c>
      <c r="M29" s="131">
        <v>79.900000000000006</v>
      </c>
      <c r="N29" s="131">
        <v>78.599999999999994</v>
      </c>
      <c r="O29" s="131">
        <v>103.4</v>
      </c>
      <c r="P29" s="131">
        <v>165.2</v>
      </c>
      <c r="Q29" s="131">
        <v>166.2</v>
      </c>
      <c r="R29" s="361">
        <f t="shared" ref="R29:T30" si="25">+R63</f>
        <v>167.72499999999999</v>
      </c>
      <c r="S29" s="361">
        <f t="shared" si="25"/>
        <v>168.97499999999999</v>
      </c>
      <c r="T29" s="361">
        <f t="shared" si="25"/>
        <v>170.22499999999999</v>
      </c>
      <c r="U29" s="361">
        <f>+U63</f>
        <v>171.47499999999999</v>
      </c>
      <c r="V29" s="15"/>
      <c r="W29" s="131">
        <v>73.5</v>
      </c>
      <c r="X29" s="131">
        <v>73.8</v>
      </c>
      <c r="Y29" s="131">
        <v>74.099999999999994</v>
      </c>
      <c r="Z29" s="131">
        <v>74.400000000000006</v>
      </c>
      <c r="AA29" s="131">
        <v>74.599999999999994</v>
      </c>
      <c r="AB29" s="131">
        <v>75</v>
      </c>
      <c r="AC29" s="131">
        <v>76.3</v>
      </c>
      <c r="AD29" s="131">
        <v>77.099999999999994</v>
      </c>
      <c r="AE29" s="131">
        <v>77.5</v>
      </c>
      <c r="AF29" s="131">
        <v>78.099999999999994</v>
      </c>
      <c r="AG29" s="131">
        <v>78.400000000000006</v>
      </c>
      <c r="AH29" s="131">
        <v>78.599999999999994</v>
      </c>
      <c r="AI29" s="131">
        <v>78.8</v>
      </c>
      <c r="AJ29" s="131">
        <v>79</v>
      </c>
      <c r="AK29" s="131">
        <v>79.400000000000006</v>
      </c>
      <c r="AL29" s="131">
        <v>79.599999999999994</v>
      </c>
      <c r="AM29" s="131">
        <v>79.599999999999994</v>
      </c>
      <c r="AN29" s="131">
        <v>80</v>
      </c>
      <c r="AO29" s="131">
        <v>80.2</v>
      </c>
      <c r="AP29" s="131">
        <v>80.099999999999994</v>
      </c>
      <c r="AQ29" s="131">
        <v>80.099999999999994</v>
      </c>
      <c r="AR29" s="131">
        <v>80.099999999999994</v>
      </c>
      <c r="AS29" s="131">
        <v>80.099999999999994</v>
      </c>
      <c r="AT29" s="131">
        <v>80.2</v>
      </c>
      <c r="AU29" s="131">
        <v>80.2</v>
      </c>
      <c r="AV29" s="131">
        <v>80.2</v>
      </c>
      <c r="AW29" s="131">
        <v>79.8</v>
      </c>
      <c r="AX29" s="131">
        <v>79.5</v>
      </c>
      <c r="AY29" s="131">
        <v>79.2</v>
      </c>
      <c r="AZ29" s="131">
        <v>78.8</v>
      </c>
      <c r="BA29" s="131">
        <v>78.400000000000006</v>
      </c>
      <c r="BB29" s="131">
        <v>77.900000000000006</v>
      </c>
      <c r="BC29" s="131">
        <v>77.400000000000006</v>
      </c>
      <c r="BD29" s="131">
        <v>77.5</v>
      </c>
      <c r="BE29" s="131">
        <v>77.599999999999994</v>
      </c>
      <c r="BF29" s="131">
        <v>161.6</v>
      </c>
      <c r="BG29" s="131">
        <v>165.1</v>
      </c>
      <c r="BH29" s="131">
        <v>165.2</v>
      </c>
      <c r="BI29" s="131">
        <v>165.2</v>
      </c>
      <c r="BJ29" s="131">
        <v>165.3</v>
      </c>
      <c r="BK29" s="131">
        <v>165.6</v>
      </c>
      <c r="BL29" s="131">
        <v>166.1</v>
      </c>
      <c r="BM29" s="131">
        <v>166.3</v>
      </c>
      <c r="BN29" s="131">
        <v>167.1</v>
      </c>
      <c r="BO29" s="361">
        <f t="shared" ref="BO29:BR30" si="26">+BO63</f>
        <v>167.25624999999999</v>
      </c>
      <c r="BP29" s="361">
        <f t="shared" si="26"/>
        <v>167.56874999999999</v>
      </c>
      <c r="BQ29" s="361">
        <f t="shared" si="26"/>
        <v>167.88124999999999</v>
      </c>
      <c r="BR29" s="361">
        <f t="shared" si="26"/>
        <v>168.19374999999999</v>
      </c>
      <c r="BS29" s="97"/>
      <c r="BZ29" s="15"/>
      <c r="CA29" s="15"/>
      <c r="CB29" s="15"/>
      <c r="CC29" s="15"/>
      <c r="CD29" s="15"/>
      <c r="CE29" s="15"/>
      <c r="CF29" s="15"/>
      <c r="CG29" s="15"/>
      <c r="CH29" s="15"/>
      <c r="CI29" s="15"/>
      <c r="CJ29" s="15"/>
      <c r="CK29" s="15"/>
      <c r="CL29" s="15"/>
      <c r="CM29" s="15"/>
    </row>
    <row r="30" spans="2:91">
      <c r="B30" s="97" t="s">
        <v>100</v>
      </c>
      <c r="C30" s="97"/>
      <c r="D30" s="15"/>
      <c r="E30" s="15"/>
      <c r="F30" s="15"/>
      <c r="G30" s="131">
        <v>74.3</v>
      </c>
      <c r="H30" s="131">
        <v>76.099999999999994</v>
      </c>
      <c r="I30" s="131">
        <v>78.3</v>
      </c>
      <c r="J30" s="131">
        <v>79.900000000000006</v>
      </c>
      <c r="K30" s="131">
        <v>80.8</v>
      </c>
      <c r="L30" s="131">
        <v>81</v>
      </c>
      <c r="M30" s="131">
        <v>80.900000000000006</v>
      </c>
      <c r="N30" s="131">
        <v>79.7</v>
      </c>
      <c r="O30" s="131">
        <v>104.3</v>
      </c>
      <c r="P30" s="131">
        <v>165.2</v>
      </c>
      <c r="Q30" s="131">
        <v>168.5</v>
      </c>
      <c r="R30" s="361">
        <f t="shared" si="25"/>
        <v>170.05451388888892</v>
      </c>
      <c r="S30" s="361">
        <f t="shared" si="25"/>
        <v>171.32187500000003</v>
      </c>
      <c r="T30" s="361">
        <f t="shared" si="25"/>
        <v>172.58923611111115</v>
      </c>
      <c r="U30" s="361">
        <f>+U64</f>
        <v>173.85659722222223</v>
      </c>
      <c r="V30" s="15"/>
      <c r="W30" s="131">
        <v>73.8</v>
      </c>
      <c r="X30" s="131">
        <v>74.2</v>
      </c>
      <c r="Y30" s="131">
        <v>74.599999999999994</v>
      </c>
      <c r="Z30" s="131">
        <v>74.8</v>
      </c>
      <c r="AA30" s="131">
        <v>75</v>
      </c>
      <c r="AB30" s="131">
        <v>75.400000000000006</v>
      </c>
      <c r="AC30" s="131">
        <v>76.7</v>
      </c>
      <c r="AD30" s="131">
        <v>77.400000000000006</v>
      </c>
      <c r="AE30" s="131">
        <v>77.599999999999994</v>
      </c>
      <c r="AF30" s="131">
        <v>78.099999999999994</v>
      </c>
      <c r="AG30" s="131">
        <v>78.599999999999994</v>
      </c>
      <c r="AH30" s="131">
        <v>78.900000000000006</v>
      </c>
      <c r="AI30" s="131">
        <v>79.400000000000006</v>
      </c>
      <c r="AJ30" s="131">
        <v>79.8</v>
      </c>
      <c r="AK30" s="131">
        <v>80.2</v>
      </c>
      <c r="AL30" s="131">
        <v>80.400000000000006</v>
      </c>
      <c r="AM30" s="131">
        <v>80.400000000000006</v>
      </c>
      <c r="AN30" s="131">
        <v>81.099999999999994</v>
      </c>
      <c r="AO30" s="131">
        <v>80.8</v>
      </c>
      <c r="AP30" s="131">
        <v>80.7</v>
      </c>
      <c r="AQ30" s="131">
        <v>80.900000000000006</v>
      </c>
      <c r="AR30" s="131">
        <v>80.7</v>
      </c>
      <c r="AS30" s="131">
        <v>81</v>
      </c>
      <c r="AT30" s="131">
        <v>81</v>
      </c>
      <c r="AU30" s="131">
        <v>81.2</v>
      </c>
      <c r="AV30" s="131">
        <v>81.2</v>
      </c>
      <c r="AW30" s="131">
        <v>80.8</v>
      </c>
      <c r="AX30" s="131">
        <v>80.5</v>
      </c>
      <c r="AY30" s="131">
        <v>80.5</v>
      </c>
      <c r="AZ30" s="131">
        <v>80</v>
      </c>
      <c r="BA30" s="131">
        <v>79.5</v>
      </c>
      <c r="BB30" s="131">
        <v>78.8</v>
      </c>
      <c r="BC30" s="131">
        <v>78.5</v>
      </c>
      <c r="BD30" s="131">
        <v>78.7</v>
      </c>
      <c r="BE30" s="131">
        <v>78.3</v>
      </c>
      <c r="BF30" s="131">
        <v>161.6</v>
      </c>
      <c r="BG30" s="131">
        <v>165.1</v>
      </c>
      <c r="BH30" s="131">
        <v>165.2</v>
      </c>
      <c r="BI30" s="131">
        <v>166.5</v>
      </c>
      <c r="BJ30" s="131">
        <v>166.7</v>
      </c>
      <c r="BK30" s="131">
        <v>167.9</v>
      </c>
      <c r="BL30" s="131">
        <v>166.1</v>
      </c>
      <c r="BM30" s="131">
        <v>168.5</v>
      </c>
      <c r="BN30" s="131">
        <v>169.5</v>
      </c>
      <c r="BO30" s="361">
        <f t="shared" si="26"/>
        <v>169.65625</v>
      </c>
      <c r="BP30" s="361">
        <f t="shared" si="26"/>
        <v>169.96875</v>
      </c>
      <c r="BQ30" s="361">
        <f t="shared" si="26"/>
        <v>170.28125</v>
      </c>
      <c r="BR30" s="361">
        <f t="shared" si="26"/>
        <v>170.59375</v>
      </c>
      <c r="BS30" s="134"/>
      <c r="BZ30" s="15"/>
      <c r="CA30" s="15"/>
      <c r="CB30" s="15"/>
      <c r="CC30" s="15"/>
      <c r="CD30" s="15"/>
      <c r="CE30" s="15"/>
      <c r="CF30" s="15"/>
      <c r="CG30" s="15"/>
      <c r="CH30" s="15"/>
      <c r="CI30" s="15"/>
      <c r="CJ30" s="15"/>
      <c r="CK30" s="15"/>
      <c r="CL30" s="15"/>
      <c r="CM30" s="15"/>
    </row>
    <row r="31" spans="2:91">
      <c r="B31" s="97"/>
      <c r="C31" s="97"/>
      <c r="G31" s="15"/>
      <c r="H31" s="15"/>
      <c r="K31" s="135"/>
      <c r="O31" s="136"/>
      <c r="P31" s="135"/>
      <c r="W31" s="97"/>
      <c r="X31" s="97"/>
      <c r="Y31" s="97"/>
      <c r="Z31" s="97"/>
      <c r="AA31" s="97"/>
      <c r="AB31" s="97"/>
      <c r="AC31" s="97"/>
      <c r="AD31" s="97"/>
      <c r="AE31" s="97"/>
      <c r="AF31" s="97"/>
      <c r="AG31" s="15"/>
      <c r="AI31" s="97"/>
      <c r="AJ31" s="97"/>
      <c r="AK31" s="15"/>
      <c r="AO31" s="136"/>
      <c r="AR31" s="135"/>
      <c r="AS31" s="135"/>
      <c r="AV31" s="135"/>
      <c r="AW31" s="135"/>
      <c r="AX31" s="135"/>
      <c r="AY31" s="14"/>
      <c r="AZ31" s="14"/>
      <c r="BA31" s="14"/>
      <c r="BB31" s="137"/>
      <c r="BC31" s="137"/>
      <c r="BD31" s="137"/>
      <c r="BE31" s="137"/>
      <c r="BF31" s="137"/>
      <c r="BG31" s="131"/>
      <c r="BH31" s="131"/>
      <c r="BI31" s="131"/>
      <c r="BJ31" s="137"/>
      <c r="BK31" s="131"/>
      <c r="BL31" s="131"/>
      <c r="BM31" s="131"/>
      <c r="BN31" s="137"/>
      <c r="BO31" s="137"/>
      <c r="BP31" s="137"/>
      <c r="BQ31" s="137"/>
      <c r="BR31" s="137"/>
      <c r="BS31" s="137"/>
    </row>
    <row r="32" spans="2:91">
      <c r="B32" s="33" t="s">
        <v>546</v>
      </c>
      <c r="C32" s="33"/>
      <c r="D32" s="33"/>
      <c r="E32" s="33"/>
      <c r="F32" s="33"/>
      <c r="G32" s="138">
        <f t="shared" ref="G32:T32" si="27">IFERROR(G$23/G29,"NA")</f>
        <v>1.362162162162162</v>
      </c>
      <c r="H32" s="138">
        <f t="shared" si="27"/>
        <v>2.0804749340369391</v>
      </c>
      <c r="I32" s="138">
        <f t="shared" si="27"/>
        <v>1.737516005121639</v>
      </c>
      <c r="J32" s="138">
        <f t="shared" si="27"/>
        <v>0.81818181818181834</v>
      </c>
      <c r="K32" s="138">
        <f t="shared" si="27"/>
        <v>3.0212499999999998</v>
      </c>
      <c r="L32" s="138">
        <f t="shared" si="27"/>
        <v>1.8676654182272161</v>
      </c>
      <c r="M32" s="138">
        <f t="shared" si="27"/>
        <v>2.2352941176470589</v>
      </c>
      <c r="N32" s="138">
        <f t="shared" si="27"/>
        <v>1.3706106870229011</v>
      </c>
      <c r="O32" s="138">
        <f t="shared" si="27"/>
        <v>0.92456479690522264</v>
      </c>
      <c r="P32" s="138">
        <f t="shared" si="27"/>
        <v>0.55109564164648928</v>
      </c>
      <c r="Q32" s="138">
        <f t="shared" si="27"/>
        <v>0.90794223826714848</v>
      </c>
      <c r="R32" s="138">
        <f t="shared" si="27"/>
        <v>2.190872903187465</v>
      </c>
      <c r="S32" s="138">
        <f t="shared" si="27"/>
        <v>2.7097256767295215</v>
      </c>
      <c r="T32" s="138">
        <f t="shared" si="27"/>
        <v>2.9783007951558362</v>
      </c>
      <c r="U32" s="138">
        <f>IFERROR(U$23/U29,"NA")</f>
        <v>3.3330605567687721</v>
      </c>
      <c r="W32" s="138">
        <f t="shared" ref="W32:BN32" si="28">IFERROR(W$23/W29,"NA")</f>
        <v>0.22585034013605454</v>
      </c>
      <c r="X32" s="138">
        <f t="shared" si="28"/>
        <v>0.29674796747967475</v>
      </c>
      <c r="Y32" s="138">
        <f t="shared" si="28"/>
        <v>0.44129554655870462</v>
      </c>
      <c r="Z32" s="138">
        <f t="shared" si="28"/>
        <v>0.39784946236559132</v>
      </c>
      <c r="AA32" s="138">
        <f t="shared" si="28"/>
        <v>0.5</v>
      </c>
      <c r="AB32" s="138">
        <f t="shared" si="28"/>
        <v>0.47333333333333333</v>
      </c>
      <c r="AC32" s="138">
        <f t="shared" si="28"/>
        <v>0.49410222804718212</v>
      </c>
      <c r="AD32" s="138">
        <f t="shared" si="28"/>
        <v>0.61219195849546038</v>
      </c>
      <c r="AE32" s="138">
        <f t="shared" si="28"/>
        <v>0.6025806451612904</v>
      </c>
      <c r="AF32" s="138">
        <f t="shared" si="28"/>
        <v>0.35595390524967996</v>
      </c>
      <c r="AG32" s="138">
        <f t="shared" si="28"/>
        <v>0.50255102040816313</v>
      </c>
      <c r="AH32" s="138">
        <f t="shared" si="28"/>
        <v>0.27735368956743001</v>
      </c>
      <c r="AI32" s="138">
        <f t="shared" si="28"/>
        <v>0.1789340101522843</v>
      </c>
      <c r="AJ32" s="138">
        <f t="shared" si="28"/>
        <v>0.21392405063291142</v>
      </c>
      <c r="AK32" s="138">
        <f t="shared" si="28"/>
        <v>0.40050377833753131</v>
      </c>
      <c r="AL32" s="138">
        <f t="shared" si="28"/>
        <v>2.5125628140703408E-2</v>
      </c>
      <c r="AM32" s="138">
        <f t="shared" si="28"/>
        <v>1.6796482412060301</v>
      </c>
      <c r="AN32" s="138">
        <f t="shared" si="28"/>
        <v>0.52624999999999988</v>
      </c>
      <c r="AO32" s="138">
        <f t="shared" si="28"/>
        <v>0.58852867830423938</v>
      </c>
      <c r="AP32" s="138">
        <f t="shared" si="28"/>
        <v>0.23345817727840196</v>
      </c>
      <c r="AQ32" s="138">
        <f t="shared" si="28"/>
        <v>0.48314606741573041</v>
      </c>
      <c r="AR32" s="138">
        <f t="shared" si="28"/>
        <v>0.59425717852684157</v>
      </c>
      <c r="AS32" s="138">
        <f t="shared" si="28"/>
        <v>0.35830212234706621</v>
      </c>
      <c r="AT32" s="138">
        <f t="shared" si="28"/>
        <v>0.4314214463840399</v>
      </c>
      <c r="AU32" s="138">
        <f t="shared" si="28"/>
        <v>0.50498753117206985</v>
      </c>
      <c r="AV32" s="138">
        <f t="shared" si="28"/>
        <v>0.54488778054862841</v>
      </c>
      <c r="AW32" s="138">
        <f t="shared" si="28"/>
        <v>0.87343358395990001</v>
      </c>
      <c r="AX32" s="138">
        <f t="shared" si="28"/>
        <v>0.31069182389937094</v>
      </c>
      <c r="AY32" s="138">
        <f t="shared" si="28"/>
        <v>0.37411616161616157</v>
      </c>
      <c r="AZ32" s="138">
        <f t="shared" si="28"/>
        <v>0.46611675126903562</v>
      </c>
      <c r="BA32" s="138">
        <f t="shared" si="28"/>
        <v>0.34119897959183682</v>
      </c>
      <c r="BB32" s="138">
        <f t="shared" si="28"/>
        <v>0.18767650834403085</v>
      </c>
      <c r="BC32" s="138">
        <f t="shared" si="28"/>
        <v>0.25658914728682175</v>
      </c>
      <c r="BD32" s="138">
        <f t="shared" si="28"/>
        <v>0.6338709677419353</v>
      </c>
      <c r="BE32" s="138">
        <f t="shared" si="28"/>
        <v>0.19748711340206185</v>
      </c>
      <c r="BF32" s="138">
        <f t="shared" si="28"/>
        <v>6.9863861386138676E-2</v>
      </c>
      <c r="BG32" s="138">
        <f t="shared" si="28"/>
        <v>0.12150211992731676</v>
      </c>
      <c r="BH32" s="138">
        <f t="shared" si="28"/>
        <v>8.7378934624697341E-2</v>
      </c>
      <c r="BI32" s="138">
        <f t="shared" si="28"/>
        <v>0.17572033898305084</v>
      </c>
      <c r="BJ32" s="138">
        <f t="shared" si="28"/>
        <v>0.16646702964307328</v>
      </c>
      <c r="BK32" s="138">
        <f t="shared" si="28"/>
        <v>0.14975845410628028</v>
      </c>
      <c r="BL32" s="138">
        <f t="shared" si="28"/>
        <v>2.2727272727272697E-2</v>
      </c>
      <c r="BM32" s="138">
        <f t="shared" si="28"/>
        <v>0.37642814191220669</v>
      </c>
      <c r="BN32" s="138">
        <f t="shared" si="28"/>
        <v>0.35742070616397414</v>
      </c>
      <c r="BO32" s="138">
        <f t="shared" ref="BO32:BR33" si="29">IFERROR(BO$23/BO29,"NA")</f>
        <v>0.15246441185611614</v>
      </c>
      <c r="BP32" s="138">
        <f t="shared" si="29"/>
        <v>0.49751767464685304</v>
      </c>
      <c r="BQ32" s="138">
        <f t="shared" si="29"/>
        <v>0.78766151683690644</v>
      </c>
      <c r="BR32" s="138">
        <f t="shared" si="29"/>
        <v>0.75128544927889562</v>
      </c>
      <c r="BS32" s="137"/>
    </row>
    <row r="33" spans="2:92">
      <c r="B33" s="33" t="s">
        <v>547</v>
      </c>
      <c r="C33" s="139"/>
      <c r="D33" s="140"/>
      <c r="E33" s="140"/>
      <c r="F33" s="140"/>
      <c r="G33" s="138">
        <f t="shared" ref="G33:T33" si="30">IFERROR(G$23/G30,"NA")</f>
        <v>1.3566621803499326</v>
      </c>
      <c r="H33" s="138">
        <f t="shared" si="30"/>
        <v>2.0722733245729303</v>
      </c>
      <c r="I33" s="138">
        <f t="shared" si="30"/>
        <v>1.7330779054916985</v>
      </c>
      <c r="J33" s="138">
        <f t="shared" si="30"/>
        <v>0.8110137672090113</v>
      </c>
      <c r="K33" s="138">
        <f t="shared" si="30"/>
        <v>2.9913366336633662</v>
      </c>
      <c r="L33" s="138">
        <f t="shared" si="30"/>
        <v>1.8469135802469134</v>
      </c>
      <c r="M33" s="138">
        <f t="shared" si="30"/>
        <v>2.2076637824474661</v>
      </c>
      <c r="N33" s="138">
        <f t="shared" si="30"/>
        <v>1.3516938519447932</v>
      </c>
      <c r="O33" s="138">
        <f t="shared" si="30"/>
        <v>0.91658676893576252</v>
      </c>
      <c r="P33" s="138">
        <f t="shared" si="30"/>
        <v>0.55109564164648928</v>
      </c>
      <c r="Q33" s="138">
        <f t="shared" si="30"/>
        <v>0.89554896142433271</v>
      </c>
      <c r="R33" s="138">
        <f t="shared" si="30"/>
        <v>2.1608609456095542</v>
      </c>
      <c r="S33" s="138">
        <f t="shared" si="30"/>
        <v>2.672606146911308</v>
      </c>
      <c r="T33" s="138">
        <f t="shared" si="30"/>
        <v>2.9375021541263036</v>
      </c>
      <c r="U33" s="138">
        <f>IFERROR(U$23/U30,"NA")</f>
        <v>3.2874021929774186</v>
      </c>
      <c r="V33" s="127"/>
      <c r="W33" s="138">
        <f t="shared" ref="W33:BN33" si="31">IFERROR(W$23/W30,"NA")</f>
        <v>0.22493224932249334</v>
      </c>
      <c r="X33" s="138">
        <f t="shared" si="31"/>
        <v>0.29514824797843658</v>
      </c>
      <c r="Y33" s="138">
        <f t="shared" si="31"/>
        <v>0.43833780160857927</v>
      </c>
      <c r="Z33" s="138">
        <f t="shared" si="31"/>
        <v>0.39572192513368981</v>
      </c>
      <c r="AA33" s="138">
        <f t="shared" si="31"/>
        <v>0.49733333333333329</v>
      </c>
      <c r="AB33" s="138">
        <f t="shared" si="31"/>
        <v>0.47082228116710872</v>
      </c>
      <c r="AC33" s="138">
        <f t="shared" si="31"/>
        <v>0.49152542372881347</v>
      </c>
      <c r="AD33" s="138">
        <f t="shared" si="31"/>
        <v>0.60981912144702821</v>
      </c>
      <c r="AE33" s="138">
        <f t="shared" si="31"/>
        <v>0.60180412371134029</v>
      </c>
      <c r="AF33" s="138">
        <f t="shared" si="31"/>
        <v>0.35595390524967996</v>
      </c>
      <c r="AG33" s="138">
        <f t="shared" si="31"/>
        <v>0.50127226463104313</v>
      </c>
      <c r="AH33" s="138">
        <f t="shared" si="31"/>
        <v>0.27629911280101388</v>
      </c>
      <c r="AI33" s="138">
        <f t="shared" si="31"/>
        <v>0.1775818639798489</v>
      </c>
      <c r="AJ33" s="138">
        <f t="shared" si="31"/>
        <v>0.21177944862155393</v>
      </c>
      <c r="AK33" s="138">
        <f t="shared" si="31"/>
        <v>0.39650872817955096</v>
      </c>
      <c r="AL33" s="138">
        <f t="shared" si="31"/>
        <v>2.487562189054715E-2</v>
      </c>
      <c r="AM33" s="138">
        <f t="shared" si="31"/>
        <v>1.6629353233830844</v>
      </c>
      <c r="AN33" s="138">
        <f t="shared" si="31"/>
        <v>0.51911220715166451</v>
      </c>
      <c r="AO33" s="138">
        <f t="shared" si="31"/>
        <v>0.58415841584158423</v>
      </c>
      <c r="AP33" s="138">
        <f t="shared" si="31"/>
        <v>0.231722428748451</v>
      </c>
      <c r="AQ33" s="138">
        <f t="shared" si="31"/>
        <v>0.47836835599505562</v>
      </c>
      <c r="AR33" s="138">
        <f t="shared" si="31"/>
        <v>0.58983890954151186</v>
      </c>
      <c r="AS33" s="138">
        <f t="shared" si="31"/>
        <v>0.35432098765432102</v>
      </c>
      <c r="AT33" s="138">
        <f t="shared" si="31"/>
        <v>0.42716049382716054</v>
      </c>
      <c r="AU33" s="138">
        <f t="shared" si="31"/>
        <v>0.49876847290640391</v>
      </c>
      <c r="AV33" s="138">
        <f t="shared" si="31"/>
        <v>0.53817733990147787</v>
      </c>
      <c r="AW33" s="138">
        <f t="shared" si="31"/>
        <v>0.86262376237623783</v>
      </c>
      <c r="AX33" s="138">
        <f t="shared" si="31"/>
        <v>0.30683229813664586</v>
      </c>
      <c r="AY33" s="138">
        <f t="shared" si="31"/>
        <v>0.36807453416149066</v>
      </c>
      <c r="AZ33" s="138">
        <f t="shared" si="31"/>
        <v>0.45912500000000006</v>
      </c>
      <c r="BA33" s="138">
        <f t="shared" si="31"/>
        <v>0.33647798742138374</v>
      </c>
      <c r="BB33" s="138">
        <f t="shared" si="31"/>
        <v>0.18553299492385794</v>
      </c>
      <c r="BC33" s="138">
        <f t="shared" si="31"/>
        <v>0.25299363057324842</v>
      </c>
      <c r="BD33" s="138">
        <f t="shared" si="31"/>
        <v>0.62420584498094012</v>
      </c>
      <c r="BE33" s="138">
        <f t="shared" si="31"/>
        <v>0.1957215836526181</v>
      </c>
      <c r="BF33" s="138">
        <f t="shared" si="31"/>
        <v>6.9863861386138676E-2</v>
      </c>
      <c r="BG33" s="138">
        <f t="shared" si="31"/>
        <v>0.12150211992731676</v>
      </c>
      <c r="BH33" s="138">
        <f t="shared" si="31"/>
        <v>8.7378934624697341E-2</v>
      </c>
      <c r="BI33" s="138">
        <f t="shared" si="31"/>
        <v>0.17434834834834834</v>
      </c>
      <c r="BJ33" s="138">
        <f t="shared" si="31"/>
        <v>0.16506898620275953</v>
      </c>
      <c r="BK33" s="138">
        <f t="shared" si="31"/>
        <v>0.14770696843359152</v>
      </c>
      <c r="BL33" s="138">
        <f t="shared" si="31"/>
        <v>2.2727272727272697E-2</v>
      </c>
      <c r="BM33" s="138">
        <f t="shared" si="31"/>
        <v>0.37151335311572686</v>
      </c>
      <c r="BN33" s="138">
        <f t="shared" si="31"/>
        <v>0.35235988200590018</v>
      </c>
      <c r="BO33" s="138">
        <f t="shared" si="29"/>
        <v>0.15030761192416739</v>
      </c>
      <c r="BP33" s="138">
        <f t="shared" si="29"/>
        <v>0.49049260433744352</v>
      </c>
      <c r="BQ33" s="138">
        <f t="shared" si="29"/>
        <v>0.77655995609308659</v>
      </c>
      <c r="BR33" s="138">
        <f t="shared" si="29"/>
        <v>0.74071598188475396</v>
      </c>
      <c r="BS33" s="141"/>
      <c r="BZ33" s="142"/>
      <c r="CA33" s="142"/>
      <c r="CB33" s="142"/>
      <c r="CC33" s="142"/>
      <c r="CD33" s="142"/>
      <c r="CE33" s="142"/>
      <c r="CF33" s="142"/>
      <c r="CG33" s="142"/>
      <c r="CH33" s="142"/>
      <c r="CI33" s="142"/>
      <c r="CJ33" s="142"/>
      <c r="CK33" s="142"/>
      <c r="CL33" s="142"/>
      <c r="CM33" s="142"/>
    </row>
    <row r="34" spans="2:92" s="15" customFormat="1" hidden="1" outlineLevel="1">
      <c r="B34" s="11" t="s">
        <v>544</v>
      </c>
      <c r="C34" s="43"/>
      <c r="D34" s="1"/>
      <c r="E34" s="1"/>
      <c r="F34" s="1"/>
      <c r="G34" s="145">
        <f t="shared" ref="G34:S34" si="32">+G$27/G29</f>
        <v>1.7540540540540539</v>
      </c>
      <c r="H34" s="145">
        <f t="shared" si="32"/>
        <v>2.0804749340369391</v>
      </c>
      <c r="I34" s="145">
        <f t="shared" si="32"/>
        <v>1.737516005121639</v>
      </c>
      <c r="J34" s="145">
        <f t="shared" si="32"/>
        <v>0.81818181818181834</v>
      </c>
      <c r="K34" s="145">
        <f t="shared" si="32"/>
        <v>3.0212499999999998</v>
      </c>
      <c r="L34" s="145">
        <f t="shared" si="32"/>
        <v>1.8676654182272161</v>
      </c>
      <c r="M34" s="145">
        <f t="shared" si="32"/>
        <v>2.2352941176470589</v>
      </c>
      <c r="N34" s="145">
        <f t="shared" si="32"/>
        <v>1.3447837150127229</v>
      </c>
      <c r="O34" s="145">
        <f t="shared" si="32"/>
        <v>1.934235976789182E-2</v>
      </c>
      <c r="P34" s="145">
        <f t="shared" si="32"/>
        <v>-2.3607748184019148E-2</v>
      </c>
      <c r="Q34" s="145">
        <f t="shared" si="32"/>
        <v>3.305655836341757</v>
      </c>
      <c r="R34" s="145">
        <f t="shared" si="32"/>
        <v>1.8778605317461177</v>
      </c>
      <c r="S34" s="145">
        <f t="shared" si="32"/>
        <v>2.5765698844525575</v>
      </c>
      <c r="T34" s="145">
        <f>+T$27/T29</f>
        <v>2.9122117953027007</v>
      </c>
      <c r="U34" s="145">
        <f>+U$27/U29</f>
        <v>3.3330605567687721</v>
      </c>
      <c r="V34" s="141"/>
      <c r="W34" s="145">
        <f t="shared" ref="W34:BN34" si="33">+W$27/W29</f>
        <v>0.31428571428571439</v>
      </c>
      <c r="X34" s="145">
        <f t="shared" si="33"/>
        <v>0.48238482384823844</v>
      </c>
      <c r="Y34" s="145">
        <f t="shared" si="33"/>
        <v>0.56950067476383281</v>
      </c>
      <c r="Z34" s="145">
        <f t="shared" si="33"/>
        <v>0.3884408602150537</v>
      </c>
      <c r="AA34" s="145">
        <f t="shared" si="33"/>
        <v>0.5</v>
      </c>
      <c r="AB34" s="145">
        <f t="shared" si="33"/>
        <v>0.47333333333333333</v>
      </c>
      <c r="AC34" s="145">
        <f t="shared" si="33"/>
        <v>0.49410222804718212</v>
      </c>
      <c r="AD34" s="145">
        <f t="shared" si="33"/>
        <v>0.61219195849546038</v>
      </c>
      <c r="AE34" s="145">
        <f t="shared" si="33"/>
        <v>0.6025806451612904</v>
      </c>
      <c r="AF34" s="145">
        <f t="shared" si="33"/>
        <v>0.35595390524967996</v>
      </c>
      <c r="AG34" s="145">
        <f t="shared" si="33"/>
        <v>0.50255102040816313</v>
      </c>
      <c r="AH34" s="145">
        <f t="shared" si="33"/>
        <v>0.27735368956743001</v>
      </c>
      <c r="AI34" s="145">
        <f t="shared" si="33"/>
        <v>0.1789340101522843</v>
      </c>
      <c r="AJ34" s="145">
        <f t="shared" si="33"/>
        <v>0.21392405063291142</v>
      </c>
      <c r="AK34" s="145">
        <f t="shared" si="33"/>
        <v>0.40050377833753131</v>
      </c>
      <c r="AL34" s="145">
        <f t="shared" si="33"/>
        <v>2.5125628140703408E-2</v>
      </c>
      <c r="AM34" s="145">
        <f t="shared" si="33"/>
        <v>1.6796482412060301</v>
      </c>
      <c r="AN34" s="145">
        <f t="shared" si="33"/>
        <v>0.52624999999999988</v>
      </c>
      <c r="AO34" s="145">
        <f t="shared" si="33"/>
        <v>0.58852867830423938</v>
      </c>
      <c r="AP34" s="145">
        <f t="shared" si="33"/>
        <v>0.23345817727840196</v>
      </c>
      <c r="AQ34" s="145">
        <f t="shared" si="33"/>
        <v>0.48314606741573041</v>
      </c>
      <c r="AR34" s="145">
        <f t="shared" si="33"/>
        <v>0.59425717852684157</v>
      </c>
      <c r="AS34" s="145">
        <f t="shared" si="33"/>
        <v>0.35830212234706621</v>
      </c>
      <c r="AT34" s="145">
        <f t="shared" si="33"/>
        <v>0.4314214463840399</v>
      </c>
      <c r="AU34" s="145">
        <f t="shared" si="33"/>
        <v>0.50498753117206985</v>
      </c>
      <c r="AV34" s="145">
        <f t="shared" si="33"/>
        <v>0.54488778054862841</v>
      </c>
      <c r="AW34" s="145">
        <f t="shared" si="33"/>
        <v>0.87343358395990001</v>
      </c>
      <c r="AX34" s="145">
        <f t="shared" si="33"/>
        <v>0.31069182389937094</v>
      </c>
      <c r="AY34" s="145">
        <f t="shared" si="33"/>
        <v>0.37247474747474746</v>
      </c>
      <c r="AZ34" s="145">
        <f t="shared" si="33"/>
        <v>0.47335025380710666</v>
      </c>
      <c r="BA34" s="145">
        <f t="shared" si="33"/>
        <v>0.3329081632653062</v>
      </c>
      <c r="BB34" s="145">
        <f t="shared" si="33"/>
        <v>0.16431322207958926</v>
      </c>
      <c r="BC34" s="145">
        <f t="shared" si="33"/>
        <v>0.16925064599483206</v>
      </c>
      <c r="BD34" s="145">
        <f t="shared" si="33"/>
        <v>0.54580645161290298</v>
      </c>
      <c r="BE34" s="145">
        <f t="shared" si="33"/>
        <v>7.6030927835051512E-2</v>
      </c>
      <c r="BF34" s="145">
        <f t="shared" si="33"/>
        <v>-0.36695544554455445</v>
      </c>
      <c r="BG34" s="145">
        <f t="shared" si="33"/>
        <v>-0.22955784373107213</v>
      </c>
      <c r="BH34" s="145">
        <f t="shared" si="33"/>
        <v>-6.0532687651331726E-3</v>
      </c>
      <c r="BI34" s="145">
        <f t="shared" si="33"/>
        <v>0.10593220338983049</v>
      </c>
      <c r="BJ34" s="145">
        <f t="shared" si="33"/>
        <v>0.10586811857229288</v>
      </c>
      <c r="BK34" s="145">
        <f t="shared" si="33"/>
        <v>8.0917874396135361E-2</v>
      </c>
      <c r="BL34" s="145">
        <f t="shared" si="33"/>
        <v>-3.5520770620108402E-2</v>
      </c>
      <c r="BM34" s="145">
        <f t="shared" si="33"/>
        <v>0.31689717378232096</v>
      </c>
      <c r="BN34" s="145">
        <f t="shared" si="33"/>
        <v>2.9281867145421905</v>
      </c>
      <c r="BO34" s="145">
        <f t="shared" ref="BO34:BR35" si="34">+BO$27/BO29</f>
        <v>7.399200798481087E-2</v>
      </c>
      <c r="BP34" s="145">
        <f t="shared" si="34"/>
        <v>0.41919161444768105</v>
      </c>
      <c r="BQ34" s="145">
        <f t="shared" si="34"/>
        <v>0.70948125549146146</v>
      </c>
      <c r="BR34" s="145">
        <f t="shared" si="34"/>
        <v>0.67325044500555009</v>
      </c>
      <c r="BS34" s="141"/>
      <c r="BT34"/>
      <c r="BU34"/>
      <c r="BV34"/>
      <c r="BW34"/>
      <c r="BX34"/>
      <c r="BY34"/>
      <c r="BZ34" s="1"/>
      <c r="CA34" s="1"/>
      <c r="CB34" s="1"/>
      <c r="CC34" s="1"/>
      <c r="CD34" s="1"/>
      <c r="CE34" s="1"/>
      <c r="CF34" s="1"/>
      <c r="CG34" s="1"/>
      <c r="CH34" s="1"/>
      <c r="CI34" s="1"/>
      <c r="CJ34" s="1"/>
      <c r="CK34" s="1"/>
      <c r="CL34" s="1"/>
      <c r="CM34" s="1"/>
    </row>
    <row r="35" spans="2:92" s="15" customFormat="1" hidden="1" outlineLevel="1">
      <c r="B35" s="11" t="s">
        <v>545</v>
      </c>
      <c r="C35" s="43"/>
      <c r="D35" s="1"/>
      <c r="E35" s="1"/>
      <c r="F35" s="1"/>
      <c r="G35" s="145">
        <f t="shared" ref="G35:S35" si="35">+G$27/G30</f>
        <v>1.7469717362045758</v>
      </c>
      <c r="H35" s="145">
        <f t="shared" si="35"/>
        <v>2.0722733245729303</v>
      </c>
      <c r="I35" s="145">
        <f t="shared" si="35"/>
        <v>1.7330779054916985</v>
      </c>
      <c r="J35" s="145">
        <f t="shared" si="35"/>
        <v>0.8110137672090113</v>
      </c>
      <c r="K35" s="145">
        <f t="shared" si="35"/>
        <v>2.9913366336633662</v>
      </c>
      <c r="L35" s="145">
        <f t="shared" si="35"/>
        <v>1.8469135802469134</v>
      </c>
      <c r="M35" s="145">
        <f t="shared" si="35"/>
        <v>2.2076637824474661</v>
      </c>
      <c r="N35" s="145">
        <f t="shared" si="35"/>
        <v>1.326223337515684</v>
      </c>
      <c r="O35" s="145">
        <f t="shared" si="35"/>
        <v>1.9175455417066292E-2</v>
      </c>
      <c r="P35" s="145">
        <f t="shared" si="35"/>
        <v>-2.3607748184019148E-2</v>
      </c>
      <c r="Q35" s="145">
        <f t="shared" si="35"/>
        <v>3.2605341246290798</v>
      </c>
      <c r="R35" s="145">
        <f t="shared" si="35"/>
        <v>1.8521364148728827</v>
      </c>
      <c r="S35" s="145">
        <f t="shared" si="35"/>
        <v>2.5412744065833435</v>
      </c>
      <c r="T35" s="145">
        <f>+T$27/T30</f>
        <v>2.8723184830382795</v>
      </c>
      <c r="U35" s="145">
        <f>+U$27/U30</f>
        <v>3.2874021929774186</v>
      </c>
      <c r="V35" s="141"/>
      <c r="W35" s="145">
        <f t="shared" ref="W35:BN35" si="36">+W$27/W30</f>
        <v>0.31300813008130096</v>
      </c>
      <c r="X35" s="145">
        <f t="shared" si="36"/>
        <v>0.47978436657681933</v>
      </c>
      <c r="Y35" s="145">
        <f t="shared" si="36"/>
        <v>0.56568364611260069</v>
      </c>
      <c r="Z35" s="145">
        <f t="shared" si="36"/>
        <v>0.38636363636363635</v>
      </c>
      <c r="AA35" s="145">
        <f t="shared" si="36"/>
        <v>0.49733333333333329</v>
      </c>
      <c r="AB35" s="145">
        <f t="shared" si="36"/>
        <v>0.47082228116710872</v>
      </c>
      <c r="AC35" s="145">
        <f t="shared" si="36"/>
        <v>0.49152542372881347</v>
      </c>
      <c r="AD35" s="145">
        <f t="shared" si="36"/>
        <v>0.60981912144702821</v>
      </c>
      <c r="AE35" s="145">
        <f t="shared" si="36"/>
        <v>0.60180412371134029</v>
      </c>
      <c r="AF35" s="145">
        <f t="shared" si="36"/>
        <v>0.35595390524967996</v>
      </c>
      <c r="AG35" s="145">
        <f t="shared" si="36"/>
        <v>0.50127226463104313</v>
      </c>
      <c r="AH35" s="145">
        <f t="shared" si="36"/>
        <v>0.27629911280101388</v>
      </c>
      <c r="AI35" s="145">
        <f t="shared" si="36"/>
        <v>0.1775818639798489</v>
      </c>
      <c r="AJ35" s="145">
        <f t="shared" si="36"/>
        <v>0.21177944862155393</v>
      </c>
      <c r="AK35" s="145">
        <f t="shared" si="36"/>
        <v>0.39650872817955096</v>
      </c>
      <c r="AL35" s="145">
        <f t="shared" si="36"/>
        <v>2.487562189054715E-2</v>
      </c>
      <c r="AM35" s="145">
        <f t="shared" si="36"/>
        <v>1.6629353233830844</v>
      </c>
      <c r="AN35" s="145">
        <f t="shared" si="36"/>
        <v>0.51911220715166451</v>
      </c>
      <c r="AO35" s="145">
        <f t="shared" si="36"/>
        <v>0.58415841584158423</v>
      </c>
      <c r="AP35" s="145">
        <f t="shared" si="36"/>
        <v>0.231722428748451</v>
      </c>
      <c r="AQ35" s="145">
        <f t="shared" si="36"/>
        <v>0.47836835599505562</v>
      </c>
      <c r="AR35" s="145">
        <f t="shared" si="36"/>
        <v>0.58983890954151186</v>
      </c>
      <c r="AS35" s="145">
        <f t="shared" si="36"/>
        <v>0.35432098765432102</v>
      </c>
      <c r="AT35" s="145">
        <f t="shared" si="36"/>
        <v>0.42716049382716054</v>
      </c>
      <c r="AU35" s="145">
        <f t="shared" si="36"/>
        <v>0.49876847290640391</v>
      </c>
      <c r="AV35" s="145">
        <f t="shared" si="36"/>
        <v>0.53817733990147787</v>
      </c>
      <c r="AW35" s="145">
        <f t="shared" si="36"/>
        <v>0.86262376237623783</v>
      </c>
      <c r="AX35" s="145">
        <f t="shared" si="36"/>
        <v>0.30683229813664586</v>
      </c>
      <c r="AY35" s="145">
        <f t="shared" si="36"/>
        <v>0.36645962732919257</v>
      </c>
      <c r="AZ35" s="145">
        <f t="shared" si="36"/>
        <v>0.46625000000000005</v>
      </c>
      <c r="BA35" s="145">
        <f t="shared" si="36"/>
        <v>0.32830188679245292</v>
      </c>
      <c r="BB35" s="145">
        <f t="shared" si="36"/>
        <v>0.16243654822335032</v>
      </c>
      <c r="BC35" s="145">
        <f t="shared" si="36"/>
        <v>0.16687898089171976</v>
      </c>
      <c r="BD35" s="145">
        <f t="shared" si="36"/>
        <v>0.53748411689961861</v>
      </c>
      <c r="BE35" s="145">
        <f t="shared" si="36"/>
        <v>7.5351213282247725E-2</v>
      </c>
      <c r="BF35" s="145">
        <f t="shared" si="36"/>
        <v>-0.36695544554455445</v>
      </c>
      <c r="BG35" s="145">
        <f t="shared" si="36"/>
        <v>-0.22955784373107213</v>
      </c>
      <c r="BH35" s="145">
        <f t="shared" si="36"/>
        <v>-6.0532687651331726E-3</v>
      </c>
      <c r="BI35" s="145">
        <f t="shared" si="36"/>
        <v>0.10510510510510508</v>
      </c>
      <c r="BJ35" s="145">
        <f t="shared" si="36"/>
        <v>0.10497900419916026</v>
      </c>
      <c r="BK35" s="145">
        <f t="shared" si="36"/>
        <v>7.9809410363311586E-2</v>
      </c>
      <c r="BL35" s="145">
        <f t="shared" si="36"/>
        <v>-3.5520770620108402E-2</v>
      </c>
      <c r="BM35" s="145">
        <f t="shared" si="36"/>
        <v>0.31275964391691385</v>
      </c>
      <c r="BN35" s="145">
        <f t="shared" si="36"/>
        <v>2.8867256637168142</v>
      </c>
      <c r="BO35" s="145">
        <f t="shared" si="34"/>
        <v>7.2945298422601723E-2</v>
      </c>
      <c r="BP35" s="145">
        <f t="shared" si="34"/>
        <v>0.41327252711736628</v>
      </c>
      <c r="BQ35" s="145">
        <f t="shared" si="34"/>
        <v>0.69948159309070079</v>
      </c>
      <c r="BR35" s="145">
        <f t="shared" si="34"/>
        <v>0.66377881390527049</v>
      </c>
      <c r="BS35" s="141"/>
      <c r="BT35"/>
      <c r="BU35"/>
      <c r="BV35"/>
      <c r="BW35"/>
      <c r="BX35"/>
      <c r="BY35"/>
      <c r="BZ35" s="1"/>
      <c r="CA35" s="1"/>
      <c r="CB35" s="1"/>
      <c r="CC35" s="1"/>
      <c r="CD35" s="1"/>
      <c r="CE35" s="1"/>
      <c r="CF35" s="1"/>
      <c r="CG35" s="1"/>
      <c r="CH35" s="1"/>
      <c r="CI35" s="1"/>
      <c r="CJ35" s="1"/>
      <c r="CK35" s="1"/>
      <c r="CL35" s="1"/>
      <c r="CM35" s="1"/>
    </row>
    <row r="36" spans="2:92" s="45" customFormat="1" collapsed="1">
      <c r="B36" s="59"/>
      <c r="C36" s="123"/>
      <c r="D36" s="47"/>
      <c r="E36" s="47"/>
      <c r="F36" s="47"/>
      <c r="G36" s="112"/>
      <c r="H36" s="112"/>
      <c r="I36" s="112"/>
      <c r="J36" s="112"/>
      <c r="K36" s="47"/>
      <c r="L36" s="112"/>
      <c r="M36" s="112"/>
      <c r="N36" s="112"/>
      <c r="O36" s="112"/>
      <c r="Q36" s="146"/>
      <c r="R36" s="146"/>
      <c r="S36" s="42"/>
      <c r="V36" s="47"/>
      <c r="W36" s="115"/>
      <c r="X36" s="115"/>
      <c r="Y36" s="115"/>
      <c r="Z36" s="115"/>
      <c r="AA36" s="115"/>
      <c r="AB36" s="115"/>
      <c r="AC36" s="115"/>
      <c r="AD36" s="115"/>
      <c r="AE36" s="115"/>
      <c r="AF36" s="115"/>
      <c r="AG36" s="115"/>
      <c r="AH36" s="115"/>
      <c r="AI36" s="115"/>
      <c r="AJ36" s="115"/>
      <c r="AK36" s="115"/>
      <c r="AL36" s="115"/>
      <c r="AM36" s="115"/>
      <c r="AN36" s="115"/>
      <c r="AO36" s="115"/>
      <c r="AP36" s="115"/>
      <c r="AQ36" s="115"/>
      <c r="AR36" s="115"/>
      <c r="AS36" s="115"/>
      <c r="AT36" s="115"/>
      <c r="AU36" s="115"/>
      <c r="AV36" s="115"/>
      <c r="AW36" s="115"/>
      <c r="AX36" s="115"/>
      <c r="AY36" s="47"/>
      <c r="AZ36" s="47"/>
      <c r="BA36" s="47"/>
      <c r="BB36" s="47"/>
      <c r="BC36" s="47"/>
      <c r="BD36" s="47"/>
      <c r="BE36" s="47"/>
      <c r="BF36" s="47"/>
      <c r="BG36" s="47"/>
      <c r="BH36" s="47"/>
      <c r="BI36" s="47"/>
      <c r="BJ36" s="359"/>
      <c r="BK36" s="47"/>
      <c r="BL36" s="47"/>
      <c r="BM36" s="42"/>
      <c r="BN36" s="47"/>
      <c r="BO36" s="47"/>
      <c r="BP36" s="47"/>
      <c r="BQ36" s="47"/>
      <c r="BR36" s="47"/>
      <c r="BS36" s="47"/>
      <c r="BT36"/>
      <c r="BU36"/>
      <c r="BV36"/>
      <c r="BW36"/>
      <c r="BX36"/>
      <c r="BY36"/>
      <c r="BZ36" s="47"/>
      <c r="CA36" s="47"/>
      <c r="CB36" s="47"/>
      <c r="CC36" s="47"/>
      <c r="CD36" s="47"/>
      <c r="CE36" s="47"/>
      <c r="CF36" s="47"/>
      <c r="CG36" s="47"/>
      <c r="CH36" s="47"/>
      <c r="CI36" s="47"/>
      <c r="CJ36" s="47"/>
      <c r="CK36" s="47"/>
      <c r="CL36" s="47"/>
      <c r="CM36" s="47"/>
    </row>
    <row r="37" spans="2:92">
      <c r="B37" s="13" t="s">
        <v>101</v>
      </c>
      <c r="C37" s="97"/>
      <c r="G37" s="144">
        <f>SUM(W37:Z37)</f>
        <v>0.8</v>
      </c>
      <c r="H37" s="144">
        <f>SUM(AA37:AD37)</f>
        <v>0.8</v>
      </c>
      <c r="I37" s="144">
        <f>SUM(AE37:AH37)</f>
        <v>0.8</v>
      </c>
      <c r="J37" s="144">
        <f>SUM(AI37:AL37)</f>
        <v>0.8</v>
      </c>
      <c r="K37" s="144">
        <f>SUM(AM37:AP37)</f>
        <v>0.8</v>
      </c>
      <c r="L37" s="144">
        <f>SUM(AQ37:AT37)</f>
        <v>0.8</v>
      </c>
      <c r="M37" s="144">
        <f>SUM(AU37:AX37)</f>
        <v>0.8</v>
      </c>
      <c r="N37" s="144">
        <f>SUM(AY37:BB37)</f>
        <v>0.8</v>
      </c>
      <c r="O37" s="146">
        <f>SUM(BC37:BF37)</f>
        <v>0.8</v>
      </c>
      <c r="P37" s="146">
        <f>SUM(BG37:BJ37)</f>
        <v>0.8</v>
      </c>
      <c r="Q37" s="121">
        <f>SUM(BK37:BN37)</f>
        <v>0.8</v>
      </c>
      <c r="R37" s="146">
        <f>SUM(BO37:BR37)</f>
        <v>0.8</v>
      </c>
      <c r="S37" s="146">
        <v>0.8</v>
      </c>
      <c r="T37" s="146">
        <v>0.8</v>
      </c>
      <c r="U37" s="146">
        <v>0.8</v>
      </c>
      <c r="W37" s="147">
        <v>0.2</v>
      </c>
      <c r="X37" s="147">
        <v>0.2</v>
      </c>
      <c r="Y37" s="147">
        <v>0.2</v>
      </c>
      <c r="Z37" s="147">
        <v>0.2</v>
      </c>
      <c r="AA37" s="147">
        <v>0.2</v>
      </c>
      <c r="AB37" s="147">
        <v>0.2</v>
      </c>
      <c r="AC37" s="147">
        <v>0.2</v>
      </c>
      <c r="AD37" s="147">
        <v>0.2</v>
      </c>
      <c r="AE37" s="147">
        <v>0.2</v>
      </c>
      <c r="AF37" s="147">
        <v>0.2</v>
      </c>
      <c r="AG37" s="147">
        <v>0.2</v>
      </c>
      <c r="AH37" s="147">
        <v>0.2</v>
      </c>
      <c r="AI37" s="147">
        <v>0.2</v>
      </c>
      <c r="AJ37" s="147">
        <v>0.2</v>
      </c>
      <c r="AK37" s="147">
        <v>0.2</v>
      </c>
      <c r="AL37" s="147">
        <v>0.2</v>
      </c>
      <c r="AM37" s="147">
        <v>0.2</v>
      </c>
      <c r="AN37" s="147">
        <v>0.2</v>
      </c>
      <c r="AO37" s="147">
        <v>0.2</v>
      </c>
      <c r="AP37" s="147">
        <v>0.2</v>
      </c>
      <c r="AQ37" s="147">
        <v>0.2</v>
      </c>
      <c r="AR37" s="147">
        <v>0.2</v>
      </c>
      <c r="AS37" s="147">
        <v>0.2</v>
      </c>
      <c r="AT37" s="147">
        <v>0.2</v>
      </c>
      <c r="AU37" s="147">
        <v>0.2</v>
      </c>
      <c r="AV37" s="147">
        <v>0.2</v>
      </c>
      <c r="AW37" s="147">
        <v>0.2</v>
      </c>
      <c r="AX37" s="147">
        <v>0.2</v>
      </c>
      <c r="AY37" s="147">
        <v>0.2</v>
      </c>
      <c r="AZ37" s="147">
        <v>0.2</v>
      </c>
      <c r="BA37" s="147">
        <v>0.2</v>
      </c>
      <c r="BB37" s="147">
        <v>0.2</v>
      </c>
      <c r="BC37" s="147">
        <v>0.2</v>
      </c>
      <c r="BD37" s="147">
        <v>0.2</v>
      </c>
      <c r="BE37" s="147">
        <v>0.2</v>
      </c>
      <c r="BF37" s="147">
        <v>0.2</v>
      </c>
      <c r="BG37" s="147">
        <v>0.2</v>
      </c>
      <c r="BH37" s="147">
        <v>0.2</v>
      </c>
      <c r="BI37" s="147">
        <v>0.2</v>
      </c>
      <c r="BJ37" s="147">
        <v>0.2</v>
      </c>
      <c r="BK37" s="147">
        <v>0.2</v>
      </c>
      <c r="BL37" s="147">
        <v>0.2</v>
      </c>
      <c r="BM37" s="147">
        <v>0.2</v>
      </c>
      <c r="BN37" s="147">
        <v>0.2</v>
      </c>
      <c r="BO37" s="147">
        <v>0.2</v>
      </c>
      <c r="BP37" s="147">
        <v>0.2</v>
      </c>
      <c r="BQ37" s="147">
        <v>0.2</v>
      </c>
      <c r="BR37" s="147">
        <v>0.2</v>
      </c>
      <c r="BS37" s="121"/>
    </row>
    <row r="38" spans="2:92" s="51" customFormat="1">
      <c r="B38" s="103" t="s">
        <v>202</v>
      </c>
      <c r="C38" s="89"/>
      <c r="G38" s="89">
        <f t="shared" ref="G38:T38" si="37">G37*G29</f>
        <v>59.2</v>
      </c>
      <c r="H38" s="89">
        <f t="shared" si="37"/>
        <v>60.64</v>
      </c>
      <c r="I38" s="89">
        <f t="shared" si="37"/>
        <v>62.48</v>
      </c>
      <c r="J38" s="89">
        <f t="shared" si="37"/>
        <v>63.360000000000007</v>
      </c>
      <c r="K38" s="89">
        <f t="shared" si="37"/>
        <v>64</v>
      </c>
      <c r="L38" s="89">
        <f t="shared" si="37"/>
        <v>64.08</v>
      </c>
      <c r="M38" s="89">
        <f t="shared" si="37"/>
        <v>63.920000000000009</v>
      </c>
      <c r="N38" s="89">
        <f t="shared" si="37"/>
        <v>62.879999999999995</v>
      </c>
      <c r="O38" s="89">
        <f t="shared" si="37"/>
        <v>82.720000000000013</v>
      </c>
      <c r="P38" s="89">
        <f>P37*P29</f>
        <v>132.16</v>
      </c>
      <c r="Q38" s="89">
        <f t="shared" si="37"/>
        <v>132.96</v>
      </c>
      <c r="R38" s="89">
        <f t="shared" si="37"/>
        <v>134.18</v>
      </c>
      <c r="S38" s="89">
        <f t="shared" si="37"/>
        <v>135.18</v>
      </c>
      <c r="T38" s="89">
        <f t="shared" si="37"/>
        <v>136.18</v>
      </c>
      <c r="U38" s="89">
        <f>U37*U29</f>
        <v>137.18</v>
      </c>
      <c r="W38" s="89">
        <f t="shared" ref="W38:BE38" si="38">W37*W29</f>
        <v>14.700000000000001</v>
      </c>
      <c r="X38" s="89">
        <f t="shared" si="38"/>
        <v>14.76</v>
      </c>
      <c r="Y38" s="89">
        <f t="shared" si="38"/>
        <v>14.82</v>
      </c>
      <c r="Z38" s="89">
        <f t="shared" si="38"/>
        <v>14.880000000000003</v>
      </c>
      <c r="AA38" s="89">
        <f t="shared" si="38"/>
        <v>14.92</v>
      </c>
      <c r="AB38" s="89">
        <f t="shared" si="38"/>
        <v>15</v>
      </c>
      <c r="AC38" s="89">
        <f t="shared" si="38"/>
        <v>15.26</v>
      </c>
      <c r="AD38" s="89">
        <f t="shared" si="38"/>
        <v>15.42</v>
      </c>
      <c r="AE38" s="89">
        <f t="shared" si="38"/>
        <v>15.5</v>
      </c>
      <c r="AF38" s="89">
        <f t="shared" si="38"/>
        <v>15.62</v>
      </c>
      <c r="AG38" s="89">
        <f t="shared" si="38"/>
        <v>15.680000000000001</v>
      </c>
      <c r="AH38" s="89">
        <f t="shared" si="38"/>
        <v>15.719999999999999</v>
      </c>
      <c r="AI38" s="89">
        <f t="shared" si="38"/>
        <v>15.76</v>
      </c>
      <c r="AJ38" s="89">
        <f t="shared" si="38"/>
        <v>15.8</v>
      </c>
      <c r="AK38" s="89">
        <f t="shared" si="38"/>
        <v>15.880000000000003</v>
      </c>
      <c r="AL38" s="89">
        <f t="shared" si="38"/>
        <v>15.92</v>
      </c>
      <c r="AM38" s="89">
        <f t="shared" si="38"/>
        <v>15.92</v>
      </c>
      <c r="AN38" s="89">
        <f t="shared" si="38"/>
        <v>16</v>
      </c>
      <c r="AO38" s="89">
        <f t="shared" si="38"/>
        <v>16.040000000000003</v>
      </c>
      <c r="AP38" s="89">
        <f t="shared" si="38"/>
        <v>16.02</v>
      </c>
      <c r="AQ38" s="89">
        <f t="shared" si="38"/>
        <v>16.02</v>
      </c>
      <c r="AR38" s="89">
        <f t="shared" si="38"/>
        <v>16.02</v>
      </c>
      <c r="AS38" s="89">
        <f t="shared" si="38"/>
        <v>16.02</v>
      </c>
      <c r="AT38" s="89">
        <f t="shared" si="38"/>
        <v>16.040000000000003</v>
      </c>
      <c r="AU38" s="89">
        <f t="shared" si="38"/>
        <v>16.040000000000003</v>
      </c>
      <c r="AV38" s="89">
        <f t="shared" si="38"/>
        <v>16.040000000000003</v>
      </c>
      <c r="AW38" s="89">
        <f t="shared" si="38"/>
        <v>15.96</v>
      </c>
      <c r="AX38" s="89">
        <f t="shared" si="38"/>
        <v>15.9</v>
      </c>
      <c r="AY38" s="89">
        <f t="shared" si="38"/>
        <v>15.840000000000002</v>
      </c>
      <c r="AZ38" s="89">
        <f t="shared" si="38"/>
        <v>15.76</v>
      </c>
      <c r="BA38" s="89">
        <f t="shared" si="38"/>
        <v>15.680000000000001</v>
      </c>
      <c r="BB38" s="89">
        <f t="shared" si="38"/>
        <v>15.580000000000002</v>
      </c>
      <c r="BC38" s="148">
        <f t="shared" si="38"/>
        <v>15.480000000000002</v>
      </c>
      <c r="BD38" s="148">
        <f t="shared" si="38"/>
        <v>15.5</v>
      </c>
      <c r="BE38" s="148">
        <f t="shared" si="38"/>
        <v>15.52</v>
      </c>
      <c r="BF38" s="148">
        <f>O38-SUM(BC38:BE38)</f>
        <v>36.220000000000013</v>
      </c>
      <c r="BG38" s="148">
        <f t="shared" ref="BG38:BN38" si="39">BG37*BG29</f>
        <v>33.020000000000003</v>
      </c>
      <c r="BH38" s="148">
        <f t="shared" si="39"/>
        <v>33.04</v>
      </c>
      <c r="BI38" s="148">
        <f t="shared" si="39"/>
        <v>33.04</v>
      </c>
      <c r="BJ38" s="148">
        <f t="shared" si="39"/>
        <v>33.06</v>
      </c>
      <c r="BK38" s="148">
        <f t="shared" si="39"/>
        <v>33.119999999999997</v>
      </c>
      <c r="BL38" s="148">
        <f t="shared" si="39"/>
        <v>33.22</v>
      </c>
      <c r="BM38" s="148">
        <f t="shared" si="39"/>
        <v>33.260000000000005</v>
      </c>
      <c r="BN38" s="148">
        <f t="shared" si="39"/>
        <v>33.42</v>
      </c>
      <c r="BO38" s="148">
        <f>+R38-SUM(BL38:BN38)</f>
        <v>34.28</v>
      </c>
      <c r="BP38" s="148">
        <f>+S38-SUM(BM38:BO38)</f>
        <v>34.22</v>
      </c>
      <c r="BQ38" s="148">
        <f>+T38-SUM(BN38:BP38)</f>
        <v>34.260000000000005</v>
      </c>
      <c r="BR38" s="148">
        <f>+U38-SUM(BO38:BQ38)</f>
        <v>34.42</v>
      </c>
      <c r="BS38" s="89"/>
      <c r="BT38"/>
      <c r="BU38"/>
      <c r="BV38"/>
      <c r="BW38"/>
      <c r="BX38"/>
      <c r="BY38"/>
    </row>
    <row r="39" spans="2:92">
      <c r="B39" s="97"/>
      <c r="C39" s="97"/>
      <c r="G39" s="144"/>
      <c r="H39" s="144"/>
      <c r="I39" s="144"/>
      <c r="J39" s="144"/>
      <c r="K39" s="144"/>
      <c r="L39" s="144"/>
      <c r="M39" s="144"/>
      <c r="N39" s="144"/>
      <c r="O39" s="146"/>
      <c r="P39" s="147"/>
      <c r="Q39" s="335"/>
      <c r="R39" s="146"/>
      <c r="S39" s="146"/>
      <c r="T39" s="146"/>
      <c r="U39" s="146"/>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47"/>
      <c r="BL39" s="147"/>
      <c r="BM39" s="147"/>
      <c r="BN39" s="147"/>
      <c r="BO39" s="147"/>
      <c r="BP39" s="147"/>
      <c r="BQ39" s="147"/>
      <c r="BR39" s="147"/>
      <c r="BS39" s="121"/>
      <c r="CA39" s="121"/>
    </row>
    <row r="40" spans="2:92" s="45" customFormat="1">
      <c r="B40" s="356" t="s">
        <v>543</v>
      </c>
      <c r="C40" s="47"/>
      <c r="D40" s="47"/>
      <c r="E40" s="47"/>
      <c r="F40" s="47"/>
      <c r="G40" s="42"/>
      <c r="H40" s="42"/>
      <c r="I40" s="42"/>
      <c r="J40" s="42"/>
      <c r="K40" s="42"/>
      <c r="L40" s="42"/>
      <c r="M40" s="42"/>
      <c r="N40" s="42"/>
      <c r="O40" s="42"/>
      <c r="P40" s="42"/>
      <c r="Q40" s="42"/>
      <c r="R40" s="41"/>
      <c r="S40" s="41"/>
      <c r="T40" s="41"/>
      <c r="U40" s="41"/>
      <c r="V40" s="47"/>
      <c r="W40" s="41"/>
      <c r="X40" s="41"/>
      <c r="Y40" s="41"/>
      <c r="Z40" s="41"/>
      <c r="AA40" s="41"/>
      <c r="AB40" s="41"/>
      <c r="AC40" s="41"/>
      <c r="AD40" s="41"/>
      <c r="AE40" s="41"/>
      <c r="AF40" s="41"/>
      <c r="AG40" s="41"/>
      <c r="AH40" s="41"/>
      <c r="AI40" s="341"/>
      <c r="AJ40" s="341"/>
      <c r="AK40" s="341"/>
      <c r="AL40" s="341"/>
      <c r="AM40" s="341"/>
      <c r="AN40" s="341"/>
      <c r="AO40" s="341"/>
      <c r="AP40" s="341"/>
      <c r="AQ40" s="341"/>
      <c r="AR40" s="341"/>
      <c r="AS40" s="341"/>
      <c r="AT40" s="341"/>
      <c r="AU40" s="341"/>
      <c r="AV40" s="341"/>
      <c r="AW40" s="341"/>
      <c r="AX40" s="341"/>
      <c r="AY40" s="341"/>
      <c r="AZ40" s="341"/>
      <c r="BA40" s="341"/>
      <c r="BB40" s="341"/>
      <c r="BC40" s="341"/>
      <c r="BD40" s="341"/>
      <c r="BE40" s="341"/>
      <c r="BF40" s="341"/>
      <c r="BG40" s="341"/>
      <c r="BH40" s="341"/>
      <c r="BI40" s="341"/>
      <c r="BJ40" s="341"/>
      <c r="BK40" s="341"/>
      <c r="BL40" s="341"/>
      <c r="BM40" s="41"/>
      <c r="BN40" s="41"/>
      <c r="BO40" s="41"/>
      <c r="BP40" s="41"/>
      <c r="BQ40" s="41"/>
      <c r="BR40" s="41"/>
      <c r="BS40" s="47"/>
      <c r="BT40"/>
      <c r="BU40"/>
      <c r="BV40"/>
      <c r="BW40"/>
      <c r="BX40"/>
      <c r="BY40"/>
      <c r="CA40" s="141"/>
      <c r="CB40" s="51"/>
      <c r="CC40" s="51"/>
      <c r="CD40" s="51"/>
      <c r="CE40" s="47"/>
      <c r="CF40" s="47"/>
      <c r="CG40" s="47"/>
      <c r="CH40" s="47"/>
      <c r="CI40" s="47"/>
      <c r="CJ40" s="47"/>
      <c r="CK40" s="47"/>
      <c r="CL40" s="47"/>
      <c r="CM40" s="47"/>
    </row>
    <row r="41" spans="2:92" s="45" customFormat="1">
      <c r="B41" s="151" t="s">
        <v>541</v>
      </c>
      <c r="C41" s="47"/>
      <c r="G41" s="42">
        <f>SUM(W41:Z41)</f>
        <v>0</v>
      </c>
      <c r="H41" s="42">
        <f>SUM(AA41:AD41)</f>
        <v>0</v>
      </c>
      <c r="I41" s="42">
        <f>SUM(AE41:AH41)</f>
        <v>0</v>
      </c>
      <c r="J41" s="42">
        <f>SUM(AI41:AL41)</f>
        <v>0</v>
      </c>
      <c r="K41" s="42">
        <f>SUM(AM41:AP41)</f>
        <v>0</v>
      </c>
      <c r="L41" s="42">
        <f>SUM(AQ41:AT41)</f>
        <v>0</v>
      </c>
      <c r="M41" s="42">
        <f>SUM(AU41:AX41)</f>
        <v>0</v>
      </c>
      <c r="N41" s="42">
        <f>SUM(AY41:BB41)</f>
        <v>0</v>
      </c>
      <c r="O41" s="42">
        <f>SUM(BC41:BF41)</f>
        <v>0</v>
      </c>
      <c r="P41" s="42">
        <f>SUM(BG41:BJ41)</f>
        <v>-112.9</v>
      </c>
      <c r="Q41" s="42">
        <f>SUM(BK41:BN41)</f>
        <v>-37.599999999999994</v>
      </c>
      <c r="R41" s="42">
        <f>SUM(BO41:BR41)</f>
        <v>0</v>
      </c>
      <c r="S41" s="41">
        <v>0</v>
      </c>
      <c r="T41" s="41">
        <v>0</v>
      </c>
      <c r="U41" s="41">
        <v>0</v>
      </c>
      <c r="W41" s="41">
        <v>0</v>
      </c>
      <c r="X41" s="41">
        <v>0</v>
      </c>
      <c r="Y41" s="41">
        <v>0</v>
      </c>
      <c r="Z41" s="41">
        <v>0</v>
      </c>
      <c r="AA41" s="41">
        <v>0</v>
      </c>
      <c r="AB41" s="41">
        <v>0</v>
      </c>
      <c r="AC41" s="41">
        <v>0</v>
      </c>
      <c r="AD41" s="41">
        <v>0</v>
      </c>
      <c r="AE41" s="41">
        <v>0</v>
      </c>
      <c r="AF41" s="41">
        <v>0</v>
      </c>
      <c r="AG41" s="41">
        <v>0</v>
      </c>
      <c r="AH41" s="41">
        <v>0</v>
      </c>
      <c r="AI41" s="41">
        <v>0</v>
      </c>
      <c r="AJ41" s="41">
        <v>0</v>
      </c>
      <c r="AK41" s="41">
        <v>0</v>
      </c>
      <c r="AL41" s="41">
        <v>0</v>
      </c>
      <c r="AM41" s="41">
        <v>0</v>
      </c>
      <c r="AN41" s="41">
        <v>0</v>
      </c>
      <c r="AO41" s="41">
        <v>0</v>
      </c>
      <c r="AP41" s="41">
        <v>0</v>
      </c>
      <c r="AQ41" s="41">
        <v>0</v>
      </c>
      <c r="AR41" s="41">
        <v>0</v>
      </c>
      <c r="AS41" s="41">
        <v>0</v>
      </c>
      <c r="AT41" s="41">
        <v>0</v>
      </c>
      <c r="AU41" s="41">
        <v>0</v>
      </c>
      <c r="AV41" s="41">
        <v>0</v>
      </c>
      <c r="AW41" s="41">
        <v>0</v>
      </c>
      <c r="AX41" s="41">
        <v>0</v>
      </c>
      <c r="AY41" s="41">
        <v>0</v>
      </c>
      <c r="AZ41" s="41">
        <v>0</v>
      </c>
      <c r="BA41" s="41">
        <v>0</v>
      </c>
      <c r="BB41" s="41">
        <v>0</v>
      </c>
      <c r="BC41" s="41">
        <v>0</v>
      </c>
      <c r="BD41" s="41">
        <v>0</v>
      </c>
      <c r="BE41" s="41">
        <v>0</v>
      </c>
      <c r="BF41" s="41">
        <v>0</v>
      </c>
      <c r="BG41" s="41">
        <v>-92.8</v>
      </c>
      <c r="BH41" s="41">
        <v>-8.1999999999999993</v>
      </c>
      <c r="BI41" s="41">
        <v>-5.2</v>
      </c>
      <c r="BJ41" s="41">
        <v>-6.7</v>
      </c>
      <c r="BK41" s="41">
        <v>-8.1999999999999993</v>
      </c>
      <c r="BL41" s="41">
        <v>-8.5</v>
      </c>
      <c r="BM41" s="41">
        <v>-9.1999999999999993</v>
      </c>
      <c r="BN41" s="41">
        <v>-11.7</v>
      </c>
      <c r="BO41" s="41">
        <v>0</v>
      </c>
      <c r="BP41" s="41">
        <v>0</v>
      </c>
      <c r="BQ41" s="41">
        <v>0</v>
      </c>
      <c r="BR41" s="41">
        <v>0</v>
      </c>
      <c r="BS41" s="47"/>
      <c r="BT41"/>
      <c r="BU41"/>
      <c r="BV41"/>
      <c r="BW41"/>
      <c r="BX41"/>
      <c r="BY41"/>
      <c r="CA41" s="47"/>
    </row>
    <row r="42" spans="2:92" s="45" customFormat="1">
      <c r="B42" s="151" t="s">
        <v>542</v>
      </c>
      <c r="C42" s="47"/>
      <c r="G42" s="42">
        <f>SUM(W42:Z42)</f>
        <v>0</v>
      </c>
      <c r="H42" s="42">
        <f>SUM(AA42:AD42)</f>
        <v>0</v>
      </c>
      <c r="I42" s="42">
        <f>SUM(AE42:AH42)</f>
        <v>0</v>
      </c>
      <c r="J42" s="42">
        <f>SUM(AI42:AL42)</f>
        <v>0</v>
      </c>
      <c r="K42" s="42">
        <f>SUM(AM42:AP42)</f>
        <v>0</v>
      </c>
      <c r="L42" s="42">
        <f>SUM(AQ42:AT42)</f>
        <v>0</v>
      </c>
      <c r="M42" s="42">
        <f>SUM(AU42:AX42)</f>
        <v>0</v>
      </c>
      <c r="N42" s="42">
        <f>SUM(AY42:BB42)</f>
        <v>-4.1999999999999993</v>
      </c>
      <c r="O42" s="42">
        <f>SUM(BC42:BF42)</f>
        <v>-120</v>
      </c>
      <c r="P42" s="42">
        <f>SUM(BG42:BJ42)</f>
        <v>-48.8</v>
      </c>
      <c r="Q42" s="42">
        <f>SUM(BK42:BN42)</f>
        <v>-12.8</v>
      </c>
      <c r="R42" s="42">
        <f t="shared" ref="R42:R44" si="40">SUM(BO42:BR42)</f>
        <v>-20</v>
      </c>
      <c r="S42" s="41">
        <v>0</v>
      </c>
      <c r="T42" s="41">
        <v>0</v>
      </c>
      <c r="U42" s="41">
        <v>0</v>
      </c>
      <c r="W42" s="41">
        <v>0</v>
      </c>
      <c r="X42" s="41">
        <v>0</v>
      </c>
      <c r="Y42" s="41">
        <v>0</v>
      </c>
      <c r="Z42" s="41">
        <v>0</v>
      </c>
      <c r="AA42" s="41">
        <v>0</v>
      </c>
      <c r="AB42" s="41">
        <v>0</v>
      </c>
      <c r="AC42" s="41">
        <v>0</v>
      </c>
      <c r="AD42" s="41">
        <v>0</v>
      </c>
      <c r="AE42" s="41">
        <v>0</v>
      </c>
      <c r="AF42" s="41">
        <v>0</v>
      </c>
      <c r="AG42" s="41">
        <v>0</v>
      </c>
      <c r="AH42" s="41">
        <v>0</v>
      </c>
      <c r="AI42" s="41">
        <v>0</v>
      </c>
      <c r="AJ42" s="41">
        <v>0</v>
      </c>
      <c r="AK42" s="41">
        <v>0</v>
      </c>
      <c r="AL42" s="41">
        <v>0</v>
      </c>
      <c r="AM42" s="41">
        <v>0</v>
      </c>
      <c r="AN42" s="41">
        <v>0</v>
      </c>
      <c r="AO42" s="41">
        <v>0</v>
      </c>
      <c r="AP42" s="41">
        <v>0</v>
      </c>
      <c r="AQ42" s="41">
        <v>0</v>
      </c>
      <c r="AR42" s="41">
        <v>0</v>
      </c>
      <c r="AS42" s="41">
        <v>0</v>
      </c>
      <c r="AT42" s="41">
        <v>0</v>
      </c>
      <c r="AU42" s="41">
        <v>0</v>
      </c>
      <c r="AV42" s="41">
        <v>0</v>
      </c>
      <c r="AW42" s="41">
        <v>0</v>
      </c>
      <c r="AX42" s="41">
        <v>0</v>
      </c>
      <c r="AY42" s="41">
        <v>-0.2</v>
      </c>
      <c r="AZ42" s="41">
        <v>-0.2</v>
      </c>
      <c r="BA42" s="41">
        <v>-1</v>
      </c>
      <c r="BB42" s="41">
        <v>-2.8</v>
      </c>
      <c r="BC42" s="41">
        <v>-10.4</v>
      </c>
      <c r="BD42" s="41">
        <v>-10.5</v>
      </c>
      <c r="BE42" s="41">
        <v>-14.5</v>
      </c>
      <c r="BF42" s="41">
        <v>-84.6</v>
      </c>
      <c r="BG42" s="41">
        <v>-10.199999999999999</v>
      </c>
      <c r="BH42" s="41">
        <v>-16.3</v>
      </c>
      <c r="BI42" s="41">
        <v>-13.1</v>
      </c>
      <c r="BJ42" s="41">
        <v>-9.1999999999999993</v>
      </c>
      <c r="BK42" s="41">
        <v>-7</v>
      </c>
      <c r="BL42" s="41">
        <v>-4.4000000000000004</v>
      </c>
      <c r="BM42" s="41">
        <v>-1.1000000000000001</v>
      </c>
      <c r="BN42" s="41">
        <v>-0.3</v>
      </c>
      <c r="BO42" s="41">
        <f>-20/4</f>
        <v>-5</v>
      </c>
      <c r="BP42" s="41">
        <f t="shared" ref="BP42:BR42" si="41">-20/4</f>
        <v>-5</v>
      </c>
      <c r="BQ42" s="41">
        <f t="shared" si="41"/>
        <v>-5</v>
      </c>
      <c r="BR42" s="41">
        <f t="shared" si="41"/>
        <v>-5</v>
      </c>
      <c r="BS42" s="128"/>
      <c r="BT42"/>
      <c r="BU42"/>
      <c r="BV42"/>
      <c r="BW42"/>
      <c r="BX42"/>
      <c r="BY42"/>
      <c r="CA42" s="51"/>
      <c r="CB42" s="51"/>
      <c r="CC42" s="51"/>
      <c r="CD42" s="51"/>
    </row>
    <row r="43" spans="2:92" s="45" customFormat="1">
      <c r="B43" s="151" t="s">
        <v>548</v>
      </c>
      <c r="C43" s="47"/>
      <c r="G43" s="42">
        <f>SUM(W43:Z43)</f>
        <v>0</v>
      </c>
      <c r="H43" s="42">
        <f>SUM(AA43:AD43)</f>
        <v>0</v>
      </c>
      <c r="I43" s="42">
        <f>SUM(AE43:AH43)</f>
        <v>0</v>
      </c>
      <c r="J43" s="42">
        <f>SUM(AI43:AL43)</f>
        <v>0</v>
      </c>
      <c r="K43" s="42">
        <f>SUM(AM43:AP43)</f>
        <v>0</v>
      </c>
      <c r="L43" s="42">
        <f>SUM(AQ43:AT43)</f>
        <v>0</v>
      </c>
      <c r="M43" s="42">
        <f>SUM(AU43:AX43)</f>
        <v>0</v>
      </c>
      <c r="N43" s="42">
        <f>SUM(AY43:BB43)</f>
        <v>0</v>
      </c>
      <c r="O43" s="42">
        <f>SUM(BC43:BF43)</f>
        <v>0</v>
      </c>
      <c r="P43" s="42">
        <f>SUM(BG43:BJ43)</f>
        <v>11</v>
      </c>
      <c r="Q43" s="42">
        <f>SUM(BK43:BN43)</f>
        <v>-2</v>
      </c>
      <c r="R43" s="42">
        <f t="shared" si="40"/>
        <v>-50</v>
      </c>
      <c r="S43" s="41">
        <v>-30</v>
      </c>
      <c r="T43" s="41">
        <v>-15</v>
      </c>
      <c r="U43" s="41">
        <v>0</v>
      </c>
      <c r="W43" s="41">
        <v>0</v>
      </c>
      <c r="X43" s="41">
        <v>0</v>
      </c>
      <c r="Y43" s="41">
        <v>0</v>
      </c>
      <c r="Z43" s="41">
        <v>0</v>
      </c>
      <c r="AA43" s="41">
        <v>0</v>
      </c>
      <c r="AB43" s="41">
        <v>0</v>
      </c>
      <c r="AC43" s="41">
        <v>0</v>
      </c>
      <c r="AD43" s="41">
        <v>0</v>
      </c>
      <c r="AE43" s="41">
        <v>0</v>
      </c>
      <c r="AF43" s="41">
        <v>0</v>
      </c>
      <c r="AG43" s="41">
        <v>0</v>
      </c>
      <c r="AH43" s="41">
        <v>0</v>
      </c>
      <c r="AI43" s="41">
        <v>0</v>
      </c>
      <c r="AJ43" s="41">
        <v>0</v>
      </c>
      <c r="AK43" s="41">
        <v>0</v>
      </c>
      <c r="AL43" s="41">
        <v>0</v>
      </c>
      <c r="AM43" s="41">
        <v>0</v>
      </c>
      <c r="AN43" s="41">
        <v>0</v>
      </c>
      <c r="AO43" s="41">
        <v>0</v>
      </c>
      <c r="AP43" s="41">
        <v>0</v>
      </c>
      <c r="AQ43" s="41">
        <v>0</v>
      </c>
      <c r="AR43" s="41">
        <v>0</v>
      </c>
      <c r="AS43" s="41">
        <v>0</v>
      </c>
      <c r="AT43" s="41">
        <v>0</v>
      </c>
      <c r="AU43" s="41">
        <v>0</v>
      </c>
      <c r="AV43" s="41">
        <v>0</v>
      </c>
      <c r="AW43" s="41">
        <v>0</v>
      </c>
      <c r="AX43" s="41">
        <v>0</v>
      </c>
      <c r="AY43" s="41">
        <v>0</v>
      </c>
      <c r="AZ43" s="41">
        <v>0</v>
      </c>
      <c r="BA43" s="41">
        <v>0</v>
      </c>
      <c r="BB43" s="41">
        <v>0</v>
      </c>
      <c r="BC43" s="41">
        <v>0</v>
      </c>
      <c r="BD43" s="41">
        <v>0</v>
      </c>
      <c r="BE43" s="41">
        <v>0</v>
      </c>
      <c r="BF43" s="113">
        <v>0</v>
      </c>
      <c r="BG43" s="113">
        <v>11</v>
      </c>
      <c r="BH43" s="113">
        <v>0</v>
      </c>
      <c r="BI43" s="113">
        <v>0</v>
      </c>
      <c r="BJ43" s="113">
        <v>0</v>
      </c>
      <c r="BK43" s="113">
        <v>0</v>
      </c>
      <c r="BL43" s="113">
        <v>0</v>
      </c>
      <c r="BM43" s="113">
        <v>-2.9</v>
      </c>
      <c r="BN43" s="113">
        <f>3.3-2.4</f>
        <v>0.89999999999999991</v>
      </c>
      <c r="BO43" s="113">
        <v>-12.5</v>
      </c>
      <c r="BP43" s="113">
        <v>-12.5</v>
      </c>
      <c r="BQ43" s="113">
        <v>-12.5</v>
      </c>
      <c r="BR43" s="113">
        <v>-12.5</v>
      </c>
      <c r="BS43" s="128"/>
      <c r="BT43"/>
      <c r="BU43"/>
      <c r="BV43"/>
      <c r="BW43"/>
      <c r="BX43"/>
      <c r="BY43"/>
      <c r="CA43" s="90"/>
      <c r="CB43" s="51"/>
      <c r="CC43" s="51"/>
      <c r="CD43" s="51"/>
      <c r="CJ43" s="528"/>
      <c r="CK43" s="528"/>
      <c r="CL43" s="528"/>
      <c r="CM43" s="528"/>
    </row>
    <row r="44" spans="2:92" s="45" customFormat="1">
      <c r="B44" s="151" t="s">
        <v>549</v>
      </c>
      <c r="C44" s="47"/>
      <c r="G44" s="42">
        <f>SUM(W44:Z44)</f>
        <v>0</v>
      </c>
      <c r="H44" s="42">
        <f>SUM(AA44:AD44)</f>
        <v>0</v>
      </c>
      <c r="I44" s="42">
        <f>SUM(AE44:AH44)</f>
        <v>0</v>
      </c>
      <c r="J44" s="42">
        <f>SUM(AI44:AL44)</f>
        <v>0</v>
      </c>
      <c r="K44" s="42">
        <f>SUM(AM44:AP44)</f>
        <v>0</v>
      </c>
      <c r="L44" s="42">
        <f>SUM(AQ44:AT44)</f>
        <v>0</v>
      </c>
      <c r="M44" s="42">
        <f>SUM(AU44:AX44)</f>
        <v>0</v>
      </c>
      <c r="N44" s="42">
        <f>SUM(AY44:BB44)</f>
        <v>0</v>
      </c>
      <c r="O44" s="42">
        <f>SUM(BC44:BF44)</f>
        <v>-24</v>
      </c>
      <c r="P44" s="42">
        <f>SUM(BG44:BJ44)</f>
        <v>0</v>
      </c>
      <c r="Q44" s="42">
        <f>SUM(BK44:BN44)</f>
        <v>0</v>
      </c>
      <c r="R44" s="42">
        <f t="shared" si="40"/>
        <v>0</v>
      </c>
      <c r="S44" s="41">
        <v>0</v>
      </c>
      <c r="T44" s="41">
        <v>0</v>
      </c>
      <c r="U44" s="41">
        <v>0</v>
      </c>
      <c r="W44" s="41">
        <v>0</v>
      </c>
      <c r="X44" s="41">
        <v>0</v>
      </c>
      <c r="Y44" s="41">
        <v>0</v>
      </c>
      <c r="Z44" s="41">
        <v>0</v>
      </c>
      <c r="AA44" s="41">
        <v>0</v>
      </c>
      <c r="AB44" s="41">
        <v>0</v>
      </c>
      <c r="AC44" s="41">
        <v>0</v>
      </c>
      <c r="AD44" s="41">
        <v>0</v>
      </c>
      <c r="AE44" s="41">
        <v>0</v>
      </c>
      <c r="AF44" s="41">
        <v>0</v>
      </c>
      <c r="AG44" s="41">
        <v>0</v>
      </c>
      <c r="AH44" s="41">
        <v>0</v>
      </c>
      <c r="AI44" s="41">
        <v>0</v>
      </c>
      <c r="AJ44" s="41">
        <v>0</v>
      </c>
      <c r="AK44" s="41">
        <v>0</v>
      </c>
      <c r="AL44" s="41">
        <v>0</v>
      </c>
      <c r="AM44" s="41">
        <v>0</v>
      </c>
      <c r="AN44" s="41">
        <v>0</v>
      </c>
      <c r="AO44" s="41">
        <v>0</v>
      </c>
      <c r="AP44" s="41">
        <v>0</v>
      </c>
      <c r="AQ44" s="41">
        <v>0</v>
      </c>
      <c r="AR44" s="41">
        <v>0</v>
      </c>
      <c r="AS44" s="41">
        <v>0</v>
      </c>
      <c r="AT44" s="41">
        <v>0</v>
      </c>
      <c r="AU44" s="41">
        <v>0</v>
      </c>
      <c r="AV44" s="41">
        <v>0</v>
      </c>
      <c r="AW44" s="41">
        <v>0</v>
      </c>
      <c r="AX44" s="41">
        <v>0</v>
      </c>
      <c r="AY44" s="41">
        <v>0</v>
      </c>
      <c r="AZ44" s="41">
        <v>0</v>
      </c>
      <c r="BA44" s="41">
        <v>0</v>
      </c>
      <c r="BB44" s="41">
        <v>0</v>
      </c>
      <c r="BC44" s="41">
        <v>0</v>
      </c>
      <c r="BD44" s="41">
        <v>0</v>
      </c>
      <c r="BE44" s="41">
        <v>0</v>
      </c>
      <c r="BF44" s="113">
        <v>-24</v>
      </c>
      <c r="BG44" s="113">
        <v>0</v>
      </c>
      <c r="BH44" s="113">
        <v>0</v>
      </c>
      <c r="BI44" s="113">
        <v>0</v>
      </c>
      <c r="BJ44" s="113">
        <v>0</v>
      </c>
      <c r="BK44" s="113">
        <v>0</v>
      </c>
      <c r="BL44" s="113">
        <v>0</v>
      </c>
      <c r="BM44" s="113">
        <v>0</v>
      </c>
      <c r="BN44" s="113">
        <v>0</v>
      </c>
      <c r="BO44" s="113">
        <v>0</v>
      </c>
      <c r="BP44" s="113">
        <v>0</v>
      </c>
      <c r="BQ44" s="113">
        <v>0</v>
      </c>
      <c r="BR44" s="113">
        <v>0</v>
      </c>
      <c r="BS44" s="128"/>
      <c r="BT44"/>
      <c r="BU44"/>
      <c r="BV44"/>
      <c r="BW44"/>
      <c r="BX44"/>
      <c r="BY44"/>
      <c r="CA44" s="7"/>
      <c r="CB44" s="7"/>
      <c r="CC44" s="51"/>
      <c r="CD44" s="51"/>
      <c r="CG44" s="363"/>
      <c r="CH44" s="46"/>
      <c r="CJ44" s="46"/>
      <c r="CK44" s="46"/>
      <c r="CL44" s="46"/>
      <c r="CM44" s="46"/>
    </row>
    <row r="45" spans="2:92" s="45" customFormat="1">
      <c r="B45" s="357" t="s">
        <v>380</v>
      </c>
      <c r="C45" s="47"/>
      <c r="G45" s="358">
        <f t="shared" ref="G45:L45" si="42">SUM(G41:G42)</f>
        <v>0</v>
      </c>
      <c r="H45" s="358">
        <f t="shared" si="42"/>
        <v>0</v>
      </c>
      <c r="I45" s="358">
        <f t="shared" si="42"/>
        <v>0</v>
      </c>
      <c r="J45" s="358">
        <f t="shared" si="42"/>
        <v>0</v>
      </c>
      <c r="K45" s="358">
        <f t="shared" si="42"/>
        <v>0</v>
      </c>
      <c r="L45" s="358">
        <f t="shared" si="42"/>
        <v>0</v>
      </c>
      <c r="M45" s="358">
        <f>SUM(M41:M44)</f>
        <v>0</v>
      </c>
      <c r="N45" s="358">
        <f t="shared" ref="N45:T45" si="43">SUM(N41:N44)</f>
        <v>-4.1999999999999993</v>
      </c>
      <c r="O45" s="358">
        <f t="shared" si="43"/>
        <v>-144</v>
      </c>
      <c r="P45" s="358">
        <f t="shared" si="43"/>
        <v>-150.69999999999999</v>
      </c>
      <c r="Q45" s="358">
        <f t="shared" si="43"/>
        <v>-52.399999999999991</v>
      </c>
      <c r="R45" s="358">
        <f t="shared" si="43"/>
        <v>-70</v>
      </c>
      <c r="S45" s="358">
        <f t="shared" si="43"/>
        <v>-30</v>
      </c>
      <c r="T45" s="358">
        <f t="shared" si="43"/>
        <v>-15</v>
      </c>
      <c r="U45" s="358">
        <f>SUM(U41:U44)</f>
        <v>0</v>
      </c>
      <c r="W45" s="358">
        <f t="shared" ref="W45:BO45" si="44">SUM(W41:W44)</f>
        <v>0</v>
      </c>
      <c r="X45" s="358">
        <f t="shared" si="44"/>
        <v>0</v>
      </c>
      <c r="Y45" s="358">
        <f t="shared" si="44"/>
        <v>0</v>
      </c>
      <c r="Z45" s="358">
        <f t="shared" si="44"/>
        <v>0</v>
      </c>
      <c r="AA45" s="358">
        <f t="shared" si="44"/>
        <v>0</v>
      </c>
      <c r="AB45" s="358">
        <f t="shared" si="44"/>
        <v>0</v>
      </c>
      <c r="AC45" s="358">
        <f t="shared" si="44"/>
        <v>0</v>
      </c>
      <c r="AD45" s="358">
        <f t="shared" si="44"/>
        <v>0</v>
      </c>
      <c r="AE45" s="358">
        <f t="shared" si="44"/>
        <v>0</v>
      </c>
      <c r="AF45" s="358">
        <f t="shared" si="44"/>
        <v>0</v>
      </c>
      <c r="AG45" s="358">
        <f t="shared" si="44"/>
        <v>0</v>
      </c>
      <c r="AH45" s="358">
        <f t="shared" si="44"/>
        <v>0</v>
      </c>
      <c r="AI45" s="358">
        <f t="shared" si="44"/>
        <v>0</v>
      </c>
      <c r="AJ45" s="358">
        <f t="shared" si="44"/>
        <v>0</v>
      </c>
      <c r="AK45" s="358">
        <f t="shared" si="44"/>
        <v>0</v>
      </c>
      <c r="AL45" s="358">
        <f t="shared" si="44"/>
        <v>0</v>
      </c>
      <c r="AM45" s="358">
        <f t="shared" si="44"/>
        <v>0</v>
      </c>
      <c r="AN45" s="358">
        <f t="shared" si="44"/>
        <v>0</v>
      </c>
      <c r="AO45" s="358">
        <f t="shared" si="44"/>
        <v>0</v>
      </c>
      <c r="AP45" s="358">
        <f t="shared" si="44"/>
        <v>0</v>
      </c>
      <c r="AQ45" s="358">
        <f t="shared" si="44"/>
        <v>0</v>
      </c>
      <c r="AR45" s="358">
        <f t="shared" si="44"/>
        <v>0</v>
      </c>
      <c r="AS45" s="358">
        <f t="shared" si="44"/>
        <v>0</v>
      </c>
      <c r="AT45" s="358">
        <f t="shared" si="44"/>
        <v>0</v>
      </c>
      <c r="AU45" s="358">
        <f t="shared" si="44"/>
        <v>0</v>
      </c>
      <c r="AV45" s="358">
        <f t="shared" si="44"/>
        <v>0</v>
      </c>
      <c r="AW45" s="358">
        <f t="shared" si="44"/>
        <v>0</v>
      </c>
      <c r="AX45" s="358">
        <f t="shared" si="44"/>
        <v>0</v>
      </c>
      <c r="AY45" s="358">
        <f t="shared" si="44"/>
        <v>-0.2</v>
      </c>
      <c r="AZ45" s="358">
        <f t="shared" si="44"/>
        <v>-0.2</v>
      </c>
      <c r="BA45" s="358">
        <f t="shared" si="44"/>
        <v>-1</v>
      </c>
      <c r="BB45" s="358">
        <f t="shared" si="44"/>
        <v>-2.8</v>
      </c>
      <c r="BC45" s="358">
        <f t="shared" si="44"/>
        <v>-10.4</v>
      </c>
      <c r="BD45" s="358">
        <f t="shared" si="44"/>
        <v>-10.5</v>
      </c>
      <c r="BE45" s="358">
        <f t="shared" si="44"/>
        <v>-14.5</v>
      </c>
      <c r="BF45" s="358">
        <f t="shared" si="44"/>
        <v>-108.6</v>
      </c>
      <c r="BG45" s="358">
        <f t="shared" si="44"/>
        <v>-92</v>
      </c>
      <c r="BH45" s="358">
        <f t="shared" si="44"/>
        <v>-24.5</v>
      </c>
      <c r="BI45" s="358">
        <f t="shared" si="44"/>
        <v>-18.3</v>
      </c>
      <c r="BJ45" s="358">
        <f t="shared" si="44"/>
        <v>-15.899999999999999</v>
      </c>
      <c r="BK45" s="358">
        <f t="shared" si="44"/>
        <v>-15.2</v>
      </c>
      <c r="BL45" s="358">
        <f t="shared" si="44"/>
        <v>-12.9</v>
      </c>
      <c r="BM45" s="358">
        <f t="shared" si="44"/>
        <v>-13.2</v>
      </c>
      <c r="BN45" s="358">
        <f t="shared" si="44"/>
        <v>-11.1</v>
      </c>
      <c r="BO45" s="358">
        <f t="shared" si="44"/>
        <v>-17.5</v>
      </c>
      <c r="BP45" s="358">
        <f>SUM(BP41:BP44)</f>
        <v>-17.5</v>
      </c>
      <c r="BQ45" s="358">
        <f>SUM(BQ41:BQ44)</f>
        <v>-17.5</v>
      </c>
      <c r="BR45" s="358">
        <f>SUM(BR41:BR44)</f>
        <v>-17.5</v>
      </c>
      <c r="BS45" s="128"/>
      <c r="BT45"/>
      <c r="BU45"/>
      <c r="BV45"/>
      <c r="BW45"/>
      <c r="BX45"/>
      <c r="BY45"/>
      <c r="CG45" s="363"/>
      <c r="CH45" s="46"/>
      <c r="CJ45" s="46"/>
      <c r="CK45" s="46"/>
      <c r="CL45" s="46"/>
      <c r="CM45" s="46"/>
    </row>
    <row r="46" spans="2:92" s="45" customFormat="1">
      <c r="B46" s="357"/>
      <c r="C46" s="47"/>
      <c r="G46" s="112"/>
      <c r="H46" s="112"/>
      <c r="I46" s="112"/>
      <c r="J46" s="112"/>
      <c r="K46" s="47"/>
      <c r="L46" s="47"/>
      <c r="M46" s="47"/>
      <c r="N46" s="47"/>
      <c r="O46" s="42"/>
      <c r="P46" s="47"/>
      <c r="Q46" s="41"/>
      <c r="R46" s="41"/>
      <c r="S46" s="41"/>
      <c r="T46" s="47"/>
      <c r="U46" s="47"/>
      <c r="W46" s="506"/>
      <c r="X46" s="506"/>
      <c r="Y46" s="506"/>
      <c r="Z46" s="506"/>
      <c r="AA46" s="506"/>
      <c r="AB46" s="506"/>
      <c r="AC46" s="506"/>
      <c r="AD46" s="506"/>
      <c r="AE46" s="506"/>
      <c r="AF46" s="506"/>
      <c r="AG46" s="506"/>
      <c r="AH46" s="506"/>
      <c r="AI46" s="506"/>
      <c r="AJ46" s="506"/>
      <c r="AK46" s="506"/>
      <c r="AL46" s="506"/>
      <c r="AM46" s="506"/>
      <c r="AN46" s="506"/>
      <c r="AO46" s="506"/>
      <c r="AP46" s="506"/>
      <c r="AQ46" s="506"/>
      <c r="AR46" s="506"/>
      <c r="AS46" s="506"/>
      <c r="AT46" s="506"/>
      <c r="AU46" s="506"/>
      <c r="AV46" s="506"/>
      <c r="AW46" s="506"/>
      <c r="AX46" s="506"/>
      <c r="AY46" s="506"/>
      <c r="AZ46" s="506"/>
      <c r="BA46" s="506"/>
      <c r="BB46" s="506"/>
      <c r="BC46" s="506"/>
      <c r="BD46" s="506"/>
      <c r="BE46" s="506"/>
      <c r="BF46" s="506"/>
      <c r="BG46" s="506"/>
      <c r="BH46" s="506"/>
      <c r="BI46" s="506"/>
      <c r="BJ46" s="506"/>
      <c r="BK46" s="506"/>
      <c r="BL46" s="506"/>
      <c r="BM46" s="506"/>
      <c r="BN46" s="506"/>
      <c r="BO46" s="345"/>
      <c r="BP46" s="345"/>
      <c r="BQ46" s="345"/>
      <c r="BR46" s="345"/>
      <c r="BS46" s="128"/>
      <c r="BT46"/>
      <c r="BU46"/>
      <c r="BV46"/>
      <c r="BW46"/>
      <c r="BX46"/>
      <c r="BY46"/>
      <c r="CG46" s="363"/>
      <c r="CH46" s="46"/>
      <c r="CJ46" s="46"/>
      <c r="CK46" s="46"/>
      <c r="CL46" s="46"/>
      <c r="CM46" s="46"/>
    </row>
    <row r="47" spans="2:92">
      <c r="B47" s="149" t="s">
        <v>201</v>
      </c>
      <c r="C47" s="97"/>
      <c r="G47" s="144"/>
      <c r="H47" s="144"/>
      <c r="I47" s="144"/>
      <c r="J47" s="144"/>
      <c r="K47" s="144"/>
      <c r="L47" s="144"/>
      <c r="M47" s="144"/>
      <c r="N47" s="144"/>
      <c r="O47" s="146"/>
      <c r="P47" s="147"/>
      <c r="Q47" s="146"/>
      <c r="R47" s="146"/>
      <c r="S47" s="146"/>
      <c r="T47" s="146"/>
      <c r="U47" s="146"/>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c r="BH47" s="147"/>
      <c r="BI47" s="147"/>
      <c r="BJ47" s="147"/>
      <c r="BK47" s="147"/>
      <c r="BL47" s="147"/>
      <c r="BM47" s="147"/>
      <c r="BN47" s="147"/>
      <c r="BO47" s="147"/>
      <c r="BP47" s="147"/>
      <c r="BQ47" s="147"/>
      <c r="BR47" s="147"/>
      <c r="CG47" s="363"/>
      <c r="CH47" s="46"/>
      <c r="CI47" s="45"/>
      <c r="CJ47" s="46"/>
      <c r="CK47" s="46"/>
      <c r="CL47" s="46"/>
      <c r="CM47" s="46"/>
      <c r="CN47" s="45"/>
    </row>
    <row r="48" spans="2:92" s="51" customFormat="1">
      <c r="B48" s="34" t="s">
        <v>109</v>
      </c>
      <c r="C48" s="89"/>
      <c r="G48" s="51">
        <f t="shared" ref="G48:T48" si="45">G11</f>
        <v>160</v>
      </c>
      <c r="H48" s="51">
        <f t="shared" si="45"/>
        <v>290.60000000000002</v>
      </c>
      <c r="I48" s="51">
        <f t="shared" si="45"/>
        <v>220.29999999999998</v>
      </c>
      <c r="J48" s="51">
        <f t="shared" si="45"/>
        <v>99.8</v>
      </c>
      <c r="K48" s="51">
        <f t="shared" si="45"/>
        <v>233.5</v>
      </c>
      <c r="L48" s="51">
        <f t="shared" si="45"/>
        <v>261.89999999999998</v>
      </c>
      <c r="M48" s="51">
        <f t="shared" si="45"/>
        <v>289.3</v>
      </c>
      <c r="N48" s="51">
        <f t="shared" si="45"/>
        <v>209.4</v>
      </c>
      <c r="O48" s="51">
        <f t="shared" si="45"/>
        <v>249.8</v>
      </c>
      <c r="P48" s="51">
        <f t="shared" si="45"/>
        <v>305</v>
      </c>
      <c r="Q48" s="51">
        <f t="shared" si="45"/>
        <v>385.2</v>
      </c>
      <c r="R48" s="51">
        <f t="shared" si="45"/>
        <v>727.99443899949006</v>
      </c>
      <c r="S48" s="51">
        <f t="shared" si="45"/>
        <v>845.07412684216115</v>
      </c>
      <c r="T48" s="51">
        <f t="shared" si="45"/>
        <v>906.44785755720295</v>
      </c>
      <c r="U48" s="51">
        <f>U11</f>
        <v>987.4753490459002</v>
      </c>
      <c r="W48" s="343">
        <f t="shared" ref="W48:BN48" si="46">W11</f>
        <v>26.000000000000007</v>
      </c>
      <c r="X48" s="343">
        <f t="shared" si="46"/>
        <v>33.9</v>
      </c>
      <c r="Y48" s="343">
        <f t="shared" si="46"/>
        <v>51.900000000000006</v>
      </c>
      <c r="Z48" s="343">
        <f t="shared" si="46"/>
        <v>48.199999999999996</v>
      </c>
      <c r="AA48" s="343">
        <f t="shared" si="46"/>
        <v>60.5</v>
      </c>
      <c r="AB48" s="343">
        <f t="shared" si="46"/>
        <v>56.9</v>
      </c>
      <c r="AC48" s="343">
        <f t="shared" si="46"/>
        <v>99</v>
      </c>
      <c r="AD48" s="343">
        <f t="shared" si="46"/>
        <v>74.199999999999989</v>
      </c>
      <c r="AE48" s="343">
        <f t="shared" si="46"/>
        <v>75.5</v>
      </c>
      <c r="AF48" s="343">
        <f t="shared" si="46"/>
        <v>46.1</v>
      </c>
      <c r="AG48" s="343">
        <f t="shared" si="46"/>
        <v>57.699999999999989</v>
      </c>
      <c r="AH48" s="343">
        <f t="shared" si="46"/>
        <v>41</v>
      </c>
      <c r="AI48" s="343">
        <f t="shared" si="46"/>
        <v>21.900000000000002</v>
      </c>
      <c r="AJ48" s="343">
        <f t="shared" si="46"/>
        <v>31.100000000000005</v>
      </c>
      <c r="AK48" s="343">
        <f t="shared" si="46"/>
        <v>44.899999999999991</v>
      </c>
      <c r="AL48" s="343">
        <f t="shared" si="46"/>
        <v>1.8999999999999915</v>
      </c>
      <c r="AM48" s="343">
        <f t="shared" si="46"/>
        <v>45.6</v>
      </c>
      <c r="AN48" s="343">
        <f t="shared" si="46"/>
        <v>71.399999999999991</v>
      </c>
      <c r="AO48" s="343">
        <f t="shared" si="46"/>
        <v>78.7</v>
      </c>
      <c r="AP48" s="343">
        <f t="shared" si="46"/>
        <v>37.799999999999997</v>
      </c>
      <c r="AQ48" s="343">
        <f t="shared" si="46"/>
        <v>69.400000000000006</v>
      </c>
      <c r="AR48" s="343">
        <f t="shared" si="46"/>
        <v>70.900000000000006</v>
      </c>
      <c r="AS48" s="343">
        <f t="shared" si="46"/>
        <v>54.7</v>
      </c>
      <c r="AT48" s="343">
        <f t="shared" si="46"/>
        <v>66.900000000000006</v>
      </c>
      <c r="AU48" s="343">
        <f t="shared" si="46"/>
        <v>75</v>
      </c>
      <c r="AV48" s="343">
        <f t="shared" si="46"/>
        <v>74.5</v>
      </c>
      <c r="AW48" s="343">
        <f t="shared" si="46"/>
        <v>104.70000000000002</v>
      </c>
      <c r="AX48" s="343">
        <f t="shared" si="46"/>
        <v>35.099999999999994</v>
      </c>
      <c r="AY48" s="343">
        <f t="shared" si="46"/>
        <v>57.8</v>
      </c>
      <c r="AZ48" s="343">
        <f t="shared" si="46"/>
        <v>64.2</v>
      </c>
      <c r="BA48" s="343">
        <f t="shared" si="46"/>
        <v>58.800000000000004</v>
      </c>
      <c r="BB48" s="343">
        <f t="shared" si="46"/>
        <v>28.6</v>
      </c>
      <c r="BC48" s="343">
        <f t="shared" si="46"/>
        <v>36.800000000000004</v>
      </c>
      <c r="BD48" s="343">
        <f t="shared" si="46"/>
        <v>92.1</v>
      </c>
      <c r="BE48" s="343">
        <f t="shared" si="46"/>
        <v>37.9</v>
      </c>
      <c r="BF48" s="343">
        <f t="shared" si="46"/>
        <v>83</v>
      </c>
      <c r="BG48" s="343">
        <f t="shared" si="46"/>
        <v>84.8</v>
      </c>
      <c r="BH48" s="343">
        <f t="shared" si="46"/>
        <v>48</v>
      </c>
      <c r="BI48" s="343">
        <f t="shared" si="46"/>
        <v>86.6</v>
      </c>
      <c r="BJ48" s="343">
        <f t="shared" si="46"/>
        <v>85.600000000000009</v>
      </c>
      <c r="BK48" s="343">
        <f t="shared" si="46"/>
        <v>85.300000000000011</v>
      </c>
      <c r="BL48" s="343">
        <f t="shared" si="46"/>
        <v>43.199999999999996</v>
      </c>
      <c r="BM48" s="343">
        <f t="shared" si="46"/>
        <v>126.29999999999998</v>
      </c>
      <c r="BN48" s="343">
        <f t="shared" si="46"/>
        <v>130.4</v>
      </c>
      <c r="BO48" s="343">
        <f>BO11</f>
        <v>93.511391568179363</v>
      </c>
      <c r="BP48" s="343">
        <f>BP11</f>
        <v>170.66844364547313</v>
      </c>
      <c r="BQ48" s="343">
        <f>BQ11</f>
        <v>235.8220238854679</v>
      </c>
      <c r="BR48" s="343">
        <f>BR11</f>
        <v>227.99257990036963</v>
      </c>
      <c r="BT48"/>
      <c r="BU48"/>
      <c r="BV48"/>
      <c r="BW48"/>
      <c r="BX48"/>
      <c r="BY48"/>
    </row>
    <row r="49" spans="1:91" s="45" customFormat="1">
      <c r="B49" s="59" t="s">
        <v>236</v>
      </c>
      <c r="C49" s="47"/>
      <c r="G49" s="45">
        <f>SUM(W49:Z49)</f>
        <v>48</v>
      </c>
      <c r="H49" s="112">
        <f>SUM(AA49:AD49)</f>
        <v>69.599999999999994</v>
      </c>
      <c r="I49" s="112">
        <f>SUM(AE49:AH49)</f>
        <v>71.7</v>
      </c>
      <c r="J49" s="112">
        <f>SUM(AI49:AL49)</f>
        <v>86.9</v>
      </c>
      <c r="K49" s="112">
        <f>SUM(AM49:AP49)</f>
        <v>99.3</v>
      </c>
      <c r="L49" s="47">
        <f>SUM(AQ49:AT49)</f>
        <v>110.9</v>
      </c>
      <c r="M49" s="47">
        <f>SUM(AU49:AX49)</f>
        <v>135.29999999999998</v>
      </c>
      <c r="N49" s="112">
        <f>SUM(AY49:BB49)</f>
        <v>139.1</v>
      </c>
      <c r="O49" s="47">
        <f>SUM(BC49:BF49)</f>
        <v>228.9</v>
      </c>
      <c r="P49" s="47">
        <f>SUM(BG49:BJ49)</f>
        <v>533.5</v>
      </c>
      <c r="Q49" s="112">
        <f>SUM(BK49:BN49)</f>
        <v>558.9</v>
      </c>
      <c r="R49" s="42">
        <f>SUM(BO49:BR49)</f>
        <v>565</v>
      </c>
      <c r="S49" s="340">
        <f>Segments!S21</f>
        <v>581.92305381004087</v>
      </c>
      <c r="T49" s="340">
        <f>Segments!T21</f>
        <v>592.93740418503171</v>
      </c>
      <c r="U49" s="340">
        <f>Segments!U21</f>
        <v>604.16294620766246</v>
      </c>
      <c r="W49" s="341">
        <f>Segments!W21</f>
        <v>9.6</v>
      </c>
      <c r="X49" s="341">
        <f>Segments!X21</f>
        <v>9.5000000000000018</v>
      </c>
      <c r="Y49" s="341">
        <f>Segments!Y21</f>
        <v>12.099999999999998</v>
      </c>
      <c r="Z49" s="341">
        <f>Segments!Z21</f>
        <v>16.8</v>
      </c>
      <c r="AA49" s="341">
        <f>Segments!AA21</f>
        <v>17.3</v>
      </c>
      <c r="AB49" s="341">
        <f>Segments!AB21</f>
        <v>17.599999999999998</v>
      </c>
      <c r="AC49" s="341">
        <f>Segments!AC21</f>
        <v>17.300000000000004</v>
      </c>
      <c r="AD49" s="341">
        <f>Segments!AD21</f>
        <v>17.399999999999991</v>
      </c>
      <c r="AE49" s="341">
        <f>Segments!AE21</f>
        <v>16.600000000000001</v>
      </c>
      <c r="AF49" s="341">
        <f>Segments!AF21</f>
        <v>16.799999999999997</v>
      </c>
      <c r="AG49" s="341">
        <f>Segments!AG21</f>
        <v>17.100000000000001</v>
      </c>
      <c r="AH49" s="341">
        <f>Segments!AH21</f>
        <v>21.2</v>
      </c>
      <c r="AI49" s="341">
        <f>Segments!AI21</f>
        <v>21.6</v>
      </c>
      <c r="AJ49" s="341">
        <f>Segments!AJ21</f>
        <v>21.6</v>
      </c>
      <c r="AK49" s="341">
        <f>Segments!AK21</f>
        <v>21.599999999999994</v>
      </c>
      <c r="AL49" s="341">
        <f>Segments!AL21</f>
        <v>22.100000000000009</v>
      </c>
      <c r="AM49" s="341">
        <f>Segments!AM21</f>
        <v>23.2</v>
      </c>
      <c r="AN49" s="341">
        <f>Segments!AN21</f>
        <v>25.4</v>
      </c>
      <c r="AO49" s="341">
        <f>Segments!AO21</f>
        <v>25.5</v>
      </c>
      <c r="AP49" s="341">
        <f>Segments!AP21</f>
        <v>25.2</v>
      </c>
      <c r="AQ49" s="341">
        <f>Segments!AQ21</f>
        <v>25.5</v>
      </c>
      <c r="AR49" s="341">
        <f>Segments!AR21</f>
        <v>26.6</v>
      </c>
      <c r="AS49" s="341">
        <f>Segments!AS21</f>
        <v>26.6</v>
      </c>
      <c r="AT49" s="341">
        <f>Segments!AT21</f>
        <v>32.200000000000003</v>
      </c>
      <c r="AU49" s="341">
        <f>Segments!AU21</f>
        <v>32.9</v>
      </c>
      <c r="AV49" s="341">
        <f>Segments!AV21</f>
        <v>34.200000000000003</v>
      </c>
      <c r="AW49" s="341">
        <f>Segments!AW21</f>
        <v>34.1</v>
      </c>
      <c r="AX49" s="341">
        <f>Segments!AX21</f>
        <v>34.1</v>
      </c>
      <c r="AY49" s="341">
        <f>Segments!AY21</f>
        <v>34.200000000000003</v>
      </c>
      <c r="AZ49" s="341">
        <f>Segments!AZ21</f>
        <v>35.200000000000003</v>
      </c>
      <c r="BA49" s="341">
        <f>Segments!BA21</f>
        <v>34.899999999999991</v>
      </c>
      <c r="BB49" s="341">
        <f>Segments!BB21</f>
        <v>34.799999999999997</v>
      </c>
      <c r="BC49" s="340">
        <f>Segments!BC21</f>
        <v>34.4</v>
      </c>
      <c r="BD49" s="340">
        <f>Segments!BD21</f>
        <v>34.699999999999996</v>
      </c>
      <c r="BE49" s="340">
        <f>Segments!BE21</f>
        <v>35.800000000000011</v>
      </c>
      <c r="BF49" s="340">
        <f>Segments!BF21</f>
        <v>124</v>
      </c>
      <c r="BG49" s="340">
        <f>Segments!BG21</f>
        <v>129.69999999999999</v>
      </c>
      <c r="BH49" s="340">
        <f>Segments!BH21</f>
        <v>132.40000000000003</v>
      </c>
      <c r="BI49" s="340">
        <f>Segments!BI21</f>
        <v>135.29999999999995</v>
      </c>
      <c r="BJ49" s="340">
        <f>Segments!BJ21</f>
        <v>136.10000000000002</v>
      </c>
      <c r="BK49" s="340">
        <f>Segments!BK21</f>
        <v>135.1</v>
      </c>
      <c r="BL49" s="340">
        <f>Segments!BL21</f>
        <v>137.1</v>
      </c>
      <c r="BM49" s="340">
        <f>Segments!BM21</f>
        <v>139.19999999999999</v>
      </c>
      <c r="BN49" s="340">
        <f>Segments!BN21</f>
        <v>147.5</v>
      </c>
      <c r="BO49" s="340">
        <f>Segments!BO21</f>
        <v>141.25</v>
      </c>
      <c r="BP49" s="340">
        <f>Segments!BP21</f>
        <v>141.25</v>
      </c>
      <c r="BQ49" s="340">
        <f>Segments!BQ21</f>
        <v>141.25</v>
      </c>
      <c r="BR49" s="340">
        <f>Segments!BR21</f>
        <v>141.25</v>
      </c>
      <c r="BT49"/>
      <c r="BU49"/>
      <c r="BV49"/>
      <c r="BW49"/>
      <c r="BX49"/>
      <c r="BY49"/>
      <c r="CD49" s="47"/>
      <c r="CE49" s="47"/>
      <c r="CF49" s="47"/>
      <c r="CG49" s="47"/>
      <c r="CJ49" s="47"/>
      <c r="CK49" s="114"/>
      <c r="CL49" s="114"/>
      <c r="CM49" s="114"/>
    </row>
    <row r="50" spans="1:91" s="51" customFormat="1">
      <c r="B50" s="150" t="s">
        <v>266</v>
      </c>
      <c r="C50" s="90"/>
      <c r="G50" s="93">
        <f t="shared" ref="G50:U50" si="47">SUM(G48:G49)</f>
        <v>208</v>
      </c>
      <c r="H50" s="93">
        <f t="shared" si="47"/>
        <v>360.20000000000005</v>
      </c>
      <c r="I50" s="93">
        <f t="shared" si="47"/>
        <v>292</v>
      </c>
      <c r="J50" s="93">
        <f t="shared" si="47"/>
        <v>186.7</v>
      </c>
      <c r="K50" s="93">
        <f t="shared" si="47"/>
        <v>332.8</v>
      </c>
      <c r="L50" s="93">
        <f t="shared" si="47"/>
        <v>372.79999999999995</v>
      </c>
      <c r="M50" s="93">
        <f t="shared" si="47"/>
        <v>424.6</v>
      </c>
      <c r="N50" s="93">
        <f t="shared" si="47"/>
        <v>348.5</v>
      </c>
      <c r="O50" s="93">
        <f t="shared" si="47"/>
        <v>478.70000000000005</v>
      </c>
      <c r="P50" s="93">
        <f t="shared" si="47"/>
        <v>838.5</v>
      </c>
      <c r="Q50" s="93">
        <f t="shared" si="47"/>
        <v>944.09999999999991</v>
      </c>
      <c r="R50" s="93">
        <f t="shared" si="47"/>
        <v>1292.9944389994901</v>
      </c>
      <c r="S50" s="93">
        <f t="shared" si="47"/>
        <v>1426.9971806522021</v>
      </c>
      <c r="T50" s="93">
        <f t="shared" si="47"/>
        <v>1499.3852617422347</v>
      </c>
      <c r="U50" s="93">
        <f t="shared" si="47"/>
        <v>1591.6382952535628</v>
      </c>
      <c r="V50" s="495"/>
      <c r="W50" s="93">
        <f t="shared" ref="W50:BN50" si="48">SUM(W48:W49)</f>
        <v>35.600000000000009</v>
      </c>
      <c r="X50" s="93">
        <f t="shared" si="48"/>
        <v>43.4</v>
      </c>
      <c r="Y50" s="93">
        <f t="shared" si="48"/>
        <v>64</v>
      </c>
      <c r="Z50" s="93">
        <f t="shared" si="48"/>
        <v>65</v>
      </c>
      <c r="AA50" s="93">
        <f t="shared" si="48"/>
        <v>77.8</v>
      </c>
      <c r="AB50" s="93">
        <f t="shared" si="48"/>
        <v>74.5</v>
      </c>
      <c r="AC50" s="93">
        <f t="shared" si="48"/>
        <v>116.30000000000001</v>
      </c>
      <c r="AD50" s="93">
        <f t="shared" si="48"/>
        <v>91.59999999999998</v>
      </c>
      <c r="AE50" s="93">
        <f t="shared" si="48"/>
        <v>92.1</v>
      </c>
      <c r="AF50" s="93">
        <f t="shared" si="48"/>
        <v>62.9</v>
      </c>
      <c r="AG50" s="93">
        <f t="shared" si="48"/>
        <v>74.799999999999983</v>
      </c>
      <c r="AH50" s="93">
        <f t="shared" si="48"/>
        <v>62.2</v>
      </c>
      <c r="AI50" s="93">
        <f t="shared" si="48"/>
        <v>43.5</v>
      </c>
      <c r="AJ50" s="93">
        <f t="shared" si="48"/>
        <v>52.7</v>
      </c>
      <c r="AK50" s="93">
        <f t="shared" si="48"/>
        <v>66.499999999999986</v>
      </c>
      <c r="AL50" s="93">
        <f t="shared" si="48"/>
        <v>24</v>
      </c>
      <c r="AM50" s="93">
        <f t="shared" si="48"/>
        <v>68.8</v>
      </c>
      <c r="AN50" s="93">
        <f t="shared" si="48"/>
        <v>96.799999999999983</v>
      </c>
      <c r="AO50" s="93">
        <f t="shared" si="48"/>
        <v>104.2</v>
      </c>
      <c r="AP50" s="93">
        <f t="shared" si="48"/>
        <v>63</v>
      </c>
      <c r="AQ50" s="93">
        <f t="shared" si="48"/>
        <v>94.9</v>
      </c>
      <c r="AR50" s="93">
        <f t="shared" si="48"/>
        <v>97.5</v>
      </c>
      <c r="AS50" s="93">
        <f t="shared" si="48"/>
        <v>81.300000000000011</v>
      </c>
      <c r="AT50" s="93">
        <f t="shared" si="48"/>
        <v>99.100000000000009</v>
      </c>
      <c r="AU50" s="93">
        <f t="shared" si="48"/>
        <v>107.9</v>
      </c>
      <c r="AV50" s="93">
        <f t="shared" si="48"/>
        <v>108.7</v>
      </c>
      <c r="AW50" s="93">
        <f t="shared" si="48"/>
        <v>138.80000000000001</v>
      </c>
      <c r="AX50" s="93">
        <f t="shared" si="48"/>
        <v>69.199999999999989</v>
      </c>
      <c r="AY50" s="93">
        <f t="shared" si="48"/>
        <v>92</v>
      </c>
      <c r="AZ50" s="93">
        <f t="shared" si="48"/>
        <v>99.4</v>
      </c>
      <c r="BA50" s="93">
        <f t="shared" si="48"/>
        <v>93.699999999999989</v>
      </c>
      <c r="BB50" s="93">
        <f t="shared" si="48"/>
        <v>63.4</v>
      </c>
      <c r="BC50" s="93">
        <f t="shared" si="48"/>
        <v>71.2</v>
      </c>
      <c r="BD50" s="93">
        <f t="shared" si="48"/>
        <v>126.79999999999998</v>
      </c>
      <c r="BE50" s="93">
        <f t="shared" si="48"/>
        <v>73.700000000000017</v>
      </c>
      <c r="BF50" s="93">
        <f t="shared" si="48"/>
        <v>207</v>
      </c>
      <c r="BG50" s="93">
        <f t="shared" si="48"/>
        <v>214.5</v>
      </c>
      <c r="BH50" s="93">
        <f t="shared" si="48"/>
        <v>180.40000000000003</v>
      </c>
      <c r="BI50" s="93">
        <f t="shared" si="48"/>
        <v>221.89999999999995</v>
      </c>
      <c r="BJ50" s="93">
        <f t="shared" si="48"/>
        <v>221.70000000000005</v>
      </c>
      <c r="BK50" s="93">
        <f t="shared" si="48"/>
        <v>220.4</v>
      </c>
      <c r="BL50" s="93">
        <f t="shared" si="48"/>
        <v>180.29999999999998</v>
      </c>
      <c r="BM50" s="93">
        <f t="shared" si="48"/>
        <v>265.5</v>
      </c>
      <c r="BN50" s="93">
        <f t="shared" si="48"/>
        <v>277.89999999999998</v>
      </c>
      <c r="BO50" s="93">
        <f>SUM(BO48:BO49)</f>
        <v>234.76139156817936</v>
      </c>
      <c r="BP50" s="93">
        <f>SUM(BP48:BP49)</f>
        <v>311.91844364547313</v>
      </c>
      <c r="BQ50" s="93">
        <f>SUM(BQ48:BQ49)</f>
        <v>377.0720238854679</v>
      </c>
      <c r="BR50" s="93">
        <f>SUM(BR48:BR49)</f>
        <v>369.24257990036961</v>
      </c>
      <c r="BT50"/>
      <c r="BU50"/>
      <c r="BV50"/>
      <c r="BW50"/>
      <c r="BX50"/>
      <c r="BY50"/>
    </row>
    <row r="51" spans="1:91" s="51" customFormat="1">
      <c r="B51" s="150"/>
      <c r="C51" s="90"/>
      <c r="G51" s="90"/>
      <c r="H51" s="90"/>
      <c r="I51" s="90"/>
      <c r="J51" s="90"/>
      <c r="K51" s="90"/>
      <c r="L51" s="90"/>
      <c r="M51" s="90"/>
      <c r="N51" s="90"/>
      <c r="O51" s="90"/>
      <c r="P51" s="90"/>
      <c r="Q51" s="90"/>
      <c r="R51" s="496"/>
      <c r="S51" s="496"/>
      <c r="T51" s="90"/>
      <c r="U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90"/>
      <c r="AZ51" s="90"/>
      <c r="BA51" s="90"/>
      <c r="BB51" s="90"/>
      <c r="BC51" s="90"/>
      <c r="BD51" s="90"/>
      <c r="BE51" s="90"/>
      <c r="BF51" s="90"/>
      <c r="BG51" s="90"/>
      <c r="BH51" s="90"/>
      <c r="BI51" s="90"/>
      <c r="BJ51" s="90"/>
      <c r="BK51" s="519"/>
      <c r="BL51" s="90"/>
      <c r="BM51" s="518"/>
      <c r="BN51" s="90"/>
      <c r="BO51" s="527"/>
      <c r="BP51" s="527"/>
      <c r="BQ51" s="90"/>
      <c r="BR51" s="343"/>
      <c r="BT51"/>
      <c r="BU51"/>
      <c r="BV51"/>
      <c r="BW51"/>
      <c r="BX51"/>
      <c r="BY51"/>
    </row>
    <row r="52" spans="1:91">
      <c r="A52" s="5" t="s">
        <v>150</v>
      </c>
      <c r="B52" s="152" t="s">
        <v>217</v>
      </c>
      <c r="C52" s="152"/>
      <c r="D52" s="152"/>
      <c r="E52" s="152"/>
      <c r="F52" s="152"/>
      <c r="G52" s="152"/>
      <c r="H52" s="152"/>
      <c r="I52" s="152"/>
      <c r="J52" s="152"/>
      <c r="K52" s="152"/>
      <c r="L52" s="152"/>
      <c r="M52" s="152"/>
      <c r="N52" s="152"/>
      <c r="O52" s="152"/>
      <c r="P52" s="152"/>
      <c r="Q52" s="152"/>
      <c r="R52" s="152"/>
      <c r="S52" s="152"/>
      <c r="T52" s="152"/>
      <c r="U52" s="152"/>
      <c r="W52" s="152"/>
      <c r="X52" s="152"/>
      <c r="Y52" s="152"/>
      <c r="Z52" s="152"/>
      <c r="AA52" s="152"/>
      <c r="AB52" s="152"/>
      <c r="AC52" s="152"/>
      <c r="AD52" s="152"/>
      <c r="AE52" s="152"/>
      <c r="AF52" s="152"/>
      <c r="AG52" s="152"/>
      <c r="AH52" s="152"/>
      <c r="AI52" s="152"/>
      <c r="AJ52" s="152"/>
      <c r="AK52" s="152"/>
      <c r="AL52" s="152"/>
      <c r="AM52" s="152"/>
      <c r="AN52" s="152"/>
      <c r="AO52" s="152"/>
      <c r="AP52" s="152"/>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CB52" s="51"/>
    </row>
    <row r="53" spans="1:91">
      <c r="B53" s="97" t="s">
        <v>148</v>
      </c>
      <c r="G53" s="153"/>
      <c r="H53" s="396">
        <f t="shared" ref="H53:N53" si="49">G56</f>
        <v>74.5</v>
      </c>
      <c r="I53" s="396">
        <f t="shared" si="49"/>
        <v>77.3</v>
      </c>
      <c r="J53" s="396">
        <f t="shared" si="49"/>
        <v>78.7</v>
      </c>
      <c r="K53" s="396">
        <f t="shared" si="49"/>
        <v>79.599999999999994</v>
      </c>
      <c r="L53" s="396">
        <f t="shared" si="49"/>
        <v>80.099999999999994</v>
      </c>
      <c r="M53" s="396">
        <f t="shared" si="49"/>
        <v>80.199999999999989</v>
      </c>
      <c r="N53" s="396">
        <f t="shared" si="49"/>
        <v>79.399999999999991</v>
      </c>
      <c r="O53" s="396">
        <f t="shared" ref="O53:U53" si="50">N56</f>
        <v>77.400000000000006</v>
      </c>
      <c r="P53" s="396">
        <f>O56</f>
        <v>165.1</v>
      </c>
      <c r="Q53" s="396">
        <f t="shared" si="50"/>
        <v>165.4</v>
      </c>
      <c r="R53" s="396">
        <f t="shared" si="50"/>
        <v>167.1</v>
      </c>
      <c r="S53" s="396">
        <f t="shared" si="50"/>
        <v>168.35</v>
      </c>
      <c r="T53" s="396">
        <f t="shared" si="50"/>
        <v>169.6</v>
      </c>
      <c r="U53" s="396">
        <f t="shared" si="50"/>
        <v>170.85</v>
      </c>
      <c r="X53" s="346">
        <f>W56</f>
        <v>73.7</v>
      </c>
      <c r="Y53" s="346">
        <f>X56</f>
        <v>73.900000000000006</v>
      </c>
      <c r="Z53" s="346">
        <f t="shared" ref="Z53:BB53" si="51">Y56</f>
        <v>74.2</v>
      </c>
      <c r="AA53" s="346">
        <f t="shared" si="51"/>
        <v>74.5</v>
      </c>
      <c r="AB53" s="346">
        <f t="shared" si="51"/>
        <v>74.7</v>
      </c>
      <c r="AC53" s="346">
        <f t="shared" si="51"/>
        <v>75.400000000000006</v>
      </c>
      <c r="AD53" s="346">
        <f t="shared" si="51"/>
        <v>76.900000000000006</v>
      </c>
      <c r="AE53" s="346">
        <f t="shared" si="51"/>
        <v>77.3</v>
      </c>
      <c r="AF53" s="346">
        <f t="shared" si="51"/>
        <v>77.900000000000006</v>
      </c>
      <c r="AG53" s="346">
        <f t="shared" si="51"/>
        <v>78.2</v>
      </c>
      <c r="AH53" s="346">
        <f t="shared" si="51"/>
        <v>78.5</v>
      </c>
      <c r="AI53" s="346">
        <f t="shared" si="51"/>
        <v>78.7</v>
      </c>
      <c r="AJ53" s="346">
        <f t="shared" si="51"/>
        <v>78.900000000000006</v>
      </c>
      <c r="AK53" s="346">
        <f t="shared" si="51"/>
        <v>79.2</v>
      </c>
      <c r="AL53" s="346">
        <f t="shared" si="51"/>
        <v>79.599999999999994</v>
      </c>
      <c r="AM53" s="346">
        <f t="shared" si="51"/>
        <v>79.599999999999994</v>
      </c>
      <c r="AN53" s="346">
        <f t="shared" si="51"/>
        <v>79.7</v>
      </c>
      <c r="AO53" s="346">
        <f t="shared" si="51"/>
        <v>80.2</v>
      </c>
      <c r="AP53" s="346">
        <f t="shared" si="51"/>
        <v>80.099999999999994</v>
      </c>
      <c r="AQ53" s="346">
        <f t="shared" si="51"/>
        <v>80.099999999999994</v>
      </c>
      <c r="AR53" s="346">
        <f t="shared" si="51"/>
        <v>80.099999999999994</v>
      </c>
      <c r="AS53" s="346">
        <f t="shared" si="51"/>
        <v>80</v>
      </c>
      <c r="AT53" s="346">
        <f t="shared" si="51"/>
        <v>80.2</v>
      </c>
      <c r="AU53" s="346">
        <f t="shared" si="51"/>
        <v>80.2</v>
      </c>
      <c r="AV53" s="346">
        <f t="shared" si="51"/>
        <v>80.3</v>
      </c>
      <c r="AW53" s="346">
        <f t="shared" si="51"/>
        <v>80</v>
      </c>
      <c r="AX53" s="346">
        <f t="shared" si="51"/>
        <v>79.599999999999994</v>
      </c>
      <c r="AY53" s="346">
        <f t="shared" si="51"/>
        <v>79.400000000000006</v>
      </c>
      <c r="AZ53" s="346">
        <f t="shared" si="51"/>
        <v>79</v>
      </c>
      <c r="BA53" s="346">
        <f t="shared" si="51"/>
        <v>78.599999999999994</v>
      </c>
      <c r="BB53" s="346">
        <f t="shared" si="51"/>
        <v>78.2</v>
      </c>
      <c r="BC53" s="346">
        <v>77.400000000000006</v>
      </c>
      <c r="BD53" s="346">
        <f t="shared" ref="BD53:BJ53" si="52">+BC56</f>
        <v>77.5</v>
      </c>
      <c r="BE53" s="346">
        <f t="shared" si="52"/>
        <v>77.5</v>
      </c>
      <c r="BF53" s="346">
        <f t="shared" si="52"/>
        <v>77.599999999999994</v>
      </c>
      <c r="BG53" s="346">
        <f t="shared" si="52"/>
        <v>165.1</v>
      </c>
      <c r="BH53" s="346">
        <f t="shared" si="52"/>
        <v>165.2</v>
      </c>
      <c r="BI53" s="346">
        <f>+BH56</f>
        <v>165.2</v>
      </c>
      <c r="BJ53" s="346">
        <f t="shared" si="52"/>
        <v>165.3</v>
      </c>
      <c r="BK53" s="346">
        <f t="shared" ref="BK53:BR53" si="53">+BJ56</f>
        <v>165.4</v>
      </c>
      <c r="BL53" s="346">
        <f t="shared" si="53"/>
        <v>165.9</v>
      </c>
      <c r="BM53" s="346">
        <f t="shared" si="53"/>
        <v>166.3</v>
      </c>
      <c r="BN53" s="346">
        <f t="shared" si="53"/>
        <v>166.4</v>
      </c>
      <c r="BO53" s="346">
        <f t="shared" si="53"/>
        <v>167.1</v>
      </c>
      <c r="BP53" s="346">
        <f t="shared" si="53"/>
        <v>167.41249999999999</v>
      </c>
      <c r="BQ53" s="346">
        <f t="shared" si="53"/>
        <v>167.72499999999999</v>
      </c>
      <c r="BR53" s="346">
        <f t="shared" si="53"/>
        <v>168.03749999999999</v>
      </c>
      <c r="CB53" s="51"/>
    </row>
    <row r="54" spans="1:91">
      <c r="B54" s="154" t="s">
        <v>149</v>
      </c>
      <c r="G54" s="153"/>
      <c r="H54" s="153">
        <f>SUM(AA54:AD54)</f>
        <v>2.7999999999999972</v>
      </c>
      <c r="I54" s="153">
        <f>SUM(AE54:AH54)</f>
        <v>1.4000000000000057</v>
      </c>
      <c r="J54" s="153">
        <f>SUM(AI54:AL54)</f>
        <v>0.89999999999999147</v>
      </c>
      <c r="K54" s="153">
        <f>SUM(AM54:AP54)</f>
        <v>0.73851700000000164</v>
      </c>
      <c r="L54" s="153">
        <f>SUM(AQ54:AT54)</f>
        <v>0.25575399999999604</v>
      </c>
      <c r="M54" s="153">
        <f>SUM(AU54:AX54)</f>
        <v>0.72467500000000484</v>
      </c>
      <c r="N54" s="153">
        <f>SUM(AY54:BB54)</f>
        <v>0.50456699999999444</v>
      </c>
      <c r="O54" s="153">
        <f>SUM(BC54:BF54)</f>
        <v>87.699999999999989</v>
      </c>
      <c r="P54" s="153">
        <f>SUM(BG54:BJ54)</f>
        <v>0.30000000000001137</v>
      </c>
      <c r="Q54" s="153">
        <f>SUM(BK54:BN54)</f>
        <v>1.6999999999999886</v>
      </c>
      <c r="R54" s="155">
        <f>SUM(BO54:BR54)</f>
        <v>1.25</v>
      </c>
      <c r="S54" s="155">
        <f>+R54</f>
        <v>1.25</v>
      </c>
      <c r="T54" s="155">
        <f>+S54</f>
        <v>1.25</v>
      </c>
      <c r="U54" s="155">
        <f>+T54</f>
        <v>1.25</v>
      </c>
      <c r="AA54" s="42">
        <f t="shared" ref="AA54:BB54" si="54">AA56-SUM(AA53,AA55)</f>
        <v>0.20000000000000284</v>
      </c>
      <c r="AB54" s="42">
        <f t="shared" si="54"/>
        <v>0.70000000000000284</v>
      </c>
      <c r="AC54" s="42">
        <f t="shared" si="54"/>
        <v>1.5</v>
      </c>
      <c r="AD54" s="42">
        <f t="shared" si="54"/>
        <v>0.39999999999999147</v>
      </c>
      <c r="AE54" s="42">
        <f t="shared" si="54"/>
        <v>0.60000000000000853</v>
      </c>
      <c r="AF54" s="42">
        <f t="shared" si="54"/>
        <v>0.29999999999999716</v>
      </c>
      <c r="AG54" s="42">
        <f t="shared" si="54"/>
        <v>0.29999999999999716</v>
      </c>
      <c r="AH54" s="42">
        <f t="shared" si="54"/>
        <v>0.20000000000000284</v>
      </c>
      <c r="AI54" s="42">
        <f t="shared" si="54"/>
        <v>0.20000000000000284</v>
      </c>
      <c r="AJ54" s="42">
        <f t="shared" si="54"/>
        <v>0.29999999999999716</v>
      </c>
      <c r="AK54" s="42">
        <f t="shared" si="54"/>
        <v>0.39999999999999147</v>
      </c>
      <c r="AL54" s="42">
        <f t="shared" si="54"/>
        <v>0</v>
      </c>
      <c r="AM54" s="42">
        <f t="shared" si="54"/>
        <v>0.10000000000000853</v>
      </c>
      <c r="AN54" s="42">
        <f t="shared" si="54"/>
        <v>0.5</v>
      </c>
      <c r="AO54" s="42">
        <f t="shared" si="54"/>
        <v>2.4545999999986634E-2</v>
      </c>
      <c r="AP54" s="42">
        <f t="shared" si="54"/>
        <v>0.11397100000000648</v>
      </c>
      <c r="AQ54" s="42">
        <f t="shared" si="54"/>
        <v>5.5753999999993198E-2</v>
      </c>
      <c r="AR54" s="42">
        <f t="shared" si="54"/>
        <v>0</v>
      </c>
      <c r="AS54" s="42">
        <f t="shared" si="54"/>
        <v>0.20000000000000284</v>
      </c>
      <c r="AT54" s="42">
        <f t="shared" si="54"/>
        <v>0</v>
      </c>
      <c r="AU54" s="42">
        <f t="shared" si="54"/>
        <v>0.29999999999999716</v>
      </c>
      <c r="AV54" s="42">
        <f t="shared" si="54"/>
        <v>0.11554800000000398</v>
      </c>
      <c r="AW54" s="42">
        <f t="shared" si="54"/>
        <v>0.18912599999998747</v>
      </c>
      <c r="AX54" s="42">
        <f t="shared" si="54"/>
        <v>0.12000100000001623</v>
      </c>
      <c r="AY54" s="42">
        <f t="shared" si="54"/>
        <v>0.16722399999999027</v>
      </c>
      <c r="AZ54" s="42">
        <f t="shared" si="54"/>
        <v>0.14644299999999077</v>
      </c>
      <c r="BA54" s="42">
        <f t="shared" si="54"/>
        <v>0.1600000000000108</v>
      </c>
      <c r="BB54" s="42">
        <f t="shared" si="54"/>
        <v>3.0900000000002592E-2</v>
      </c>
      <c r="BC54" s="42">
        <f t="shared" ref="BC54:BK54" si="55">BC56-SUM(BC53,BC55)</f>
        <v>9.9999999999994316E-2</v>
      </c>
      <c r="BD54" s="42">
        <f t="shared" si="55"/>
        <v>0</v>
      </c>
      <c r="BE54" s="42">
        <f t="shared" si="55"/>
        <v>9.9999999999994316E-2</v>
      </c>
      <c r="BF54" s="42">
        <f t="shared" si="55"/>
        <v>87.5</v>
      </c>
      <c r="BG54" s="42">
        <f t="shared" si="55"/>
        <v>9.9999999999994316E-2</v>
      </c>
      <c r="BH54" s="42">
        <f t="shared" si="55"/>
        <v>0</v>
      </c>
      <c r="BI54" s="42">
        <f t="shared" si="55"/>
        <v>0.10000000000002274</v>
      </c>
      <c r="BJ54" s="42">
        <f t="shared" si="55"/>
        <v>9.9999999999994316E-2</v>
      </c>
      <c r="BK54" s="42">
        <f t="shared" si="55"/>
        <v>0.5</v>
      </c>
      <c r="BL54" s="42">
        <f>BL56-SUM(BL53,BL55)</f>
        <v>0.40000000000000568</v>
      </c>
      <c r="BM54" s="42">
        <f>BM56-SUM(BM53,BM55)</f>
        <v>9.9999999999994316E-2</v>
      </c>
      <c r="BN54" s="42">
        <f>BN56-SUM(BN53,BN55)</f>
        <v>0.69999999999998863</v>
      </c>
      <c r="BO54" s="41">
        <f>1.25/4</f>
        <v>0.3125</v>
      </c>
      <c r="BP54" s="41">
        <f t="shared" ref="BP54:BR54" si="56">1.25/4</f>
        <v>0.3125</v>
      </c>
      <c r="BQ54" s="41">
        <f t="shared" si="56"/>
        <v>0.3125</v>
      </c>
      <c r="BR54" s="41">
        <f t="shared" si="56"/>
        <v>0.3125</v>
      </c>
    </row>
    <row r="55" spans="1:91">
      <c r="B55" s="154" t="s">
        <v>218</v>
      </c>
      <c r="G55" s="155"/>
      <c r="H55" s="155">
        <v>0</v>
      </c>
      <c r="I55" s="155">
        <v>0</v>
      </c>
      <c r="J55" s="235">
        <f>SUM(AI55:AL55)</f>
        <v>0</v>
      </c>
      <c r="K55" s="235">
        <f>SUM(AM55:AP55)</f>
        <v>-0.23851700000000001</v>
      </c>
      <c r="L55" s="235">
        <f>SUM(AQ55:AT55)</f>
        <v>-0.155754</v>
      </c>
      <c r="M55" s="235">
        <f>SUM(AU55:AX55)</f>
        <v>-1.524675</v>
      </c>
      <c r="N55" s="235">
        <f>SUM(AY55:BB55)</f>
        <v>-2.5045669999999998</v>
      </c>
      <c r="O55" s="346">
        <f t="shared" ref="O55:T55" si="57">-O60</f>
        <v>0</v>
      </c>
      <c r="P55" s="346">
        <f t="shared" si="57"/>
        <v>0</v>
      </c>
      <c r="Q55" s="346">
        <f t="shared" si="57"/>
        <v>0</v>
      </c>
      <c r="R55" s="346">
        <f t="shared" si="57"/>
        <v>0</v>
      </c>
      <c r="S55" s="346">
        <f t="shared" si="57"/>
        <v>0</v>
      </c>
      <c r="T55" s="346">
        <f t="shared" si="57"/>
        <v>0</v>
      </c>
      <c r="U55" s="346">
        <f>-U60</f>
        <v>0</v>
      </c>
      <c r="AA55" s="346">
        <f t="shared" ref="AA55:AI55" si="58">-AA60</f>
        <v>0</v>
      </c>
      <c r="AB55" s="346">
        <f t="shared" si="58"/>
        <v>0</v>
      </c>
      <c r="AC55" s="346">
        <f t="shared" si="58"/>
        <v>0</v>
      </c>
      <c r="AD55" s="346">
        <f t="shared" si="58"/>
        <v>0</v>
      </c>
      <c r="AE55" s="346">
        <f t="shared" si="58"/>
        <v>0</v>
      </c>
      <c r="AF55" s="346">
        <f t="shared" si="58"/>
        <v>0</v>
      </c>
      <c r="AG55" s="346">
        <f t="shared" si="58"/>
        <v>0</v>
      </c>
      <c r="AH55" s="346">
        <f t="shared" si="58"/>
        <v>0</v>
      </c>
      <c r="AI55" s="346">
        <f t="shared" si="58"/>
        <v>0</v>
      </c>
      <c r="AJ55" s="346">
        <f t="shared" ref="AJ55:BB55" si="59">-AJ60</f>
        <v>0</v>
      </c>
      <c r="AK55" s="346">
        <f t="shared" si="59"/>
        <v>0</v>
      </c>
      <c r="AL55" s="346">
        <f t="shared" si="59"/>
        <v>0</v>
      </c>
      <c r="AM55" s="346">
        <f t="shared" si="59"/>
        <v>0</v>
      </c>
      <c r="AN55" s="346">
        <f t="shared" si="59"/>
        <v>0</v>
      </c>
      <c r="AO55" s="346">
        <f t="shared" si="59"/>
        <v>-0.124546</v>
      </c>
      <c r="AP55" s="346">
        <f t="shared" si="59"/>
        <v>-0.113971</v>
      </c>
      <c r="AQ55" s="346">
        <f t="shared" si="59"/>
        <v>-5.5753999999999998E-2</v>
      </c>
      <c r="AR55" s="346">
        <f t="shared" si="59"/>
        <v>-0.1</v>
      </c>
      <c r="AS55" s="346">
        <f t="shared" si="59"/>
        <v>0</v>
      </c>
      <c r="AT55" s="346">
        <f t="shared" si="59"/>
        <v>0</v>
      </c>
      <c r="AU55" s="346">
        <f t="shared" si="59"/>
        <v>-0.2</v>
      </c>
      <c r="AV55" s="346">
        <f t="shared" si="59"/>
        <v>-0.41554800000000003</v>
      </c>
      <c r="AW55" s="346">
        <f t="shared" si="59"/>
        <v>-0.58912600000000004</v>
      </c>
      <c r="AX55" s="346">
        <f t="shared" si="59"/>
        <v>-0.32000099999999998</v>
      </c>
      <c r="AY55" s="346">
        <f t="shared" si="59"/>
        <v>-0.56722399999999995</v>
      </c>
      <c r="AZ55" s="346">
        <f t="shared" si="59"/>
        <v>-0.54644300000000001</v>
      </c>
      <c r="BA55" s="346">
        <f t="shared" si="59"/>
        <v>-0.55999999999999994</v>
      </c>
      <c r="BB55" s="346">
        <f t="shared" si="59"/>
        <v>-0.83089999999999997</v>
      </c>
      <c r="BC55" s="346">
        <f t="shared" ref="BC55:BJ55" si="60">-BC60</f>
        <v>0</v>
      </c>
      <c r="BD55" s="346">
        <f>-BD60</f>
        <v>0</v>
      </c>
      <c r="BE55" s="346">
        <f t="shared" si="60"/>
        <v>0</v>
      </c>
      <c r="BF55" s="346">
        <f t="shared" si="60"/>
        <v>0</v>
      </c>
      <c r="BG55" s="346">
        <f t="shared" si="60"/>
        <v>0</v>
      </c>
      <c r="BH55" s="346">
        <f t="shared" si="60"/>
        <v>0</v>
      </c>
      <c r="BI55" s="346">
        <f t="shared" si="60"/>
        <v>0</v>
      </c>
      <c r="BJ55" s="346">
        <f t="shared" si="60"/>
        <v>0</v>
      </c>
      <c r="BK55" s="346">
        <f t="shared" ref="BK55:BR55" si="61">-BK60</f>
        <v>0</v>
      </c>
      <c r="BL55" s="346">
        <f t="shared" si="61"/>
        <v>0</v>
      </c>
      <c r="BM55" s="346">
        <f t="shared" si="61"/>
        <v>0</v>
      </c>
      <c r="BN55" s="346">
        <f t="shared" si="61"/>
        <v>0</v>
      </c>
      <c r="BO55" s="346">
        <f t="shared" si="61"/>
        <v>0</v>
      </c>
      <c r="BP55" s="346">
        <f t="shared" si="61"/>
        <v>0</v>
      </c>
      <c r="BQ55" s="346">
        <f t="shared" si="61"/>
        <v>0</v>
      </c>
      <c r="BR55" s="346">
        <f t="shared" si="61"/>
        <v>0</v>
      </c>
    </row>
    <row r="56" spans="1:91">
      <c r="B56" s="97" t="s">
        <v>146</v>
      </c>
      <c r="G56" s="156">
        <v>74.5</v>
      </c>
      <c r="H56" s="157">
        <f t="shared" ref="H56:M56" si="62">SUM(H53:H55)</f>
        <v>77.3</v>
      </c>
      <c r="I56" s="157">
        <f t="shared" si="62"/>
        <v>78.7</v>
      </c>
      <c r="J56" s="157">
        <f t="shared" si="62"/>
        <v>79.599999999999994</v>
      </c>
      <c r="K56" s="157">
        <f t="shared" si="62"/>
        <v>80.099999999999994</v>
      </c>
      <c r="L56" s="157">
        <f t="shared" si="62"/>
        <v>80.199999999999989</v>
      </c>
      <c r="M56" s="157">
        <f t="shared" si="62"/>
        <v>79.399999999999991</v>
      </c>
      <c r="N56" s="157">
        <v>77.400000000000006</v>
      </c>
      <c r="O56" s="157">
        <f t="shared" ref="O56:T56" si="63">SUM(O53:O55)</f>
        <v>165.1</v>
      </c>
      <c r="P56" s="157">
        <f t="shared" si="63"/>
        <v>165.4</v>
      </c>
      <c r="Q56" s="157">
        <f t="shared" si="63"/>
        <v>167.1</v>
      </c>
      <c r="R56" s="157">
        <f t="shared" si="63"/>
        <v>168.35</v>
      </c>
      <c r="S56" s="157">
        <f t="shared" si="63"/>
        <v>169.6</v>
      </c>
      <c r="T56" s="157">
        <f t="shared" si="63"/>
        <v>170.85</v>
      </c>
      <c r="U56" s="157">
        <f>SUM(U53:U55)</f>
        <v>172.1</v>
      </c>
      <c r="W56" s="156">
        <v>73.7</v>
      </c>
      <c r="X56" s="156">
        <v>73.900000000000006</v>
      </c>
      <c r="Y56" s="156">
        <v>74.2</v>
      </c>
      <c r="Z56" s="156">
        <v>74.5</v>
      </c>
      <c r="AA56" s="156">
        <v>74.7</v>
      </c>
      <c r="AB56" s="156">
        <v>75.400000000000006</v>
      </c>
      <c r="AC56" s="156">
        <v>76.900000000000006</v>
      </c>
      <c r="AD56" s="156">
        <v>77.3</v>
      </c>
      <c r="AE56" s="156">
        <v>77.900000000000006</v>
      </c>
      <c r="AF56" s="156">
        <v>78.2</v>
      </c>
      <c r="AG56" s="156">
        <v>78.5</v>
      </c>
      <c r="AH56" s="156">
        <v>78.7</v>
      </c>
      <c r="AI56" s="156">
        <v>78.900000000000006</v>
      </c>
      <c r="AJ56" s="156">
        <v>79.2</v>
      </c>
      <c r="AK56" s="156">
        <v>79.599999999999994</v>
      </c>
      <c r="AL56" s="156">
        <v>79.599999999999994</v>
      </c>
      <c r="AM56" s="156">
        <v>79.7</v>
      </c>
      <c r="AN56" s="156">
        <v>80.2</v>
      </c>
      <c r="AO56" s="156">
        <v>80.099999999999994</v>
      </c>
      <c r="AP56" s="156">
        <v>80.099999999999994</v>
      </c>
      <c r="AQ56" s="156">
        <v>80.099999999999994</v>
      </c>
      <c r="AR56" s="156">
        <v>80</v>
      </c>
      <c r="AS56" s="156">
        <v>80.2</v>
      </c>
      <c r="AT56" s="156">
        <v>80.2</v>
      </c>
      <c r="AU56" s="156">
        <v>80.3</v>
      </c>
      <c r="AV56" s="156">
        <v>80</v>
      </c>
      <c r="AW56" s="156">
        <v>79.599999999999994</v>
      </c>
      <c r="AX56" s="156">
        <v>79.400000000000006</v>
      </c>
      <c r="AY56" s="156">
        <v>79</v>
      </c>
      <c r="AZ56" s="156">
        <v>78.599999999999994</v>
      </c>
      <c r="BA56" s="156">
        <v>78.2</v>
      </c>
      <c r="BB56" s="156">
        <v>77.400000000000006</v>
      </c>
      <c r="BC56" s="156">
        <v>77.5</v>
      </c>
      <c r="BD56" s="156">
        <v>77.5</v>
      </c>
      <c r="BE56" s="156">
        <v>77.599999999999994</v>
      </c>
      <c r="BF56" s="156">
        <v>165.1</v>
      </c>
      <c r="BG56" s="156">
        <v>165.2</v>
      </c>
      <c r="BH56" s="156">
        <v>165.2</v>
      </c>
      <c r="BI56" s="156">
        <v>165.3</v>
      </c>
      <c r="BJ56" s="156">
        <v>165.4</v>
      </c>
      <c r="BK56" s="156">
        <v>165.9</v>
      </c>
      <c r="BL56" s="156">
        <v>166.3</v>
      </c>
      <c r="BM56" s="156">
        <v>166.4</v>
      </c>
      <c r="BN56" s="156">
        <v>167.1</v>
      </c>
      <c r="BO56" s="157">
        <f t="shared" ref="BO56:BR56" si="64">SUM(BO53:BO55)</f>
        <v>167.41249999999999</v>
      </c>
      <c r="BP56" s="157">
        <f t="shared" si="64"/>
        <v>167.72499999999999</v>
      </c>
      <c r="BQ56" s="157">
        <f t="shared" si="64"/>
        <v>168.03749999999999</v>
      </c>
      <c r="BR56" s="157">
        <f t="shared" si="64"/>
        <v>168.35</v>
      </c>
    </row>
    <row r="57" spans="1:91">
      <c r="G57" s="95"/>
      <c r="L57" s="158"/>
      <c r="AF57" s="159"/>
      <c r="AJ57" s="159"/>
      <c r="AR57" s="135"/>
      <c r="AT57" s="135"/>
      <c r="BA57" s="15"/>
      <c r="BB57" s="15"/>
      <c r="BE57" s="57"/>
      <c r="BI57" s="42"/>
      <c r="BJ57" s="42"/>
      <c r="BM57" s="42"/>
      <c r="BN57" s="42"/>
      <c r="BO57" s="42"/>
      <c r="BP57" s="42"/>
      <c r="BQ57" s="42"/>
      <c r="BR57" s="42"/>
    </row>
    <row r="58" spans="1:91">
      <c r="B58" s="7" t="s">
        <v>247</v>
      </c>
      <c r="G58" s="153"/>
      <c r="H58" s="153"/>
      <c r="I58" s="153"/>
      <c r="J58" s="153"/>
      <c r="K58" s="153"/>
      <c r="O58" s="160">
        <f>SUM(BC58:BF58)</f>
        <v>0</v>
      </c>
      <c r="P58" s="160">
        <f>SUM(BG58:BJ58)</f>
        <v>0</v>
      </c>
      <c r="Q58" s="16">
        <f>-CF!Q46</f>
        <v>0</v>
      </c>
      <c r="R58" s="16">
        <f>-CF!R46</f>
        <v>0</v>
      </c>
      <c r="S58" s="16">
        <f>-CF!S46</f>
        <v>0</v>
      </c>
      <c r="T58" s="16">
        <f>-CF!T46</f>
        <v>0</v>
      </c>
      <c r="U58" s="16">
        <f>-CF!U46</f>
        <v>0</v>
      </c>
      <c r="V58" s="57"/>
      <c r="W58" s="57"/>
      <c r="X58" s="57"/>
      <c r="Y58" s="57"/>
      <c r="Z58" s="57"/>
      <c r="AA58" s="57">
        <v>0</v>
      </c>
      <c r="AB58" s="57">
        <v>0</v>
      </c>
      <c r="AC58" s="57">
        <v>0</v>
      </c>
      <c r="AD58" s="57">
        <v>0</v>
      </c>
      <c r="AE58" s="57">
        <v>0</v>
      </c>
      <c r="AF58" s="57">
        <v>0</v>
      </c>
      <c r="AG58" s="57">
        <v>0</v>
      </c>
      <c r="AH58" s="57">
        <v>0</v>
      </c>
      <c r="AI58" s="57">
        <v>0</v>
      </c>
      <c r="AJ58" s="57">
        <v>0</v>
      </c>
      <c r="AK58" s="57">
        <v>0</v>
      </c>
      <c r="AL58" s="57">
        <v>0</v>
      </c>
      <c r="AM58" s="57">
        <v>0</v>
      </c>
      <c r="AN58" s="57">
        <v>0</v>
      </c>
      <c r="AO58" s="57">
        <f>0.124546*17.93</f>
        <v>2.2331097799999999</v>
      </c>
      <c r="AP58" s="57">
        <f>0.113971*17.91</f>
        <v>2.0412206099999999</v>
      </c>
      <c r="AQ58" s="57">
        <f>0.055754*21.67</f>
        <v>1.20818918</v>
      </c>
      <c r="AR58" s="57">
        <f>0.1*19.32</f>
        <v>1.9320000000000002</v>
      </c>
      <c r="AS58" s="57">
        <v>0</v>
      </c>
      <c r="AT58" s="57">
        <v>0</v>
      </c>
      <c r="AU58" s="57">
        <f>0.2*22.84</f>
        <v>4.5680000000000005</v>
      </c>
      <c r="AV58" s="57">
        <f>0.326311*24.25+0.089237*24.92</f>
        <v>10.136827790000002</v>
      </c>
      <c r="AW58" s="57">
        <f>0.056413*23.88+0.532713*23.87</f>
        <v>14.063001750000002</v>
      </c>
      <c r="AX58" s="57">
        <f>0.223616*22.65+0.096385*24.93</f>
        <v>7.4677804500000002</v>
      </c>
      <c r="AY58" s="57">
        <f>25.73*0.442224+26.32*0.125</f>
        <v>14.668423520000001</v>
      </c>
      <c r="AZ58" s="57">
        <f>27.56*0.441143+27.12*0.1053</f>
        <v>15.013637080000001</v>
      </c>
      <c r="BA58" s="86">
        <f>(21.4*26.17+436.7*26.73+101.9*27.34)/1000</f>
        <v>15.018975000000001</v>
      </c>
      <c r="BB58" s="86">
        <v>20.100000000000001</v>
      </c>
      <c r="BC58" s="86">
        <v>0</v>
      </c>
      <c r="BD58" s="86">
        <v>0</v>
      </c>
      <c r="BE58" s="86">
        <v>0</v>
      </c>
      <c r="BF58" s="86">
        <v>0</v>
      </c>
      <c r="BG58" s="86">
        <v>0</v>
      </c>
      <c r="BH58" s="86">
        <v>0</v>
      </c>
      <c r="BI58" s="86">
        <v>0</v>
      </c>
      <c r="BJ58" s="86">
        <v>0</v>
      </c>
      <c r="BK58" s="86">
        <v>0</v>
      </c>
      <c r="BL58" s="86">
        <v>0</v>
      </c>
      <c r="BM58" s="86">
        <f>+$Q58/4</f>
        <v>0</v>
      </c>
      <c r="BN58" s="86">
        <f>+$Q58/4</f>
        <v>0</v>
      </c>
      <c r="BO58" s="86">
        <f>+$R58/4</f>
        <v>0</v>
      </c>
      <c r="BP58" s="86">
        <f>+$R58/4</f>
        <v>0</v>
      </c>
      <c r="BQ58" s="86">
        <f>+$R58/4</f>
        <v>0</v>
      </c>
      <c r="BR58" s="86">
        <f>+$R58/4</f>
        <v>0</v>
      </c>
    </row>
    <row r="59" spans="1:91">
      <c r="B59" s="7" t="s">
        <v>222</v>
      </c>
      <c r="G59" s="95"/>
      <c r="L59" s="158"/>
      <c r="O59" s="161" t="str">
        <f>+IFERROR(O58/O60,"NA")</f>
        <v>NA</v>
      </c>
      <c r="P59" s="161" t="str">
        <f>+IFERROR(P58/P60,"NA")</f>
        <v>NA</v>
      </c>
      <c r="Q59" s="162">
        <v>30</v>
      </c>
      <c r="R59" s="163">
        <f>+Q59*(1+R61)</f>
        <v>32.700000000000003</v>
      </c>
      <c r="S59" s="163">
        <f>+R59*(1+S61)</f>
        <v>35.643000000000008</v>
      </c>
      <c r="T59" s="163">
        <f>+S59*(1+T61)</f>
        <v>38.850870000000015</v>
      </c>
      <c r="U59" s="163">
        <f>+T59*(1+U61)</f>
        <v>42.347448300000018</v>
      </c>
      <c r="AA59" s="161" t="str">
        <f t="shared" ref="AA59:BB59" si="65">+IFERROR(AA58/AA60,"NA")</f>
        <v>NA</v>
      </c>
      <c r="AB59" s="161" t="str">
        <f t="shared" si="65"/>
        <v>NA</v>
      </c>
      <c r="AC59" s="161" t="str">
        <f t="shared" ref="AC59:AJ59" si="66">+IFERROR(AC58/AC60,"NA")</f>
        <v>NA</v>
      </c>
      <c r="AD59" s="161" t="str">
        <f t="shared" si="66"/>
        <v>NA</v>
      </c>
      <c r="AE59" s="161" t="str">
        <f t="shared" si="66"/>
        <v>NA</v>
      </c>
      <c r="AF59" s="161" t="str">
        <f t="shared" si="66"/>
        <v>NA</v>
      </c>
      <c r="AG59" s="161" t="str">
        <f t="shared" si="66"/>
        <v>NA</v>
      </c>
      <c r="AH59" s="161" t="str">
        <f t="shared" si="66"/>
        <v>NA</v>
      </c>
      <c r="AI59" s="161" t="str">
        <f t="shared" si="66"/>
        <v>NA</v>
      </c>
      <c r="AJ59" s="161" t="str">
        <f t="shared" si="66"/>
        <v>NA</v>
      </c>
      <c r="AK59" s="161" t="str">
        <f t="shared" si="65"/>
        <v>NA</v>
      </c>
      <c r="AL59" s="161" t="str">
        <f>+IFERROR(AL58/AL60,"NA")</f>
        <v>NA</v>
      </c>
      <c r="AM59" s="161" t="str">
        <f>+IFERROR(AM58/AM60,"NA")</f>
        <v>NA</v>
      </c>
      <c r="AN59" s="161" t="str">
        <f t="shared" si="65"/>
        <v>NA</v>
      </c>
      <c r="AO59" s="161">
        <f t="shared" si="65"/>
        <v>17.93</v>
      </c>
      <c r="AP59" s="161">
        <f t="shared" si="65"/>
        <v>17.91</v>
      </c>
      <c r="AQ59" s="161">
        <f t="shared" si="65"/>
        <v>21.67</v>
      </c>
      <c r="AR59" s="161">
        <f t="shared" si="65"/>
        <v>19.32</v>
      </c>
      <c r="AS59" s="161" t="str">
        <f>+IFERROR(AS58/AS60,"NA")</f>
        <v>NA</v>
      </c>
      <c r="AT59" s="161" t="str">
        <f t="shared" si="65"/>
        <v>NA</v>
      </c>
      <c r="AU59" s="161">
        <f t="shared" si="65"/>
        <v>22.84</v>
      </c>
      <c r="AV59" s="161">
        <f t="shared" si="65"/>
        <v>24.393879383368471</v>
      </c>
      <c r="AW59" s="161">
        <f t="shared" si="65"/>
        <v>23.870957571045924</v>
      </c>
      <c r="AX59" s="161">
        <f t="shared" si="65"/>
        <v>23.336740978934444</v>
      </c>
      <c r="AY59" s="161">
        <f t="shared" si="65"/>
        <v>25.860019181134795</v>
      </c>
      <c r="AZ59" s="161">
        <f t="shared" si="65"/>
        <v>27.475211650620469</v>
      </c>
      <c r="BA59" s="161">
        <f t="shared" si="65"/>
        <v>26.819598214285719</v>
      </c>
      <c r="BB59" s="161">
        <f t="shared" si="65"/>
        <v>24.190636659044412</v>
      </c>
      <c r="BC59" s="161" t="str">
        <f t="shared" ref="BC59:BJ59" si="67">+IFERROR(BC58/BC60,"NA")</f>
        <v>NA</v>
      </c>
      <c r="BD59" s="161" t="str">
        <f t="shared" si="67"/>
        <v>NA</v>
      </c>
      <c r="BE59" s="161" t="str">
        <f t="shared" si="67"/>
        <v>NA</v>
      </c>
      <c r="BF59" s="161" t="str">
        <f t="shared" si="67"/>
        <v>NA</v>
      </c>
      <c r="BG59" s="161" t="str">
        <f t="shared" si="67"/>
        <v>NA</v>
      </c>
      <c r="BH59" s="161" t="str">
        <f t="shared" si="67"/>
        <v>NA</v>
      </c>
      <c r="BI59" s="161" t="str">
        <f t="shared" si="67"/>
        <v>NA</v>
      </c>
      <c r="BJ59" s="161" t="str">
        <f t="shared" si="67"/>
        <v>NA</v>
      </c>
      <c r="BK59" s="164">
        <f t="shared" ref="BK59:BR59" si="68">+$Q59</f>
        <v>30</v>
      </c>
      <c r="BL59" s="164">
        <f t="shared" si="68"/>
        <v>30</v>
      </c>
      <c r="BM59" s="164">
        <f t="shared" si="68"/>
        <v>30</v>
      </c>
      <c r="BN59" s="164">
        <f t="shared" si="68"/>
        <v>30</v>
      </c>
      <c r="BO59" s="164">
        <f t="shared" si="68"/>
        <v>30</v>
      </c>
      <c r="BP59" s="164">
        <f t="shared" si="68"/>
        <v>30</v>
      </c>
      <c r="BQ59" s="164">
        <f t="shared" si="68"/>
        <v>30</v>
      </c>
      <c r="BR59" s="164">
        <f t="shared" si="68"/>
        <v>30</v>
      </c>
    </row>
    <row r="60" spans="1:91">
      <c r="B60" s="165" t="s">
        <v>147</v>
      </c>
      <c r="G60" s="95"/>
      <c r="L60" s="158"/>
      <c r="O60" s="45">
        <f>SUM(BC60:BF60)</f>
        <v>0</v>
      </c>
      <c r="P60" s="45">
        <f>SUM(BG60:BJ60)</f>
        <v>0</v>
      </c>
      <c r="Q60" s="45">
        <f>Q58/Q59</f>
        <v>0</v>
      </c>
      <c r="R60" s="45">
        <f>R58/R59</f>
        <v>0</v>
      </c>
      <c r="S60" s="45">
        <f>S58/S59</f>
        <v>0</v>
      </c>
      <c r="T60" s="45">
        <f>T58/T59</f>
        <v>0</v>
      </c>
      <c r="U60" s="45">
        <f>U58/U59</f>
        <v>0</v>
      </c>
      <c r="AA60" s="41">
        <v>0</v>
      </c>
      <c r="AB60" s="41">
        <v>0</v>
      </c>
      <c r="AC60" s="41">
        <v>0</v>
      </c>
      <c r="AD60" s="41">
        <v>0</v>
      </c>
      <c r="AE60" s="41">
        <v>0</v>
      </c>
      <c r="AF60" s="41">
        <v>0</v>
      </c>
      <c r="AG60" s="41">
        <v>0</v>
      </c>
      <c r="AH60" s="41">
        <v>0</v>
      </c>
      <c r="AI60" s="41">
        <v>0</v>
      </c>
      <c r="AJ60" s="41">
        <v>0</v>
      </c>
      <c r="AK60" s="41">
        <v>0</v>
      </c>
      <c r="AL60" s="41">
        <v>0</v>
      </c>
      <c r="AM60" s="41">
        <v>0</v>
      </c>
      <c r="AN60" s="41">
        <v>0</v>
      </c>
      <c r="AO60" s="41">
        <v>0.124546</v>
      </c>
      <c r="AP60" s="41">
        <v>0.113971</v>
      </c>
      <c r="AQ60" s="41">
        <v>5.5753999999999998E-2</v>
      </c>
      <c r="AR60" s="41">
        <v>0.1</v>
      </c>
      <c r="AS60" s="41">
        <v>0</v>
      </c>
      <c r="AT60" s="41">
        <v>0</v>
      </c>
      <c r="AU60" s="41">
        <f>0.2</f>
        <v>0.2</v>
      </c>
      <c r="AV60" s="41">
        <f>0.326311+0.089237</f>
        <v>0.41554800000000003</v>
      </c>
      <c r="AW60" s="41">
        <f>0.056413+0.532713</f>
        <v>0.58912600000000004</v>
      </c>
      <c r="AX60" s="41">
        <f>0.223616+0.096385</f>
        <v>0.32000099999999998</v>
      </c>
      <c r="AY60" s="41">
        <f>0.442224+0.125</f>
        <v>0.56722399999999995</v>
      </c>
      <c r="AZ60" s="41">
        <f>0.441143+0.1053</f>
        <v>0.54644300000000001</v>
      </c>
      <c r="BA60" s="41">
        <f>0.0214+0.4367+0.1019</f>
        <v>0.55999999999999994</v>
      </c>
      <c r="BB60" s="41">
        <f>0.06+0.4147+0.3562</f>
        <v>0.83089999999999997</v>
      </c>
      <c r="BC60" s="41">
        <v>0</v>
      </c>
      <c r="BD60" s="41">
        <v>0</v>
      </c>
      <c r="BE60" s="41">
        <v>0</v>
      </c>
      <c r="BF60" s="41">
        <v>0</v>
      </c>
      <c r="BG60" s="41">
        <v>0</v>
      </c>
      <c r="BH60" s="41">
        <v>0</v>
      </c>
      <c r="BI60" s="41">
        <v>0</v>
      </c>
      <c r="BJ60" s="41">
        <v>0</v>
      </c>
      <c r="BK60" s="42">
        <f t="shared" ref="BK60:BR60" si="69">BK58/BK59</f>
        <v>0</v>
      </c>
      <c r="BL60" s="42">
        <f t="shared" si="69"/>
        <v>0</v>
      </c>
      <c r="BM60" s="42">
        <f t="shared" si="69"/>
        <v>0</v>
      </c>
      <c r="BN60" s="42">
        <f t="shared" si="69"/>
        <v>0</v>
      </c>
      <c r="BO60" s="42">
        <f t="shared" si="69"/>
        <v>0</v>
      </c>
      <c r="BP60" s="42">
        <f t="shared" si="69"/>
        <v>0</v>
      </c>
      <c r="BQ60" s="42">
        <f t="shared" si="69"/>
        <v>0</v>
      </c>
      <c r="BR60" s="42">
        <f t="shared" si="69"/>
        <v>0</v>
      </c>
    </row>
    <row r="61" spans="1:91">
      <c r="B61" s="166" t="s">
        <v>221</v>
      </c>
      <c r="C61" s="166"/>
      <c r="D61" s="166"/>
      <c r="E61" s="166"/>
      <c r="F61" s="166"/>
      <c r="G61" s="167"/>
      <c r="H61" s="166"/>
      <c r="I61" s="166"/>
      <c r="J61" s="166"/>
      <c r="K61" s="166"/>
      <c r="L61" s="168"/>
      <c r="M61" s="166"/>
      <c r="N61" s="166"/>
      <c r="O61" s="169"/>
      <c r="P61" s="169"/>
      <c r="Q61" s="170"/>
      <c r="R61" s="170">
        <v>0.09</v>
      </c>
      <c r="S61" s="171">
        <f>+R61</f>
        <v>0.09</v>
      </c>
      <c r="T61" s="171">
        <f>+S61</f>
        <v>0.09</v>
      </c>
      <c r="U61" s="171">
        <f>+T61</f>
        <v>0.09</v>
      </c>
      <c r="AF61" s="159"/>
      <c r="AJ61" s="159"/>
      <c r="AR61" s="135"/>
      <c r="AT61" s="135"/>
      <c r="BE61" s="163"/>
      <c r="BF61" s="162"/>
      <c r="BI61" s="163"/>
      <c r="BJ61" s="162"/>
      <c r="BM61" s="163"/>
      <c r="BN61" s="162"/>
      <c r="BO61" s="162"/>
      <c r="BP61" s="162"/>
      <c r="BQ61" s="162"/>
      <c r="BR61" s="162"/>
    </row>
    <row r="62" spans="1:91">
      <c r="B62" s="165"/>
      <c r="G62" s="95"/>
      <c r="L62" s="158"/>
      <c r="O62" s="45"/>
      <c r="P62" s="45"/>
      <c r="Q62" s="45"/>
      <c r="R62" s="45"/>
      <c r="S62" s="45"/>
      <c r="T62" s="45"/>
      <c r="U62" s="45"/>
      <c r="AF62" s="159"/>
      <c r="AJ62" s="159"/>
      <c r="AR62" s="135"/>
      <c r="AT62" s="135"/>
      <c r="BE62" s="41"/>
      <c r="BF62" s="45"/>
      <c r="BG62" s="45"/>
      <c r="BH62" s="42"/>
      <c r="BI62" s="42"/>
      <c r="BJ62" s="42"/>
      <c r="BK62" s="45"/>
      <c r="BL62" s="45"/>
      <c r="BM62" s="41"/>
      <c r="BN62" s="42"/>
      <c r="BO62" s="42"/>
      <c r="BP62" s="42"/>
      <c r="BQ62" s="42"/>
      <c r="BR62" s="42"/>
    </row>
    <row r="63" spans="1:91">
      <c r="B63" s="165" t="s">
        <v>219</v>
      </c>
      <c r="G63" s="344">
        <f t="shared" ref="G63:P63" si="70">+G29</f>
        <v>74</v>
      </c>
      <c r="H63" s="344">
        <f t="shared" si="70"/>
        <v>75.8</v>
      </c>
      <c r="I63" s="344">
        <f t="shared" si="70"/>
        <v>78.099999999999994</v>
      </c>
      <c r="J63" s="344">
        <f t="shared" si="70"/>
        <v>79.2</v>
      </c>
      <c r="K63" s="344">
        <f t="shared" si="70"/>
        <v>80</v>
      </c>
      <c r="L63" s="344">
        <f t="shared" si="70"/>
        <v>80.099999999999994</v>
      </c>
      <c r="M63" s="344">
        <f t="shared" si="70"/>
        <v>79.900000000000006</v>
      </c>
      <c r="N63" s="344">
        <f t="shared" si="70"/>
        <v>78.599999999999994</v>
      </c>
      <c r="O63" s="344">
        <f t="shared" si="70"/>
        <v>103.4</v>
      </c>
      <c r="P63" s="344">
        <f t="shared" si="70"/>
        <v>165.2</v>
      </c>
      <c r="Q63" s="45">
        <f>AVERAGE(BK63:BN63)</f>
        <v>166.27500000000001</v>
      </c>
      <c r="R63" s="45">
        <f>AVERAGE(BO63:BR63)</f>
        <v>167.72499999999999</v>
      </c>
      <c r="S63" s="45">
        <f>AVERAGE(S53,S56)</f>
        <v>168.97499999999999</v>
      </c>
      <c r="T63" s="45">
        <f>AVERAGE(T53,T56)</f>
        <v>170.22499999999999</v>
      </c>
      <c r="U63" s="45">
        <f>AVERAGE(U53,U56)</f>
        <v>171.47499999999999</v>
      </c>
      <c r="AA63" s="136">
        <f t="shared" ref="AA63:BD63" si="71">AA29</f>
        <v>74.599999999999994</v>
      </c>
      <c r="AB63" s="136">
        <f t="shared" si="71"/>
        <v>75</v>
      </c>
      <c r="AC63" s="136">
        <f t="shared" si="71"/>
        <v>76.3</v>
      </c>
      <c r="AD63" s="136">
        <f t="shared" si="71"/>
        <v>77.099999999999994</v>
      </c>
      <c r="AE63" s="136">
        <f t="shared" si="71"/>
        <v>77.5</v>
      </c>
      <c r="AF63" s="136">
        <f t="shared" si="71"/>
        <v>78.099999999999994</v>
      </c>
      <c r="AG63" s="136">
        <f t="shared" si="71"/>
        <v>78.400000000000006</v>
      </c>
      <c r="AH63" s="136">
        <f t="shared" si="71"/>
        <v>78.599999999999994</v>
      </c>
      <c r="AI63" s="136">
        <f t="shared" si="71"/>
        <v>78.8</v>
      </c>
      <c r="AJ63" s="136">
        <f t="shared" si="71"/>
        <v>79</v>
      </c>
      <c r="AK63" s="136">
        <f t="shared" si="71"/>
        <v>79.400000000000006</v>
      </c>
      <c r="AL63" s="136">
        <f t="shared" si="71"/>
        <v>79.599999999999994</v>
      </c>
      <c r="AM63" s="136">
        <f t="shared" si="71"/>
        <v>79.599999999999994</v>
      </c>
      <c r="AN63" s="136">
        <f t="shared" si="71"/>
        <v>80</v>
      </c>
      <c r="AO63" s="136">
        <f t="shared" si="71"/>
        <v>80.2</v>
      </c>
      <c r="AP63" s="136">
        <f t="shared" si="71"/>
        <v>80.099999999999994</v>
      </c>
      <c r="AQ63" s="136">
        <f t="shared" si="71"/>
        <v>80.099999999999994</v>
      </c>
      <c r="AR63" s="136">
        <f t="shared" si="71"/>
        <v>80.099999999999994</v>
      </c>
      <c r="AS63" s="136">
        <f t="shared" si="71"/>
        <v>80.099999999999994</v>
      </c>
      <c r="AT63" s="136">
        <f t="shared" si="71"/>
        <v>80.2</v>
      </c>
      <c r="AU63" s="362">
        <f t="shared" si="71"/>
        <v>80.2</v>
      </c>
      <c r="AV63" s="362">
        <f t="shared" si="71"/>
        <v>80.2</v>
      </c>
      <c r="AW63" s="362">
        <f t="shared" si="71"/>
        <v>79.8</v>
      </c>
      <c r="AX63" s="362">
        <f t="shared" si="71"/>
        <v>79.5</v>
      </c>
      <c r="AY63" s="362">
        <f t="shared" si="71"/>
        <v>79.2</v>
      </c>
      <c r="AZ63" s="362">
        <f t="shared" si="71"/>
        <v>78.8</v>
      </c>
      <c r="BA63" s="362">
        <f t="shared" si="71"/>
        <v>78.400000000000006</v>
      </c>
      <c r="BB63" s="362">
        <f t="shared" si="71"/>
        <v>77.900000000000006</v>
      </c>
      <c r="BC63" s="362">
        <f t="shared" si="71"/>
        <v>77.400000000000006</v>
      </c>
      <c r="BD63" s="362">
        <f t="shared" si="71"/>
        <v>77.5</v>
      </c>
      <c r="BE63" s="344">
        <f t="shared" ref="BE63:BL64" si="72">+BE29</f>
        <v>77.599999999999994</v>
      </c>
      <c r="BF63" s="344">
        <f t="shared" si="72"/>
        <v>161.6</v>
      </c>
      <c r="BG63" s="344">
        <f t="shared" si="72"/>
        <v>165.1</v>
      </c>
      <c r="BH63" s="344">
        <f t="shared" si="72"/>
        <v>165.2</v>
      </c>
      <c r="BI63" s="344">
        <f t="shared" si="72"/>
        <v>165.2</v>
      </c>
      <c r="BJ63" s="344">
        <f t="shared" si="72"/>
        <v>165.3</v>
      </c>
      <c r="BK63" s="344">
        <f t="shared" si="72"/>
        <v>165.6</v>
      </c>
      <c r="BL63" s="344">
        <f t="shared" si="72"/>
        <v>166.1</v>
      </c>
      <c r="BM63" s="344">
        <f t="shared" ref="BM63:BN63" si="73">+BM29</f>
        <v>166.3</v>
      </c>
      <c r="BN63" s="344">
        <f t="shared" si="73"/>
        <v>167.1</v>
      </c>
      <c r="BO63" s="45">
        <f t="shared" ref="BO63:BR63" si="74">AVERAGE(BO53,BO56)</f>
        <v>167.25624999999999</v>
      </c>
      <c r="BP63" s="45">
        <f t="shared" si="74"/>
        <v>167.56874999999999</v>
      </c>
      <c r="BQ63" s="45">
        <f t="shared" si="74"/>
        <v>167.88124999999999</v>
      </c>
      <c r="BR63" s="45">
        <f t="shared" si="74"/>
        <v>168.19374999999999</v>
      </c>
    </row>
    <row r="64" spans="1:91">
      <c r="B64" s="165" t="s">
        <v>220</v>
      </c>
      <c r="G64" s="362">
        <f t="shared" ref="G64:P64" si="75">+G30</f>
        <v>74.3</v>
      </c>
      <c r="H64" s="362">
        <f t="shared" si="75"/>
        <v>76.099999999999994</v>
      </c>
      <c r="I64" s="362">
        <f t="shared" si="75"/>
        <v>78.3</v>
      </c>
      <c r="J64" s="362">
        <f t="shared" si="75"/>
        <v>79.900000000000006</v>
      </c>
      <c r="K64" s="362">
        <f t="shared" si="75"/>
        <v>80.8</v>
      </c>
      <c r="L64" s="362">
        <f t="shared" si="75"/>
        <v>81</v>
      </c>
      <c r="M64" s="362">
        <f t="shared" si="75"/>
        <v>80.900000000000006</v>
      </c>
      <c r="N64" s="362">
        <f t="shared" si="75"/>
        <v>79.7</v>
      </c>
      <c r="O64" s="362">
        <f t="shared" si="75"/>
        <v>104.3</v>
      </c>
      <c r="P64" s="362">
        <f t="shared" si="75"/>
        <v>165.2</v>
      </c>
      <c r="Q64" s="133">
        <f>BK64/BK63*Q63</f>
        <v>168.58437500000002</v>
      </c>
      <c r="R64" s="133">
        <f>+Q64/Q63*R63</f>
        <v>170.05451388888892</v>
      </c>
      <c r="S64" s="133">
        <f>+R64/R63*S63</f>
        <v>171.32187500000003</v>
      </c>
      <c r="T64" s="133">
        <f>+S64/S63*T63</f>
        <v>172.58923611111115</v>
      </c>
      <c r="U64" s="133">
        <f>+T64/T63*U63</f>
        <v>173.85659722222223</v>
      </c>
      <c r="AA64" s="136">
        <f t="shared" ref="AA64:BD64" si="76">AA30</f>
        <v>75</v>
      </c>
      <c r="AB64" s="136">
        <f t="shared" si="76"/>
        <v>75.400000000000006</v>
      </c>
      <c r="AC64" s="136">
        <f t="shared" si="76"/>
        <v>76.7</v>
      </c>
      <c r="AD64" s="136">
        <f t="shared" si="76"/>
        <v>77.400000000000006</v>
      </c>
      <c r="AE64" s="136">
        <f t="shared" si="76"/>
        <v>77.599999999999994</v>
      </c>
      <c r="AF64" s="136">
        <f t="shared" si="76"/>
        <v>78.099999999999994</v>
      </c>
      <c r="AG64" s="136">
        <f t="shared" si="76"/>
        <v>78.599999999999994</v>
      </c>
      <c r="AH64" s="136">
        <f t="shared" si="76"/>
        <v>78.900000000000006</v>
      </c>
      <c r="AI64" s="136">
        <f t="shared" si="76"/>
        <v>79.400000000000006</v>
      </c>
      <c r="AJ64" s="136">
        <f t="shared" si="76"/>
        <v>79.8</v>
      </c>
      <c r="AK64" s="136">
        <f t="shared" si="76"/>
        <v>80.2</v>
      </c>
      <c r="AL64" s="136">
        <f t="shared" si="76"/>
        <v>80.400000000000006</v>
      </c>
      <c r="AM64" s="136">
        <f t="shared" si="76"/>
        <v>80.400000000000006</v>
      </c>
      <c r="AN64" s="136">
        <f t="shared" si="76"/>
        <v>81.099999999999994</v>
      </c>
      <c r="AO64" s="136">
        <f t="shared" si="76"/>
        <v>80.8</v>
      </c>
      <c r="AP64" s="136">
        <f t="shared" si="76"/>
        <v>80.7</v>
      </c>
      <c r="AQ64" s="136">
        <f t="shared" si="76"/>
        <v>80.900000000000006</v>
      </c>
      <c r="AR64" s="136">
        <f t="shared" si="76"/>
        <v>80.7</v>
      </c>
      <c r="AS64" s="136">
        <f t="shared" si="76"/>
        <v>81</v>
      </c>
      <c r="AT64" s="136">
        <f t="shared" si="76"/>
        <v>81</v>
      </c>
      <c r="AU64" s="362">
        <f t="shared" si="76"/>
        <v>81.2</v>
      </c>
      <c r="AV64" s="362">
        <f t="shared" si="76"/>
        <v>81.2</v>
      </c>
      <c r="AW64" s="362">
        <f t="shared" si="76"/>
        <v>80.8</v>
      </c>
      <c r="AX64" s="362">
        <f t="shared" si="76"/>
        <v>80.5</v>
      </c>
      <c r="AY64" s="362">
        <f t="shared" si="76"/>
        <v>80.5</v>
      </c>
      <c r="AZ64" s="362">
        <f t="shared" si="76"/>
        <v>80</v>
      </c>
      <c r="BA64" s="362">
        <f t="shared" si="76"/>
        <v>79.5</v>
      </c>
      <c r="BB64" s="362">
        <f t="shared" si="76"/>
        <v>78.8</v>
      </c>
      <c r="BC64" s="362">
        <f t="shared" si="76"/>
        <v>78.5</v>
      </c>
      <c r="BD64" s="362">
        <f t="shared" si="76"/>
        <v>78.7</v>
      </c>
      <c r="BE64" s="362">
        <f t="shared" si="72"/>
        <v>78.3</v>
      </c>
      <c r="BF64" s="362">
        <f t="shared" si="72"/>
        <v>161.6</v>
      </c>
      <c r="BG64" s="362">
        <f t="shared" si="72"/>
        <v>165.1</v>
      </c>
      <c r="BH64" s="362">
        <f t="shared" si="72"/>
        <v>165.2</v>
      </c>
      <c r="BI64" s="362">
        <f t="shared" si="72"/>
        <v>166.5</v>
      </c>
      <c r="BJ64" s="362">
        <f t="shared" si="72"/>
        <v>166.7</v>
      </c>
      <c r="BK64" s="362">
        <f t="shared" si="72"/>
        <v>167.9</v>
      </c>
      <c r="BL64" s="362">
        <f t="shared" si="72"/>
        <v>166.1</v>
      </c>
      <c r="BM64" s="362">
        <f t="shared" ref="BM64:BN64" si="77">+BM30</f>
        <v>168.5</v>
      </c>
      <c r="BN64" s="362">
        <f t="shared" si="77"/>
        <v>169.5</v>
      </c>
      <c r="BO64" s="133">
        <f t="shared" ref="BO64:BR64" si="78">(BN64-BN63)+BO63</f>
        <v>169.65625</v>
      </c>
      <c r="BP64" s="133">
        <f t="shared" si="78"/>
        <v>169.96875</v>
      </c>
      <c r="BQ64" s="133">
        <f t="shared" si="78"/>
        <v>170.28125</v>
      </c>
      <c r="BR64" s="133">
        <f t="shared" si="78"/>
        <v>170.59375</v>
      </c>
    </row>
    <row r="65" spans="1:85">
      <c r="B65" s="97"/>
      <c r="G65" s="95"/>
      <c r="L65" s="158"/>
      <c r="P65" s="135"/>
      <c r="AF65" s="159"/>
      <c r="AJ65" s="159"/>
      <c r="AR65" s="135"/>
      <c r="AT65" s="135"/>
      <c r="BI65" s="45"/>
      <c r="BM65" s="45"/>
    </row>
    <row r="66" spans="1:85">
      <c r="A66" s="5" t="s">
        <v>150</v>
      </c>
      <c r="B66" s="152" t="s">
        <v>200</v>
      </c>
      <c r="C66" s="152"/>
      <c r="D66" s="152"/>
      <c r="E66" s="152"/>
      <c r="F66" s="152"/>
      <c r="G66" s="152"/>
      <c r="H66" s="152"/>
      <c r="I66" s="152"/>
      <c r="J66" s="152"/>
      <c r="K66" s="152"/>
      <c r="L66" s="152"/>
      <c r="M66" s="152"/>
      <c r="N66" s="152"/>
      <c r="O66" s="152"/>
      <c r="P66" s="152"/>
      <c r="Q66" s="152"/>
      <c r="R66" s="152"/>
      <c r="S66" s="152"/>
      <c r="T66" s="152"/>
      <c r="U66" s="152"/>
      <c r="W66" s="152"/>
      <c r="X66" s="152"/>
      <c r="Y66" s="152"/>
      <c r="Z66" s="152"/>
      <c r="AA66" s="152"/>
      <c r="AB66" s="152"/>
      <c r="AC66" s="152"/>
      <c r="AD66" s="152"/>
      <c r="AE66" s="152"/>
      <c r="AF66" s="152"/>
      <c r="AG66" s="152"/>
      <c r="AH66" s="152"/>
      <c r="AI66" s="152"/>
      <c r="AJ66" s="152"/>
      <c r="AK66" s="152"/>
      <c r="AL66" s="152"/>
      <c r="AM66" s="152"/>
      <c r="AN66" s="152"/>
      <c r="AO66" s="152"/>
      <c r="AP66" s="152"/>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52"/>
      <c r="BP66" s="152"/>
      <c r="BQ66" s="152"/>
      <c r="BR66" s="152"/>
      <c r="BS66" s="121"/>
    </row>
    <row r="67" spans="1:85">
      <c r="B67" s="13" t="s">
        <v>49</v>
      </c>
      <c r="C67" s="97"/>
      <c r="G67" s="172"/>
      <c r="H67" s="172">
        <f>H3/G3-1</f>
        <v>0.38197055137844615</v>
      </c>
      <c r="I67" s="172">
        <f>I3/H3-1</f>
        <v>-0.13204873901955227</v>
      </c>
      <c r="J67" s="172">
        <f t="shared" ref="J67:U67" si="79">+J3/I3-1</f>
        <v>3.5520731309174103E-2</v>
      </c>
      <c r="K67" s="172">
        <f t="shared" si="79"/>
        <v>0.23658490447064762</v>
      </c>
      <c r="L67" s="172">
        <f t="shared" si="79"/>
        <v>0.11401764315945107</v>
      </c>
      <c r="M67" s="172">
        <f t="shared" si="79"/>
        <v>0.15118780610610161</v>
      </c>
      <c r="N67" s="172">
        <f t="shared" si="79"/>
        <v>-0.10886679920477127</v>
      </c>
      <c r="O67" s="172">
        <f t="shared" si="79"/>
        <v>0.27360342673567728</v>
      </c>
      <c r="P67" s="172">
        <f t="shared" si="79"/>
        <v>0.9445767937219729</v>
      </c>
      <c r="Q67" s="172">
        <f t="shared" si="79"/>
        <v>0.12931935286275364</v>
      </c>
      <c r="R67" s="172">
        <f t="shared" si="79"/>
        <v>0.11375345227999101</v>
      </c>
      <c r="S67" s="172">
        <f t="shared" si="79"/>
        <v>4.1792359474545293E-2</v>
      </c>
      <c r="T67" s="172">
        <f t="shared" si="79"/>
        <v>4.789199177722403E-2</v>
      </c>
      <c r="U67" s="172">
        <f t="shared" si="79"/>
        <v>4.104095451797507E-2</v>
      </c>
      <c r="V67" s="14"/>
      <c r="W67" s="172"/>
      <c r="X67" s="172"/>
      <c r="Y67" s="172"/>
      <c r="Z67" s="172"/>
      <c r="AA67" s="172">
        <f t="shared" ref="AA67:BR67" si="80">AA3/W3-1</f>
        <v>0.56203522504892378</v>
      </c>
      <c r="AB67" s="172">
        <f t="shared" si="80"/>
        <v>0.60894064613072874</v>
      </c>
      <c r="AC67" s="172">
        <f t="shared" si="80"/>
        <v>0.43562660576648593</v>
      </c>
      <c r="AD67" s="172">
        <f t="shared" si="80"/>
        <v>7.2628458498023907E-2</v>
      </c>
      <c r="AE67" s="172">
        <f t="shared" si="80"/>
        <v>3.7584565271862047E-3</v>
      </c>
      <c r="AF67" s="172">
        <f t="shared" si="80"/>
        <v>-0.10576698575764643</v>
      </c>
      <c r="AG67" s="172">
        <f t="shared" si="80"/>
        <v>-0.21057864386557967</v>
      </c>
      <c r="AH67" s="172">
        <f t="shared" si="80"/>
        <v>-0.19184707508060816</v>
      </c>
      <c r="AI67" s="172">
        <f t="shared" si="80"/>
        <v>-9.6355466799800338E-2</v>
      </c>
      <c r="AJ67" s="172">
        <f t="shared" si="80"/>
        <v>5.9268929503916379E-2</v>
      </c>
      <c r="AK67" s="172">
        <f t="shared" si="80"/>
        <v>9.0176322418136001E-2</v>
      </c>
      <c r="AL67" s="172">
        <f t="shared" si="80"/>
        <v>9.8318609290396042E-2</v>
      </c>
      <c r="AM67" s="172">
        <f t="shared" si="80"/>
        <v>0.20441988950276246</v>
      </c>
      <c r="AN67" s="172">
        <f t="shared" si="80"/>
        <v>0.3041656396351986</v>
      </c>
      <c r="AO67" s="172">
        <f t="shared" si="80"/>
        <v>0.27125693160813324</v>
      </c>
      <c r="AP67" s="172">
        <f t="shared" si="80"/>
        <v>0.15672029060716142</v>
      </c>
      <c r="AQ67" s="172">
        <f t="shared" si="80"/>
        <v>0.16330275229357794</v>
      </c>
      <c r="AR67" s="172">
        <f t="shared" si="80"/>
        <v>-3.8556038556038619E-2</v>
      </c>
      <c r="AS67" s="172">
        <f t="shared" si="80"/>
        <v>5.6343147946201322E-2</v>
      </c>
      <c r="AT67" s="172">
        <f t="shared" si="80"/>
        <v>0.31807985643786418</v>
      </c>
      <c r="AU67" s="172">
        <f t="shared" si="80"/>
        <v>0.24211356466876977</v>
      </c>
      <c r="AV67" s="172">
        <f t="shared" si="80"/>
        <v>0.282091606054649</v>
      </c>
      <c r="AW67" s="172">
        <f t="shared" si="80"/>
        <v>0.15399174122505155</v>
      </c>
      <c r="AX67" s="172">
        <f t="shared" si="80"/>
        <v>-4.339686861810732E-2</v>
      </c>
      <c r="AY67" s="172">
        <f t="shared" si="80"/>
        <v>-8.3492063492063506E-2</v>
      </c>
      <c r="AZ67" s="172">
        <f t="shared" si="80"/>
        <v>-0.12542164980067438</v>
      </c>
      <c r="BA67" s="172">
        <f t="shared" si="80"/>
        <v>-0.11495452512300597</v>
      </c>
      <c r="BB67" s="172">
        <f t="shared" si="80"/>
        <v>-0.11083437110834371</v>
      </c>
      <c r="BC67" s="173">
        <f t="shared" si="80"/>
        <v>-0.10287495670245927</v>
      </c>
      <c r="BD67" s="173">
        <f t="shared" si="80"/>
        <v>-6.1360448807854295E-2</v>
      </c>
      <c r="BE67" s="173">
        <f t="shared" si="80"/>
        <v>-0.10107816711590301</v>
      </c>
      <c r="BF67" s="173">
        <f t="shared" si="80"/>
        <v>1.5358143257302923</v>
      </c>
      <c r="BG67" s="173">
        <f t="shared" si="80"/>
        <v>1.602702702702703</v>
      </c>
      <c r="BH67" s="173">
        <f t="shared" si="80"/>
        <v>1.5476279417258128</v>
      </c>
      <c r="BI67" s="173">
        <f t="shared" si="80"/>
        <v>1.7224512743628191</v>
      </c>
      <c r="BJ67" s="173">
        <f t="shared" si="80"/>
        <v>9.3340697490926328E-2</v>
      </c>
      <c r="BK67" s="173">
        <f t="shared" si="80"/>
        <v>0.16236463432725112</v>
      </c>
      <c r="BL67" s="173">
        <f t="shared" si="80"/>
        <v>0.11913489736070382</v>
      </c>
      <c r="BM67" s="173">
        <f t="shared" si="80"/>
        <v>7.035175879396971E-2</v>
      </c>
      <c r="BN67" s="173">
        <f t="shared" si="80"/>
        <v>0.16901205167063571</v>
      </c>
      <c r="BO67" s="173">
        <f t="shared" si="80"/>
        <v>6.1298242643456069E-2</v>
      </c>
      <c r="BP67" s="173">
        <f t="shared" si="80"/>
        <v>0.13991695556757189</v>
      </c>
      <c r="BQ67" s="173">
        <f t="shared" si="80"/>
        <v>0.14441971124412389</v>
      </c>
      <c r="BR67" s="173">
        <f t="shared" si="80"/>
        <v>0.11040818725720647</v>
      </c>
      <c r="BS67" s="124"/>
    </row>
    <row r="68" spans="1:85">
      <c r="A68" s="5"/>
      <c r="B68" s="13" t="s">
        <v>105</v>
      </c>
      <c r="C68" s="97"/>
      <c r="G68" s="172">
        <f t="shared" ref="G68:U68" si="81">+G5/G$3</f>
        <v>0.18836152882205512</v>
      </c>
      <c r="H68" s="172">
        <f t="shared" si="81"/>
        <v>0.21949560782091249</v>
      </c>
      <c r="I68" s="172">
        <f t="shared" si="81"/>
        <v>0.20163238654913485</v>
      </c>
      <c r="J68" s="172">
        <f t="shared" si="81"/>
        <v>0.14881140046661201</v>
      </c>
      <c r="K68" s="172">
        <f t="shared" si="81"/>
        <v>0.19744021212584772</v>
      </c>
      <c r="L68" s="172">
        <f t="shared" si="81"/>
        <v>0.19989014510001377</v>
      </c>
      <c r="M68" s="172">
        <f t="shared" si="81"/>
        <v>0.19137176938369782</v>
      </c>
      <c r="N68" s="172">
        <f t="shared" si="81"/>
        <v>0.17312154203105476</v>
      </c>
      <c r="O68" s="172">
        <f t="shared" si="81"/>
        <v>0.13719170403587444</v>
      </c>
      <c r="P68" s="172">
        <f t="shared" si="81"/>
        <v>0.11294274492847621</v>
      </c>
      <c r="Q68" s="172">
        <f t="shared" si="81"/>
        <v>0.11672835173249954</v>
      </c>
      <c r="R68" s="172">
        <f t="shared" si="81"/>
        <v>0.15990690301423174</v>
      </c>
      <c r="S68" s="172">
        <f t="shared" si="81"/>
        <v>0.17183265605867598</v>
      </c>
      <c r="T68" s="172">
        <f t="shared" si="81"/>
        <v>0.17458763690151693</v>
      </c>
      <c r="U68" s="172">
        <f t="shared" si="81"/>
        <v>0.18012156175483196</v>
      </c>
      <c r="V68" s="5"/>
      <c r="W68" s="172">
        <f t="shared" ref="W68:BR68" si="82">+W5/W$3</f>
        <v>0.18904109589041099</v>
      </c>
      <c r="X68" s="172">
        <f t="shared" si="82"/>
        <v>0.20398196844477837</v>
      </c>
      <c r="Y68" s="172">
        <f t="shared" si="82"/>
        <v>0.19554667427918926</v>
      </c>
      <c r="Z68" s="172">
        <f t="shared" si="82"/>
        <v>0.17144268774703558</v>
      </c>
      <c r="AA68" s="172">
        <f t="shared" si="82"/>
        <v>0.21322976697569529</v>
      </c>
      <c r="AB68" s="172">
        <f t="shared" si="82"/>
        <v>0.18935325706280645</v>
      </c>
      <c r="AC68" s="172">
        <f t="shared" si="82"/>
        <v>0.24438258103002586</v>
      </c>
      <c r="AD68" s="172">
        <f t="shared" si="82"/>
        <v>0.2261630584983878</v>
      </c>
      <c r="AE68" s="172">
        <f t="shared" si="82"/>
        <v>0.23564653020469295</v>
      </c>
      <c r="AF68" s="172">
        <f t="shared" si="82"/>
        <v>0.18537859007832899</v>
      </c>
      <c r="AG68" s="172">
        <f t="shared" si="82"/>
        <v>0.20302267002518889</v>
      </c>
      <c r="AH68" s="172">
        <f t="shared" si="82"/>
        <v>0.17896836705614136</v>
      </c>
      <c r="AI68" s="172">
        <f t="shared" si="82"/>
        <v>0.13674033149171272</v>
      </c>
      <c r="AJ68" s="172">
        <f t="shared" si="82"/>
        <v>0.14296278037959084</v>
      </c>
      <c r="AK68" s="172">
        <f t="shared" si="82"/>
        <v>0.15318853974121993</v>
      </c>
      <c r="AL68" s="172">
        <f t="shared" si="82"/>
        <v>0.16139076284379866</v>
      </c>
      <c r="AM68" s="172">
        <f t="shared" si="82"/>
        <v>0.17614678899082573</v>
      </c>
      <c r="AN68" s="172">
        <f t="shared" si="82"/>
        <v>0.21810621810621805</v>
      </c>
      <c r="AO68" s="172">
        <f t="shared" si="82"/>
        <v>0.21355870592511811</v>
      </c>
      <c r="AP68" s="172">
        <f t="shared" si="82"/>
        <v>0.17384477344100494</v>
      </c>
      <c r="AQ68" s="172">
        <f t="shared" si="82"/>
        <v>0.22535488958990538</v>
      </c>
      <c r="AR68" s="172">
        <f t="shared" si="82"/>
        <v>0.23058777275407905</v>
      </c>
      <c r="AS68" s="172">
        <f t="shared" si="82"/>
        <v>0.18134893324156917</v>
      </c>
      <c r="AT68" s="172">
        <f t="shared" si="82"/>
        <v>0.16967324710687545</v>
      </c>
      <c r="AU68" s="172">
        <f t="shared" si="82"/>
        <v>0.19936507936507936</v>
      </c>
      <c r="AV68" s="172">
        <f t="shared" si="82"/>
        <v>0.18567923949708681</v>
      </c>
      <c r="AW68" s="172">
        <f t="shared" si="82"/>
        <v>0.21201729536305353</v>
      </c>
      <c r="AX68" s="172">
        <f t="shared" si="82"/>
        <v>0.16438356164383561</v>
      </c>
      <c r="AY68" s="172">
        <f t="shared" si="82"/>
        <v>0.17665396605472811</v>
      </c>
      <c r="AZ68" s="172">
        <f t="shared" si="82"/>
        <v>0.18723702664796632</v>
      </c>
      <c r="BA68" s="172">
        <f t="shared" si="82"/>
        <v>0.17065363881401621</v>
      </c>
      <c r="BB68" s="172">
        <f t="shared" si="82"/>
        <v>0.15586234493797521</v>
      </c>
      <c r="BC68" s="172">
        <f t="shared" si="82"/>
        <v>0.16370656370656372</v>
      </c>
      <c r="BD68" s="172">
        <f t="shared" si="82"/>
        <v>0.16791184161374673</v>
      </c>
      <c r="BE68" s="172">
        <f t="shared" si="82"/>
        <v>0.13793103448275865</v>
      </c>
      <c r="BF68" s="172">
        <f t="shared" si="82"/>
        <v>0.11306611961495976</v>
      </c>
      <c r="BG68" s="172">
        <f t="shared" si="82"/>
        <v>0.1281708945260347</v>
      </c>
      <c r="BH68" s="172">
        <f t="shared" si="82"/>
        <v>9.3181818181818171E-2</v>
      </c>
      <c r="BI68" s="172">
        <f t="shared" si="82"/>
        <v>0.11585323879672335</v>
      </c>
      <c r="BJ68" s="172">
        <f t="shared" si="82"/>
        <v>0.11452695388612255</v>
      </c>
      <c r="BK68" s="172">
        <f t="shared" si="82"/>
        <v>0.11065024567672774</v>
      </c>
      <c r="BL68" s="172">
        <f t="shared" si="82"/>
        <v>8.0183426138224698E-2</v>
      </c>
      <c r="BM68" s="172">
        <f t="shared" si="82"/>
        <v>0.13647179882950672</v>
      </c>
      <c r="BN68" s="172">
        <f t="shared" si="82"/>
        <v>0.13809494413235385</v>
      </c>
      <c r="BO68" s="172">
        <f t="shared" si="82"/>
        <v>0.11220678897621172</v>
      </c>
      <c r="BP68" s="172">
        <f t="shared" si="82"/>
        <v>0.15020074625353255</v>
      </c>
      <c r="BQ68" s="172">
        <f t="shared" si="82"/>
        <v>0.18780991047957057</v>
      </c>
      <c r="BR68" s="172">
        <f t="shared" si="82"/>
        <v>0.1857972288249356</v>
      </c>
      <c r="BS68" s="5"/>
      <c r="BZ68" s="5"/>
      <c r="CA68" s="5"/>
      <c r="CB68" s="5"/>
      <c r="CC68" s="5"/>
      <c r="CD68" s="5"/>
      <c r="CE68" s="5"/>
      <c r="CF68" s="5"/>
      <c r="CG68" s="5"/>
    </row>
    <row r="69" spans="1:85">
      <c r="B69" s="13" t="s">
        <v>106</v>
      </c>
      <c r="C69" s="97"/>
      <c r="G69" s="172">
        <f t="shared" ref="G69:R69" si="83">+G7/G$3*-1</f>
        <v>0.10056390977443608</v>
      </c>
      <c r="H69" s="172">
        <f t="shared" si="83"/>
        <v>7.7812411448002272E-2</v>
      </c>
      <c r="I69" s="172">
        <f t="shared" si="83"/>
        <v>8.8344760039177281E-2</v>
      </c>
      <c r="J69" s="172">
        <f t="shared" si="83"/>
        <v>8.4746831452172267E-2</v>
      </c>
      <c r="K69" s="172">
        <f t="shared" si="83"/>
        <v>8.2300749579317725E-2</v>
      </c>
      <c r="L69" s="172">
        <f t="shared" si="83"/>
        <v>7.7173067240353388E-2</v>
      </c>
      <c r="M69" s="172">
        <f t="shared" si="83"/>
        <v>7.5546719681908542E-2</v>
      </c>
      <c r="N69" s="172">
        <f t="shared" si="83"/>
        <v>7.4112082812778854E-2</v>
      </c>
      <c r="O69" s="172">
        <f t="shared" si="83"/>
        <v>6.533772421524664E-2</v>
      </c>
      <c r="P69" s="172">
        <f t="shared" si="83"/>
        <v>5.8227939321875116E-2</v>
      </c>
      <c r="Q69" s="172">
        <f t="shared" si="83"/>
        <v>5.5947291174781442E-2</v>
      </c>
      <c r="R69" s="172">
        <f t="shared" si="83"/>
        <v>5.5917872592945207E-2</v>
      </c>
      <c r="S69" s="174">
        <f>+R69</f>
        <v>5.5917872592945207E-2</v>
      </c>
      <c r="T69" s="174">
        <f>+S69</f>
        <v>5.5917872592945207E-2</v>
      </c>
      <c r="U69" s="174">
        <f>+T69</f>
        <v>5.5917872592945207E-2</v>
      </c>
      <c r="W69" s="124">
        <f t="shared" ref="W69:BN69" si="84">+W7/W$3*-1</f>
        <v>0.11898238747553816</v>
      </c>
      <c r="X69" s="124">
        <f t="shared" si="84"/>
        <v>0.12321562734785875</v>
      </c>
      <c r="Y69" s="124">
        <f t="shared" si="84"/>
        <v>8.8495575221238937E-2</v>
      </c>
      <c r="Z69" s="124">
        <f t="shared" si="84"/>
        <v>8.4486166007905136E-2</v>
      </c>
      <c r="AA69" s="124">
        <f t="shared" si="84"/>
        <v>8.3437734903532942E-2</v>
      </c>
      <c r="AB69" s="124">
        <f t="shared" si="84"/>
        <v>8.3119308895633917E-2</v>
      </c>
      <c r="AC69" s="124">
        <f t="shared" si="84"/>
        <v>7.0789421356134419E-2</v>
      </c>
      <c r="AD69" s="124">
        <f t="shared" si="84"/>
        <v>7.5541225241824037E-2</v>
      </c>
      <c r="AE69" s="124">
        <f t="shared" si="84"/>
        <v>9.7853220169745389E-2</v>
      </c>
      <c r="AF69" s="124">
        <f t="shared" si="84"/>
        <v>9.4255874673629253E-2</v>
      </c>
      <c r="AG69" s="124">
        <f t="shared" si="84"/>
        <v>7.858942065491184E-2</v>
      </c>
      <c r="AH69" s="124">
        <f t="shared" si="84"/>
        <v>8.2074665146765466E-2</v>
      </c>
      <c r="AI69" s="124">
        <f t="shared" si="84"/>
        <v>8.8674033149171272E-2</v>
      </c>
      <c r="AJ69" s="124">
        <f t="shared" si="84"/>
        <v>8.848903130391915E-2</v>
      </c>
      <c r="AK69" s="124">
        <f t="shared" si="84"/>
        <v>7.6940850277264314E-2</v>
      </c>
      <c r="AL69" s="124">
        <f t="shared" si="84"/>
        <v>8.5884795018162957E-2</v>
      </c>
      <c r="AM69" s="124">
        <f t="shared" si="84"/>
        <v>9.0596330275229356E-2</v>
      </c>
      <c r="AN69" s="124">
        <f t="shared" si="84"/>
        <v>8.0325080325080317E-2</v>
      </c>
      <c r="AO69" s="124">
        <f t="shared" si="84"/>
        <v>7.2337331879316596E-2</v>
      </c>
      <c r="AP69" s="124">
        <f t="shared" si="84"/>
        <v>8.8829071332436074E-2</v>
      </c>
      <c r="AQ69" s="124">
        <f t="shared" si="84"/>
        <v>8.6159305993690857E-2</v>
      </c>
      <c r="AR69" s="124">
        <f t="shared" si="84"/>
        <v>8.8657361902889725E-2</v>
      </c>
      <c r="AS69" s="124">
        <f t="shared" si="84"/>
        <v>7.2952512044046791E-2</v>
      </c>
      <c r="AT69" s="124">
        <f t="shared" si="84"/>
        <v>6.3648740639891094E-2</v>
      </c>
      <c r="AU69" s="124">
        <f t="shared" si="84"/>
        <v>7.7936507936507943E-2</v>
      </c>
      <c r="AV69" s="124">
        <f t="shared" si="84"/>
        <v>7.4670346519472561E-2</v>
      </c>
      <c r="AW69" s="124">
        <f t="shared" si="84"/>
        <v>5.4420754435664229E-2</v>
      </c>
      <c r="AX69" s="124">
        <f t="shared" si="84"/>
        <v>9.9092688133784024E-2</v>
      </c>
      <c r="AY69" s="124">
        <f t="shared" si="84"/>
        <v>7.5337720817457571E-2</v>
      </c>
      <c r="AZ69" s="124">
        <f t="shared" si="84"/>
        <v>7.3106591865357631E-2</v>
      </c>
      <c r="BA69" s="124">
        <f t="shared" si="84"/>
        <v>7.0417789757412405E-2</v>
      </c>
      <c r="BB69" s="124">
        <f t="shared" si="84"/>
        <v>7.8231292517006806E-2</v>
      </c>
      <c r="BC69" s="124">
        <f t="shared" si="84"/>
        <v>9.0733590733590733E-2</v>
      </c>
      <c r="BD69" s="124">
        <f t="shared" si="84"/>
        <v>7.452372058274187E-2</v>
      </c>
      <c r="BE69" s="124">
        <f t="shared" si="84"/>
        <v>6.7091454272863574E-2</v>
      </c>
      <c r="BF69" s="124">
        <f t="shared" si="84"/>
        <v>5.0339277260533367E-2</v>
      </c>
      <c r="BG69" s="124">
        <f t="shared" si="84"/>
        <v>6.5346387776294312E-2</v>
      </c>
      <c r="BH69" s="124">
        <f t="shared" si="84"/>
        <v>5.8137829912023459E-2</v>
      </c>
      <c r="BI69" s="124">
        <f t="shared" si="84"/>
        <v>5.6446616644868178E-2</v>
      </c>
      <c r="BJ69" s="124">
        <f t="shared" si="84"/>
        <v>5.3258281013206316E-2</v>
      </c>
      <c r="BK69" s="124">
        <f t="shared" si="84"/>
        <v>5.6282304894390921E-2</v>
      </c>
      <c r="BL69" s="124">
        <f t="shared" si="84"/>
        <v>5.2407468064199152E-2</v>
      </c>
      <c r="BM69" s="124">
        <f t="shared" si="84"/>
        <v>5.5566274358479655E-2</v>
      </c>
      <c r="BN69" s="124">
        <f t="shared" si="84"/>
        <v>5.9324649669732693E-2</v>
      </c>
      <c r="BO69" s="125">
        <f t="shared" ref="BO69:BR69" si="85">BK69</f>
        <v>5.6282304894390921E-2</v>
      </c>
      <c r="BP69" s="125">
        <f t="shared" si="85"/>
        <v>5.2407468064199152E-2</v>
      </c>
      <c r="BQ69" s="125">
        <f t="shared" si="85"/>
        <v>5.5566274358479655E-2</v>
      </c>
      <c r="BR69" s="125">
        <f t="shared" si="85"/>
        <v>5.9324649669732693E-2</v>
      </c>
      <c r="BS69" s="175"/>
    </row>
    <row r="70" spans="1:85">
      <c r="B70" s="13" t="s">
        <v>108</v>
      </c>
      <c r="C70" s="97"/>
      <c r="G70" s="172">
        <f>+G12/G$3*-1</f>
        <v>0</v>
      </c>
      <c r="H70" s="172">
        <f t="shared" ref="H70:U70" si="86">+H49/H$3*-1</f>
        <v>-3.9444601870218192E-2</v>
      </c>
      <c r="I70" s="172">
        <f t="shared" si="86"/>
        <v>-4.6816846229187074E-2</v>
      </c>
      <c r="J70" s="172">
        <f t="shared" si="86"/>
        <v>-5.4795384324358411E-2</v>
      </c>
      <c r="K70" s="172">
        <f t="shared" si="86"/>
        <v>-5.0634847789505888E-2</v>
      </c>
      <c r="L70" s="172">
        <f t="shared" si="86"/>
        <v>-5.0762118368654741E-2</v>
      </c>
      <c r="M70" s="172">
        <f t="shared" si="86"/>
        <v>-5.3797216699801184E-2</v>
      </c>
      <c r="N70" s="172">
        <f t="shared" si="86"/>
        <v>-6.2064965197215764E-2</v>
      </c>
      <c r="O70" s="172">
        <f t="shared" si="86"/>
        <v>-8.019198430493274E-2</v>
      </c>
      <c r="P70" s="172">
        <f t="shared" si="86"/>
        <v>-9.6115735235830377E-2</v>
      </c>
      <c r="Q70" s="172">
        <f t="shared" si="86"/>
        <v>-8.9161508518920296E-2</v>
      </c>
      <c r="R70" s="172">
        <f>+R49/R$3*-1</f>
        <v>-8.0928722083597346E-2</v>
      </c>
      <c r="S70" s="172">
        <f t="shared" si="86"/>
        <v>-8.000896081197878E-2</v>
      </c>
      <c r="T70" s="172">
        <f t="shared" si="86"/>
        <v>-7.7797455559701842E-2</v>
      </c>
      <c r="U70" s="172">
        <f t="shared" si="86"/>
        <v>-7.6145249951260971E-2</v>
      </c>
      <c r="W70" s="124">
        <f t="shared" ref="W70:BN70" si="87">+W49/W$3*-1</f>
        <v>-3.7573385518590997E-2</v>
      </c>
      <c r="X70" s="124">
        <f t="shared" si="87"/>
        <v>-3.5687453042824953E-2</v>
      </c>
      <c r="Y70" s="124">
        <f t="shared" si="87"/>
        <v>-3.4541821296031963E-2</v>
      </c>
      <c r="Z70" s="124">
        <f t="shared" si="87"/>
        <v>-4.1501976284584984E-2</v>
      </c>
      <c r="AA70" s="124">
        <f t="shared" si="87"/>
        <v>-4.3347531946880478E-2</v>
      </c>
      <c r="AB70" s="124">
        <f t="shared" si="87"/>
        <v>-4.1092692038290919E-2</v>
      </c>
      <c r="AC70" s="124">
        <f t="shared" si="87"/>
        <v>-3.440047723205409E-2</v>
      </c>
      <c r="AD70" s="124">
        <f t="shared" si="87"/>
        <v>-4.0073698756333466E-2</v>
      </c>
      <c r="AE70" s="124">
        <f t="shared" si="87"/>
        <v>-4.1437843235147279E-2</v>
      </c>
      <c r="AF70" s="124">
        <f t="shared" si="87"/>
        <v>-4.3864229765013051E-2</v>
      </c>
      <c r="AG70" s="124">
        <f t="shared" si="87"/>
        <v>-4.3073047858942067E-2</v>
      </c>
      <c r="AH70" s="124">
        <f t="shared" si="87"/>
        <v>-6.0416072955257909E-2</v>
      </c>
      <c r="AI70" s="124">
        <f t="shared" si="87"/>
        <v>-5.9668508287292824E-2</v>
      </c>
      <c r="AJ70" s="124">
        <f t="shared" si="87"/>
        <v>-5.3241311313778662E-2</v>
      </c>
      <c r="AK70" s="124">
        <f t="shared" si="87"/>
        <v>-4.9907578558225495E-2</v>
      </c>
      <c r="AL70" s="124">
        <f t="shared" si="87"/>
        <v>-5.7343020238713051E-2</v>
      </c>
      <c r="AM70" s="124">
        <f t="shared" si="87"/>
        <v>-5.3211009174311923E-2</v>
      </c>
      <c r="AN70" s="124">
        <f t="shared" si="87"/>
        <v>-4.8006048006047998E-2</v>
      </c>
      <c r="AO70" s="124">
        <f t="shared" si="87"/>
        <v>-4.6346782988004355E-2</v>
      </c>
      <c r="AP70" s="124">
        <f t="shared" si="87"/>
        <v>-5.652759084791386E-2</v>
      </c>
      <c r="AQ70" s="124">
        <f t="shared" si="87"/>
        <v>-5.027602523659306E-2</v>
      </c>
      <c r="AR70" s="124">
        <f t="shared" si="87"/>
        <v>-5.2290151366227645E-2</v>
      </c>
      <c r="AS70" s="124">
        <f t="shared" si="87"/>
        <v>-4.576737783895389E-2</v>
      </c>
      <c r="AT70" s="124">
        <f t="shared" si="87"/>
        <v>-5.47991831177672E-2</v>
      </c>
      <c r="AU70" s="124">
        <f t="shared" si="87"/>
        <v>-5.2222222222222218E-2</v>
      </c>
      <c r="AV70" s="124">
        <f t="shared" si="87"/>
        <v>-5.2437902483900657E-2</v>
      </c>
      <c r="AW70" s="124">
        <f t="shared" si="87"/>
        <v>-5.0842403459072608E-2</v>
      </c>
      <c r="AX70" s="124">
        <f t="shared" si="87"/>
        <v>-6.0665362035225046E-2</v>
      </c>
      <c r="AY70" s="124">
        <f t="shared" si="87"/>
        <v>-5.9231035677173541E-2</v>
      </c>
      <c r="AZ70" s="124">
        <f t="shared" si="87"/>
        <v>-6.1711079943899017E-2</v>
      </c>
      <c r="BA70" s="124">
        <f t="shared" si="87"/>
        <v>-5.8793800539083556E-2</v>
      </c>
      <c r="BB70" s="124">
        <f t="shared" si="87"/>
        <v>-6.9627851140456179E-2</v>
      </c>
      <c r="BC70" s="176">
        <f t="shared" si="87"/>
        <v>-6.6409266409266407E-2</v>
      </c>
      <c r="BD70" s="176">
        <f t="shared" si="87"/>
        <v>-6.4811355995517364E-2</v>
      </c>
      <c r="BE70" s="176">
        <f t="shared" si="87"/>
        <v>-6.7091454272863602E-2</v>
      </c>
      <c r="BF70" s="176">
        <f t="shared" si="87"/>
        <v>-9.7838093735205925E-2</v>
      </c>
      <c r="BG70" s="176">
        <f t="shared" si="87"/>
        <v>-9.6202343865895254E-2</v>
      </c>
      <c r="BH70" s="176">
        <f t="shared" si="87"/>
        <v>-9.7067448680351928E-2</v>
      </c>
      <c r="BI70" s="176">
        <f t="shared" si="87"/>
        <v>-9.3136917464032451E-2</v>
      </c>
      <c r="BJ70" s="176">
        <f t="shared" si="87"/>
        <v>-9.8217507396983483E-2</v>
      </c>
      <c r="BK70" s="176">
        <f t="shared" si="87"/>
        <v>-8.6210197179503539E-2</v>
      </c>
      <c r="BL70" s="176">
        <f t="shared" si="87"/>
        <v>-8.9813298395021293E-2</v>
      </c>
      <c r="BM70" s="176">
        <f t="shared" si="87"/>
        <v>-8.9523442021994984E-2</v>
      </c>
      <c r="BN70" s="176">
        <f t="shared" si="87"/>
        <v>-9.1055003395271311E-2</v>
      </c>
      <c r="BO70" s="176">
        <f>+BO49/BO$3*-1</f>
        <v>-8.4928665654537674E-2</v>
      </c>
      <c r="BP70" s="176">
        <f>+BP49/BP$3*-1</f>
        <v>-8.1174277958502142E-2</v>
      </c>
      <c r="BQ70" s="176">
        <f>+BQ49/BQ$3*-1</f>
        <v>-7.9378093446941606E-2</v>
      </c>
      <c r="BR70" s="176">
        <f>+BR49/BR$3*-1</f>
        <v>-7.8526744975577059E-2</v>
      </c>
      <c r="BS70" s="124"/>
    </row>
    <row r="71" spans="1:85">
      <c r="A71" s="5"/>
      <c r="B71" s="172" t="s">
        <v>110</v>
      </c>
      <c r="C71" s="172"/>
      <c r="G71" s="172">
        <f t="shared" ref="G71:U71" si="88">+G11/G$3</f>
        <v>0.12531328320802004</v>
      </c>
      <c r="H71" s="172">
        <f t="shared" si="88"/>
        <v>0.1646925474638708</v>
      </c>
      <c r="I71" s="172">
        <f t="shared" si="88"/>
        <v>0.14384590270976166</v>
      </c>
      <c r="J71" s="172">
        <f t="shared" si="88"/>
        <v>6.2929566807491011E-2</v>
      </c>
      <c r="K71" s="172">
        <f t="shared" si="88"/>
        <v>0.11906583040130538</v>
      </c>
      <c r="L71" s="172">
        <f t="shared" si="88"/>
        <v>0.11987915961001511</v>
      </c>
      <c r="M71" s="172">
        <f t="shared" si="88"/>
        <v>0.11502982107355865</v>
      </c>
      <c r="N71" s="172">
        <f t="shared" si="88"/>
        <v>9.3432089951811514E-2</v>
      </c>
      <c r="O71" s="172">
        <f t="shared" si="88"/>
        <v>8.7514013452914804E-2</v>
      </c>
      <c r="P71" s="172">
        <f t="shared" si="88"/>
        <v>5.4949014520952695E-2</v>
      </c>
      <c r="Q71" s="172">
        <f t="shared" si="88"/>
        <v>6.1451087996937021E-2</v>
      </c>
      <c r="R71" s="172">
        <f>+R11/R$3</f>
        <v>0.10427550377379484</v>
      </c>
      <c r="S71" s="172">
        <f t="shared" si="88"/>
        <v>0.11618976470350144</v>
      </c>
      <c r="T71" s="172">
        <f t="shared" si="88"/>
        <v>0.11893217803052819</v>
      </c>
      <c r="U71" s="172">
        <f t="shared" si="88"/>
        <v>0.12445575774844682</v>
      </c>
      <c r="V71" s="5"/>
      <c r="W71" s="172">
        <f t="shared" ref="W71:BN71" si="89">+W11/W$3</f>
        <v>0.10176125244618398</v>
      </c>
      <c r="X71" s="172">
        <f t="shared" si="89"/>
        <v>0.12734785875281743</v>
      </c>
      <c r="Y71" s="172">
        <f t="shared" si="89"/>
        <v>0.14815872109620326</v>
      </c>
      <c r="Z71" s="172">
        <f t="shared" si="89"/>
        <v>0.11907114624505928</v>
      </c>
      <c r="AA71" s="172">
        <f t="shared" si="89"/>
        <v>0.15159107992984214</v>
      </c>
      <c r="AB71" s="172">
        <f t="shared" si="89"/>
        <v>0.13285080551015643</v>
      </c>
      <c r="AC71" s="172">
        <f t="shared" si="89"/>
        <v>0.19685822231059852</v>
      </c>
      <c r="AD71" s="172">
        <f t="shared" si="89"/>
        <v>0.17088899124827264</v>
      </c>
      <c r="AE71" s="172">
        <f t="shared" si="89"/>
        <v>0.18846729905142284</v>
      </c>
      <c r="AF71" s="172">
        <f t="shared" si="89"/>
        <v>0.12036553524804178</v>
      </c>
      <c r="AG71" s="172">
        <f t="shared" si="89"/>
        <v>0.14534005037783373</v>
      </c>
      <c r="AH71" s="172">
        <f t="shared" si="89"/>
        <v>0.11684240524365917</v>
      </c>
      <c r="AI71" s="172">
        <f t="shared" si="89"/>
        <v>6.049723756906078E-2</v>
      </c>
      <c r="AJ71" s="172">
        <f t="shared" si="89"/>
        <v>7.6657628789746135E-2</v>
      </c>
      <c r="AK71" s="172">
        <f t="shared" si="89"/>
        <v>0.10374306839186689</v>
      </c>
      <c r="AL71" s="172">
        <f t="shared" si="89"/>
        <v>4.9299429164504196E-3</v>
      </c>
      <c r="AM71" s="172">
        <f t="shared" si="89"/>
        <v>0.10458715596330276</v>
      </c>
      <c r="AN71" s="172">
        <f t="shared" si="89"/>
        <v>0.13494613494613492</v>
      </c>
      <c r="AO71" s="172">
        <f t="shared" si="89"/>
        <v>0.14303889494729188</v>
      </c>
      <c r="AP71" s="172">
        <f t="shared" si="89"/>
        <v>8.4791386271870786E-2</v>
      </c>
      <c r="AQ71" s="172">
        <f t="shared" si="89"/>
        <v>0.13682965299684544</v>
      </c>
      <c r="AR71" s="172">
        <f t="shared" si="89"/>
        <v>0.13937487713780225</v>
      </c>
      <c r="AS71" s="172">
        <f t="shared" si="89"/>
        <v>9.4115622849277353E-2</v>
      </c>
      <c r="AT71" s="172">
        <f t="shared" si="89"/>
        <v>0.11385296119809397</v>
      </c>
      <c r="AU71" s="172">
        <f t="shared" si="89"/>
        <v>0.11904761904761904</v>
      </c>
      <c r="AV71" s="172">
        <f t="shared" si="89"/>
        <v>0.11422876418276603</v>
      </c>
      <c r="AW71" s="172">
        <f t="shared" si="89"/>
        <v>0.15610556135380946</v>
      </c>
      <c r="AX71" s="172">
        <f t="shared" si="89"/>
        <v>6.2444404910158319E-2</v>
      </c>
      <c r="AY71" s="172">
        <f t="shared" si="89"/>
        <v>0.10010391409767926</v>
      </c>
      <c r="AZ71" s="172">
        <f t="shared" si="89"/>
        <v>0.11255259467040672</v>
      </c>
      <c r="BA71" s="172">
        <f t="shared" si="89"/>
        <v>9.9056603773584925E-2</v>
      </c>
      <c r="BB71" s="172">
        <f t="shared" si="89"/>
        <v>5.7222889155662267E-2</v>
      </c>
      <c r="BC71" s="172">
        <f t="shared" si="89"/>
        <v>7.104247104247105E-2</v>
      </c>
      <c r="BD71" s="172">
        <f t="shared" si="89"/>
        <v>0.17202091893911095</v>
      </c>
      <c r="BE71" s="172">
        <f t="shared" si="89"/>
        <v>7.1026986506746631E-2</v>
      </c>
      <c r="BF71" s="172">
        <f t="shared" si="89"/>
        <v>6.5488401451791065E-2</v>
      </c>
      <c r="BG71" s="172">
        <f t="shared" si="89"/>
        <v>6.2898679721109629E-2</v>
      </c>
      <c r="BH71" s="172">
        <f t="shared" si="89"/>
        <v>3.519061583577713E-2</v>
      </c>
      <c r="BI71" s="172">
        <f t="shared" si="89"/>
        <v>5.961313416397053E-2</v>
      </c>
      <c r="BJ71" s="172">
        <f t="shared" si="89"/>
        <v>6.1773832719924954E-2</v>
      </c>
      <c r="BK71" s="172">
        <f t="shared" si="89"/>
        <v>5.4431752919405281E-2</v>
      </c>
      <c r="BL71" s="172">
        <f t="shared" si="89"/>
        <v>2.8300032754667536E-2</v>
      </c>
      <c r="BM71" s="172">
        <f t="shared" si="89"/>
        <v>8.1227088558749758E-2</v>
      </c>
      <c r="BN71" s="172">
        <f t="shared" si="89"/>
        <v>8.0498796221989008E-2</v>
      </c>
      <c r="BO71" s="172">
        <f>+BO11/BO$3</f>
        <v>5.6225116526615632E-2</v>
      </c>
      <c r="BP71" s="172">
        <f>+BP11/BP$3</f>
        <v>9.808062076617767E-2</v>
      </c>
      <c r="BQ71" s="172">
        <f>+BQ11/BQ$3</f>
        <v>0.13252462052267303</v>
      </c>
      <c r="BR71" s="172">
        <f>+BR11/BR$3</f>
        <v>0.12675054993387755</v>
      </c>
      <c r="BS71" s="5"/>
      <c r="BZ71" s="5"/>
      <c r="CA71" s="5"/>
      <c r="CB71" s="5"/>
      <c r="CC71" s="5"/>
      <c r="CD71" s="5"/>
      <c r="CE71" s="5"/>
      <c r="CF71" s="5"/>
      <c r="CG71" s="5"/>
    </row>
    <row r="72" spans="1:85">
      <c r="B72" s="172" t="s">
        <v>269</v>
      </c>
      <c r="C72" s="97"/>
      <c r="G72" s="172">
        <f t="shared" ref="G72:U72" si="90">G50/G3</f>
        <v>0.16290726817042608</v>
      </c>
      <c r="H72" s="172">
        <f t="shared" si="90"/>
        <v>0.204137149334089</v>
      </c>
      <c r="I72" s="172">
        <f t="shared" si="90"/>
        <v>0.19066274893894875</v>
      </c>
      <c r="J72" s="172">
        <f t="shared" si="90"/>
        <v>0.11772495113184941</v>
      </c>
      <c r="K72" s="172">
        <f t="shared" si="90"/>
        <v>0.16970067819081128</v>
      </c>
      <c r="L72" s="172">
        <f t="shared" si="90"/>
        <v>0.17064127797866985</v>
      </c>
      <c r="M72" s="172">
        <f t="shared" si="90"/>
        <v>0.16882703777335986</v>
      </c>
      <c r="N72" s="172">
        <f t="shared" si="90"/>
        <v>0.15549705514902729</v>
      </c>
      <c r="O72" s="172">
        <f t="shared" si="90"/>
        <v>0.16770599775784756</v>
      </c>
      <c r="P72" s="172">
        <f t="shared" si="90"/>
        <v>0.15106474975678308</v>
      </c>
      <c r="Q72" s="172">
        <f t="shared" si="90"/>
        <v>0.15061259651585732</v>
      </c>
      <c r="R72" s="172">
        <f>R50/R3</f>
        <v>0.18520422585739219</v>
      </c>
      <c r="S72" s="172">
        <f t="shared" si="90"/>
        <v>0.19619872551548023</v>
      </c>
      <c r="T72" s="172">
        <f t="shared" si="90"/>
        <v>0.19672963359023005</v>
      </c>
      <c r="U72" s="172">
        <f t="shared" si="90"/>
        <v>0.20060100769970779</v>
      </c>
      <c r="W72" s="124">
        <f t="shared" ref="W72:BN72" si="91">W50/W3</f>
        <v>0.13933463796477499</v>
      </c>
      <c r="X72" s="124">
        <f t="shared" si="91"/>
        <v>0.16303531179564237</v>
      </c>
      <c r="Y72" s="124">
        <f t="shared" si="91"/>
        <v>0.18270054239223521</v>
      </c>
      <c r="Z72" s="124">
        <f t="shared" si="91"/>
        <v>0.16057312252964426</v>
      </c>
      <c r="AA72" s="124">
        <f t="shared" si="91"/>
        <v>0.1949386118767226</v>
      </c>
      <c r="AB72" s="124">
        <f t="shared" si="91"/>
        <v>0.17394349754844737</v>
      </c>
      <c r="AC72" s="124">
        <f t="shared" si="91"/>
        <v>0.23125869954265263</v>
      </c>
      <c r="AD72" s="124">
        <f t="shared" si="91"/>
        <v>0.2109626900046061</v>
      </c>
      <c r="AE72" s="124">
        <f t="shared" si="91"/>
        <v>0.22990514228657011</v>
      </c>
      <c r="AF72" s="124">
        <f t="shared" si="91"/>
        <v>0.16422976501305483</v>
      </c>
      <c r="AG72" s="124">
        <f t="shared" si="91"/>
        <v>0.18841309823677577</v>
      </c>
      <c r="AH72" s="124">
        <f t="shared" si="91"/>
        <v>0.1772584781989171</v>
      </c>
      <c r="AI72" s="124">
        <f t="shared" si="91"/>
        <v>0.12016574585635359</v>
      </c>
      <c r="AJ72" s="124">
        <f t="shared" si="91"/>
        <v>0.12989894010352479</v>
      </c>
      <c r="AK72" s="124">
        <f t="shared" si="91"/>
        <v>0.1536506469500924</v>
      </c>
      <c r="AL72" s="124">
        <f t="shared" si="91"/>
        <v>6.2272963155163473E-2</v>
      </c>
      <c r="AM72" s="124">
        <f t="shared" si="91"/>
        <v>0.15779816513761466</v>
      </c>
      <c r="AN72" s="124">
        <f t="shared" si="91"/>
        <v>0.18295218295218291</v>
      </c>
      <c r="AO72" s="124">
        <f t="shared" si="91"/>
        <v>0.18938567793529623</v>
      </c>
      <c r="AP72" s="124">
        <f t="shared" si="91"/>
        <v>0.14131897711978467</v>
      </c>
      <c r="AQ72" s="124">
        <f t="shared" si="91"/>
        <v>0.18710567823343849</v>
      </c>
      <c r="AR72" s="124">
        <f t="shared" si="91"/>
        <v>0.19166502850402989</v>
      </c>
      <c r="AS72" s="124">
        <f t="shared" si="91"/>
        <v>0.13988300068823126</v>
      </c>
      <c r="AT72" s="124">
        <f t="shared" si="91"/>
        <v>0.16865214431586117</v>
      </c>
      <c r="AU72" s="124">
        <f t="shared" si="91"/>
        <v>0.17126984126984127</v>
      </c>
      <c r="AV72" s="124">
        <f t="shared" si="91"/>
        <v>0.16666666666666669</v>
      </c>
      <c r="AW72" s="124">
        <f t="shared" si="91"/>
        <v>0.20694796481288208</v>
      </c>
      <c r="AX72" s="124">
        <f t="shared" si="91"/>
        <v>0.12310976694538336</v>
      </c>
      <c r="AY72" s="124">
        <f t="shared" si="91"/>
        <v>0.1593349497748528</v>
      </c>
      <c r="AZ72" s="124">
        <f t="shared" si="91"/>
        <v>0.17426367461430572</v>
      </c>
      <c r="BA72" s="124">
        <f t="shared" si="91"/>
        <v>0.15785040431266847</v>
      </c>
      <c r="BB72" s="124">
        <f t="shared" si="91"/>
        <v>0.12685074029611845</v>
      </c>
      <c r="BC72" s="176">
        <f t="shared" si="91"/>
        <v>0.13745173745173744</v>
      </c>
      <c r="BD72" s="176">
        <f t="shared" si="91"/>
        <v>0.2368322749346283</v>
      </c>
      <c r="BE72" s="176">
        <f t="shared" si="91"/>
        <v>0.13811844077961025</v>
      </c>
      <c r="BF72" s="176">
        <f t="shared" si="91"/>
        <v>0.16332649518699699</v>
      </c>
      <c r="BG72" s="176">
        <f t="shared" si="91"/>
        <v>0.1591010235870049</v>
      </c>
      <c r="BH72" s="176">
        <f t="shared" si="91"/>
        <v>0.13225806451612906</v>
      </c>
      <c r="BI72" s="176">
        <f t="shared" si="91"/>
        <v>0.15275005162800298</v>
      </c>
      <c r="BJ72" s="176">
        <f t="shared" si="91"/>
        <v>0.15999134011690844</v>
      </c>
      <c r="BK72" s="176">
        <f t="shared" si="91"/>
        <v>0.14064195009890881</v>
      </c>
      <c r="BL72" s="176">
        <f t="shared" si="91"/>
        <v>0.11811333114968882</v>
      </c>
      <c r="BM72" s="176">
        <f t="shared" si="91"/>
        <v>0.17075053058074477</v>
      </c>
      <c r="BN72" s="176">
        <f t="shared" si="91"/>
        <v>0.17155379961726031</v>
      </c>
      <c r="BO72" s="176">
        <f>BO50/BO3</f>
        <v>0.14115378218115329</v>
      </c>
      <c r="BP72" s="176">
        <f>BP50/BP3</f>
        <v>0.17925489872467981</v>
      </c>
      <c r="BQ72" s="176">
        <f>BQ50/BQ3</f>
        <v>0.21190271396961463</v>
      </c>
      <c r="BR72" s="176">
        <f>BR50/BR3</f>
        <v>0.20527729490945459</v>
      </c>
      <c r="BS72" s="124"/>
    </row>
    <row r="73" spans="1:85">
      <c r="B73" s="172" t="s">
        <v>102</v>
      </c>
      <c r="C73" s="97"/>
      <c r="G73" s="172"/>
      <c r="H73" s="172">
        <f t="shared" ref="H73:U73" si="92">H37/G37-1</f>
        <v>0</v>
      </c>
      <c r="I73" s="172">
        <f t="shared" si="92"/>
        <v>0</v>
      </c>
      <c r="J73" s="172">
        <f t="shared" si="92"/>
        <v>0</v>
      </c>
      <c r="K73" s="172">
        <f t="shared" si="92"/>
        <v>0</v>
      </c>
      <c r="L73" s="172">
        <f t="shared" si="92"/>
        <v>0</v>
      </c>
      <c r="M73" s="172">
        <f t="shared" si="92"/>
        <v>0</v>
      </c>
      <c r="N73" s="172">
        <f t="shared" si="92"/>
        <v>0</v>
      </c>
      <c r="O73" s="172">
        <f t="shared" si="92"/>
        <v>0</v>
      </c>
      <c r="P73" s="172">
        <f>P37/O37-1</f>
        <v>0</v>
      </c>
      <c r="Q73" s="172">
        <f>Q37/P37-1</f>
        <v>0</v>
      </c>
      <c r="R73" s="172">
        <f>R37/Q37-1</f>
        <v>0</v>
      </c>
      <c r="S73" s="172">
        <f t="shared" si="92"/>
        <v>0</v>
      </c>
      <c r="T73" s="172">
        <f t="shared" si="92"/>
        <v>0</v>
      </c>
      <c r="U73" s="172">
        <f t="shared" si="92"/>
        <v>0</v>
      </c>
      <c r="W73" s="124"/>
      <c r="X73" s="124"/>
      <c r="Y73" s="124"/>
      <c r="Z73" s="124"/>
      <c r="AA73" s="124">
        <f t="shared" ref="AA73:BN73" si="93">AA37/W37-1</f>
        <v>0</v>
      </c>
      <c r="AB73" s="124">
        <f t="shared" si="93"/>
        <v>0</v>
      </c>
      <c r="AC73" s="124">
        <f t="shared" si="93"/>
        <v>0</v>
      </c>
      <c r="AD73" s="124">
        <f t="shared" si="93"/>
        <v>0</v>
      </c>
      <c r="AE73" s="124">
        <f t="shared" si="93"/>
        <v>0</v>
      </c>
      <c r="AF73" s="124">
        <f t="shared" si="93"/>
        <v>0</v>
      </c>
      <c r="AG73" s="124">
        <f t="shared" si="93"/>
        <v>0</v>
      </c>
      <c r="AH73" s="124">
        <f t="shared" si="93"/>
        <v>0</v>
      </c>
      <c r="AI73" s="124">
        <f t="shared" si="93"/>
        <v>0</v>
      </c>
      <c r="AJ73" s="124">
        <f t="shared" si="93"/>
        <v>0</v>
      </c>
      <c r="AK73" s="124">
        <f t="shared" si="93"/>
        <v>0</v>
      </c>
      <c r="AL73" s="124">
        <f t="shared" si="93"/>
        <v>0</v>
      </c>
      <c r="AM73" s="124">
        <f t="shared" si="93"/>
        <v>0</v>
      </c>
      <c r="AN73" s="124">
        <f t="shared" si="93"/>
        <v>0</v>
      </c>
      <c r="AO73" s="124">
        <f t="shared" si="93"/>
        <v>0</v>
      </c>
      <c r="AP73" s="124">
        <f t="shared" si="93"/>
        <v>0</v>
      </c>
      <c r="AQ73" s="124">
        <f t="shared" si="93"/>
        <v>0</v>
      </c>
      <c r="AR73" s="124">
        <f t="shared" si="93"/>
        <v>0</v>
      </c>
      <c r="AS73" s="124">
        <f t="shared" si="93"/>
        <v>0</v>
      </c>
      <c r="AT73" s="124">
        <f t="shared" si="93"/>
        <v>0</v>
      </c>
      <c r="AU73" s="124">
        <f t="shared" si="93"/>
        <v>0</v>
      </c>
      <c r="AV73" s="124">
        <f t="shared" si="93"/>
        <v>0</v>
      </c>
      <c r="AW73" s="124">
        <f t="shared" si="93"/>
        <v>0</v>
      </c>
      <c r="AX73" s="124">
        <f t="shared" si="93"/>
        <v>0</v>
      </c>
      <c r="AY73" s="124">
        <f t="shared" si="93"/>
        <v>0</v>
      </c>
      <c r="AZ73" s="124">
        <f t="shared" si="93"/>
        <v>0</v>
      </c>
      <c r="BA73" s="124">
        <f t="shared" si="93"/>
        <v>0</v>
      </c>
      <c r="BB73" s="124">
        <f t="shared" si="93"/>
        <v>0</v>
      </c>
      <c r="BC73" s="176">
        <f t="shared" si="93"/>
        <v>0</v>
      </c>
      <c r="BD73" s="176">
        <f t="shared" si="93"/>
        <v>0</v>
      </c>
      <c r="BE73" s="176">
        <f t="shared" si="93"/>
        <v>0</v>
      </c>
      <c r="BF73" s="176">
        <f t="shared" si="93"/>
        <v>0</v>
      </c>
      <c r="BG73" s="176">
        <f t="shared" si="93"/>
        <v>0</v>
      </c>
      <c r="BH73" s="176">
        <f t="shared" si="93"/>
        <v>0</v>
      </c>
      <c r="BI73" s="176">
        <f t="shared" si="93"/>
        <v>0</v>
      </c>
      <c r="BJ73" s="176">
        <f t="shared" si="93"/>
        <v>0</v>
      </c>
      <c r="BK73" s="176">
        <f t="shared" si="93"/>
        <v>0</v>
      </c>
      <c r="BL73" s="176">
        <f t="shared" si="93"/>
        <v>0</v>
      </c>
      <c r="BM73" s="176">
        <f t="shared" si="93"/>
        <v>0</v>
      </c>
      <c r="BN73" s="176">
        <f t="shared" si="93"/>
        <v>0</v>
      </c>
      <c r="BO73" s="176">
        <f>BO37/BK37-1</f>
        <v>0</v>
      </c>
      <c r="BP73" s="176">
        <f>BP37/BL37-1</f>
        <v>0</v>
      </c>
      <c r="BQ73" s="176">
        <f>BQ37/BM37-1</f>
        <v>0</v>
      </c>
      <c r="BR73" s="176">
        <f>BR37/BN37-1</f>
        <v>0</v>
      </c>
      <c r="BS73" s="124"/>
    </row>
    <row r="74" spans="1:85">
      <c r="B74" s="172" t="s">
        <v>103</v>
      </c>
      <c r="C74" s="97"/>
      <c r="G74" s="176"/>
      <c r="H74" s="176">
        <f t="shared" ref="H74:T74" si="94">IF(H32&lt;0,"NM",H37/H32)</f>
        <v>0.38452758402029175</v>
      </c>
      <c r="I74" s="176">
        <f t="shared" si="94"/>
        <v>0.4604274134119381</v>
      </c>
      <c r="J74" s="176">
        <f t="shared" si="94"/>
        <v>0.97777777777777763</v>
      </c>
      <c r="K74" s="176">
        <f t="shared" si="94"/>
        <v>0.26479106330161362</v>
      </c>
      <c r="L74" s="176">
        <f t="shared" si="94"/>
        <v>0.42834224598930482</v>
      </c>
      <c r="M74" s="176">
        <f t="shared" si="94"/>
        <v>0.35789473684210527</v>
      </c>
      <c r="N74" s="176">
        <f t="shared" si="94"/>
        <v>0.5836814257866888</v>
      </c>
      <c r="O74" s="176">
        <f t="shared" si="94"/>
        <v>0.86527196652719651</v>
      </c>
      <c r="P74" s="176">
        <f>IF(P32&lt;0,"NM",P37/P32)</f>
        <v>1.4516536505530471</v>
      </c>
      <c r="Q74" s="176">
        <f t="shared" si="94"/>
        <v>0.88111332007952248</v>
      </c>
      <c r="R74" s="176">
        <f>IF(R32&lt;0,"NM",R37/R32)</f>
        <v>0.36515125949848265</v>
      </c>
      <c r="S74" s="176">
        <f t="shared" si="94"/>
        <v>0.29523283735700978</v>
      </c>
      <c r="T74" s="176">
        <f t="shared" si="94"/>
        <v>0.26860953779456681</v>
      </c>
      <c r="U74" s="176">
        <f>IF(U32&lt;0,"NM",U37/U32)</f>
        <v>0.24001964151997232</v>
      </c>
      <c r="W74" s="176">
        <f t="shared" ref="W74:BN74" si="95">IF(W32&lt;0,"NM",W37/W32)</f>
        <v>0.88554216867469837</v>
      </c>
      <c r="X74" s="176">
        <f t="shared" si="95"/>
        <v>0.67397260273972615</v>
      </c>
      <c r="Y74" s="176">
        <f t="shared" si="95"/>
        <v>0.45321100917431179</v>
      </c>
      <c r="Z74" s="176">
        <f t="shared" si="95"/>
        <v>0.50270270270270279</v>
      </c>
      <c r="AA74" s="176">
        <f t="shared" si="95"/>
        <v>0.4</v>
      </c>
      <c r="AB74" s="176">
        <f t="shared" si="95"/>
        <v>0.42253521126760568</v>
      </c>
      <c r="AC74" s="176">
        <f t="shared" si="95"/>
        <v>0.40477453580901862</v>
      </c>
      <c r="AD74" s="176">
        <f t="shared" si="95"/>
        <v>0.32669491525423733</v>
      </c>
      <c r="AE74" s="176">
        <f t="shared" si="95"/>
        <v>0.33190578158458239</v>
      </c>
      <c r="AF74" s="176">
        <f t="shared" si="95"/>
        <v>0.56187050359712221</v>
      </c>
      <c r="AG74" s="176">
        <f t="shared" si="95"/>
        <v>0.39796954314720823</v>
      </c>
      <c r="AH74" s="176">
        <f t="shared" si="95"/>
        <v>0.72110091743119276</v>
      </c>
      <c r="AI74" s="176">
        <f t="shared" si="95"/>
        <v>1.1177304964539005</v>
      </c>
      <c r="AJ74" s="176">
        <f t="shared" si="95"/>
        <v>0.93491124260355019</v>
      </c>
      <c r="AK74" s="176">
        <f t="shared" si="95"/>
        <v>0.49937106918239016</v>
      </c>
      <c r="AL74" s="176">
        <f t="shared" si="95"/>
        <v>7.9600000000000355</v>
      </c>
      <c r="AM74" s="176">
        <f t="shared" si="95"/>
        <v>0.11907255048616307</v>
      </c>
      <c r="AN74" s="176">
        <f t="shared" si="95"/>
        <v>0.38004750593824238</v>
      </c>
      <c r="AO74" s="176">
        <f t="shared" si="95"/>
        <v>0.3398305084745763</v>
      </c>
      <c r="AP74" s="176">
        <f t="shared" si="95"/>
        <v>0.85668449197860985</v>
      </c>
      <c r="AQ74" s="176">
        <f t="shared" si="95"/>
        <v>0.413953488372093</v>
      </c>
      <c r="AR74" s="176">
        <f t="shared" si="95"/>
        <v>0.33655462184873947</v>
      </c>
      <c r="AS74" s="176">
        <f t="shared" si="95"/>
        <v>0.55818815331010452</v>
      </c>
      <c r="AT74" s="176">
        <f t="shared" si="95"/>
        <v>0.46358381502890178</v>
      </c>
      <c r="AU74" s="176">
        <f t="shared" si="95"/>
        <v>0.39604938271604939</v>
      </c>
      <c r="AV74" s="176">
        <f t="shared" si="95"/>
        <v>0.3670480549199085</v>
      </c>
      <c r="AW74" s="176">
        <f t="shared" si="95"/>
        <v>0.22898134863701572</v>
      </c>
      <c r="AX74" s="176">
        <f t="shared" si="95"/>
        <v>0.64372469635627561</v>
      </c>
      <c r="AY74" s="176">
        <f t="shared" si="95"/>
        <v>0.53459331758353035</v>
      </c>
      <c r="AZ74" s="176">
        <f t="shared" si="95"/>
        <v>0.42907704873400482</v>
      </c>
      <c r="BA74" s="176">
        <f t="shared" si="95"/>
        <v>0.58616822429906534</v>
      </c>
      <c r="BB74" s="176">
        <f t="shared" si="95"/>
        <v>1.0656634746922022</v>
      </c>
      <c r="BC74" s="176">
        <f t="shared" si="95"/>
        <v>0.77945619335347427</v>
      </c>
      <c r="BD74" s="176">
        <f t="shared" si="95"/>
        <v>0.31552162849872784</v>
      </c>
      <c r="BE74" s="176">
        <f t="shared" si="95"/>
        <v>1.0127243066884177</v>
      </c>
      <c r="BF74" s="176">
        <f t="shared" si="95"/>
        <v>2.8627103631532305</v>
      </c>
      <c r="BG74" s="176">
        <f t="shared" si="95"/>
        <v>1.6460618145563313</v>
      </c>
      <c r="BH74" s="176">
        <f t="shared" si="95"/>
        <v>2.2888811915483203</v>
      </c>
      <c r="BI74" s="176">
        <f t="shared" si="95"/>
        <v>1.1381721726549314</v>
      </c>
      <c r="BJ74" s="176">
        <f t="shared" si="95"/>
        <v>1.2014391103681357</v>
      </c>
      <c r="BK74" s="176">
        <f t="shared" si="95"/>
        <v>1.3354838709677412</v>
      </c>
      <c r="BL74" s="176">
        <f t="shared" si="95"/>
        <v>8.8000000000000131</v>
      </c>
      <c r="BM74" s="176">
        <f t="shared" si="95"/>
        <v>0.53130990415335488</v>
      </c>
      <c r="BN74" s="176">
        <f t="shared" si="95"/>
        <v>0.55956467141063138</v>
      </c>
      <c r="BO74" s="176">
        <f>IF(BO32&lt;0,"NM",BO37/BO32)</f>
        <v>1.3117815335735148</v>
      </c>
      <c r="BP74" s="176">
        <f>IF(BP32&lt;0,"NM",BP37/BP32)</f>
        <v>0.40199576857638997</v>
      </c>
      <c r="BQ74" s="176">
        <f>IF(BQ32&lt;0,"NM",BQ37/BQ32)</f>
        <v>0.25391617557140617</v>
      </c>
      <c r="BR74" s="176">
        <f>IF(BR32&lt;0,"NM",BR37/BR32)</f>
        <v>0.26621040004430474</v>
      </c>
      <c r="BS74" s="176"/>
    </row>
    <row r="75" spans="1:85">
      <c r="A75" s="5"/>
      <c r="B75" s="143"/>
      <c r="G75" s="176"/>
      <c r="H75" s="176"/>
      <c r="I75" s="176"/>
      <c r="J75" s="176"/>
      <c r="K75" s="176"/>
      <c r="L75" s="176"/>
      <c r="M75" s="176"/>
      <c r="N75" s="176"/>
      <c r="O75" s="176"/>
      <c r="P75" s="176"/>
      <c r="Q75" s="176"/>
      <c r="R75" s="176"/>
      <c r="S75" s="176"/>
      <c r="T75" s="176"/>
      <c r="U75" s="176"/>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Z75" s="5"/>
      <c r="CA75" s="5"/>
      <c r="CB75" s="5"/>
      <c r="CC75" s="5"/>
      <c r="CD75" s="5"/>
      <c r="CE75" s="5"/>
      <c r="CF75" s="5"/>
      <c r="CG75" s="5"/>
    </row>
    <row r="76" spans="1:85" customFormat="1"/>
    <row r="78" spans="1:85">
      <c r="B78" s="177" t="s">
        <v>142</v>
      </c>
    </row>
    <row r="79" spans="1:85" s="136" customFormat="1">
      <c r="B79" s="132" t="s">
        <v>143</v>
      </c>
      <c r="C79" s="132"/>
      <c r="G79" s="148">
        <f>+G27</f>
        <v>129.79999999999998</v>
      </c>
      <c r="H79" s="148">
        <f t="shared" ref="H79:T79" si="96">+H27</f>
        <v>157.69999999999999</v>
      </c>
      <c r="I79" s="148">
        <f t="shared" si="96"/>
        <v>135.69999999999999</v>
      </c>
      <c r="J79" s="148">
        <f t="shared" si="96"/>
        <v>64.800000000000011</v>
      </c>
      <c r="K79" s="148">
        <f t="shared" si="96"/>
        <v>241.7</v>
      </c>
      <c r="L79" s="148">
        <f t="shared" si="96"/>
        <v>149.6</v>
      </c>
      <c r="M79" s="148">
        <f t="shared" si="96"/>
        <v>178.60000000000002</v>
      </c>
      <c r="N79" s="148">
        <f t="shared" si="96"/>
        <v>105.70000000000002</v>
      </c>
      <c r="O79" s="148">
        <f t="shared" si="96"/>
        <v>2.0000000000000142</v>
      </c>
      <c r="P79" s="148">
        <f t="shared" si="96"/>
        <v>-3.8999999999999631</v>
      </c>
      <c r="Q79" s="148">
        <f t="shared" si="96"/>
        <v>549.4</v>
      </c>
      <c r="R79" s="148">
        <f t="shared" si="96"/>
        <v>314.96415768711756</v>
      </c>
      <c r="S79" s="148">
        <f t="shared" si="96"/>
        <v>435.37589622537087</v>
      </c>
      <c r="T79" s="148">
        <f t="shared" si="96"/>
        <v>495.7312528554022</v>
      </c>
      <c r="U79" s="148">
        <f>+U27</f>
        <v>571.53655897192516</v>
      </c>
      <c r="W79" s="178" t="e">
        <f>#REF!</f>
        <v>#REF!</v>
      </c>
      <c r="X79" s="178" t="e">
        <f>#REF!</f>
        <v>#REF!</v>
      </c>
      <c r="Y79" s="178" t="e">
        <f>#REF!</f>
        <v>#REF!</v>
      </c>
      <c r="Z79" s="178" t="e">
        <f>#REF!</f>
        <v>#REF!</v>
      </c>
      <c r="AA79" s="178" t="e">
        <f>#REF!</f>
        <v>#REF!</v>
      </c>
      <c r="AB79" s="178" t="e">
        <f>#REF!</f>
        <v>#REF!</v>
      </c>
      <c r="AC79" s="178" t="e">
        <f>#REF!</f>
        <v>#REF!</v>
      </c>
      <c r="AD79" s="178" t="e">
        <f>#REF!</f>
        <v>#REF!</v>
      </c>
      <c r="AE79" s="178" t="e">
        <f>#REF!</f>
        <v>#REF!</v>
      </c>
      <c r="AF79" s="178" t="e">
        <f>#REF!</f>
        <v>#REF!</v>
      </c>
      <c r="AG79" s="178" t="e">
        <f>#REF!</f>
        <v>#REF!</v>
      </c>
      <c r="AH79" s="178" t="e">
        <f>#REF!</f>
        <v>#REF!</v>
      </c>
      <c r="AI79" s="178" t="e">
        <f>#REF!</f>
        <v>#REF!</v>
      </c>
      <c r="AJ79" s="178" t="e">
        <f>#REF!</f>
        <v>#REF!</v>
      </c>
      <c r="AK79" s="178" t="e">
        <f>#REF!</f>
        <v>#REF!</v>
      </c>
      <c r="AL79" s="178" t="e">
        <f>#REF!</f>
        <v>#REF!</v>
      </c>
      <c r="AM79" s="178" t="e">
        <f>#REF!</f>
        <v>#REF!</v>
      </c>
      <c r="AN79" s="178" t="e">
        <f>#REF!</f>
        <v>#REF!</v>
      </c>
      <c r="AO79" s="178" t="e">
        <f>#REF!</f>
        <v>#REF!</v>
      </c>
      <c r="AP79" s="178" t="e">
        <f>#REF!</f>
        <v>#REF!</v>
      </c>
      <c r="AQ79" s="178" t="e">
        <f>#REF!</f>
        <v>#REF!</v>
      </c>
      <c r="AR79" s="178" t="e">
        <f>#REF!</f>
        <v>#REF!</v>
      </c>
      <c r="AS79" s="178" t="e">
        <f>#REF!</f>
        <v>#REF!</v>
      </c>
      <c r="AT79" s="178" t="e">
        <f>#REF!</f>
        <v>#REF!</v>
      </c>
      <c r="AU79" s="148">
        <f t="shared" ref="AU79:BR79" si="97">+AU27</f>
        <v>40.5</v>
      </c>
      <c r="AV79" s="148">
        <f t="shared" si="97"/>
        <v>43.7</v>
      </c>
      <c r="AW79" s="148">
        <f t="shared" si="97"/>
        <v>69.700000000000017</v>
      </c>
      <c r="AX79" s="148">
        <f t="shared" si="97"/>
        <v>24.699999999999992</v>
      </c>
      <c r="AY79" s="148">
        <f t="shared" si="97"/>
        <v>29.5</v>
      </c>
      <c r="AZ79" s="148">
        <f t="shared" si="97"/>
        <v>37.300000000000004</v>
      </c>
      <c r="BA79" s="148">
        <f t="shared" si="97"/>
        <v>26.100000000000009</v>
      </c>
      <c r="BB79" s="148">
        <f t="shared" si="97"/>
        <v>12.800000000000004</v>
      </c>
      <c r="BC79" s="148">
        <f t="shared" si="97"/>
        <v>13.100000000000001</v>
      </c>
      <c r="BD79" s="148">
        <f t="shared" si="97"/>
        <v>42.299999999999983</v>
      </c>
      <c r="BE79" s="148">
        <f t="shared" si="97"/>
        <v>5.8999999999999968</v>
      </c>
      <c r="BF79" s="148">
        <f t="shared" si="97"/>
        <v>-59.3</v>
      </c>
      <c r="BG79" s="148">
        <f t="shared" si="97"/>
        <v>-37.900000000000006</v>
      </c>
      <c r="BH79" s="148">
        <f t="shared" si="97"/>
        <v>-1</v>
      </c>
      <c r="BI79" s="148">
        <f t="shared" si="97"/>
        <v>17.499999999999996</v>
      </c>
      <c r="BJ79" s="148">
        <f t="shared" si="97"/>
        <v>17.500000000000014</v>
      </c>
      <c r="BK79" s="148">
        <f t="shared" si="97"/>
        <v>13.400000000000016</v>
      </c>
      <c r="BL79" s="148">
        <f t="shared" si="97"/>
        <v>-5.9000000000000057</v>
      </c>
      <c r="BM79" s="148">
        <f t="shared" si="97"/>
        <v>52.699999999999982</v>
      </c>
      <c r="BN79" s="148">
        <f t="shared" si="97"/>
        <v>489.3</v>
      </c>
      <c r="BO79" s="148">
        <f t="shared" si="97"/>
        <v>12.375625785509524</v>
      </c>
      <c r="BP79" s="148">
        <f t="shared" si="97"/>
        <v>70.243414843479854</v>
      </c>
      <c r="BQ79" s="148">
        <f t="shared" si="97"/>
        <v>119.1086000234759</v>
      </c>
      <c r="BR79" s="148">
        <f t="shared" si="97"/>
        <v>113.23651703465224</v>
      </c>
      <c r="BS79" s="132"/>
      <c r="BT79"/>
      <c r="BU79"/>
      <c r="BV79"/>
      <c r="BW79"/>
      <c r="BX79"/>
      <c r="BY79"/>
    </row>
  </sheetData>
  <pageMargins left="0.7" right="0.7" top="0.75" bottom="0.75" header="0.3" footer="0.3"/>
  <pageSetup paperSize="5" scale="16"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4"/>
    <pageSetUpPr fitToPage="1"/>
  </sheetPr>
  <dimension ref="A1:AG204"/>
  <sheetViews>
    <sheetView zoomScale="85" zoomScaleNormal="85" workbookViewId="0">
      <pane xSplit="1" ySplit="2" topLeftCell="B3" activePane="bottomRight" state="frozen"/>
      <selection pane="topRight" activeCell="B1" sqref="B1"/>
      <selection pane="bottomLeft" activeCell="A3" sqref="A3"/>
      <selection pane="bottomRight" activeCell="B3" sqref="B3"/>
    </sheetView>
  </sheetViews>
  <sheetFormatPr defaultRowHeight="12.75" outlineLevelRow="1" outlineLevelCol="1"/>
  <cols>
    <col min="1" max="1" width="1.7109375" style="181" customWidth="1"/>
    <col min="2" max="4" width="9.140625" style="181"/>
    <col min="5" max="6" width="9.85546875" style="181" customWidth="1"/>
    <col min="7" max="12" width="9.85546875" style="181" hidden="1" customWidth="1" outlineLevel="1"/>
    <col min="13" max="13" width="9.85546875" style="181" customWidth="1" collapsed="1"/>
    <col min="14" max="21" width="9.85546875" style="181" customWidth="1"/>
    <col min="22" max="23" width="9.140625" style="181"/>
    <col min="24" max="24" width="24.7109375" hidden="1" customWidth="1" outlineLevel="1"/>
    <col min="25" max="29" width="9.140625" hidden="1" customWidth="1" outlineLevel="1"/>
    <col min="30" max="30" width="9.140625" style="181" collapsed="1"/>
    <col min="31" max="16384" width="9.140625" style="181"/>
  </cols>
  <sheetData>
    <row r="1" spans="1:29" s="98" customFormat="1">
      <c r="A1" s="98" t="s">
        <v>150</v>
      </c>
      <c r="B1" s="179" t="s">
        <v>314</v>
      </c>
      <c r="C1" s="8"/>
      <c r="D1" s="8"/>
      <c r="E1" s="8"/>
      <c r="F1" s="8"/>
      <c r="G1" s="180"/>
      <c r="H1" s="180"/>
      <c r="I1" s="180"/>
      <c r="J1" s="180"/>
      <c r="K1" s="180"/>
      <c r="L1" s="180"/>
      <c r="M1" s="180"/>
      <c r="N1" s="180"/>
      <c r="O1" s="180"/>
      <c r="P1" s="180"/>
      <c r="Q1" s="180"/>
      <c r="R1" s="180"/>
      <c r="S1" s="180"/>
      <c r="T1" s="20"/>
      <c r="U1" s="20" t="s">
        <v>187</v>
      </c>
      <c r="V1" s="181"/>
      <c r="X1"/>
      <c r="Y1"/>
      <c r="Z1"/>
      <c r="AA1"/>
      <c r="AB1"/>
      <c r="AC1"/>
    </row>
    <row r="2" spans="1:29" s="98" customFormat="1">
      <c r="B2" s="182"/>
      <c r="C2" s="183"/>
      <c r="D2" s="183"/>
      <c r="E2" s="183"/>
      <c r="F2" s="183"/>
      <c r="G2" s="9">
        <v>2007</v>
      </c>
      <c r="H2" s="9">
        <f t="shared" ref="H2:U2" si="0">+G2+1</f>
        <v>2008</v>
      </c>
      <c r="I2" s="9">
        <f t="shared" si="0"/>
        <v>2009</v>
      </c>
      <c r="J2" s="9">
        <f t="shared" si="0"/>
        <v>2010</v>
      </c>
      <c r="K2" s="9">
        <f t="shared" si="0"/>
        <v>2011</v>
      </c>
      <c r="L2" s="9">
        <f t="shared" si="0"/>
        <v>2012</v>
      </c>
      <c r="M2" s="9">
        <f t="shared" si="0"/>
        <v>2013</v>
      </c>
      <c r="N2" s="9">
        <v>2014</v>
      </c>
      <c r="O2" s="9">
        <f t="shared" si="0"/>
        <v>2015</v>
      </c>
      <c r="P2" s="9">
        <f t="shared" si="0"/>
        <v>2016</v>
      </c>
      <c r="Q2" s="9">
        <f t="shared" si="0"/>
        <v>2017</v>
      </c>
      <c r="R2" s="10">
        <f t="shared" si="0"/>
        <v>2018</v>
      </c>
      <c r="S2" s="10">
        <f t="shared" si="0"/>
        <v>2019</v>
      </c>
      <c r="T2" s="10">
        <f t="shared" si="0"/>
        <v>2020</v>
      </c>
      <c r="U2" s="10">
        <f t="shared" si="0"/>
        <v>2021</v>
      </c>
      <c r="V2" s="181"/>
      <c r="X2"/>
      <c r="Y2"/>
      <c r="Z2"/>
      <c r="AA2"/>
      <c r="AB2"/>
      <c r="AC2"/>
    </row>
    <row r="3" spans="1:29" s="184" customFormat="1">
      <c r="B3" s="103" t="s">
        <v>38</v>
      </c>
      <c r="G3" s="185">
        <f>+CF!G58</f>
        <v>306</v>
      </c>
      <c r="H3" s="185">
        <f>+CF!H58</f>
        <v>246.49999999999997</v>
      </c>
      <c r="I3" s="185">
        <f>+CF!I58</f>
        <v>458.5</v>
      </c>
      <c r="J3" s="185">
        <f>+CF!J58</f>
        <v>458.6</v>
      </c>
      <c r="K3" s="185">
        <f>+CF!K58</f>
        <v>304.79999999999995</v>
      </c>
      <c r="L3" s="185">
        <f>+CF!L58</f>
        <v>165.20000000000002</v>
      </c>
      <c r="M3" s="185">
        <f>+CF!M58</f>
        <v>307.8</v>
      </c>
      <c r="N3" s="185">
        <f>+CF!N58</f>
        <v>256.8</v>
      </c>
      <c r="O3" s="185">
        <f>+CF!O58</f>
        <v>392.00000000000011</v>
      </c>
      <c r="P3" s="186">
        <f>+CF!P58</f>
        <v>184.50000000000011</v>
      </c>
      <c r="Q3" s="186">
        <f ca="1">+CF!Q58</f>
        <v>218.39999999999989</v>
      </c>
      <c r="R3" s="186">
        <f ca="1">+CF!R58</f>
        <v>544.39938604356564</v>
      </c>
      <c r="S3" s="186">
        <f ca="1">+CF!S58</f>
        <v>943.95663226537181</v>
      </c>
      <c r="T3" s="186">
        <f ca="1">+CF!T58</f>
        <v>973.87757847260514</v>
      </c>
      <c r="U3" s="186">
        <f ca="1">+CF!U58</f>
        <v>1573.3201906550228</v>
      </c>
      <c r="X3"/>
      <c r="Y3"/>
      <c r="Z3"/>
      <c r="AA3"/>
      <c r="AB3"/>
      <c r="AC3"/>
    </row>
    <row r="4" spans="1:29" s="153" customFormat="1">
      <c r="B4" s="59" t="s">
        <v>270</v>
      </c>
      <c r="G4" s="155">
        <f>187.8+14.2</f>
        <v>202</v>
      </c>
      <c r="H4" s="155">
        <f>195.9+17.1</f>
        <v>213</v>
      </c>
      <c r="I4" s="155">
        <f>155.2+28.1</f>
        <v>183.29999999999998</v>
      </c>
      <c r="J4" s="155">
        <f>167.9+19</f>
        <v>186.9</v>
      </c>
      <c r="K4" s="155">
        <f>220.6+16.5</f>
        <v>237.1</v>
      </c>
      <c r="L4" s="155">
        <f>279.2+19.8</f>
        <v>299</v>
      </c>
      <c r="M4" s="155">
        <f>266.5+13.6</f>
        <v>280.10000000000002</v>
      </c>
      <c r="N4" s="155">
        <v>263.10000000000002</v>
      </c>
      <c r="O4" s="155">
        <v>783.4</v>
      </c>
      <c r="P4" s="155">
        <v>675</v>
      </c>
      <c r="Q4" s="155">
        <v>733.2</v>
      </c>
      <c r="R4" s="396">
        <f>+R46</f>
        <v>796.23349277500563</v>
      </c>
      <c r="S4" s="396">
        <f>+S46</f>
        <v>829.50996913073141</v>
      </c>
      <c r="T4" s="396">
        <f>+T46</f>
        <v>869.2368537514659</v>
      </c>
      <c r="U4" s="396">
        <f>+U46</f>
        <v>904.91116393162736</v>
      </c>
      <c r="X4"/>
      <c r="Y4"/>
      <c r="Z4"/>
      <c r="AA4"/>
      <c r="AB4"/>
      <c r="AC4"/>
    </row>
    <row r="5" spans="1:29" s="153" customFormat="1">
      <c r="B5" s="59" t="s">
        <v>271</v>
      </c>
      <c r="G5" s="155">
        <v>0</v>
      </c>
      <c r="H5" s="155">
        <v>0</v>
      </c>
      <c r="I5" s="155">
        <v>0</v>
      </c>
      <c r="J5" s="155">
        <v>6.1</v>
      </c>
      <c r="K5" s="155">
        <v>0.7</v>
      </c>
      <c r="L5" s="155">
        <v>8.1999999999999993</v>
      </c>
      <c r="M5" s="155">
        <v>1.9</v>
      </c>
      <c r="N5" s="155">
        <v>21.6</v>
      </c>
      <c r="O5" s="155">
        <v>32.9</v>
      </c>
      <c r="P5" s="155">
        <v>25.5</v>
      </c>
      <c r="Q5" s="155">
        <v>16.899999999999999</v>
      </c>
      <c r="R5" s="396">
        <f>Q5</f>
        <v>16.899999999999999</v>
      </c>
      <c r="S5" s="396">
        <f>R5</f>
        <v>16.899999999999999</v>
      </c>
      <c r="T5" s="396">
        <f>S5</f>
        <v>16.899999999999999</v>
      </c>
      <c r="U5" s="396">
        <f>T5</f>
        <v>16.899999999999999</v>
      </c>
      <c r="X5"/>
      <c r="Y5"/>
      <c r="Z5"/>
      <c r="AA5"/>
      <c r="AB5"/>
      <c r="AC5"/>
    </row>
    <row r="6" spans="1:29" s="153" customFormat="1">
      <c r="B6" s="59" t="s">
        <v>39</v>
      </c>
      <c r="G6" s="155">
        <v>106.7</v>
      </c>
      <c r="H6" s="155">
        <v>131.4</v>
      </c>
      <c r="I6" s="155">
        <v>123.8</v>
      </c>
      <c r="J6" s="155">
        <v>155.6</v>
      </c>
      <c r="K6" s="155">
        <v>176.6</v>
      </c>
      <c r="L6" s="155">
        <v>195.1</v>
      </c>
      <c r="M6" s="155">
        <v>186.5</v>
      </c>
      <c r="N6" s="155">
        <v>210.1</v>
      </c>
      <c r="O6" s="155">
        <v>685.2</v>
      </c>
      <c r="P6" s="155">
        <v>630.4</v>
      </c>
      <c r="Q6" s="155">
        <v>682.6</v>
      </c>
      <c r="R6" s="396">
        <f>+R49</f>
        <v>714.27746341376621</v>
      </c>
      <c r="S6" s="396">
        <f>+S49</f>
        <v>733.56533616514116</v>
      </c>
      <c r="T6" s="396">
        <f>+T49</f>
        <v>766.14009356750421</v>
      </c>
      <c r="U6" s="396">
        <f>+U49</f>
        <v>792.23586821229537</v>
      </c>
      <c r="X6"/>
      <c r="Y6"/>
      <c r="Z6"/>
      <c r="AA6"/>
      <c r="AB6"/>
      <c r="AC6"/>
    </row>
    <row r="7" spans="1:29" s="153" customFormat="1">
      <c r="B7" s="59" t="s">
        <v>30</v>
      </c>
      <c r="G7" s="155">
        <f>14.7+26.6+71.3</f>
        <v>112.6</v>
      </c>
      <c r="H7" s="155">
        <f>10.9+68.5</f>
        <v>79.400000000000006</v>
      </c>
      <c r="I7" s="155">
        <f>44.2+50.5</f>
        <v>94.7</v>
      </c>
      <c r="J7" s="155">
        <f>46+29.6</f>
        <v>75.599999999999994</v>
      </c>
      <c r="K7" s="155">
        <f>50.9+10.2</f>
        <v>61.099999999999994</v>
      </c>
      <c r="L7" s="155">
        <f>61.3+20.3</f>
        <v>81.599999999999994</v>
      </c>
      <c r="M7" s="155">
        <f>50.4+13.2</f>
        <v>63.599999999999994</v>
      </c>
      <c r="N7" s="155">
        <f>54.2+10.3</f>
        <v>64.5</v>
      </c>
      <c r="O7" s="155">
        <v>39.9</v>
      </c>
      <c r="P7" s="155">
        <v>30.8</v>
      </c>
      <c r="Q7" s="155">
        <v>48.1</v>
      </c>
      <c r="R7" s="396">
        <f>Q7</f>
        <v>48.1</v>
      </c>
      <c r="S7" s="396">
        <f>R7</f>
        <v>48.1</v>
      </c>
      <c r="T7" s="396">
        <f>S7</f>
        <v>48.1</v>
      </c>
      <c r="U7" s="396">
        <f>T7</f>
        <v>48.1</v>
      </c>
      <c r="X7"/>
      <c r="Y7"/>
      <c r="Z7"/>
      <c r="AA7"/>
      <c r="AB7"/>
      <c r="AC7"/>
    </row>
    <row r="8" spans="1:29" s="187" customFormat="1">
      <c r="B8" s="129" t="s">
        <v>40</v>
      </c>
      <c r="G8" s="130">
        <f t="shared" ref="G8:P8" si="1">SUM(G3:G7)</f>
        <v>727.30000000000007</v>
      </c>
      <c r="H8" s="130">
        <f t="shared" si="1"/>
        <v>670.3</v>
      </c>
      <c r="I8" s="130">
        <f t="shared" si="1"/>
        <v>860.3</v>
      </c>
      <c r="J8" s="130">
        <f t="shared" si="1"/>
        <v>882.80000000000007</v>
      </c>
      <c r="K8" s="130">
        <f t="shared" si="1"/>
        <v>780.30000000000007</v>
      </c>
      <c r="L8" s="130">
        <f t="shared" si="1"/>
        <v>749.1</v>
      </c>
      <c r="M8" s="130">
        <f t="shared" si="1"/>
        <v>839.90000000000009</v>
      </c>
      <c r="N8" s="130">
        <f t="shared" si="1"/>
        <v>816.10000000000014</v>
      </c>
      <c r="O8" s="130">
        <f t="shared" si="1"/>
        <v>1933.4000000000003</v>
      </c>
      <c r="P8" s="130">
        <f t="shared" si="1"/>
        <v>1546.2</v>
      </c>
      <c r="Q8" s="130">
        <f ca="1">SUM(Q3:Q7)</f>
        <v>1699.1999999999998</v>
      </c>
      <c r="R8" s="130">
        <f ca="1">SUM(R3:R7)</f>
        <v>2119.9103422323374</v>
      </c>
      <c r="S8" s="130">
        <f ca="1">SUM(S3:S7)</f>
        <v>2572.0319375612444</v>
      </c>
      <c r="T8" s="130">
        <f ca="1">SUM(T3:T7)</f>
        <v>2674.2545257915754</v>
      </c>
      <c r="U8" s="130">
        <f ca="1">SUM(U3:U7)</f>
        <v>3335.4672227989454</v>
      </c>
      <c r="V8" s="153"/>
      <c r="X8"/>
      <c r="Y8"/>
      <c r="Z8"/>
      <c r="AA8"/>
      <c r="AB8"/>
      <c r="AC8"/>
    </row>
    <row r="9" spans="1:29">
      <c r="G9" s="188"/>
      <c r="H9" s="188"/>
      <c r="I9" s="188"/>
      <c r="J9" s="188"/>
      <c r="K9" s="188"/>
      <c r="L9" s="188"/>
      <c r="M9" s="188"/>
      <c r="N9" s="188"/>
      <c r="O9" s="188"/>
      <c r="P9" s="188"/>
      <c r="Q9" s="188"/>
      <c r="R9" s="188"/>
      <c r="S9" s="188"/>
      <c r="T9" s="188"/>
      <c r="U9" s="188"/>
    </row>
    <row r="10" spans="1:29" s="184" customFormat="1" outlineLevel="1">
      <c r="B10" s="184" t="s">
        <v>41</v>
      </c>
      <c r="G10" s="189">
        <v>1416.2</v>
      </c>
      <c r="H10" s="189">
        <v>1585.9</v>
      </c>
      <c r="I10" s="189">
        <v>1696.7</v>
      </c>
      <c r="J10" s="189">
        <v>1743.1</v>
      </c>
      <c r="K10" s="189">
        <v>2029.4</v>
      </c>
      <c r="L10" s="189">
        <v>2198.3000000000002</v>
      </c>
      <c r="M10" s="189">
        <v>2246.9</v>
      </c>
      <c r="N10" s="189">
        <v>2261.6999999999998</v>
      </c>
      <c r="O10" s="189">
        <v>5452.8</v>
      </c>
      <c r="P10" s="189">
        <v>5596.5</v>
      </c>
      <c r="Q10" s="512">
        <f>Q12-Q11</f>
        <v>5908.9</v>
      </c>
      <c r="R10" s="414">
        <f>+R67</f>
        <v>6308.9</v>
      </c>
      <c r="S10" s="414">
        <f>+S67</f>
        <v>6678.9</v>
      </c>
      <c r="T10" s="414">
        <f>+T67</f>
        <v>7023.9</v>
      </c>
      <c r="U10" s="414">
        <f>+U67</f>
        <v>7323.9</v>
      </c>
      <c r="X10"/>
      <c r="Y10"/>
      <c r="Z10"/>
      <c r="AA10"/>
      <c r="AB10"/>
      <c r="AC10"/>
    </row>
    <row r="11" spans="1:29" s="153" customFormat="1" outlineLevel="1">
      <c r="B11" s="153" t="s">
        <v>42</v>
      </c>
      <c r="G11" s="190">
        <v>-912.6</v>
      </c>
      <c r="H11" s="190">
        <v>-956</v>
      </c>
      <c r="I11" s="190">
        <v>-1001.3</v>
      </c>
      <c r="J11" s="190">
        <v>-1068.0999999999999</v>
      </c>
      <c r="K11" s="190">
        <v>-1144</v>
      </c>
      <c r="L11" s="190">
        <v>-1164</v>
      </c>
      <c r="M11" s="190">
        <v>-1259.0999999999999</v>
      </c>
      <c r="N11" s="190">
        <v>-1330.7</v>
      </c>
      <c r="O11" s="190">
        <v>-1499.4</v>
      </c>
      <c r="P11" s="190">
        <v>-1891.6</v>
      </c>
      <c r="Q11" s="190">
        <v>-2333.1</v>
      </c>
      <c r="R11" s="485">
        <f ca="1">-R72</f>
        <v>-2847</v>
      </c>
      <c r="S11" s="485">
        <f t="shared" ref="S11:U11" ca="1" si="2">-S72</f>
        <v>-3377.8230538100406</v>
      </c>
      <c r="T11" s="485">
        <f t="shared" ca="1" si="2"/>
        <v>-3919.6604579950722</v>
      </c>
      <c r="U11" s="485">
        <f t="shared" ca="1" si="2"/>
        <v>-4472.7234042027349</v>
      </c>
      <c r="X11"/>
      <c r="Y11"/>
      <c r="Z11"/>
      <c r="AA11"/>
      <c r="AB11"/>
      <c r="AC11"/>
    </row>
    <row r="12" spans="1:29" s="184" customFormat="1">
      <c r="B12" s="103" t="s">
        <v>43</v>
      </c>
      <c r="G12" s="184">
        <f t="shared" ref="G12:T12" si="3">+G11+G10</f>
        <v>503.6</v>
      </c>
      <c r="H12" s="184">
        <f t="shared" si="3"/>
        <v>629.90000000000009</v>
      </c>
      <c r="I12" s="184">
        <f t="shared" si="3"/>
        <v>695.40000000000009</v>
      </c>
      <c r="J12" s="184">
        <f t="shared" si="3"/>
        <v>675</v>
      </c>
      <c r="K12" s="184">
        <f t="shared" si="3"/>
        <v>885.40000000000009</v>
      </c>
      <c r="L12" s="184">
        <f t="shared" si="3"/>
        <v>1034.3000000000002</v>
      </c>
      <c r="M12" s="184">
        <f t="shared" si="3"/>
        <v>987.80000000000018</v>
      </c>
      <c r="N12" s="184">
        <f t="shared" si="3"/>
        <v>930.99999999999977</v>
      </c>
      <c r="O12" s="184">
        <f t="shared" si="3"/>
        <v>3953.4</v>
      </c>
      <c r="P12" s="184">
        <f t="shared" si="3"/>
        <v>3704.9</v>
      </c>
      <c r="Q12" s="189">
        <v>3575.8</v>
      </c>
      <c r="R12" s="184">
        <f t="shared" ca="1" si="3"/>
        <v>3461.8999999999996</v>
      </c>
      <c r="S12" s="184">
        <f t="shared" ca="1" si="3"/>
        <v>3301.076946189959</v>
      </c>
      <c r="T12" s="184">
        <f t="shared" ca="1" si="3"/>
        <v>3104.2395420049274</v>
      </c>
      <c r="U12" s="184">
        <f ca="1">+U11+U10</f>
        <v>2851.1765957972648</v>
      </c>
      <c r="X12"/>
      <c r="Y12"/>
      <c r="Z12"/>
      <c r="AA12"/>
      <c r="AB12"/>
      <c r="AC12"/>
    </row>
    <row r="13" spans="1:29" s="184" customFormat="1">
      <c r="B13" s="103" t="s">
        <v>116</v>
      </c>
      <c r="G13" s="189">
        <v>0</v>
      </c>
      <c r="H13" s="189">
        <v>48.4</v>
      </c>
      <c r="I13" s="189">
        <v>0</v>
      </c>
      <c r="J13" s="189">
        <v>0</v>
      </c>
      <c r="K13" s="189">
        <v>0</v>
      </c>
      <c r="L13" s="189">
        <v>9.1</v>
      </c>
      <c r="M13" s="189">
        <v>9</v>
      </c>
      <c r="N13" s="189">
        <v>12.5</v>
      </c>
      <c r="O13" s="189">
        <v>95.9</v>
      </c>
      <c r="P13" s="189">
        <v>119.5</v>
      </c>
      <c r="Q13" s="189">
        <v>36.4</v>
      </c>
      <c r="R13" s="414">
        <f>Q13</f>
        <v>36.4</v>
      </c>
      <c r="S13" s="414">
        <f>R13</f>
        <v>36.4</v>
      </c>
      <c r="T13" s="414">
        <f>S13</f>
        <v>36.4</v>
      </c>
      <c r="U13" s="414">
        <f>T13</f>
        <v>36.4</v>
      </c>
      <c r="X13"/>
      <c r="Y13"/>
      <c r="Z13"/>
      <c r="AA13"/>
      <c r="AB13"/>
      <c r="AC13"/>
    </row>
    <row r="14" spans="1:29" s="184" customFormat="1">
      <c r="B14" s="103" t="s">
        <v>46</v>
      </c>
      <c r="G14" s="189">
        <f>58.9+139.7</f>
        <v>198.6</v>
      </c>
      <c r="H14" s="189">
        <v>70.8</v>
      </c>
      <c r="I14" s="189">
        <f>71+5</f>
        <v>76</v>
      </c>
      <c r="J14" s="189">
        <f>72.3+16.3+102</f>
        <v>190.6</v>
      </c>
      <c r="K14" s="189">
        <f>85.6+19.2+51.7</f>
        <v>156.5</v>
      </c>
      <c r="L14" s="189">
        <f>224.1+2.1+11.9</f>
        <v>238.1</v>
      </c>
      <c r="M14" s="189">
        <f>213.1+4.2+1.7</f>
        <v>218.99999999999997</v>
      </c>
      <c r="N14" s="189">
        <v>67.900000000000006</v>
      </c>
      <c r="O14" s="189">
        <v>454.6</v>
      </c>
      <c r="P14" s="189">
        <v>644.4</v>
      </c>
      <c r="Q14" s="189">
        <v>1208.4000000000001</v>
      </c>
      <c r="R14" s="186">
        <f>Q14-CF!R34-CF!R37-CF!R38-CF!R39</f>
        <v>1208.4000000000001</v>
      </c>
      <c r="S14" s="186">
        <f>R14-CF!S34-CF!S37-CF!S38-CF!S39</f>
        <v>1208.4000000000001</v>
      </c>
      <c r="T14" s="186">
        <f>S14-CF!T34-CF!T37-CF!T38-CF!T39</f>
        <v>1658.4</v>
      </c>
      <c r="U14" s="186">
        <f>T14-CF!U34-CF!U37-CF!U38-CF!U39</f>
        <v>1658.4</v>
      </c>
      <c r="X14"/>
      <c r="Y14"/>
      <c r="Z14"/>
      <c r="AA14"/>
      <c r="AB14"/>
      <c r="AC14"/>
    </row>
    <row r="15" spans="1:29" s="184" customFormat="1">
      <c r="B15" s="103" t="s">
        <v>45</v>
      </c>
      <c r="G15" s="189">
        <v>0</v>
      </c>
      <c r="H15" s="189">
        <v>0</v>
      </c>
      <c r="I15" s="189">
        <v>0</v>
      </c>
      <c r="J15" s="189">
        <v>0</v>
      </c>
      <c r="K15" s="189">
        <v>0</v>
      </c>
      <c r="L15" s="189">
        <v>0</v>
      </c>
      <c r="M15" s="189">
        <v>0</v>
      </c>
      <c r="N15" s="189">
        <v>123.5</v>
      </c>
      <c r="O15" s="189">
        <v>677.5</v>
      </c>
      <c r="P15" s="189">
        <v>629.6</v>
      </c>
      <c r="Q15" s="189">
        <v>578.5</v>
      </c>
      <c r="R15" s="414">
        <f ca="1">R94</f>
        <v>527.4</v>
      </c>
      <c r="S15" s="414">
        <f ca="1">S94</f>
        <v>476.29999999999995</v>
      </c>
      <c r="T15" s="414">
        <f ca="1">T94</f>
        <v>425.19999999999993</v>
      </c>
      <c r="U15" s="414">
        <f ca="1">U94</f>
        <v>374.09999999999991</v>
      </c>
      <c r="X15"/>
      <c r="Y15"/>
      <c r="Z15"/>
      <c r="AA15"/>
      <c r="AB15"/>
      <c r="AC15"/>
    </row>
    <row r="16" spans="1:29" s="184" customFormat="1">
      <c r="B16" s="103" t="s">
        <v>44</v>
      </c>
      <c r="C16" s="103"/>
      <c r="D16" s="103"/>
      <c r="E16" s="103"/>
      <c r="G16" s="189">
        <v>301.89999999999998</v>
      </c>
      <c r="H16" s="189">
        <v>300.3</v>
      </c>
      <c r="I16" s="189">
        <v>300.3</v>
      </c>
      <c r="J16" s="189">
        <v>300.3</v>
      </c>
      <c r="K16" s="189">
        <v>627.4</v>
      </c>
      <c r="L16" s="189">
        <v>747.1</v>
      </c>
      <c r="M16" s="189">
        <v>747.1</v>
      </c>
      <c r="N16" s="189">
        <v>747.1</v>
      </c>
      <c r="O16" s="189">
        <v>2174.1</v>
      </c>
      <c r="P16" s="189">
        <v>2118</v>
      </c>
      <c r="Q16" s="189">
        <v>2120</v>
      </c>
      <c r="R16" s="414">
        <f>Q16</f>
        <v>2120</v>
      </c>
      <c r="S16" s="414">
        <f>R16</f>
        <v>2120</v>
      </c>
      <c r="T16" s="414">
        <f>S16</f>
        <v>2120</v>
      </c>
      <c r="U16" s="414">
        <f>T16</f>
        <v>2120</v>
      </c>
      <c r="X16"/>
      <c r="Y16"/>
      <c r="Z16"/>
      <c r="AA16"/>
      <c r="AB16"/>
      <c r="AC16"/>
    </row>
    <row r="17" spans="2:29" s="192" customFormat="1">
      <c r="B17" s="106" t="s">
        <v>50</v>
      </c>
      <c r="C17" s="106"/>
      <c r="D17" s="106"/>
      <c r="E17" s="106"/>
      <c r="F17" s="193"/>
      <c r="G17" s="110">
        <f t="shared" ref="G17:T17" si="4">SUM(G8,G12:G16)</f>
        <v>1731.4</v>
      </c>
      <c r="H17" s="110">
        <f t="shared" si="4"/>
        <v>1719.7</v>
      </c>
      <c r="I17" s="110">
        <f t="shared" si="4"/>
        <v>1932</v>
      </c>
      <c r="J17" s="110">
        <f t="shared" si="4"/>
        <v>2048.7000000000003</v>
      </c>
      <c r="K17" s="110">
        <f t="shared" si="4"/>
        <v>2449.6000000000004</v>
      </c>
      <c r="L17" s="110">
        <f t="shared" si="4"/>
        <v>2777.7</v>
      </c>
      <c r="M17" s="110">
        <f t="shared" si="4"/>
        <v>2802.8</v>
      </c>
      <c r="N17" s="110">
        <f t="shared" si="4"/>
        <v>2698.1</v>
      </c>
      <c r="O17" s="110">
        <f t="shared" si="4"/>
        <v>9288.9</v>
      </c>
      <c r="P17" s="110">
        <f t="shared" si="4"/>
        <v>8762.6</v>
      </c>
      <c r="Q17" s="110">
        <f t="shared" ca="1" si="4"/>
        <v>9218.2999999999993</v>
      </c>
      <c r="R17" s="110">
        <f t="shared" ca="1" si="4"/>
        <v>9474.0103422323355</v>
      </c>
      <c r="S17" s="110">
        <f t="shared" ca="1" si="4"/>
        <v>9714.2088837512019</v>
      </c>
      <c r="T17" s="110">
        <f t="shared" ca="1" si="4"/>
        <v>10018.494067796502</v>
      </c>
      <c r="U17" s="110">
        <f ca="1">SUM(U8,U12:U16)</f>
        <v>10375.54381859621</v>
      </c>
      <c r="V17" s="184"/>
      <c r="X17"/>
      <c r="Y17"/>
      <c r="Z17"/>
      <c r="AA17"/>
      <c r="AB17"/>
      <c r="AC17"/>
    </row>
    <row r="18" spans="2:29">
      <c r="G18" s="188"/>
      <c r="H18" s="188"/>
      <c r="I18" s="188"/>
      <c r="J18" s="188"/>
      <c r="K18" s="188"/>
      <c r="L18" s="188"/>
      <c r="M18" s="188"/>
      <c r="N18" s="188"/>
      <c r="O18" s="188"/>
      <c r="P18" s="188"/>
      <c r="Q18" s="188"/>
      <c r="R18" s="188"/>
      <c r="S18" s="188"/>
      <c r="T18" s="188"/>
      <c r="U18" s="188"/>
    </row>
    <row r="19" spans="2:29" s="153" customFormat="1">
      <c r="B19" s="59" t="s">
        <v>275</v>
      </c>
      <c r="G19" s="155">
        <v>9.8000000000000007</v>
      </c>
      <c r="H19" s="155">
        <v>0</v>
      </c>
      <c r="I19" s="155">
        <v>0</v>
      </c>
      <c r="J19" s="155">
        <v>77.8</v>
      </c>
      <c r="K19" s="155">
        <v>12.2</v>
      </c>
      <c r="L19" s="155">
        <v>23.6</v>
      </c>
      <c r="M19" s="155">
        <v>12.6</v>
      </c>
      <c r="N19" s="155">
        <v>16.399999999999999</v>
      </c>
      <c r="O19" s="155">
        <v>205</v>
      </c>
      <c r="P19" s="155">
        <v>80.5</v>
      </c>
      <c r="Q19" s="155">
        <v>0.7</v>
      </c>
      <c r="R19" s="194">
        <f>Q19</f>
        <v>0.7</v>
      </c>
      <c r="S19" s="194">
        <f>R19</f>
        <v>0.7</v>
      </c>
      <c r="T19" s="194">
        <f>S19</f>
        <v>0.7</v>
      </c>
      <c r="U19" s="194">
        <f>T19</f>
        <v>0.7</v>
      </c>
      <c r="X19"/>
      <c r="Y19"/>
      <c r="Z19"/>
      <c r="AA19"/>
      <c r="AB19"/>
      <c r="AC19"/>
    </row>
    <row r="20" spans="2:29" s="153" customFormat="1">
      <c r="B20" s="59" t="s">
        <v>47</v>
      </c>
      <c r="G20" s="155">
        <v>150.6</v>
      </c>
      <c r="H20" s="155">
        <v>145.6</v>
      </c>
      <c r="I20" s="155">
        <v>117.8</v>
      </c>
      <c r="J20" s="155">
        <v>115.5</v>
      </c>
      <c r="K20" s="155">
        <v>149.69999999999999</v>
      </c>
      <c r="L20" s="155">
        <v>174.3</v>
      </c>
      <c r="M20" s="155">
        <v>148.69999999999999</v>
      </c>
      <c r="N20" s="155">
        <v>146.80000000000001</v>
      </c>
      <c r="O20" s="155">
        <v>608.20000000000005</v>
      </c>
      <c r="P20" s="155">
        <v>570.79999999999995</v>
      </c>
      <c r="Q20" s="155">
        <v>669.8</v>
      </c>
      <c r="R20" s="396">
        <f>+R52</f>
        <v>712.73813198284734</v>
      </c>
      <c r="S20" s="396">
        <f>+S52</f>
        <v>731.98443765380546</v>
      </c>
      <c r="T20" s="396">
        <f>+T52</f>
        <v>764.48899355816184</v>
      </c>
      <c r="U20" s="396">
        <f>+U52</f>
        <v>790.52852948875238</v>
      </c>
      <c r="X20"/>
      <c r="Y20"/>
      <c r="Z20"/>
      <c r="AA20"/>
      <c r="AB20"/>
      <c r="AC20"/>
    </row>
    <row r="21" spans="2:29" s="153" customFormat="1">
      <c r="B21" s="59" t="s">
        <v>274</v>
      </c>
      <c r="G21" s="155">
        <v>3.1</v>
      </c>
      <c r="H21" s="155">
        <v>0.6</v>
      </c>
      <c r="I21" s="155">
        <v>0</v>
      </c>
      <c r="J21" s="155">
        <v>0</v>
      </c>
      <c r="K21" s="155">
        <v>0</v>
      </c>
      <c r="L21" s="155">
        <v>7.6</v>
      </c>
      <c r="M21" s="155">
        <v>1.7</v>
      </c>
      <c r="N21" s="155">
        <v>0.2</v>
      </c>
      <c r="O21" s="155">
        <v>4.9000000000000004</v>
      </c>
      <c r="P21" s="155">
        <v>7.5</v>
      </c>
      <c r="Q21" s="155">
        <v>9.4</v>
      </c>
      <c r="R21" s="396">
        <f t="shared" ref="R21:U22" si="5">Q21</f>
        <v>9.4</v>
      </c>
      <c r="S21" s="396">
        <f t="shared" si="5"/>
        <v>9.4</v>
      </c>
      <c r="T21" s="396">
        <f t="shared" si="5"/>
        <v>9.4</v>
      </c>
      <c r="U21" s="396">
        <f t="shared" si="5"/>
        <v>9.4</v>
      </c>
      <c r="X21"/>
      <c r="Y21"/>
      <c r="Z21"/>
      <c r="AA21"/>
      <c r="AB21"/>
      <c r="AC21"/>
    </row>
    <row r="22" spans="2:29" s="153" customFormat="1">
      <c r="B22" s="59" t="s">
        <v>276</v>
      </c>
      <c r="G22" s="155">
        <v>244.7</v>
      </c>
      <c r="H22" s="155">
        <v>253.6</v>
      </c>
      <c r="I22" s="155">
        <v>193.1</v>
      </c>
      <c r="J22" s="155">
        <v>197.7</v>
      </c>
      <c r="K22" s="155">
        <v>237.2</v>
      </c>
      <c r="L22" s="155">
        <v>228.5</v>
      </c>
      <c r="M22" s="155">
        <v>244.5</v>
      </c>
      <c r="N22" s="155">
        <v>214.3</v>
      </c>
      <c r="O22" s="155">
        <v>328.1</v>
      </c>
      <c r="P22" s="155">
        <v>263.8</v>
      </c>
      <c r="Q22" s="155">
        <v>274.39999999999998</v>
      </c>
      <c r="R22" s="396">
        <f t="shared" si="5"/>
        <v>274.39999999999998</v>
      </c>
      <c r="S22" s="396">
        <f t="shared" si="5"/>
        <v>274.39999999999998</v>
      </c>
      <c r="T22" s="396">
        <f t="shared" si="5"/>
        <v>274.39999999999998</v>
      </c>
      <c r="U22" s="396">
        <f t="shared" si="5"/>
        <v>274.39999999999998</v>
      </c>
      <c r="X22"/>
      <c r="Y22"/>
      <c r="Z22"/>
      <c r="AA22"/>
      <c r="AB22"/>
      <c r="AC22"/>
    </row>
    <row r="23" spans="2:29" s="187" customFormat="1">
      <c r="B23" s="129" t="s">
        <v>203</v>
      </c>
      <c r="G23" s="130">
        <f>SUM(G19:G22)</f>
        <v>408.2</v>
      </c>
      <c r="H23" s="130">
        <f t="shared" ref="H23:T23" si="6">SUM(H19:H22)</f>
        <v>399.79999999999995</v>
      </c>
      <c r="I23" s="130">
        <f t="shared" si="6"/>
        <v>310.89999999999998</v>
      </c>
      <c r="J23" s="130">
        <f t="shared" si="6"/>
        <v>391</v>
      </c>
      <c r="K23" s="130">
        <f t="shared" si="6"/>
        <v>399.09999999999997</v>
      </c>
      <c r="L23" s="130">
        <f t="shared" si="6"/>
        <v>434</v>
      </c>
      <c r="M23" s="130">
        <f t="shared" si="6"/>
        <v>407.5</v>
      </c>
      <c r="N23" s="130">
        <f t="shared" si="6"/>
        <v>377.70000000000005</v>
      </c>
      <c r="O23" s="130">
        <f t="shared" si="6"/>
        <v>1146.2</v>
      </c>
      <c r="P23" s="130">
        <f t="shared" si="6"/>
        <v>922.59999999999991</v>
      </c>
      <c r="Q23" s="130">
        <f t="shared" si="6"/>
        <v>954.3</v>
      </c>
      <c r="R23" s="130">
        <f t="shared" si="6"/>
        <v>997.23813198284734</v>
      </c>
      <c r="S23" s="130">
        <f t="shared" si="6"/>
        <v>1016.4844376538055</v>
      </c>
      <c r="T23" s="130">
        <f t="shared" si="6"/>
        <v>1048.9889935581618</v>
      </c>
      <c r="U23" s="130">
        <f>SUM(U19:U22)</f>
        <v>1075.0285294887524</v>
      </c>
      <c r="V23" s="153"/>
      <c r="X23"/>
      <c r="Y23"/>
      <c r="Z23"/>
      <c r="AA23"/>
      <c r="AB23"/>
      <c r="AC23"/>
    </row>
    <row r="24" spans="2:29">
      <c r="G24" s="188"/>
      <c r="H24" s="188"/>
      <c r="I24" s="188"/>
      <c r="J24" s="188"/>
      <c r="K24" s="188"/>
      <c r="L24" s="188"/>
      <c r="M24" s="188"/>
      <c r="N24" s="188"/>
      <c r="O24" s="188"/>
      <c r="P24" s="188"/>
      <c r="Q24" s="188"/>
      <c r="R24" s="188"/>
      <c r="S24" s="188"/>
      <c r="T24" s="188"/>
      <c r="U24" s="188"/>
    </row>
    <row r="25" spans="2:29" s="153" customFormat="1">
      <c r="B25" s="59" t="s">
        <v>272</v>
      </c>
      <c r="G25" s="155">
        <v>249.2</v>
      </c>
      <c r="H25" s="155">
        <v>252.4</v>
      </c>
      <c r="I25" s="155">
        <v>398.4</v>
      </c>
      <c r="J25" s="155">
        <v>418.2</v>
      </c>
      <c r="K25" s="155">
        <v>524.20000000000005</v>
      </c>
      <c r="L25" s="155">
        <v>690.1</v>
      </c>
      <c r="M25" s="155">
        <v>678.4</v>
      </c>
      <c r="N25" s="155">
        <v>658.7</v>
      </c>
      <c r="O25" s="155">
        <v>3643.8</v>
      </c>
      <c r="P25" s="155">
        <v>3537.1</v>
      </c>
      <c r="Q25" s="155">
        <v>3611.3</v>
      </c>
      <c r="R25" s="194">
        <f>Q25+CF!R43+CF!R44-(R19-Q19)</f>
        <v>3611.3</v>
      </c>
      <c r="S25" s="194">
        <f>R25+CF!S43+CF!S44-(S19-R19)</f>
        <v>3516.7687500000002</v>
      </c>
      <c r="T25" s="194">
        <f>S25+CF!T43+CF!T44-(T19-S19)</f>
        <v>3405.05</v>
      </c>
      <c r="U25" s="194">
        <f>T25+CF!U43+CF!U44-(U19-T19)</f>
        <v>3267.55</v>
      </c>
      <c r="X25"/>
      <c r="Y25"/>
      <c r="Z25"/>
      <c r="AA25"/>
      <c r="AB25"/>
      <c r="AC25"/>
    </row>
    <row r="26" spans="2:29" s="153" customFormat="1">
      <c r="B26" s="59" t="s">
        <v>273</v>
      </c>
      <c r="G26" s="155">
        <v>50.5</v>
      </c>
      <c r="H26" s="155">
        <v>51.5</v>
      </c>
      <c r="I26" s="155">
        <v>56.6</v>
      </c>
      <c r="J26" s="155">
        <v>58.6</v>
      </c>
      <c r="K26" s="155">
        <v>59.1</v>
      </c>
      <c r="L26" s="155">
        <v>164.3</v>
      </c>
      <c r="M26" s="155">
        <v>115.4</v>
      </c>
      <c r="N26" s="155">
        <v>182</v>
      </c>
      <c r="O26" s="155">
        <v>648.9</v>
      </c>
      <c r="P26" s="155">
        <v>638.1</v>
      </c>
      <c r="Q26" s="155">
        <v>635.9</v>
      </c>
      <c r="R26" s="194">
        <f>Q26+CF!R14</f>
        <v>635.9</v>
      </c>
      <c r="S26" s="194">
        <f>R26+CF!S14</f>
        <v>635.9</v>
      </c>
      <c r="T26" s="194">
        <f>S26+CF!T14</f>
        <v>635.9</v>
      </c>
      <c r="U26" s="194">
        <f>T26+CF!U14</f>
        <v>635.9</v>
      </c>
      <c r="X26"/>
      <c r="Y26"/>
      <c r="Z26"/>
      <c r="AA26"/>
      <c r="AB26"/>
      <c r="AC26"/>
    </row>
    <row r="27" spans="2:29" s="153" customFormat="1">
      <c r="B27" s="59" t="s">
        <v>116</v>
      </c>
      <c r="G27" s="155">
        <v>30</v>
      </c>
      <c r="H27" s="155">
        <v>6.5</v>
      </c>
      <c r="I27" s="155">
        <v>25.8</v>
      </c>
      <c r="J27" s="155">
        <v>23.5</v>
      </c>
      <c r="K27" s="155">
        <v>99.6</v>
      </c>
      <c r="L27" s="155">
        <v>110.4</v>
      </c>
      <c r="M27" s="155">
        <v>117.6</v>
      </c>
      <c r="N27" s="155">
        <v>107.1</v>
      </c>
      <c r="O27" s="155">
        <v>1095.2</v>
      </c>
      <c r="P27" s="155">
        <v>1032.5</v>
      </c>
      <c r="Q27" s="155">
        <v>511.2</v>
      </c>
      <c r="R27" s="194">
        <f>Q27+CF!R12</f>
        <v>566.18805256237249</v>
      </c>
      <c r="S27" s="194">
        <f>R27+CF!S12</f>
        <v>604.47564218490959</v>
      </c>
      <c r="T27" s="194">
        <f>S27+CF!T12</f>
        <v>651.42376747044977</v>
      </c>
      <c r="U27" s="194">
        <f>T27+CF!U12</f>
        <v>708.57742336764227</v>
      </c>
      <c r="X27"/>
      <c r="Y27"/>
      <c r="Z27"/>
      <c r="AA27"/>
      <c r="AB27"/>
      <c r="AC27"/>
    </row>
    <row r="28" spans="2:29" s="153" customFormat="1">
      <c r="B28" s="59" t="s">
        <v>115</v>
      </c>
      <c r="G28" s="155">
        <v>329.8</v>
      </c>
      <c r="H28" s="155">
        <v>304.5</v>
      </c>
      <c r="I28" s="155">
        <v>318</v>
      </c>
      <c r="J28" s="155">
        <v>327.10000000000002</v>
      </c>
      <c r="K28" s="155">
        <v>381.8</v>
      </c>
      <c r="L28" s="155">
        <v>380.5</v>
      </c>
      <c r="M28" s="155">
        <v>382.8</v>
      </c>
      <c r="N28" s="155">
        <v>359.3</v>
      </c>
      <c r="O28" s="155">
        <v>336</v>
      </c>
      <c r="P28" s="155">
        <v>359.3</v>
      </c>
      <c r="Q28" s="155">
        <v>751.9</v>
      </c>
      <c r="R28" s="194">
        <f>+Q28</f>
        <v>751.9</v>
      </c>
      <c r="S28" s="194">
        <f>+R28</f>
        <v>751.9</v>
      </c>
      <c r="T28" s="194">
        <f>+S28</f>
        <v>751.9</v>
      </c>
      <c r="U28" s="194">
        <f>+T28</f>
        <v>751.9</v>
      </c>
      <c r="X28"/>
      <c r="Y28"/>
      <c r="Z28"/>
      <c r="AA28"/>
      <c r="AB28"/>
      <c r="AC28"/>
    </row>
    <row r="29" spans="2:29" s="187" customFormat="1">
      <c r="B29" s="195" t="s">
        <v>51</v>
      </c>
      <c r="C29" s="196"/>
      <c r="D29" s="196"/>
      <c r="E29" s="196"/>
      <c r="F29" s="196"/>
      <c r="G29" s="197">
        <f t="shared" ref="G29:T29" si="7">SUM(G25:G28,G23)</f>
        <v>1067.7</v>
      </c>
      <c r="H29" s="197">
        <f t="shared" si="7"/>
        <v>1014.6999999999999</v>
      </c>
      <c r="I29" s="197">
        <f t="shared" si="7"/>
        <v>1109.6999999999998</v>
      </c>
      <c r="J29" s="197">
        <f>SUM(J25:J28,J23)</f>
        <v>1218.4000000000001</v>
      </c>
      <c r="K29" s="197">
        <f>SUM(K25:K28,K23)</f>
        <v>1463.8</v>
      </c>
      <c r="L29" s="197">
        <f t="shared" si="7"/>
        <v>1779.3000000000002</v>
      </c>
      <c r="M29" s="197">
        <f t="shared" si="7"/>
        <v>1701.7</v>
      </c>
      <c r="N29" s="197">
        <f t="shared" si="7"/>
        <v>1684.8000000000002</v>
      </c>
      <c r="O29" s="197">
        <f t="shared" si="7"/>
        <v>6870.0999999999995</v>
      </c>
      <c r="P29" s="197">
        <f t="shared" si="7"/>
        <v>6489.6</v>
      </c>
      <c r="Q29" s="197">
        <f t="shared" si="7"/>
        <v>6464.5999999999995</v>
      </c>
      <c r="R29" s="197">
        <f t="shared" si="7"/>
        <v>6562.5261845452196</v>
      </c>
      <c r="S29" s="197">
        <f t="shared" si="7"/>
        <v>6525.528829838715</v>
      </c>
      <c r="T29" s="197">
        <f t="shared" si="7"/>
        <v>6493.2627610286108</v>
      </c>
      <c r="U29" s="197">
        <f>SUM(U25:U28,U23)</f>
        <v>6438.955952856395</v>
      </c>
      <c r="V29" s="153"/>
      <c r="X29"/>
      <c r="Y29"/>
      <c r="Z29"/>
      <c r="AA29"/>
      <c r="AB29"/>
      <c r="AC29"/>
    </row>
    <row r="30" spans="2:29">
      <c r="G30" s="188"/>
      <c r="H30" s="188"/>
      <c r="I30" s="188"/>
      <c r="J30" s="188"/>
      <c r="K30" s="188"/>
      <c r="L30" s="188"/>
      <c r="M30" s="188"/>
      <c r="N30" s="188"/>
      <c r="O30" s="188"/>
      <c r="P30" s="188"/>
      <c r="Q30" s="188"/>
      <c r="R30" s="188"/>
      <c r="S30" s="188"/>
      <c r="T30" s="188"/>
      <c r="U30" s="188"/>
    </row>
    <row r="31" spans="2:29">
      <c r="B31" s="13" t="s">
        <v>24</v>
      </c>
      <c r="G31" s="188"/>
      <c r="H31" s="188"/>
      <c r="I31" s="188"/>
      <c r="J31" s="188"/>
      <c r="K31" s="188"/>
      <c r="L31" s="188"/>
      <c r="M31" s="188"/>
      <c r="N31" s="188"/>
      <c r="O31" s="188"/>
      <c r="P31" s="188"/>
      <c r="Q31" s="188"/>
      <c r="R31" s="188"/>
      <c r="S31" s="188"/>
      <c r="T31" s="188"/>
      <c r="U31" s="188"/>
    </row>
    <row r="32" spans="2:29" s="153" customFormat="1">
      <c r="B32" s="59" t="s">
        <v>144</v>
      </c>
      <c r="G32" s="155">
        <v>74.5</v>
      </c>
      <c r="H32" s="155">
        <v>77.3</v>
      </c>
      <c r="I32" s="155">
        <v>78.7</v>
      </c>
      <c r="J32" s="155">
        <v>79.599999999999994</v>
      </c>
      <c r="K32" s="155">
        <v>80.099999999999994</v>
      </c>
      <c r="L32" s="155">
        <v>80.2</v>
      </c>
      <c r="M32" s="155">
        <v>79.400000000000006</v>
      </c>
      <c r="N32" s="155">
        <v>77.400000000000006</v>
      </c>
      <c r="O32" s="155">
        <v>165.1</v>
      </c>
      <c r="P32" s="155">
        <v>165.4</v>
      </c>
      <c r="Q32" s="155">
        <v>167.1</v>
      </c>
      <c r="R32" s="396">
        <f>+Q32</f>
        <v>167.1</v>
      </c>
      <c r="S32" s="396">
        <f>+R32</f>
        <v>167.1</v>
      </c>
      <c r="T32" s="396">
        <f>+S32</f>
        <v>167.1</v>
      </c>
      <c r="U32" s="396">
        <f>+T32</f>
        <v>167.1</v>
      </c>
      <c r="X32"/>
      <c r="Y32"/>
      <c r="Z32"/>
      <c r="AA32"/>
      <c r="AB32"/>
      <c r="AC32"/>
    </row>
    <row r="33" spans="1:29" s="153" customFormat="1">
      <c r="B33" s="59" t="s">
        <v>1</v>
      </c>
      <c r="G33" s="155">
        <v>742</v>
      </c>
      <c r="H33" s="155">
        <v>801.6</v>
      </c>
      <c r="I33" s="155">
        <v>823.1</v>
      </c>
      <c r="J33" s="155">
        <v>842.3</v>
      </c>
      <c r="K33" s="155">
        <v>852</v>
      </c>
      <c r="L33" s="155">
        <v>856.1</v>
      </c>
      <c r="M33" s="155">
        <v>838.8</v>
      </c>
      <c r="N33" s="155">
        <v>788.3</v>
      </c>
      <c r="O33" s="155">
        <v>2236.4</v>
      </c>
      <c r="P33" s="155">
        <v>2243.8000000000002</v>
      </c>
      <c r="Q33" s="155">
        <v>2280.9</v>
      </c>
      <c r="R33" s="194">
        <f>+Q33+CF!R15+CF!R46+CF!R48+CF!R49</f>
        <v>2250.9</v>
      </c>
      <c r="S33" s="194">
        <f>+R33+CF!S15+CF!S46+CF!S48+CF!S49</f>
        <v>2220.9</v>
      </c>
      <c r="T33" s="194">
        <f>+S33+CF!T15+CF!T46+CF!T48+CF!T49</f>
        <v>2190.9</v>
      </c>
      <c r="U33" s="194">
        <f>+T33+CF!U15+CF!U46+CF!U48+CF!U49</f>
        <v>2160.9</v>
      </c>
      <c r="X33"/>
      <c r="Y33"/>
      <c r="Z33"/>
      <c r="AA33"/>
      <c r="AB33"/>
      <c r="AC33"/>
    </row>
    <row r="34" spans="1:29" s="153" customFormat="1">
      <c r="B34" s="59" t="s">
        <v>2</v>
      </c>
      <c r="G34" s="155">
        <v>-151.19999999999999</v>
      </c>
      <c r="H34" s="155">
        <v>-269.39999999999998</v>
      </c>
      <c r="I34" s="155">
        <v>-248.2</v>
      </c>
      <c r="J34" s="155">
        <v>-261.8</v>
      </c>
      <c r="K34" s="155">
        <v>-294.2</v>
      </c>
      <c r="L34" s="155">
        <v>-371.3</v>
      </c>
      <c r="M34" s="155">
        <v>-365.1</v>
      </c>
      <c r="N34" s="155">
        <v>-443.1</v>
      </c>
      <c r="O34" s="155">
        <v>-492.5</v>
      </c>
      <c r="P34" s="155">
        <v>-510</v>
      </c>
      <c r="Q34" s="155">
        <v>-484.6</v>
      </c>
      <c r="R34" s="194">
        <f>Q34+CF!R8+CF!R9+CF!R6+CF!R51</f>
        <v>-477.6</v>
      </c>
      <c r="S34" s="194">
        <f>R34+CF!S8+CF!S9+CF!S6+CF!S51</f>
        <v>-470.6</v>
      </c>
      <c r="T34" s="194">
        <f>S34+CF!T8+CF!T9+CF!T6+CF!T51</f>
        <v>-463.6</v>
      </c>
      <c r="U34" s="194">
        <f>T34+CF!U8+CF!U9+CF!U6+CF!U51</f>
        <v>-456.6</v>
      </c>
      <c r="X34"/>
      <c r="Y34"/>
      <c r="Z34"/>
      <c r="AA34"/>
      <c r="AB34"/>
      <c r="AC34"/>
    </row>
    <row r="35" spans="1:29" s="153" customFormat="1">
      <c r="B35" s="59" t="s">
        <v>304</v>
      </c>
      <c r="G35" s="155">
        <v>-1.6</v>
      </c>
      <c r="H35" s="155">
        <v>95.5</v>
      </c>
      <c r="I35" s="155">
        <v>168.7</v>
      </c>
      <c r="J35" s="155">
        <v>170.2</v>
      </c>
      <c r="K35" s="155">
        <v>347.9</v>
      </c>
      <c r="L35" s="155">
        <v>433.4</v>
      </c>
      <c r="M35" s="155">
        <v>548</v>
      </c>
      <c r="N35" s="155">
        <v>590.70000000000005</v>
      </c>
      <c r="O35" s="155">
        <v>509.8</v>
      </c>
      <c r="P35" s="155">
        <v>373.8</v>
      </c>
      <c r="Q35" s="155">
        <v>790.3</v>
      </c>
      <c r="R35" s="194">
        <f>Q35+IS!R27-IS!R38</f>
        <v>971.08415768711734</v>
      </c>
      <c r="S35" s="194">
        <f>R35+IS!S27-IS!S38</f>
        <v>1271.280053912488</v>
      </c>
      <c r="T35" s="194">
        <f>S35+IS!T27-IS!T38</f>
        <v>1630.8313067678903</v>
      </c>
      <c r="U35" s="194">
        <f>T35+IS!U27-IS!U38</f>
        <v>2065.1878657398156</v>
      </c>
      <c r="X35"/>
      <c r="Y35"/>
      <c r="Z35"/>
      <c r="AA35"/>
      <c r="AB35"/>
      <c r="AC35"/>
    </row>
    <row r="36" spans="1:29" s="187" customFormat="1">
      <c r="B36" s="129" t="s">
        <v>204</v>
      </c>
      <c r="G36" s="130">
        <f t="shared" ref="G36:T36" si="8">SUM(G32:G35)</f>
        <v>663.69999999999993</v>
      </c>
      <c r="H36" s="130">
        <f t="shared" si="8"/>
        <v>705</v>
      </c>
      <c r="I36" s="130">
        <f t="shared" si="8"/>
        <v>822.30000000000018</v>
      </c>
      <c r="J36" s="130">
        <f t="shared" si="8"/>
        <v>830.3</v>
      </c>
      <c r="K36" s="130">
        <f t="shared" si="8"/>
        <v>985.80000000000007</v>
      </c>
      <c r="L36" s="130">
        <f t="shared" si="8"/>
        <v>998.4</v>
      </c>
      <c r="M36" s="130">
        <f t="shared" si="8"/>
        <v>1101.0999999999999</v>
      </c>
      <c r="N36" s="130">
        <f t="shared" si="8"/>
        <v>1013.3</v>
      </c>
      <c r="O36" s="130">
        <f t="shared" si="8"/>
        <v>2418.8000000000002</v>
      </c>
      <c r="P36" s="130">
        <f t="shared" si="8"/>
        <v>2273.0000000000005</v>
      </c>
      <c r="Q36" s="130">
        <f>SUM(Q32:Q35)</f>
        <v>2753.7</v>
      </c>
      <c r="R36" s="130">
        <f t="shared" si="8"/>
        <v>2911.4841576871177</v>
      </c>
      <c r="S36" s="130">
        <f t="shared" si="8"/>
        <v>3188.6800539124879</v>
      </c>
      <c r="T36" s="130">
        <f t="shared" si="8"/>
        <v>3525.2313067678906</v>
      </c>
      <c r="U36" s="130">
        <f>SUM(U32:U35)</f>
        <v>3936.5878657398157</v>
      </c>
      <c r="V36" s="153"/>
      <c r="X36"/>
      <c r="Y36"/>
      <c r="Z36"/>
      <c r="AA36"/>
      <c r="AB36"/>
      <c r="AC36"/>
    </row>
    <row r="37" spans="1:29" s="153" customFormat="1">
      <c r="X37"/>
      <c r="Y37"/>
      <c r="Z37"/>
      <c r="AA37"/>
      <c r="AB37"/>
      <c r="AC37"/>
    </row>
    <row r="38" spans="1:29" s="187" customFormat="1">
      <c r="B38" s="195" t="s">
        <v>205</v>
      </c>
      <c r="C38" s="196"/>
      <c r="D38" s="196"/>
      <c r="E38" s="196"/>
      <c r="F38" s="196"/>
      <c r="G38" s="197">
        <f t="shared" ref="G38:N38" si="9">G36+G29</f>
        <v>1731.4</v>
      </c>
      <c r="H38" s="197">
        <f t="shared" si="9"/>
        <v>1719.6999999999998</v>
      </c>
      <c r="I38" s="197">
        <f t="shared" si="9"/>
        <v>1932</v>
      </c>
      <c r="J38" s="197">
        <f t="shared" si="9"/>
        <v>2048.6999999999998</v>
      </c>
      <c r="K38" s="197">
        <f t="shared" si="9"/>
        <v>2449.6</v>
      </c>
      <c r="L38" s="197">
        <f t="shared" si="9"/>
        <v>2777.7000000000003</v>
      </c>
      <c r="M38" s="197">
        <f t="shared" si="9"/>
        <v>2802.8</v>
      </c>
      <c r="N38" s="197">
        <f t="shared" si="9"/>
        <v>2698.1000000000004</v>
      </c>
      <c r="O38" s="197">
        <f t="shared" ref="O38:T38" si="10">O36+O29</f>
        <v>9288.9</v>
      </c>
      <c r="P38" s="197">
        <f t="shared" si="10"/>
        <v>8762.6</v>
      </c>
      <c r="Q38" s="197">
        <f t="shared" si="10"/>
        <v>9218.2999999999993</v>
      </c>
      <c r="R38" s="197">
        <f t="shared" si="10"/>
        <v>9474.0103422323373</v>
      </c>
      <c r="S38" s="197">
        <f t="shared" si="10"/>
        <v>9714.2088837512019</v>
      </c>
      <c r="T38" s="197">
        <f t="shared" si="10"/>
        <v>10018.494067796502</v>
      </c>
      <c r="U38" s="197">
        <f>U36+U29</f>
        <v>10375.54381859621</v>
      </c>
      <c r="X38"/>
      <c r="Y38"/>
      <c r="Z38"/>
      <c r="AA38"/>
      <c r="AB38"/>
      <c r="AC38"/>
    </row>
    <row r="40" spans="1:29">
      <c r="B40" s="198" t="s">
        <v>122</v>
      </c>
      <c r="C40" s="198"/>
      <c r="D40" s="198"/>
      <c r="E40" s="198"/>
      <c r="F40" s="198"/>
      <c r="G40" s="199">
        <f t="shared" ref="G40:T40" si="11">+G17-G38</f>
        <v>0</v>
      </c>
      <c r="H40" s="199">
        <f t="shared" si="11"/>
        <v>0</v>
      </c>
      <c r="I40" s="199">
        <f t="shared" si="11"/>
        <v>0</v>
      </c>
      <c r="J40" s="199">
        <f t="shared" si="11"/>
        <v>0</v>
      </c>
      <c r="K40" s="199">
        <f t="shared" si="11"/>
        <v>0</v>
      </c>
      <c r="L40" s="199">
        <f t="shared" si="11"/>
        <v>0</v>
      </c>
      <c r="M40" s="199">
        <f t="shared" si="11"/>
        <v>0</v>
      </c>
      <c r="N40" s="199">
        <f t="shared" si="11"/>
        <v>0</v>
      </c>
      <c r="O40" s="199">
        <f t="shared" si="11"/>
        <v>0</v>
      </c>
      <c r="P40" s="199">
        <f t="shared" si="11"/>
        <v>0</v>
      </c>
      <c r="Q40" s="199">
        <f t="shared" ca="1" si="11"/>
        <v>0</v>
      </c>
      <c r="R40" s="199">
        <f t="shared" ca="1" si="11"/>
        <v>0</v>
      </c>
      <c r="S40" s="199">
        <f t="shared" ca="1" si="11"/>
        <v>0</v>
      </c>
      <c r="T40" s="199">
        <f t="shared" ca="1" si="11"/>
        <v>0</v>
      </c>
      <c r="U40" s="199">
        <f ca="1">+U17-U38</f>
        <v>0</v>
      </c>
      <c r="V40" s="198"/>
    </row>
    <row r="42" spans="1:29" s="98" customFormat="1">
      <c r="A42" s="98" t="s">
        <v>150</v>
      </c>
      <c r="B42" s="152" t="s">
        <v>25</v>
      </c>
      <c r="C42" s="8"/>
      <c r="D42" s="8"/>
      <c r="E42" s="8"/>
      <c r="F42" s="8"/>
      <c r="G42" s="180"/>
      <c r="H42" s="180"/>
      <c r="I42" s="180"/>
      <c r="J42" s="180"/>
      <c r="K42" s="180"/>
      <c r="L42" s="180"/>
      <c r="M42" s="180"/>
      <c r="N42" s="180"/>
      <c r="O42" s="180"/>
      <c r="P42" s="180"/>
      <c r="Q42" s="180"/>
      <c r="R42" s="180"/>
      <c r="S42" s="180"/>
      <c r="T42" s="200"/>
      <c r="U42" s="200"/>
      <c r="X42"/>
      <c r="Y42"/>
      <c r="Z42"/>
      <c r="AA42"/>
      <c r="AB42"/>
      <c r="AC42"/>
    </row>
    <row r="43" spans="1:29">
      <c r="B43" s="181" t="s">
        <v>0</v>
      </c>
      <c r="G43" s="201">
        <f>+IS!G3</f>
        <v>1276.8</v>
      </c>
      <c r="H43" s="201">
        <f>+IS!H3</f>
        <v>1764.5</v>
      </c>
      <c r="I43" s="201">
        <f>+IS!I3</f>
        <v>1531.5</v>
      </c>
      <c r="J43" s="201">
        <f>+IS!J3</f>
        <v>1585.9</v>
      </c>
      <c r="K43" s="201">
        <f>+IS!K3</f>
        <v>1961.1000000000001</v>
      </c>
      <c r="L43" s="201">
        <f>+IS!L3</f>
        <v>2184.6999999999998</v>
      </c>
      <c r="M43" s="201">
        <f>+IS!M3</f>
        <v>2515</v>
      </c>
      <c r="N43" s="201">
        <f>+IS!N3</f>
        <v>2241.2000000000003</v>
      </c>
      <c r="O43" s="201">
        <f>+IS!O3</f>
        <v>2854.4</v>
      </c>
      <c r="P43" s="201">
        <f>+IS!P3</f>
        <v>5550.5999999999995</v>
      </c>
      <c r="Q43" s="201">
        <f>+IS!Q3</f>
        <v>6268.4</v>
      </c>
      <c r="R43" s="201">
        <f>+IS!R3</f>
        <v>6981.4521402718947</v>
      </c>
      <c r="S43" s="201">
        <f>+IS!S3</f>
        <v>7273.2234977724711</v>
      </c>
      <c r="T43" s="201">
        <f>+IS!T3</f>
        <v>7621.5526577217033</v>
      </c>
      <c r="U43" s="201">
        <f>+IS!U3</f>
        <v>7934.3484537036111</v>
      </c>
    </row>
    <row r="44" spans="1:29">
      <c r="B44" s="181" t="s">
        <v>234</v>
      </c>
      <c r="G44" s="201">
        <f>+IS!G4</f>
        <v>-1036.3</v>
      </c>
      <c r="H44" s="201">
        <f>+IS!H4</f>
        <v>-1377.1999999999998</v>
      </c>
      <c r="I44" s="201">
        <f>+IS!I4</f>
        <v>-1222.7</v>
      </c>
      <c r="J44" s="201">
        <f>+IS!J4</f>
        <v>-1349.9</v>
      </c>
      <c r="K44" s="201">
        <f>+IS!K4</f>
        <v>-1573.9</v>
      </c>
      <c r="L44" s="201">
        <f>+IS!L4</f>
        <v>-1747.9999999999998</v>
      </c>
      <c r="M44" s="201">
        <f>+IS!M4</f>
        <v>-2033.7</v>
      </c>
      <c r="N44" s="201">
        <f>+IS!N4</f>
        <v>-1853.1999999999998</v>
      </c>
      <c r="O44" s="201">
        <f>+IS!O4</f>
        <v>-2462.8000000000002</v>
      </c>
      <c r="P44" s="201">
        <f>+IS!P4</f>
        <v>-4923.7000000000007</v>
      </c>
      <c r="Q44" s="201">
        <f>+IS!Q4</f>
        <v>-5536.7</v>
      </c>
      <c r="R44" s="201">
        <f>+IS!R4</f>
        <v>-5865.0697499789376</v>
      </c>
      <c r="S44" s="201">
        <f>+IS!S4</f>
        <v>-6023.4461860418542</v>
      </c>
      <c r="T44" s="201">
        <f>+IS!T4</f>
        <v>-6290.9237896895957</v>
      </c>
      <c r="U44" s="201">
        <f>+IS!U4</f>
        <v>-6505.2012187154805</v>
      </c>
    </row>
    <row r="46" spans="1:29" s="202" customFormat="1">
      <c r="B46" s="202" t="s">
        <v>26</v>
      </c>
      <c r="G46" s="422">
        <f t="shared" ref="G46:Q46" si="12">+G4</f>
        <v>202</v>
      </c>
      <c r="H46" s="422">
        <f t="shared" si="12"/>
        <v>213</v>
      </c>
      <c r="I46" s="422">
        <f t="shared" si="12"/>
        <v>183.29999999999998</v>
      </c>
      <c r="J46" s="422">
        <f t="shared" si="12"/>
        <v>186.9</v>
      </c>
      <c r="K46" s="422">
        <f t="shared" si="12"/>
        <v>237.1</v>
      </c>
      <c r="L46" s="422">
        <f t="shared" si="12"/>
        <v>299</v>
      </c>
      <c r="M46" s="422">
        <f t="shared" si="12"/>
        <v>280.10000000000002</v>
      </c>
      <c r="N46" s="422">
        <f t="shared" si="12"/>
        <v>263.10000000000002</v>
      </c>
      <c r="O46" s="422">
        <f t="shared" si="12"/>
        <v>783.4</v>
      </c>
      <c r="P46" s="422">
        <f t="shared" si="12"/>
        <v>675</v>
      </c>
      <c r="Q46" s="422">
        <f t="shared" si="12"/>
        <v>733.2</v>
      </c>
      <c r="R46" s="421">
        <f>R43*R47/365</f>
        <v>796.23349277500563</v>
      </c>
      <c r="S46" s="421">
        <f>S43*S47/365</f>
        <v>829.50996913073141</v>
      </c>
      <c r="T46" s="421">
        <f>T43*T47/365</f>
        <v>869.2368537514659</v>
      </c>
      <c r="U46" s="421">
        <f>U43*U47/365</f>
        <v>904.91116393162736</v>
      </c>
      <c r="X46"/>
      <c r="Y46"/>
      <c r="Z46"/>
      <c r="AA46"/>
      <c r="AB46"/>
      <c r="AC46"/>
    </row>
    <row r="47" spans="1:29">
      <c r="B47" s="181" t="s">
        <v>27</v>
      </c>
      <c r="G47" s="153">
        <f t="shared" ref="G47:Q47" si="13">G46/G43*365</f>
        <v>57.745927318295742</v>
      </c>
      <c r="H47" s="153">
        <f t="shared" si="13"/>
        <v>44.060640408047604</v>
      </c>
      <c r="I47" s="153">
        <f t="shared" si="13"/>
        <v>43.685602350636621</v>
      </c>
      <c r="J47" s="153">
        <f t="shared" si="13"/>
        <v>43.015637808184628</v>
      </c>
      <c r="K47" s="153">
        <f t="shared" si="13"/>
        <v>44.129060221304364</v>
      </c>
      <c r="L47" s="153">
        <f t="shared" si="13"/>
        <v>49.95422712500573</v>
      </c>
      <c r="M47" s="153">
        <f t="shared" si="13"/>
        <v>40.650695825049702</v>
      </c>
      <c r="N47" s="153">
        <f t="shared" si="13"/>
        <v>42.848250936998035</v>
      </c>
      <c r="O47" s="153">
        <f t="shared" si="13"/>
        <v>100.17551849775785</v>
      </c>
      <c r="P47" s="153">
        <f t="shared" si="13"/>
        <v>44.387093287212195</v>
      </c>
      <c r="Q47" s="153">
        <f t="shared" si="13"/>
        <v>42.693191244974798</v>
      </c>
      <c r="R47" s="155">
        <f>Q47-1.065</f>
        <v>41.628191244974801</v>
      </c>
      <c r="S47" s="155">
        <f t="shared" ref="S47:U47" si="14">+R47</f>
        <v>41.628191244974801</v>
      </c>
      <c r="T47" s="155">
        <f t="shared" si="14"/>
        <v>41.628191244974801</v>
      </c>
      <c r="U47" s="155">
        <f t="shared" si="14"/>
        <v>41.628191244974801</v>
      </c>
    </row>
    <row r="49" spans="1:29" s="202" customFormat="1">
      <c r="B49" s="202" t="s">
        <v>39</v>
      </c>
      <c r="G49" s="422">
        <f t="shared" ref="G49:P49" si="15">+G6</f>
        <v>106.7</v>
      </c>
      <c r="H49" s="422">
        <f t="shared" si="15"/>
        <v>131.4</v>
      </c>
      <c r="I49" s="422">
        <f t="shared" si="15"/>
        <v>123.8</v>
      </c>
      <c r="J49" s="422">
        <f t="shared" si="15"/>
        <v>155.6</v>
      </c>
      <c r="K49" s="422">
        <f t="shared" si="15"/>
        <v>176.6</v>
      </c>
      <c r="L49" s="422">
        <f t="shared" si="15"/>
        <v>195.1</v>
      </c>
      <c r="M49" s="422">
        <f t="shared" si="15"/>
        <v>186.5</v>
      </c>
      <c r="N49" s="422">
        <f t="shared" si="15"/>
        <v>210.1</v>
      </c>
      <c r="O49" s="422">
        <f t="shared" si="15"/>
        <v>685.2</v>
      </c>
      <c r="P49" s="422">
        <f t="shared" si="15"/>
        <v>630.4</v>
      </c>
      <c r="Q49" s="422">
        <f t="shared" ref="Q49" si="16">+Q6</f>
        <v>682.6</v>
      </c>
      <c r="R49" s="421">
        <f>+R44/R50*-1</f>
        <v>714.27746341376621</v>
      </c>
      <c r="S49" s="421">
        <f>+S44/S50*-1</f>
        <v>733.56533616514116</v>
      </c>
      <c r="T49" s="421">
        <f>+T44/T50*-1</f>
        <v>766.14009356750421</v>
      </c>
      <c r="U49" s="421">
        <f>+U44/U50*-1</f>
        <v>792.23586821229537</v>
      </c>
      <c r="V49" s="181"/>
      <c r="X49"/>
      <c r="Y49"/>
      <c r="Z49"/>
      <c r="AA49"/>
      <c r="AB49"/>
      <c r="AC49"/>
    </row>
    <row r="50" spans="1:29">
      <c r="B50" s="181" t="s">
        <v>48</v>
      </c>
      <c r="G50" s="153">
        <f t="shared" ref="G50:N50" si="17">-G44/G49</f>
        <v>9.7122774133083407</v>
      </c>
      <c r="H50" s="153">
        <f t="shared" si="17"/>
        <v>10.480974124809739</v>
      </c>
      <c r="I50" s="153">
        <f t="shared" si="17"/>
        <v>9.8764135702746376</v>
      </c>
      <c r="J50" s="153">
        <f t="shared" si="17"/>
        <v>8.6754498714652968</v>
      </c>
      <c r="K50" s="153">
        <f t="shared" si="17"/>
        <v>8.912231030577578</v>
      </c>
      <c r="L50" s="153">
        <f t="shared" si="17"/>
        <v>8.9595079446437715</v>
      </c>
      <c r="M50" s="153">
        <f t="shared" si="17"/>
        <v>10.904557640750671</v>
      </c>
      <c r="N50" s="153">
        <f t="shared" si="17"/>
        <v>8.8205616373155635</v>
      </c>
      <c r="O50" s="153">
        <f>-O44/O49</f>
        <v>3.5942790426152946</v>
      </c>
      <c r="P50" s="153">
        <f>-P44/P49</f>
        <v>7.8104378172588849</v>
      </c>
      <c r="Q50" s="153">
        <f>-Q44/Q49</f>
        <v>8.1111924992675064</v>
      </c>
      <c r="R50" s="155">
        <f>+Q50+0.1</f>
        <v>8.2111924992675061</v>
      </c>
      <c r="S50" s="155">
        <f t="shared" ref="S50:U50" si="18">+R50</f>
        <v>8.2111924992675061</v>
      </c>
      <c r="T50" s="155">
        <f t="shared" si="18"/>
        <v>8.2111924992675061</v>
      </c>
      <c r="U50" s="155">
        <f t="shared" si="18"/>
        <v>8.2111924992675061</v>
      </c>
    </row>
    <row r="51" spans="1:29">
      <c r="G51" s="192"/>
      <c r="H51" s="192"/>
      <c r="I51" s="192"/>
      <c r="J51" s="192"/>
      <c r="K51" s="192"/>
      <c r="L51" s="192"/>
      <c r="M51" s="192"/>
      <c r="N51" s="192"/>
      <c r="O51" s="192"/>
      <c r="P51" s="192"/>
      <c r="Q51" s="421"/>
      <c r="R51" s="421"/>
      <c r="S51" s="421"/>
      <c r="T51" s="421"/>
      <c r="U51" s="421"/>
    </row>
    <row r="52" spans="1:29" s="202" customFormat="1">
      <c r="B52" s="202" t="s">
        <v>47</v>
      </c>
      <c r="G52" s="422">
        <f t="shared" ref="G52:P52" si="19">+G20</f>
        <v>150.6</v>
      </c>
      <c r="H52" s="422">
        <f t="shared" si="19"/>
        <v>145.6</v>
      </c>
      <c r="I52" s="422">
        <f t="shared" si="19"/>
        <v>117.8</v>
      </c>
      <c r="J52" s="422">
        <f t="shared" si="19"/>
        <v>115.5</v>
      </c>
      <c r="K52" s="422">
        <f t="shared" si="19"/>
        <v>149.69999999999999</v>
      </c>
      <c r="L52" s="422">
        <f t="shared" si="19"/>
        <v>174.3</v>
      </c>
      <c r="M52" s="422">
        <f t="shared" si="19"/>
        <v>148.69999999999999</v>
      </c>
      <c r="N52" s="422">
        <f t="shared" si="19"/>
        <v>146.80000000000001</v>
      </c>
      <c r="O52" s="422">
        <f t="shared" si="19"/>
        <v>608.20000000000005</v>
      </c>
      <c r="P52" s="422">
        <f t="shared" si="19"/>
        <v>570.79999999999995</v>
      </c>
      <c r="Q52" s="422">
        <f t="shared" ref="Q52" si="20">+Q20</f>
        <v>669.8</v>
      </c>
      <c r="R52" s="421">
        <f>-R44*R53/365</f>
        <v>712.73813198284734</v>
      </c>
      <c r="S52" s="421">
        <f>-S44*S53/365</f>
        <v>731.98443765380546</v>
      </c>
      <c r="T52" s="421">
        <f>-T44*T53/365</f>
        <v>764.48899355816184</v>
      </c>
      <c r="U52" s="421">
        <f>-U44*U53/365</f>
        <v>790.52852948875238</v>
      </c>
      <c r="V52" s="181"/>
      <c r="X52"/>
      <c r="Y52"/>
      <c r="Z52"/>
      <c r="AA52"/>
      <c r="AB52"/>
      <c r="AC52"/>
    </row>
    <row r="53" spans="1:29">
      <c r="B53" s="181" t="s">
        <v>8</v>
      </c>
      <c r="G53" s="153">
        <f t="shared" ref="G53:P53" si="21">G52/-G44*365</f>
        <v>53.043520216153624</v>
      </c>
      <c r="H53" s="153">
        <f t="shared" si="21"/>
        <v>38.588440313679932</v>
      </c>
      <c r="I53" s="153">
        <f t="shared" si="21"/>
        <v>35.165617076960821</v>
      </c>
      <c r="J53" s="153">
        <f t="shared" si="21"/>
        <v>31.230091117860578</v>
      </c>
      <c r="K53" s="153">
        <f t="shared" si="21"/>
        <v>34.716627485863135</v>
      </c>
      <c r="L53" s="153">
        <f t="shared" si="21"/>
        <v>36.395594965675066</v>
      </c>
      <c r="M53" s="153">
        <f t="shared" si="21"/>
        <v>26.688056252151249</v>
      </c>
      <c r="N53" s="153">
        <f t="shared" si="21"/>
        <v>28.913231167709913</v>
      </c>
      <c r="O53" s="153">
        <f t="shared" si="21"/>
        <v>90.138460289101843</v>
      </c>
      <c r="P53" s="153">
        <f t="shared" si="21"/>
        <v>42.314113370026597</v>
      </c>
      <c r="Q53" s="153">
        <f t="shared" ref="Q53" si="22">Q52/-Q44*365</f>
        <v>44.155724529051597</v>
      </c>
      <c r="R53" s="155">
        <f>+Q53+0.2</f>
        <v>44.355724529051599</v>
      </c>
      <c r="S53" s="155">
        <f t="shared" ref="S53:U53" si="23">+R53</f>
        <v>44.355724529051599</v>
      </c>
      <c r="T53" s="155">
        <f t="shared" si="23"/>
        <v>44.355724529051599</v>
      </c>
      <c r="U53" s="155">
        <f t="shared" si="23"/>
        <v>44.355724529051599</v>
      </c>
    </row>
    <row r="55" spans="1:29" s="202" customFormat="1" hidden="1" outlineLevel="1">
      <c r="B55" s="181" t="s">
        <v>9</v>
      </c>
      <c r="C55" s="181"/>
      <c r="D55" s="181"/>
      <c r="E55" s="181"/>
      <c r="F55" s="181"/>
      <c r="G55" s="188">
        <f t="shared" ref="G55:T55" si="24">-(G49/G44)*365</f>
        <v>37.581298851683876</v>
      </c>
      <c r="H55" s="188">
        <f t="shared" si="24"/>
        <v>34.825007261109505</v>
      </c>
      <c r="I55" s="188">
        <f t="shared" si="24"/>
        <v>36.95673509446307</v>
      </c>
      <c r="J55" s="188">
        <f t="shared" si="24"/>
        <v>42.07274612934291</v>
      </c>
      <c r="K55" s="188">
        <f t="shared" si="24"/>
        <v>40.954952665353574</v>
      </c>
      <c r="L55" s="188">
        <f t="shared" si="24"/>
        <v>40.738844393592686</v>
      </c>
      <c r="M55" s="188">
        <f t="shared" si="24"/>
        <v>33.472242710330924</v>
      </c>
      <c r="N55" s="188">
        <f t="shared" si="24"/>
        <v>41.380584934167928</v>
      </c>
      <c r="O55" s="188">
        <f t="shared" si="24"/>
        <v>101.55026798765633</v>
      </c>
      <c r="P55" s="188">
        <f t="shared" si="24"/>
        <v>46.732335438796021</v>
      </c>
      <c r="Q55" s="188">
        <f t="shared" si="24"/>
        <v>44.999548467498691</v>
      </c>
      <c r="R55" s="188">
        <f t="shared" si="24"/>
        <v>44.451521509520141</v>
      </c>
      <c r="S55" s="188">
        <f t="shared" si="24"/>
        <v>44.451521509520141</v>
      </c>
      <c r="T55" s="188">
        <f t="shared" si="24"/>
        <v>44.451521509520141</v>
      </c>
      <c r="U55" s="188">
        <f>-(U49/U44)*365</f>
        <v>44.451521509520141</v>
      </c>
      <c r="V55" s="181"/>
      <c r="X55"/>
      <c r="Y55"/>
      <c r="Z55"/>
      <c r="AA55"/>
      <c r="AB55"/>
      <c r="AC55"/>
    </row>
    <row r="56" spans="1:29" hidden="1" outlineLevel="1">
      <c r="B56" s="181" t="s">
        <v>10</v>
      </c>
      <c r="G56" s="188">
        <f t="shared" ref="G56:L56" si="25">G47</f>
        <v>57.745927318295742</v>
      </c>
      <c r="H56" s="188">
        <f t="shared" si="25"/>
        <v>44.060640408047604</v>
      </c>
      <c r="I56" s="188">
        <f t="shared" si="25"/>
        <v>43.685602350636621</v>
      </c>
      <c r="J56" s="188">
        <f t="shared" si="25"/>
        <v>43.015637808184628</v>
      </c>
      <c r="K56" s="188">
        <f t="shared" si="25"/>
        <v>44.129060221304364</v>
      </c>
      <c r="L56" s="188">
        <f t="shared" si="25"/>
        <v>49.95422712500573</v>
      </c>
      <c r="M56" s="188">
        <f t="shared" ref="M56:T56" si="26">(M46/M43)*365</f>
        <v>40.650695825049702</v>
      </c>
      <c r="N56" s="188">
        <f t="shared" si="26"/>
        <v>42.848250936998035</v>
      </c>
      <c r="O56" s="188">
        <f t="shared" si="26"/>
        <v>100.17551849775785</v>
      </c>
      <c r="P56" s="188">
        <f t="shared" si="26"/>
        <v>44.387093287212195</v>
      </c>
      <c r="Q56" s="188">
        <f t="shared" si="26"/>
        <v>42.693191244974798</v>
      </c>
      <c r="R56" s="188">
        <f t="shared" si="26"/>
        <v>41.628191244974794</v>
      </c>
      <c r="S56" s="188">
        <f t="shared" si="26"/>
        <v>41.628191244974794</v>
      </c>
      <c r="T56" s="188">
        <f t="shared" si="26"/>
        <v>41.628191244974801</v>
      </c>
      <c r="U56" s="188">
        <f>(U46/U43)*365</f>
        <v>41.628191244974794</v>
      </c>
    </row>
    <row r="57" spans="1:29" hidden="1" outlineLevel="1">
      <c r="B57" s="181" t="s">
        <v>11</v>
      </c>
      <c r="G57" s="188">
        <f t="shared" ref="G57:L57" si="27">G53</f>
        <v>53.043520216153624</v>
      </c>
      <c r="H57" s="188">
        <f t="shared" si="27"/>
        <v>38.588440313679932</v>
      </c>
      <c r="I57" s="188">
        <f t="shared" si="27"/>
        <v>35.165617076960821</v>
      </c>
      <c r="J57" s="188">
        <f t="shared" si="27"/>
        <v>31.230091117860578</v>
      </c>
      <c r="K57" s="188">
        <f t="shared" si="27"/>
        <v>34.716627485863135</v>
      </c>
      <c r="L57" s="188">
        <f t="shared" si="27"/>
        <v>36.395594965675066</v>
      </c>
      <c r="M57" s="188">
        <f t="shared" ref="M57:T57" si="28">+M52/(M44*-1)*365</f>
        <v>26.688056252151249</v>
      </c>
      <c r="N57" s="188">
        <f t="shared" si="28"/>
        <v>28.913231167709913</v>
      </c>
      <c r="O57" s="188">
        <f t="shared" si="28"/>
        <v>90.138460289101843</v>
      </c>
      <c r="P57" s="188">
        <f t="shared" si="28"/>
        <v>42.314113370026597</v>
      </c>
      <c r="Q57" s="188">
        <f t="shared" si="28"/>
        <v>44.155724529051597</v>
      </c>
      <c r="R57" s="188">
        <f t="shared" si="28"/>
        <v>44.355724529051599</v>
      </c>
      <c r="S57" s="188">
        <f t="shared" si="28"/>
        <v>44.355724529051599</v>
      </c>
      <c r="T57" s="188">
        <f t="shared" si="28"/>
        <v>44.355724529051599</v>
      </c>
      <c r="U57" s="188">
        <f>+U52/(U44*-1)*365</f>
        <v>44.355724529051599</v>
      </c>
    </row>
    <row r="58" spans="1:29" hidden="1" outlineLevel="1">
      <c r="B58" s="202" t="s">
        <v>12</v>
      </c>
      <c r="C58" s="202"/>
      <c r="D58" s="202"/>
      <c r="E58" s="202"/>
      <c r="F58" s="202"/>
      <c r="G58" s="204">
        <f>+G55+G56-G57</f>
        <v>42.283705953825987</v>
      </c>
      <c r="H58" s="204">
        <f t="shared" ref="H58:O58" si="29">+H55+H56-H57</f>
        <v>40.297207355477177</v>
      </c>
      <c r="I58" s="204">
        <f t="shared" si="29"/>
        <v>45.476720368138864</v>
      </c>
      <c r="J58" s="204">
        <f t="shared" si="29"/>
        <v>53.858292819666957</v>
      </c>
      <c r="K58" s="204">
        <f>+K55+K56-K57</f>
        <v>50.367385400794809</v>
      </c>
      <c r="L58" s="204">
        <f>+L55+L56-L57</f>
        <v>54.297476552923349</v>
      </c>
      <c r="M58" s="204">
        <f t="shared" si="29"/>
        <v>47.434882283229378</v>
      </c>
      <c r="N58" s="204">
        <f>+N55+N56-N57</f>
        <v>55.315604703456046</v>
      </c>
      <c r="O58" s="204">
        <f t="shared" si="29"/>
        <v>111.58732619631233</v>
      </c>
      <c r="P58" s="204">
        <f t="shared" ref="P58:U58" si="30">+P55+P56-P57</f>
        <v>48.805315355981612</v>
      </c>
      <c r="Q58" s="204">
        <f t="shared" si="30"/>
        <v>43.5370151834219</v>
      </c>
      <c r="R58" s="204">
        <f t="shared" si="30"/>
        <v>41.723988225443335</v>
      </c>
      <c r="S58" s="204">
        <f t="shared" si="30"/>
        <v>41.723988225443335</v>
      </c>
      <c r="T58" s="204">
        <f t="shared" si="30"/>
        <v>41.72398822544335</v>
      </c>
      <c r="U58" s="204">
        <f t="shared" si="30"/>
        <v>41.723988225443335</v>
      </c>
    </row>
    <row r="59" spans="1:29" hidden="1" outlineLevel="1"/>
    <row r="60" spans="1:29" hidden="1" outlineLevel="1">
      <c r="B60" s="202" t="s">
        <v>13</v>
      </c>
      <c r="C60" s="202"/>
      <c r="D60" s="202"/>
      <c r="E60" s="202"/>
      <c r="F60" s="202"/>
      <c r="G60" s="203">
        <f>SUM(G4:G7)-SUM(G20,G21:G22)</f>
        <v>22.899999999999977</v>
      </c>
      <c r="H60" s="203">
        <f>SUM(H4:H7)-SUM(H20,H21:H22)</f>
        <v>24</v>
      </c>
      <c r="I60" s="203">
        <f>SUM(I4:I7)-SUM(I20,I21:I22)</f>
        <v>90.899999999999977</v>
      </c>
      <c r="J60" s="203">
        <f>SUM(J4:J7)-SUM(J20,J21:J22)</f>
        <v>111.00000000000006</v>
      </c>
      <c r="K60" s="203">
        <f t="shared" ref="K60:T60" si="31">SUM(K4:K7)-SUM(K20,K21:K22)</f>
        <v>88.600000000000023</v>
      </c>
      <c r="L60" s="203">
        <f t="shared" si="31"/>
        <v>173.5</v>
      </c>
      <c r="M60" s="203">
        <f t="shared" si="31"/>
        <v>137.20000000000005</v>
      </c>
      <c r="N60" s="203">
        <f t="shared" si="31"/>
        <v>198.00000000000006</v>
      </c>
      <c r="O60" s="203">
        <f t="shared" si="31"/>
        <v>600.20000000000005</v>
      </c>
      <c r="P60" s="203">
        <f t="shared" si="31"/>
        <v>519.60000000000014</v>
      </c>
      <c r="Q60" s="203">
        <f t="shared" si="31"/>
        <v>527.20000000000005</v>
      </c>
      <c r="R60" s="203">
        <f t="shared" si="31"/>
        <v>578.97282420592433</v>
      </c>
      <c r="S60" s="203">
        <f t="shared" si="31"/>
        <v>612.29086764206716</v>
      </c>
      <c r="T60" s="203">
        <f t="shared" si="31"/>
        <v>652.0879537608082</v>
      </c>
      <c r="U60" s="203">
        <f>SUM(U4:U7)-SUM(U20,U21:U22)</f>
        <v>687.81850265517028</v>
      </c>
    </row>
    <row r="61" spans="1:29" hidden="1" outlineLevel="1">
      <c r="B61" s="205" t="s">
        <v>14</v>
      </c>
      <c r="C61" s="205"/>
      <c r="D61" s="205"/>
      <c r="E61" s="205"/>
      <c r="F61" s="205"/>
      <c r="G61" s="206">
        <f t="shared" ref="G61:T61" si="32">G60/G43</f>
        <v>1.7935463659147853E-2</v>
      </c>
      <c r="H61" s="206">
        <f t="shared" si="32"/>
        <v>1.3601586851799376E-2</v>
      </c>
      <c r="I61" s="206">
        <f t="shared" si="32"/>
        <v>5.9353574926542592E-2</v>
      </c>
      <c r="J61" s="206">
        <f t="shared" si="32"/>
        <v>6.9991802761838737E-2</v>
      </c>
      <c r="K61" s="206">
        <f t="shared" si="32"/>
        <v>4.5178726225077771E-2</v>
      </c>
      <c r="L61" s="206">
        <f t="shared" si="32"/>
        <v>7.9415938115073012E-2</v>
      </c>
      <c r="M61" s="206">
        <f t="shared" si="32"/>
        <v>5.4552683896620296E-2</v>
      </c>
      <c r="N61" s="206">
        <f t="shared" si="32"/>
        <v>8.8345529180796023E-2</v>
      </c>
      <c r="O61" s="206">
        <f t="shared" si="32"/>
        <v>0.2102718609865471</v>
      </c>
      <c r="P61" s="206">
        <f t="shared" si="32"/>
        <v>9.3611501459301735E-2</v>
      </c>
      <c r="Q61" s="206">
        <f t="shared" si="32"/>
        <v>8.4104396656244029E-2</v>
      </c>
      <c r="R61" s="206">
        <f t="shared" si="32"/>
        <v>8.2930142980737531E-2</v>
      </c>
      <c r="S61" s="206">
        <f t="shared" si="32"/>
        <v>8.4184250329938301E-2</v>
      </c>
      <c r="T61" s="206">
        <f t="shared" si="32"/>
        <v>8.5558413494677035E-2</v>
      </c>
      <c r="U61" s="206">
        <f>U60/U43</f>
        <v>8.6688718887069929E-2</v>
      </c>
    </row>
    <row r="62" spans="1:29" hidden="1" outlineLevel="1"/>
    <row r="63" spans="1:29" s="98" customFormat="1" collapsed="1">
      <c r="A63" s="98" t="s">
        <v>150</v>
      </c>
      <c r="B63" s="152" t="s">
        <v>216</v>
      </c>
      <c r="C63" s="8"/>
      <c r="D63" s="8"/>
      <c r="E63" s="8"/>
      <c r="F63" s="8"/>
      <c r="G63" s="180"/>
      <c r="H63" s="180"/>
      <c r="I63" s="180"/>
      <c r="J63" s="180"/>
      <c r="K63" s="180"/>
      <c r="L63" s="180"/>
      <c r="M63" s="180"/>
      <c r="N63" s="180"/>
      <c r="O63" s="180"/>
      <c r="P63" s="180"/>
      <c r="Q63" s="180"/>
      <c r="R63" s="180"/>
      <c r="S63" s="180"/>
      <c r="T63" s="200"/>
      <c r="U63" s="200"/>
      <c r="V63" s="181"/>
      <c r="X63"/>
      <c r="Y63"/>
      <c r="Z63"/>
      <c r="AA63"/>
      <c r="AB63"/>
      <c r="AC63"/>
    </row>
    <row r="64" spans="1:29" s="184" customFormat="1">
      <c r="B64" s="103" t="s">
        <v>210</v>
      </c>
      <c r="G64" s="189">
        <v>1120.5999999999999</v>
      </c>
      <c r="H64" s="414">
        <f t="shared" ref="H64:U64" si="33">G67</f>
        <v>1416.2</v>
      </c>
      <c r="I64" s="414">
        <f t="shared" si="33"/>
        <v>1585.9</v>
      </c>
      <c r="J64" s="414">
        <f t="shared" si="33"/>
        <v>1696.7</v>
      </c>
      <c r="K64" s="414">
        <f t="shared" si="33"/>
        <v>1743.1</v>
      </c>
      <c r="L64" s="414">
        <f t="shared" si="33"/>
        <v>2029.4</v>
      </c>
      <c r="M64" s="414">
        <f t="shared" si="33"/>
        <v>2198.3000000000002</v>
      </c>
      <c r="N64" s="414">
        <f t="shared" si="33"/>
        <v>2246.9</v>
      </c>
      <c r="O64" s="414">
        <f t="shared" si="33"/>
        <v>2261.6999999999998</v>
      </c>
      <c r="P64" s="414">
        <f t="shared" si="33"/>
        <v>5452.8</v>
      </c>
      <c r="Q64" s="414">
        <f t="shared" si="33"/>
        <v>5596.5</v>
      </c>
      <c r="R64" s="414">
        <f t="shared" si="33"/>
        <v>5908.9</v>
      </c>
      <c r="S64" s="414">
        <f t="shared" si="33"/>
        <v>6308.9</v>
      </c>
      <c r="T64" s="414">
        <f t="shared" si="33"/>
        <v>6678.9</v>
      </c>
      <c r="U64" s="414">
        <f t="shared" si="33"/>
        <v>7023.9</v>
      </c>
      <c r="X64"/>
      <c r="Y64"/>
      <c r="Z64"/>
      <c r="AA64"/>
      <c r="AB64"/>
      <c r="AC64"/>
    </row>
    <row r="65" spans="2:33" s="153" customFormat="1">
      <c r="B65" s="207" t="s">
        <v>208</v>
      </c>
      <c r="G65" s="208">
        <f>-CF!G32</f>
        <v>76.099999999999994</v>
      </c>
      <c r="H65" s="208">
        <f>-CF!H32</f>
        <v>180.3</v>
      </c>
      <c r="I65" s="208">
        <f>-CF!I32</f>
        <v>137.9</v>
      </c>
      <c r="J65" s="208">
        <f>-CF!J32</f>
        <v>85.3</v>
      </c>
      <c r="K65" s="208">
        <f>-CF!K32</f>
        <v>200.9</v>
      </c>
      <c r="L65" s="208">
        <f>-CF!L32</f>
        <v>255.7</v>
      </c>
      <c r="M65" s="208">
        <f>-CF!M32</f>
        <v>90.8</v>
      </c>
      <c r="N65" s="208">
        <f>-CF!N32</f>
        <v>71.8</v>
      </c>
      <c r="O65" s="208">
        <f>-CF!O32</f>
        <v>130.9</v>
      </c>
      <c r="P65" s="208">
        <f>-CF!P32</f>
        <v>278</v>
      </c>
      <c r="Q65" s="208">
        <f>-CF!Q32</f>
        <v>294.3</v>
      </c>
      <c r="R65" s="208">
        <f>-CF!R32</f>
        <v>400</v>
      </c>
      <c r="S65" s="208">
        <f>-CF!S32</f>
        <v>370</v>
      </c>
      <c r="T65" s="208">
        <f>-CF!T32</f>
        <v>345</v>
      </c>
      <c r="U65" s="208">
        <f>-CF!U32</f>
        <v>300</v>
      </c>
      <c r="X65"/>
      <c r="Y65"/>
      <c r="Z65"/>
      <c r="AA65"/>
      <c r="AB65"/>
      <c r="AC65"/>
    </row>
    <row r="66" spans="2:33" s="153" customFormat="1">
      <c r="B66" s="207" t="s">
        <v>209</v>
      </c>
      <c r="G66" s="153">
        <f>G67-G64-G65</f>
        <v>219.50000000000014</v>
      </c>
      <c r="H66" s="153">
        <f t="shared" ref="H66:Q66" si="34">H67-H64-H65</f>
        <v>-10.599999999999966</v>
      </c>
      <c r="I66" s="153">
        <f t="shared" si="34"/>
        <v>-27.100000000000051</v>
      </c>
      <c r="J66" s="153">
        <f t="shared" si="34"/>
        <v>-38.900000000000134</v>
      </c>
      <c r="K66" s="153">
        <f t="shared" si="34"/>
        <v>85.400000000000176</v>
      </c>
      <c r="L66" s="153">
        <f t="shared" si="34"/>
        <v>-86.799999999999898</v>
      </c>
      <c r="M66" s="153">
        <f t="shared" si="34"/>
        <v>-42.200000000000088</v>
      </c>
      <c r="N66" s="153">
        <f t="shared" si="34"/>
        <v>-57.00000000000027</v>
      </c>
      <c r="O66" s="153">
        <f t="shared" si="34"/>
        <v>3060.2000000000003</v>
      </c>
      <c r="P66" s="153">
        <f t="shared" si="34"/>
        <v>-134.30000000000018</v>
      </c>
      <c r="Q66" s="153">
        <f t="shared" si="34"/>
        <v>18.099999999999625</v>
      </c>
      <c r="R66" s="194">
        <f>-CF!R36-CF!R35</f>
        <v>0</v>
      </c>
      <c r="S66" s="194">
        <f>-CF!S36-CF!S35</f>
        <v>0</v>
      </c>
      <c r="T66" s="194">
        <f>-CF!T36-CF!T35</f>
        <v>0</v>
      </c>
      <c r="U66" s="194">
        <f>-CF!U36-CF!U35</f>
        <v>0</v>
      </c>
      <c r="X66"/>
      <c r="Y66"/>
      <c r="Z66"/>
      <c r="AA66"/>
      <c r="AB66"/>
      <c r="AC66"/>
    </row>
    <row r="67" spans="2:33" s="184" customFormat="1">
      <c r="B67" s="38" t="s">
        <v>211</v>
      </c>
      <c r="C67" s="192"/>
      <c r="D67" s="192"/>
      <c r="E67" s="192"/>
      <c r="F67" s="192"/>
      <c r="G67" s="513">
        <f t="shared" ref="G67:Q67" si="35">G10</f>
        <v>1416.2</v>
      </c>
      <c r="H67" s="513">
        <f t="shared" si="35"/>
        <v>1585.9</v>
      </c>
      <c r="I67" s="513">
        <f t="shared" si="35"/>
        <v>1696.7</v>
      </c>
      <c r="J67" s="513">
        <f t="shared" si="35"/>
        <v>1743.1</v>
      </c>
      <c r="K67" s="513">
        <f t="shared" si="35"/>
        <v>2029.4</v>
      </c>
      <c r="L67" s="513">
        <f t="shared" si="35"/>
        <v>2198.3000000000002</v>
      </c>
      <c r="M67" s="513">
        <f t="shared" si="35"/>
        <v>2246.9</v>
      </c>
      <c r="N67" s="513">
        <f t="shared" si="35"/>
        <v>2261.6999999999998</v>
      </c>
      <c r="O67" s="513">
        <f t="shared" si="35"/>
        <v>5452.8</v>
      </c>
      <c r="P67" s="513">
        <f t="shared" si="35"/>
        <v>5596.5</v>
      </c>
      <c r="Q67" s="513">
        <f t="shared" si="35"/>
        <v>5908.9</v>
      </c>
      <c r="R67" s="93">
        <f>SUM(R64:R66)</f>
        <v>6308.9</v>
      </c>
      <c r="S67" s="93">
        <f>SUM(S64:S66)</f>
        <v>6678.9</v>
      </c>
      <c r="T67" s="93">
        <f>SUM(T64:T66)</f>
        <v>7023.9</v>
      </c>
      <c r="U67" s="93">
        <f>SUM(U64:U66)</f>
        <v>7323.9</v>
      </c>
      <c r="X67"/>
      <c r="Y67"/>
      <c r="Z67"/>
      <c r="AA67"/>
      <c r="AB67"/>
      <c r="AC67"/>
    </row>
    <row r="68" spans="2:33">
      <c r="M68" s="181" t="s">
        <v>129</v>
      </c>
      <c r="N68" s="181" t="s">
        <v>129</v>
      </c>
    </row>
    <row r="69" spans="2:33" s="184" customFormat="1">
      <c r="B69" s="103" t="s">
        <v>212</v>
      </c>
      <c r="G69" s="189">
        <v>869.4</v>
      </c>
      <c r="H69" s="414">
        <f t="shared" ref="H69:U69" si="36">G72</f>
        <v>912.6</v>
      </c>
      <c r="I69" s="414">
        <f t="shared" si="36"/>
        <v>956</v>
      </c>
      <c r="J69" s="414">
        <f t="shared" si="36"/>
        <v>1001.3</v>
      </c>
      <c r="K69" s="414">
        <f t="shared" si="36"/>
        <v>1068.0999999999999</v>
      </c>
      <c r="L69" s="414">
        <f t="shared" si="36"/>
        <v>1144</v>
      </c>
      <c r="M69" s="414">
        <f t="shared" si="36"/>
        <v>1164</v>
      </c>
      <c r="N69" s="414">
        <f t="shared" si="36"/>
        <v>1259.0999999999999</v>
      </c>
      <c r="O69" s="414">
        <f t="shared" si="36"/>
        <v>1330.7</v>
      </c>
      <c r="P69" s="414">
        <f t="shared" si="36"/>
        <v>1499.4</v>
      </c>
      <c r="Q69" s="414">
        <f t="shared" si="36"/>
        <v>1891.6</v>
      </c>
      <c r="R69" s="414">
        <f t="shared" si="36"/>
        <v>2333.1</v>
      </c>
      <c r="S69" s="414">
        <f t="shared" ca="1" si="36"/>
        <v>2847</v>
      </c>
      <c r="T69" s="414">
        <f t="shared" ca="1" si="36"/>
        <v>3377.8230538100406</v>
      </c>
      <c r="U69" s="414">
        <f t="shared" ca="1" si="36"/>
        <v>3919.6604579950722</v>
      </c>
      <c r="X69"/>
      <c r="Y69"/>
      <c r="Z69"/>
      <c r="AA69"/>
      <c r="AB69"/>
      <c r="AC69"/>
    </row>
    <row r="70" spans="2:33" s="153" customFormat="1">
      <c r="B70" s="207" t="s">
        <v>214</v>
      </c>
      <c r="G70" s="208">
        <f>+CF!G10</f>
        <v>47.3</v>
      </c>
      <c r="H70" s="208">
        <f>+CF!H10</f>
        <v>68.099999999999994</v>
      </c>
      <c r="I70" s="208">
        <f>+CF!I10</f>
        <v>70.2</v>
      </c>
      <c r="J70" s="208">
        <f>+CF!J10</f>
        <v>85.4</v>
      </c>
      <c r="K70" s="208">
        <f>+CF!K10</f>
        <v>97.4</v>
      </c>
      <c r="L70" s="208">
        <f>+CF!L10</f>
        <v>104.4</v>
      </c>
      <c r="M70" s="208">
        <f>+CF!M10</f>
        <v>120.7</v>
      </c>
      <c r="N70" s="208">
        <f>+CF!N10</f>
        <v>124.5</v>
      </c>
      <c r="O70" s="208">
        <f>+CF!O10</f>
        <v>198.1</v>
      </c>
      <c r="P70" s="208">
        <f>+CF!P10</f>
        <v>435.7</v>
      </c>
      <c r="Q70" s="155">
        <f ca="1">IS!Q49-BS!Q86</f>
        <v>507.79999999999995</v>
      </c>
      <c r="R70" s="184">
        <f ca="1">IS!R49-BS!R86</f>
        <v>513.9</v>
      </c>
      <c r="S70" s="184">
        <f ca="1">IS!S49-BS!S86</f>
        <v>530.82305381004085</v>
      </c>
      <c r="T70" s="184">
        <f ca="1">IS!T49-BS!T86</f>
        <v>541.83740418503169</v>
      </c>
      <c r="U70" s="184">
        <f ca="1">IS!U49-BS!U86</f>
        <v>553.06294620766243</v>
      </c>
      <c r="X70"/>
      <c r="Y70"/>
      <c r="Z70"/>
      <c r="AA70"/>
      <c r="AB70"/>
      <c r="AC70"/>
      <c r="AE70" s="209"/>
      <c r="AF70" s="209"/>
      <c r="AG70" s="209"/>
    </row>
    <row r="71" spans="2:33" s="153" customFormat="1">
      <c r="B71" s="207" t="s">
        <v>209</v>
      </c>
      <c r="G71" s="153">
        <f>G72-G69-G70</f>
        <v>-4.0999999999999517</v>
      </c>
      <c r="H71" s="153">
        <f t="shared" ref="H71:M71" si="37">H72-H69-H70</f>
        <v>-24.700000000000017</v>
      </c>
      <c r="I71" s="153">
        <f t="shared" si="37"/>
        <v>-24.900000000000048</v>
      </c>
      <c r="J71" s="153">
        <f t="shared" si="37"/>
        <v>-18.600000000000051</v>
      </c>
      <c r="K71" s="153">
        <f t="shared" si="37"/>
        <v>-21.499999999999915</v>
      </c>
      <c r="L71" s="153">
        <f t="shared" si="37"/>
        <v>-84.4</v>
      </c>
      <c r="M71" s="153">
        <f t="shared" si="37"/>
        <v>-25.600000000000094</v>
      </c>
      <c r="N71" s="153">
        <f>N72-N69-N70</f>
        <v>-52.899999999999864</v>
      </c>
      <c r="O71" s="153">
        <f>O72-O69-O70</f>
        <v>-29.399999999999949</v>
      </c>
      <c r="P71" s="153">
        <f>P72-P69-P70</f>
        <v>-43.500000000000171</v>
      </c>
      <c r="Q71" s="153">
        <f ca="1">Q72-Q69-Q70</f>
        <v>-66.299999999999955</v>
      </c>
      <c r="R71" s="155">
        <v>0</v>
      </c>
      <c r="S71" s="155">
        <v>0</v>
      </c>
      <c r="T71" s="155">
        <v>0</v>
      </c>
      <c r="U71" s="155">
        <v>0</v>
      </c>
      <c r="X71"/>
      <c r="Y71"/>
      <c r="Z71"/>
      <c r="AA71"/>
      <c r="AB71"/>
      <c r="AC71"/>
    </row>
    <row r="72" spans="2:33" s="184" customFormat="1">
      <c r="B72" s="38" t="s">
        <v>213</v>
      </c>
      <c r="G72" s="513">
        <f t="shared" ref="G72:Q72" si="38">-G11</f>
        <v>912.6</v>
      </c>
      <c r="H72" s="513">
        <f t="shared" si="38"/>
        <v>956</v>
      </c>
      <c r="I72" s="513">
        <f t="shared" si="38"/>
        <v>1001.3</v>
      </c>
      <c r="J72" s="513">
        <f t="shared" si="38"/>
        <v>1068.0999999999999</v>
      </c>
      <c r="K72" s="513">
        <f t="shared" si="38"/>
        <v>1144</v>
      </c>
      <c r="L72" s="513">
        <f t="shared" si="38"/>
        <v>1164</v>
      </c>
      <c r="M72" s="513">
        <f t="shared" si="38"/>
        <v>1259.0999999999999</v>
      </c>
      <c r="N72" s="513">
        <f t="shared" si="38"/>
        <v>1330.7</v>
      </c>
      <c r="O72" s="513">
        <f t="shared" si="38"/>
        <v>1499.4</v>
      </c>
      <c r="P72" s="513">
        <f t="shared" si="38"/>
        <v>1891.6</v>
      </c>
      <c r="Q72" s="513">
        <f t="shared" si="38"/>
        <v>2333.1</v>
      </c>
      <c r="R72" s="93">
        <f ca="1">SUM(R69:R71)</f>
        <v>2847</v>
      </c>
      <c r="S72" s="93">
        <f ca="1">SUM(S69:S71)</f>
        <v>3377.8230538100406</v>
      </c>
      <c r="T72" s="93">
        <f ca="1">SUM(T69:T71)</f>
        <v>3919.6604579950722</v>
      </c>
      <c r="U72" s="93">
        <f ca="1">SUM(U69:U71)</f>
        <v>4472.7234042027349</v>
      </c>
      <c r="X72"/>
      <c r="Y72"/>
      <c r="Z72"/>
      <c r="AA72"/>
      <c r="AB72"/>
      <c r="AC72"/>
    </row>
    <row r="74" spans="2:33">
      <c r="B74" s="13" t="s">
        <v>228</v>
      </c>
      <c r="G74" s="209">
        <f t="shared" ref="G74:T74" si="39">G65/G43</f>
        <v>5.9602130325814531E-2</v>
      </c>
      <c r="H74" s="209">
        <f t="shared" si="39"/>
        <v>0.10218192122414282</v>
      </c>
      <c r="I74" s="209">
        <f t="shared" si="39"/>
        <v>9.0042442050277505E-2</v>
      </c>
      <c r="J74" s="209">
        <f t="shared" si="39"/>
        <v>5.3786493473737304E-2</v>
      </c>
      <c r="K74" s="209">
        <f t="shared" si="39"/>
        <v>0.10244250675641221</v>
      </c>
      <c r="L74" s="209">
        <f t="shared" si="39"/>
        <v>0.11704124136036985</v>
      </c>
      <c r="M74" s="209">
        <f t="shared" si="39"/>
        <v>3.6103379721669979E-2</v>
      </c>
      <c r="N74" s="209">
        <f t="shared" si="39"/>
        <v>3.2036409066571472E-2</v>
      </c>
      <c r="O74" s="209">
        <f t="shared" si="39"/>
        <v>4.5859024663677132E-2</v>
      </c>
      <c r="P74" s="209">
        <f t="shared" si="39"/>
        <v>5.0084675530573275E-2</v>
      </c>
      <c r="Q74" s="209">
        <f t="shared" si="39"/>
        <v>4.6949779848127121E-2</v>
      </c>
      <c r="R74" s="209">
        <f t="shared" si="39"/>
        <v>5.7294670501661836E-2</v>
      </c>
      <c r="S74" s="209">
        <f t="shared" si="39"/>
        <v>5.0871528987568963E-2</v>
      </c>
      <c r="T74" s="209">
        <f t="shared" si="39"/>
        <v>4.5266367037491574E-2</v>
      </c>
      <c r="U74" s="209">
        <f>U65/U43</f>
        <v>3.7810287984007734E-2</v>
      </c>
    </row>
    <row r="75" spans="2:33">
      <c r="B75" s="13" t="s">
        <v>227</v>
      </c>
      <c r="G75" s="210">
        <f t="shared" ref="G75:T75" si="40">G65/G70</f>
        <v>1.6088794926004228</v>
      </c>
      <c r="H75" s="210">
        <f t="shared" si="40"/>
        <v>2.6475770925110136</v>
      </c>
      <c r="I75" s="210">
        <f t="shared" si="40"/>
        <v>1.9643874643874644</v>
      </c>
      <c r="J75" s="210">
        <f t="shared" si="40"/>
        <v>0.99882903981264626</v>
      </c>
      <c r="K75" s="210">
        <f t="shared" si="40"/>
        <v>2.0626283367556466</v>
      </c>
      <c r="L75" s="210">
        <f t="shared" si="40"/>
        <v>2.4492337164750957</v>
      </c>
      <c r="M75" s="210">
        <f t="shared" si="40"/>
        <v>0.75227837613918802</v>
      </c>
      <c r="N75" s="210">
        <f t="shared" si="40"/>
        <v>0.57670682730923695</v>
      </c>
      <c r="O75" s="210">
        <f t="shared" si="40"/>
        <v>0.66077738515901063</v>
      </c>
      <c r="P75" s="210">
        <f t="shared" si="40"/>
        <v>0.63805370667890748</v>
      </c>
      <c r="Q75" s="210">
        <f t="shared" ca="1" si="40"/>
        <v>0.57955888144938961</v>
      </c>
      <c r="R75" s="210">
        <f t="shared" ca="1" si="40"/>
        <v>0.77836154893948239</v>
      </c>
      <c r="S75" s="210">
        <f t="shared" ca="1" si="40"/>
        <v>0.69703076636232042</v>
      </c>
      <c r="T75" s="210">
        <f t="shared" ca="1" si="40"/>
        <v>0.63672237711035939</v>
      </c>
      <c r="U75" s="210">
        <f ca="1">U65/U70</f>
        <v>0.54243373572048503</v>
      </c>
    </row>
    <row r="76" spans="2:33">
      <c r="B76" s="13" t="s">
        <v>15</v>
      </c>
      <c r="G76" s="153">
        <f t="shared" ref="G76:Q76" si="41">G64/G70</f>
        <v>23.691331923890061</v>
      </c>
      <c r="H76" s="153">
        <f t="shared" si="41"/>
        <v>20.795888399412632</v>
      </c>
      <c r="I76" s="153">
        <f t="shared" si="41"/>
        <v>22.591168091168093</v>
      </c>
      <c r="J76" s="153">
        <f t="shared" si="41"/>
        <v>19.86768149882904</v>
      </c>
      <c r="K76" s="153">
        <f t="shared" si="41"/>
        <v>17.896303901437371</v>
      </c>
      <c r="L76" s="153">
        <f t="shared" si="41"/>
        <v>19.438697318007662</v>
      </c>
      <c r="M76" s="153">
        <f t="shared" si="41"/>
        <v>18.212924606462305</v>
      </c>
      <c r="N76" s="153">
        <f t="shared" si="41"/>
        <v>18.047389558232933</v>
      </c>
      <c r="O76" s="153">
        <f t="shared" si="41"/>
        <v>11.416961130742049</v>
      </c>
      <c r="P76" s="153">
        <f t="shared" si="41"/>
        <v>12.515033279779665</v>
      </c>
      <c r="Q76" s="153">
        <f t="shared" ca="1" si="41"/>
        <v>11.021071287908626</v>
      </c>
      <c r="R76" s="155">
        <f ca="1">+Q76</f>
        <v>11.021071287908626</v>
      </c>
      <c r="S76" s="155">
        <f ca="1">+R76</f>
        <v>11.021071287908626</v>
      </c>
      <c r="T76" s="155">
        <f ca="1">+S76</f>
        <v>11.021071287908626</v>
      </c>
      <c r="U76" s="155">
        <f ca="1">+T76</f>
        <v>11.021071287908626</v>
      </c>
    </row>
    <row r="77" spans="2:33">
      <c r="N77" s="153"/>
      <c r="O77" s="153"/>
      <c r="P77" s="153"/>
      <c r="Q77" s="153"/>
    </row>
    <row r="78" spans="2:33" s="202" customFormat="1">
      <c r="B78" s="33" t="s">
        <v>215</v>
      </c>
      <c r="C78" s="211"/>
      <c r="D78" s="211"/>
      <c r="E78" s="211"/>
      <c r="F78" s="211"/>
      <c r="G78" s="29">
        <f t="shared" ref="G78:T78" si="42">+G67-G72</f>
        <v>503.6</v>
      </c>
      <c r="H78" s="29">
        <f t="shared" si="42"/>
        <v>629.90000000000009</v>
      </c>
      <c r="I78" s="29">
        <f t="shared" si="42"/>
        <v>695.40000000000009</v>
      </c>
      <c r="J78" s="29">
        <f t="shared" si="42"/>
        <v>675</v>
      </c>
      <c r="K78" s="29">
        <f t="shared" si="42"/>
        <v>885.40000000000009</v>
      </c>
      <c r="L78" s="29">
        <f t="shared" si="42"/>
        <v>1034.3000000000002</v>
      </c>
      <c r="M78" s="29">
        <f t="shared" si="42"/>
        <v>987.80000000000018</v>
      </c>
      <c r="N78" s="29">
        <f t="shared" si="42"/>
        <v>930.99999999999977</v>
      </c>
      <c r="O78" s="29">
        <f t="shared" si="42"/>
        <v>3953.4</v>
      </c>
      <c r="P78" s="29">
        <f>+P67-P72</f>
        <v>3704.9</v>
      </c>
      <c r="Q78" s="29">
        <f t="shared" si="42"/>
        <v>3575.7999999999997</v>
      </c>
      <c r="R78" s="29">
        <f t="shared" ca="1" si="42"/>
        <v>3461.8999999999996</v>
      </c>
      <c r="S78" s="29">
        <f t="shared" ca="1" si="42"/>
        <v>3301.076946189959</v>
      </c>
      <c r="T78" s="29">
        <f t="shared" ca="1" si="42"/>
        <v>3104.2395420049274</v>
      </c>
      <c r="U78" s="29">
        <f ca="1">+U67-U72</f>
        <v>2851.1765957972648</v>
      </c>
      <c r="V78" s="181"/>
      <c r="X78"/>
      <c r="Y78"/>
      <c r="Z78"/>
      <c r="AA78"/>
      <c r="AB78"/>
      <c r="AC78"/>
    </row>
    <row r="80" spans="2:33" s="184" customFormat="1">
      <c r="B80" s="103" t="s">
        <v>223</v>
      </c>
      <c r="H80" s="414">
        <f t="shared" ref="H80:U80" si="43">G83</f>
        <v>20.2</v>
      </c>
      <c r="I80" s="414">
        <f t="shared" si="43"/>
        <v>20.2</v>
      </c>
      <c r="J80" s="414">
        <f t="shared" si="43"/>
        <v>20.2</v>
      </c>
      <c r="K80" s="414">
        <f t="shared" si="43"/>
        <v>20.2</v>
      </c>
      <c r="L80" s="414">
        <f t="shared" si="43"/>
        <v>26.1</v>
      </c>
      <c r="M80" s="414">
        <f t="shared" si="43"/>
        <v>166.1</v>
      </c>
      <c r="N80" s="414">
        <f t="shared" si="43"/>
        <v>166.1</v>
      </c>
      <c r="O80" s="414">
        <f t="shared" si="43"/>
        <v>166.1</v>
      </c>
      <c r="P80" s="414">
        <f t="shared" si="43"/>
        <v>745.9</v>
      </c>
      <c r="Q80" s="414">
        <f t="shared" si="43"/>
        <v>772.1</v>
      </c>
      <c r="R80" s="414">
        <f t="shared" ca="1" si="43"/>
        <v>772.1</v>
      </c>
      <c r="S80" s="414">
        <f t="shared" ca="1" si="43"/>
        <v>772.1</v>
      </c>
      <c r="T80" s="414">
        <f t="shared" ca="1" si="43"/>
        <v>772.1</v>
      </c>
      <c r="U80" s="414">
        <f t="shared" ca="1" si="43"/>
        <v>772.1</v>
      </c>
      <c r="X80"/>
      <c r="Y80"/>
      <c r="Z80"/>
      <c r="AA80"/>
      <c r="AB80"/>
      <c r="AC80"/>
    </row>
    <row r="81" spans="2:29" s="153" customFormat="1">
      <c r="B81" s="153" t="s">
        <v>119</v>
      </c>
      <c r="G81" s="212"/>
      <c r="H81" s="212">
        <f t="shared" ref="H81:Q81" si="44">+H83-H80-H82</f>
        <v>0</v>
      </c>
      <c r="I81" s="212">
        <f t="shared" si="44"/>
        <v>0</v>
      </c>
      <c r="J81" s="212">
        <f t="shared" si="44"/>
        <v>0</v>
      </c>
      <c r="K81" s="212">
        <f t="shared" si="44"/>
        <v>5.9000000000000021</v>
      </c>
      <c r="L81" s="212">
        <f t="shared" si="44"/>
        <v>140</v>
      </c>
      <c r="M81" s="212">
        <f t="shared" si="44"/>
        <v>0</v>
      </c>
      <c r="N81" s="212">
        <f t="shared" si="44"/>
        <v>0</v>
      </c>
      <c r="O81" s="212">
        <f t="shared" si="44"/>
        <v>579.79999999999995</v>
      </c>
      <c r="P81" s="212">
        <f t="shared" si="44"/>
        <v>26.200000000000045</v>
      </c>
      <c r="Q81" s="212">
        <f t="shared" ca="1" si="44"/>
        <v>0</v>
      </c>
      <c r="R81" s="194">
        <f>-CF!R33</f>
        <v>0</v>
      </c>
      <c r="S81" s="194">
        <f>-CF!S33</f>
        <v>0</v>
      </c>
      <c r="T81" s="194">
        <f>-CF!T33</f>
        <v>0</v>
      </c>
      <c r="U81" s="194">
        <f>-CF!U33</f>
        <v>0</v>
      </c>
      <c r="X81"/>
      <c r="Y81"/>
      <c r="Z81"/>
      <c r="AA81"/>
      <c r="AB81"/>
      <c r="AC81"/>
    </row>
    <row r="82" spans="2:29" s="153" customFormat="1">
      <c r="B82" s="153" t="s">
        <v>16</v>
      </c>
      <c r="G82" s="155"/>
      <c r="H82" s="155">
        <v>0</v>
      </c>
      <c r="I82" s="155">
        <v>0</v>
      </c>
      <c r="J82" s="155">
        <v>0</v>
      </c>
      <c r="K82" s="155">
        <v>0</v>
      </c>
      <c r="L82" s="155">
        <v>0</v>
      </c>
      <c r="M82" s="155">
        <v>0</v>
      </c>
      <c r="N82" s="155">
        <v>0</v>
      </c>
      <c r="O82" s="155">
        <v>0</v>
      </c>
      <c r="P82" s="155">
        <v>0</v>
      </c>
      <c r="Q82" s="155">
        <v>0</v>
      </c>
      <c r="R82" s="155">
        <v>0</v>
      </c>
      <c r="S82" s="155">
        <v>0</v>
      </c>
      <c r="T82" s="155">
        <v>0</v>
      </c>
      <c r="U82" s="155">
        <v>0</v>
      </c>
      <c r="X82"/>
      <c r="Y82"/>
      <c r="Z82"/>
      <c r="AA82"/>
      <c r="AB82"/>
      <c r="AC82"/>
    </row>
    <row r="83" spans="2:29" s="184" customFormat="1">
      <c r="B83" s="38" t="s">
        <v>224</v>
      </c>
      <c r="C83" s="192"/>
      <c r="D83" s="192"/>
      <c r="E83" s="192"/>
      <c r="F83" s="192"/>
      <c r="G83" s="61">
        <v>20.2</v>
      </c>
      <c r="H83" s="61">
        <v>20.2</v>
      </c>
      <c r="I83" s="61">
        <v>20.2</v>
      </c>
      <c r="J83" s="61">
        <f>15.2+5</f>
        <v>20.2</v>
      </c>
      <c r="K83" s="61">
        <f>19.2+6.9</f>
        <v>26.1</v>
      </c>
      <c r="L83" s="61">
        <f>152.7+13.4</f>
        <v>166.1</v>
      </c>
      <c r="M83" s="61">
        <f>138.1+28</f>
        <v>166.1</v>
      </c>
      <c r="N83" s="61">
        <v>166.1</v>
      </c>
      <c r="O83" s="61">
        <v>745.9</v>
      </c>
      <c r="P83" s="61">
        <v>772.1</v>
      </c>
      <c r="Q83" s="93">
        <f ca="1">Q80+Q81+Q82</f>
        <v>772.1</v>
      </c>
      <c r="R83" s="93">
        <f ca="1">R80+R81+R82</f>
        <v>772.1</v>
      </c>
      <c r="S83" s="93">
        <f ca="1">S80+S81+S82</f>
        <v>772.1</v>
      </c>
      <c r="T83" s="93">
        <f ca="1">T80+T81+T82</f>
        <v>772.1</v>
      </c>
      <c r="U83" s="93">
        <f ca="1">U80+U81+U82</f>
        <v>772.1</v>
      </c>
      <c r="X83"/>
      <c r="Y83"/>
      <c r="Z83"/>
      <c r="AA83"/>
      <c r="AB83"/>
      <c r="AC83"/>
    </row>
    <row r="84" spans="2:29">
      <c r="G84" s="188"/>
      <c r="H84" s="188"/>
      <c r="I84" s="188"/>
      <c r="J84" s="188"/>
      <c r="K84" s="188"/>
      <c r="L84" s="188"/>
      <c r="M84" s="188"/>
      <c r="N84" s="188"/>
      <c r="O84" s="188"/>
      <c r="P84" s="213"/>
      <c r="Q84" s="213"/>
      <c r="R84" s="213"/>
      <c r="S84" s="213"/>
      <c r="T84" s="213"/>
      <c r="U84" s="213"/>
    </row>
    <row r="85" spans="2:29" s="184" customFormat="1">
      <c r="B85" s="103" t="s">
        <v>225</v>
      </c>
      <c r="G85" s="189">
        <v>0</v>
      </c>
      <c r="H85" s="414">
        <f>G88</f>
        <v>0.5</v>
      </c>
      <c r="I85" s="414">
        <f>H88</f>
        <v>2</v>
      </c>
      <c r="J85" s="414">
        <f t="shared" ref="J85:O85" si="45">I88</f>
        <v>3.5</v>
      </c>
      <c r="K85" s="414">
        <f t="shared" si="45"/>
        <v>5</v>
      </c>
      <c r="L85" s="414">
        <f t="shared" si="45"/>
        <v>6.9000000000000021</v>
      </c>
      <c r="M85" s="414">
        <f t="shared" si="45"/>
        <v>13.400000000000006</v>
      </c>
      <c r="N85" s="414">
        <f t="shared" si="45"/>
        <v>28</v>
      </c>
      <c r="O85" s="414">
        <f t="shared" si="45"/>
        <v>42.599999999999994</v>
      </c>
      <c r="P85" s="414">
        <f t="shared" ref="P85:U85" si="46">O88</f>
        <v>68.399999999999977</v>
      </c>
      <c r="Q85" s="414">
        <f t="shared" si="46"/>
        <v>142.5</v>
      </c>
      <c r="R85" s="414">
        <f t="shared" ca="1" si="46"/>
        <v>193.60000000000002</v>
      </c>
      <c r="S85" s="414">
        <f t="shared" ca="1" si="46"/>
        <v>244.70000000000005</v>
      </c>
      <c r="T85" s="414">
        <f t="shared" ca="1" si="46"/>
        <v>295.80000000000007</v>
      </c>
      <c r="U85" s="414">
        <f t="shared" ca="1" si="46"/>
        <v>346.90000000000009</v>
      </c>
      <c r="X85"/>
      <c r="Y85"/>
      <c r="Z85"/>
      <c r="AA85"/>
      <c r="AB85"/>
      <c r="AC85"/>
    </row>
    <row r="86" spans="2:29" s="153" customFormat="1">
      <c r="B86" s="153" t="s">
        <v>17</v>
      </c>
      <c r="G86" s="194">
        <f>+CF!G11</f>
        <v>0.70000000000000284</v>
      </c>
      <c r="H86" s="194">
        <f>+CF!H11</f>
        <v>1.5</v>
      </c>
      <c r="I86" s="194">
        <f>+CF!I11</f>
        <v>1.5</v>
      </c>
      <c r="J86" s="194">
        <f>+CF!J11</f>
        <v>1.5</v>
      </c>
      <c r="K86" s="194">
        <f>+CF!K11</f>
        <v>1.8999999999999915</v>
      </c>
      <c r="L86" s="194">
        <f>+CF!L11</f>
        <v>6.5</v>
      </c>
      <c r="M86" s="194">
        <f>+CF!M11</f>
        <v>14.600000000000009</v>
      </c>
      <c r="N86" s="194">
        <f>+CF!N11</f>
        <v>14.599999999999994</v>
      </c>
      <c r="O86" s="194">
        <f>+CF!O11</f>
        <v>30.800000000000011</v>
      </c>
      <c r="P86" s="194">
        <f>+CF!P11</f>
        <v>97.800000000000011</v>
      </c>
      <c r="Q86" s="212">
        <f ca="1">+Q88-Q85-Q87</f>
        <v>51.100000000000023</v>
      </c>
      <c r="R86" s="155">
        <f ca="1">Q86+(R81/R92)</f>
        <v>51.100000000000023</v>
      </c>
      <c r="S86" s="155">
        <f ca="1">R86+(S81/S92)</f>
        <v>51.100000000000023</v>
      </c>
      <c r="T86" s="155">
        <f ca="1">S86+(T81/T92)</f>
        <v>51.100000000000023</v>
      </c>
      <c r="U86" s="155">
        <f ca="1">T86+(U81/U92)</f>
        <v>51.100000000000023</v>
      </c>
      <c r="X86"/>
      <c r="Y86"/>
      <c r="Z86"/>
      <c r="AA86"/>
      <c r="AB86"/>
      <c r="AC86"/>
    </row>
    <row r="87" spans="2:29" s="153" customFormat="1">
      <c r="B87" s="153" t="s">
        <v>16</v>
      </c>
      <c r="G87" s="153">
        <f>+G88-G86-G85</f>
        <v>-0.20000000000000284</v>
      </c>
      <c r="H87" s="153">
        <f t="shared" ref="H87:P87" si="47">+H88-H86-H85</f>
        <v>0</v>
      </c>
      <c r="I87" s="153">
        <f t="shared" si="47"/>
        <v>0</v>
      </c>
      <c r="J87" s="153">
        <f t="shared" si="47"/>
        <v>0</v>
      </c>
      <c r="K87" s="153">
        <f t="shared" si="47"/>
        <v>1.0658141036401503E-14</v>
      </c>
      <c r="L87" s="153">
        <f t="shared" si="47"/>
        <v>0</v>
      </c>
      <c r="M87" s="153">
        <f t="shared" si="47"/>
        <v>-1.4210854715202004E-14</v>
      </c>
      <c r="N87" s="153">
        <f t="shared" si="47"/>
        <v>0</v>
      </c>
      <c r="O87" s="153">
        <f t="shared" si="47"/>
        <v>-5.0000000000000284</v>
      </c>
      <c r="P87" s="153">
        <f t="shared" si="47"/>
        <v>-23.699999999999989</v>
      </c>
      <c r="Q87" s="155">
        <v>0</v>
      </c>
      <c r="R87" s="155">
        <v>0</v>
      </c>
      <c r="S87" s="155">
        <v>0</v>
      </c>
      <c r="T87" s="155">
        <v>0</v>
      </c>
      <c r="U87" s="155">
        <v>0</v>
      </c>
      <c r="X87"/>
      <c r="Y87"/>
      <c r="Z87"/>
      <c r="AA87"/>
      <c r="AB87"/>
      <c r="AC87"/>
    </row>
    <row r="88" spans="2:29" s="184" customFormat="1">
      <c r="B88" s="38" t="s">
        <v>226</v>
      </c>
      <c r="C88" s="192"/>
      <c r="D88" s="192"/>
      <c r="E88" s="192"/>
      <c r="F88" s="192"/>
      <c r="G88" s="120">
        <f>G83-G94</f>
        <v>0.5</v>
      </c>
      <c r="H88" s="120">
        <f t="shared" ref="H88:Q88" si="48">H83-H94</f>
        <v>2</v>
      </c>
      <c r="I88" s="120">
        <f t="shared" si="48"/>
        <v>3.5</v>
      </c>
      <c r="J88" s="120">
        <f t="shared" si="48"/>
        <v>5</v>
      </c>
      <c r="K88" s="120">
        <f t="shared" si="48"/>
        <v>6.9000000000000021</v>
      </c>
      <c r="L88" s="120">
        <f t="shared" si="48"/>
        <v>13.400000000000006</v>
      </c>
      <c r="M88" s="120">
        <f t="shared" si="48"/>
        <v>28</v>
      </c>
      <c r="N88" s="120">
        <f t="shared" si="48"/>
        <v>42.599999999999994</v>
      </c>
      <c r="O88" s="120">
        <f t="shared" si="48"/>
        <v>68.399999999999977</v>
      </c>
      <c r="P88" s="120">
        <f t="shared" si="48"/>
        <v>142.5</v>
      </c>
      <c r="Q88" s="120">
        <f t="shared" ca="1" si="48"/>
        <v>193.60000000000002</v>
      </c>
      <c r="R88" s="93">
        <f ca="1">R85+R86+R87</f>
        <v>244.70000000000005</v>
      </c>
      <c r="S88" s="93">
        <f ca="1">S85+S86+S87</f>
        <v>295.80000000000007</v>
      </c>
      <c r="T88" s="93">
        <f ca="1">T85+T86+T87</f>
        <v>346.90000000000009</v>
      </c>
      <c r="U88" s="93">
        <f ca="1">U85+U86+U87</f>
        <v>398.00000000000011</v>
      </c>
      <c r="X88"/>
      <c r="Y88"/>
      <c r="Z88"/>
      <c r="AA88"/>
      <c r="AB88"/>
      <c r="AC88"/>
    </row>
    <row r="90" spans="2:29">
      <c r="B90" s="13" t="s">
        <v>230</v>
      </c>
      <c r="G90" s="214"/>
      <c r="H90" s="209">
        <f>IF(H81&lt;0,"NM",H81/H43)</f>
        <v>0</v>
      </c>
      <c r="I90" s="209">
        <f t="shared" ref="I90:T90" si="49">I81/I43</f>
        <v>0</v>
      </c>
      <c r="J90" s="209">
        <f t="shared" si="49"/>
        <v>0</v>
      </c>
      <c r="K90" s="209">
        <f t="shared" si="49"/>
        <v>3.0085156289837347E-3</v>
      </c>
      <c r="L90" s="209">
        <f t="shared" si="49"/>
        <v>6.4082024991989756E-2</v>
      </c>
      <c r="M90" s="209">
        <f t="shared" si="49"/>
        <v>0</v>
      </c>
      <c r="N90" s="209">
        <f t="shared" si="49"/>
        <v>0</v>
      </c>
      <c r="O90" s="209">
        <f t="shared" si="49"/>
        <v>0.20312499999999997</v>
      </c>
      <c r="P90" s="209">
        <f t="shared" si="49"/>
        <v>4.7202104277015182E-3</v>
      </c>
      <c r="Q90" s="209">
        <f t="shared" ca="1" si="49"/>
        <v>0</v>
      </c>
      <c r="R90" s="209">
        <f t="shared" si="49"/>
        <v>0</v>
      </c>
      <c r="S90" s="209">
        <f t="shared" si="49"/>
        <v>0</v>
      </c>
      <c r="T90" s="209">
        <f t="shared" si="49"/>
        <v>0</v>
      </c>
      <c r="U90" s="209">
        <f>U81/U43</f>
        <v>0</v>
      </c>
    </row>
    <row r="91" spans="2:29">
      <c r="B91" s="13" t="s">
        <v>229</v>
      </c>
      <c r="G91" s="215"/>
      <c r="H91" s="210">
        <f>IF(H81&lt;0,"NM",H81/H86)</f>
        <v>0</v>
      </c>
      <c r="I91" s="210">
        <f t="shared" ref="I91:N91" si="50">I81/I86</f>
        <v>0</v>
      </c>
      <c r="J91" s="210">
        <f t="shared" si="50"/>
        <v>0</v>
      </c>
      <c r="K91" s="210">
        <f t="shared" si="50"/>
        <v>3.1052631578947518</v>
      </c>
      <c r="L91" s="210">
        <f t="shared" si="50"/>
        <v>21.53846153846154</v>
      </c>
      <c r="M91" s="210">
        <f t="shared" si="50"/>
        <v>0</v>
      </c>
      <c r="N91" s="210">
        <f t="shared" si="50"/>
        <v>0</v>
      </c>
      <c r="O91" s="210">
        <f t="shared" ref="O91:T91" si="51">O81/O86</f>
        <v>18.824675324675315</v>
      </c>
      <c r="P91" s="210">
        <f t="shared" si="51"/>
        <v>0.26789366053169777</v>
      </c>
      <c r="Q91" s="210">
        <f t="shared" ca="1" si="51"/>
        <v>0</v>
      </c>
      <c r="R91" s="210">
        <f t="shared" ca="1" si="51"/>
        <v>0</v>
      </c>
      <c r="S91" s="210">
        <f t="shared" ca="1" si="51"/>
        <v>0</v>
      </c>
      <c r="T91" s="210">
        <f t="shared" ca="1" si="51"/>
        <v>0</v>
      </c>
      <c r="U91" s="210">
        <f ca="1">U81/U86</f>
        <v>0</v>
      </c>
    </row>
    <row r="92" spans="2:29">
      <c r="B92" s="13" t="s">
        <v>15</v>
      </c>
      <c r="G92" s="153"/>
      <c r="H92" s="153">
        <f t="shared" ref="H92:P92" si="52">H80/H86</f>
        <v>13.466666666666667</v>
      </c>
      <c r="I92" s="153">
        <f t="shared" si="52"/>
        <v>13.466666666666667</v>
      </c>
      <c r="J92" s="153">
        <f t="shared" si="52"/>
        <v>13.466666666666667</v>
      </c>
      <c r="K92" s="153">
        <f t="shared" si="52"/>
        <v>10.631578947368469</v>
      </c>
      <c r="L92" s="153">
        <f t="shared" si="52"/>
        <v>4.0153846153846153</v>
      </c>
      <c r="M92" s="153">
        <f t="shared" si="52"/>
        <v>11.376712328767116</v>
      </c>
      <c r="N92" s="153">
        <f t="shared" si="52"/>
        <v>11.376712328767127</v>
      </c>
      <c r="O92" s="153">
        <f t="shared" si="52"/>
        <v>5.3928571428571406</v>
      </c>
      <c r="P92" s="153">
        <f t="shared" si="52"/>
        <v>7.6267893660531687</v>
      </c>
      <c r="Q92" s="153">
        <f>P92</f>
        <v>7.6267893660531687</v>
      </c>
      <c r="R92" s="155">
        <f>+Q92</f>
        <v>7.6267893660531687</v>
      </c>
      <c r="S92" s="155">
        <f>+R92</f>
        <v>7.6267893660531687</v>
      </c>
      <c r="T92" s="155">
        <f>+S92</f>
        <v>7.6267893660531687</v>
      </c>
      <c r="U92" s="155">
        <f>+T92</f>
        <v>7.6267893660531687</v>
      </c>
    </row>
    <row r="94" spans="2:29" s="192" customFormat="1">
      <c r="B94" s="106" t="s">
        <v>231</v>
      </c>
      <c r="C94" s="193"/>
      <c r="D94" s="193"/>
      <c r="E94" s="193"/>
      <c r="F94" s="193"/>
      <c r="G94" s="514">
        <v>19.7</v>
      </c>
      <c r="H94" s="514">
        <v>18.2</v>
      </c>
      <c r="I94" s="514">
        <v>16.7</v>
      </c>
      <c r="J94" s="514">
        <v>15.2</v>
      </c>
      <c r="K94" s="514">
        <v>19.2</v>
      </c>
      <c r="L94" s="514">
        <v>152.69999999999999</v>
      </c>
      <c r="M94" s="514">
        <v>138.1</v>
      </c>
      <c r="N94" s="515">
        <f>N15</f>
        <v>123.5</v>
      </c>
      <c r="O94" s="515">
        <f>O15</f>
        <v>677.5</v>
      </c>
      <c r="P94" s="515">
        <f>P15</f>
        <v>629.6</v>
      </c>
      <c r="Q94" s="515">
        <f>Q15</f>
        <v>578.5</v>
      </c>
      <c r="R94" s="107">
        <f ca="1">+R83-R88</f>
        <v>527.4</v>
      </c>
      <c r="S94" s="107">
        <f ca="1">+S83-S88</f>
        <v>476.29999999999995</v>
      </c>
      <c r="T94" s="107">
        <f ca="1">+T83-T88</f>
        <v>425.19999999999993</v>
      </c>
      <c r="U94" s="107">
        <f ca="1">+U83-U88</f>
        <v>374.09999999999991</v>
      </c>
      <c r="X94"/>
      <c r="Y94"/>
      <c r="Z94"/>
      <c r="AA94"/>
      <c r="AB94"/>
      <c r="AC94"/>
    </row>
    <row r="95" spans="2:29" s="202" customFormat="1">
      <c r="X95"/>
      <c r="Y95"/>
      <c r="Z95"/>
      <c r="AA95"/>
      <c r="AB95"/>
      <c r="AC95"/>
    </row>
    <row r="96" spans="2:29" s="202" customFormat="1">
      <c r="B96" s="152" t="s">
        <v>238</v>
      </c>
      <c r="C96" s="8"/>
      <c r="D96" s="8"/>
      <c r="E96" s="8"/>
      <c r="F96" s="8"/>
      <c r="G96" s="180"/>
      <c r="H96" s="180"/>
      <c r="I96" s="180"/>
      <c r="J96" s="180"/>
      <c r="K96" s="180"/>
      <c r="L96" s="180"/>
      <c r="M96" s="180"/>
      <c r="N96" s="180"/>
      <c r="O96" s="180"/>
      <c r="P96" s="180"/>
      <c r="Q96" s="180"/>
      <c r="R96" s="180"/>
      <c r="S96" s="180"/>
      <c r="T96" s="200"/>
      <c r="U96" s="200"/>
      <c r="X96"/>
      <c r="Y96"/>
      <c r="Z96"/>
      <c r="AA96"/>
      <c r="AB96"/>
      <c r="AC96"/>
    </row>
    <row r="97" spans="2:29" s="202" customFormat="1">
      <c r="B97" s="13" t="s">
        <v>239</v>
      </c>
      <c r="G97" s="181"/>
      <c r="H97" s="227">
        <f t="shared" ref="H97:U97" si="53">+G25+G19</f>
        <v>259</v>
      </c>
      <c r="I97" s="227">
        <f t="shared" si="53"/>
        <v>252.4</v>
      </c>
      <c r="J97" s="227">
        <f t="shared" si="53"/>
        <v>398.4</v>
      </c>
      <c r="K97" s="227">
        <f t="shared" si="53"/>
        <v>496</v>
      </c>
      <c r="L97" s="227">
        <f t="shared" si="53"/>
        <v>536.40000000000009</v>
      </c>
      <c r="M97" s="227">
        <f t="shared" si="53"/>
        <v>713.7</v>
      </c>
      <c r="N97" s="184">
        <f t="shared" si="53"/>
        <v>691</v>
      </c>
      <c r="O97" s="184">
        <f t="shared" si="53"/>
        <v>675.1</v>
      </c>
      <c r="P97" s="184">
        <f>O132</f>
        <v>3848.8</v>
      </c>
      <c r="Q97" s="184">
        <f>P132</f>
        <v>3617.6</v>
      </c>
      <c r="R97" s="184">
        <f t="shared" si="53"/>
        <v>3612</v>
      </c>
      <c r="S97" s="184">
        <f t="shared" si="53"/>
        <v>3612</v>
      </c>
      <c r="T97" s="184">
        <f t="shared" si="53"/>
        <v>3517.46875</v>
      </c>
      <c r="U97" s="184">
        <f t="shared" si="53"/>
        <v>3405.75</v>
      </c>
      <c r="X97"/>
      <c r="Y97"/>
      <c r="Z97"/>
      <c r="AA97"/>
      <c r="AB97"/>
      <c r="AC97"/>
    </row>
    <row r="98" spans="2:29" s="202" customFormat="1">
      <c r="B98" s="13" t="s">
        <v>240</v>
      </c>
      <c r="G98" s="216"/>
      <c r="H98" s="216">
        <f>IS!H14</f>
        <v>-13.3</v>
      </c>
      <c r="I98" s="216">
        <f>IS!I14</f>
        <v>-11.6</v>
      </c>
      <c r="J98" s="216">
        <f>IS!J14</f>
        <v>-25.4</v>
      </c>
      <c r="K98" s="216">
        <f>IS!K14</f>
        <v>-30.4</v>
      </c>
      <c r="L98" s="216">
        <f>IS!L14</f>
        <v>-26.4</v>
      </c>
      <c r="M98" s="216">
        <f>IS!M14</f>
        <v>-38.599999999999994</v>
      </c>
      <c r="N98" s="186">
        <f>IS!N14</f>
        <v>-43.8</v>
      </c>
      <c r="O98" s="186">
        <f>IS!O14</f>
        <v>-97</v>
      </c>
      <c r="P98" s="186">
        <f>IS!P14</f>
        <v>-191.89999999999998</v>
      </c>
      <c r="Q98" s="186">
        <f>IS!Q14</f>
        <v>-217.4</v>
      </c>
      <c r="R98" s="414">
        <f>-R158</f>
        <v>-240.04222874999999</v>
      </c>
      <c r="S98" s="414">
        <f t="shared" ref="S98:U98" si="54">-S158</f>
        <v>-236.57293187499999</v>
      </c>
      <c r="T98" s="414">
        <f t="shared" si="54"/>
        <v>-232.47285374999998</v>
      </c>
      <c r="U98" s="414">
        <f t="shared" si="54"/>
        <v>-227.42660375000003</v>
      </c>
      <c r="X98"/>
      <c r="Y98"/>
      <c r="Z98"/>
      <c r="AA98"/>
      <c r="AB98"/>
      <c r="AC98"/>
    </row>
    <row r="99" spans="2:29" s="202" customFormat="1">
      <c r="B99" s="13" t="s">
        <v>241</v>
      </c>
      <c r="G99" s="217"/>
      <c r="H99" s="217">
        <f t="shared" ref="H99:U99" si="55">-H98/H97</f>
        <v>5.1351351351351354E-2</v>
      </c>
      <c r="I99" s="217">
        <f t="shared" si="55"/>
        <v>4.5958795562599047E-2</v>
      </c>
      <c r="J99" s="217">
        <f t="shared" si="55"/>
        <v>6.3755020080321287E-2</v>
      </c>
      <c r="K99" s="217">
        <f t="shared" si="55"/>
        <v>6.1290322580645158E-2</v>
      </c>
      <c r="L99" s="217">
        <f t="shared" si="55"/>
        <v>4.9217002237136452E-2</v>
      </c>
      <c r="M99" s="217">
        <f t="shared" si="55"/>
        <v>5.4084349166316367E-2</v>
      </c>
      <c r="N99" s="217">
        <f t="shared" si="55"/>
        <v>6.338639652677279E-2</v>
      </c>
      <c r="O99" s="217">
        <f t="shared" si="55"/>
        <v>0.14368241741964152</v>
      </c>
      <c r="P99" s="217">
        <f t="shared" si="55"/>
        <v>4.9859696528788189E-2</v>
      </c>
      <c r="Q99" s="217">
        <f t="shared" si="55"/>
        <v>6.0095090667846088E-2</v>
      </c>
      <c r="R99" s="217">
        <f t="shared" si="55"/>
        <v>6.6456873961794019E-2</v>
      </c>
      <c r="S99" s="217">
        <f t="shared" si="55"/>
        <v>6.5496382025193797E-2</v>
      </c>
      <c r="T99" s="217">
        <f t="shared" si="55"/>
        <v>6.6090950701409926E-2</v>
      </c>
      <c r="U99" s="217">
        <f t="shared" si="55"/>
        <v>6.677724546722455E-2</v>
      </c>
      <c r="X99"/>
      <c r="Y99"/>
      <c r="Z99"/>
      <c r="AA99"/>
      <c r="AB99"/>
      <c r="AC99"/>
    </row>
    <row r="100" spans="2:29" s="202" customFormat="1">
      <c r="B100" s="13"/>
      <c r="Q100" s="219"/>
      <c r="R100" s="163"/>
      <c r="S100" s="219"/>
      <c r="T100" s="219"/>
      <c r="U100" s="219"/>
      <c r="X100"/>
      <c r="Y100"/>
      <c r="Z100"/>
      <c r="AA100"/>
      <c r="AB100"/>
      <c r="AC100"/>
    </row>
    <row r="101" spans="2:29" s="202" customFormat="1">
      <c r="B101" s="33" t="s">
        <v>242</v>
      </c>
      <c r="C101" s="211"/>
      <c r="D101" s="211"/>
      <c r="E101" s="211"/>
      <c r="F101" s="220"/>
      <c r="G101" s="221"/>
      <c r="H101" s="487">
        <f>H98</f>
        <v>-13.3</v>
      </c>
      <c r="I101" s="487">
        <f t="shared" ref="I101:U101" si="56">I98</f>
        <v>-11.6</v>
      </c>
      <c r="J101" s="487">
        <f t="shared" si="56"/>
        <v>-25.4</v>
      </c>
      <c r="K101" s="487">
        <f t="shared" si="56"/>
        <v>-30.4</v>
      </c>
      <c r="L101" s="487">
        <f t="shared" si="56"/>
        <v>-26.4</v>
      </c>
      <c r="M101" s="487">
        <f t="shared" si="56"/>
        <v>-38.599999999999994</v>
      </c>
      <c r="N101" s="487">
        <f t="shared" si="56"/>
        <v>-43.8</v>
      </c>
      <c r="O101" s="487">
        <f t="shared" si="56"/>
        <v>-97</v>
      </c>
      <c r="P101" s="487">
        <f t="shared" si="56"/>
        <v>-191.89999999999998</v>
      </c>
      <c r="Q101" s="487">
        <f t="shared" si="56"/>
        <v>-217.4</v>
      </c>
      <c r="R101" s="487">
        <f t="shared" si="56"/>
        <v>-240.04222874999999</v>
      </c>
      <c r="S101" s="487">
        <f t="shared" si="56"/>
        <v>-236.57293187499999</v>
      </c>
      <c r="T101" s="487">
        <f t="shared" si="56"/>
        <v>-232.47285374999998</v>
      </c>
      <c r="U101" s="487">
        <f t="shared" si="56"/>
        <v>-227.42660375000003</v>
      </c>
      <c r="X101"/>
      <c r="Y101"/>
      <c r="Z101"/>
      <c r="AA101"/>
      <c r="AB101"/>
      <c r="AC101"/>
    </row>
    <row r="102" spans="2:29" hidden="1" outlineLevel="1">
      <c r="R102" s="181">
        <f ca="1">+R19+R25-R3</f>
        <v>3067.6006139564342</v>
      </c>
      <c r="S102" s="153">
        <f ca="1">+R102/IS!R50</f>
        <v>2.3724778092086165</v>
      </c>
    </row>
    <row r="103" spans="2:29" hidden="1" outlineLevel="1">
      <c r="B103" s="152" t="s">
        <v>232</v>
      </c>
      <c r="C103" s="152"/>
      <c r="D103" s="152"/>
      <c r="E103" s="152"/>
      <c r="F103" s="152"/>
      <c r="G103" s="152"/>
      <c r="H103" s="152"/>
      <c r="I103" s="152"/>
      <c r="J103" s="152"/>
      <c r="K103" s="152"/>
      <c r="L103" s="152"/>
      <c r="M103" s="152"/>
      <c r="N103" s="152"/>
      <c r="O103" s="152"/>
      <c r="P103" s="152"/>
      <c r="Q103" s="152"/>
      <c r="R103" s="152"/>
      <c r="S103" s="152"/>
      <c r="T103" s="152"/>
      <c r="U103" s="152"/>
    </row>
    <row r="104" spans="2:29" hidden="1" outlineLevel="1">
      <c r="B104" s="222" t="s">
        <v>31</v>
      </c>
      <c r="G104" s="223">
        <v>0</v>
      </c>
      <c r="H104" s="223">
        <v>0</v>
      </c>
      <c r="I104" s="223">
        <v>0</v>
      </c>
      <c r="J104" s="223">
        <v>0</v>
      </c>
      <c r="K104" s="223">
        <v>0</v>
      </c>
      <c r="L104" s="223">
        <v>0</v>
      </c>
      <c r="M104" s="223">
        <v>0</v>
      </c>
      <c r="N104" s="223">
        <v>0</v>
      </c>
      <c r="O104" s="223">
        <v>0</v>
      </c>
      <c r="P104" s="223">
        <v>0</v>
      </c>
      <c r="Q104" s="223">
        <v>0</v>
      </c>
      <c r="R104" s="223">
        <v>0</v>
      </c>
      <c r="S104" s="223">
        <v>0</v>
      </c>
      <c r="T104" s="223">
        <v>0</v>
      </c>
      <c r="U104" s="223">
        <v>0</v>
      </c>
    </row>
    <row r="105" spans="2:29" hidden="1" outlineLevel="1">
      <c r="B105" s="14" t="s">
        <v>32</v>
      </c>
      <c r="G105" s="224">
        <f>SUM(G106:G108)</f>
        <v>0.24299999999999994</v>
      </c>
      <c r="H105" s="224">
        <f t="shared" ref="H105:T105" si="57">SUM(H106:H108)</f>
        <v>0.17899999999999996</v>
      </c>
      <c r="I105" s="225">
        <f t="shared" si="57"/>
        <v>0.21799999999999997</v>
      </c>
      <c r="J105" s="225">
        <f t="shared" si="57"/>
        <v>0.19399999999999995</v>
      </c>
      <c r="K105" s="225">
        <f t="shared" si="57"/>
        <v>0.20799999999999996</v>
      </c>
      <c r="L105" s="225">
        <f t="shared" si="57"/>
        <v>0.21899999999999997</v>
      </c>
      <c r="M105" s="225">
        <f t="shared" si="57"/>
        <v>0.19499999999999995</v>
      </c>
      <c r="N105" s="225">
        <f t="shared" si="57"/>
        <v>0.21599999999999997</v>
      </c>
      <c r="O105" s="225">
        <f t="shared" si="57"/>
        <v>0.22999999999999998</v>
      </c>
      <c r="P105" s="225">
        <f t="shared" si="57"/>
        <v>0.22999999999999998</v>
      </c>
      <c r="Q105" s="225">
        <f t="shared" si="57"/>
        <v>0.22999999999999998</v>
      </c>
      <c r="R105" s="225">
        <f t="shared" si="57"/>
        <v>0.22999999999999998</v>
      </c>
      <c r="S105" s="225">
        <f t="shared" si="57"/>
        <v>0.22999999999999998</v>
      </c>
      <c r="T105" s="225">
        <f t="shared" si="57"/>
        <v>0.22999999999999998</v>
      </c>
      <c r="U105" s="225">
        <f>SUM(U106:U108)</f>
        <v>0.22999999999999998</v>
      </c>
    </row>
    <row r="106" spans="2:29" hidden="1" outlineLevel="1">
      <c r="B106" s="85" t="s">
        <v>120</v>
      </c>
      <c r="G106" s="226">
        <v>0.35</v>
      </c>
      <c r="H106" s="226">
        <v>0.35</v>
      </c>
      <c r="I106" s="226">
        <v>0.35</v>
      </c>
      <c r="J106" s="226">
        <v>0.35</v>
      </c>
      <c r="K106" s="226">
        <v>0.35</v>
      </c>
      <c r="L106" s="226">
        <v>0.35</v>
      </c>
      <c r="M106" s="226">
        <v>0.35</v>
      </c>
      <c r="N106" s="226">
        <v>0.35</v>
      </c>
      <c r="O106" s="226">
        <v>0.35</v>
      </c>
      <c r="P106" s="226">
        <v>0.35</v>
      </c>
      <c r="Q106" s="226">
        <v>0.35</v>
      </c>
      <c r="R106" s="226">
        <v>0.35</v>
      </c>
      <c r="S106" s="226">
        <v>0.35</v>
      </c>
      <c r="T106" s="226">
        <v>0.35</v>
      </c>
      <c r="U106" s="226">
        <v>0.35</v>
      </c>
    </row>
    <row r="107" spans="2:29" hidden="1" outlineLevel="1">
      <c r="B107" s="85" t="s">
        <v>136</v>
      </c>
      <c r="G107" s="226">
        <v>-3.2000000000000001E-2</v>
      </c>
      <c r="H107" s="226">
        <v>-2.8000000000000001E-2</v>
      </c>
      <c r="I107" s="226">
        <v>-1.4E-2</v>
      </c>
      <c r="J107" s="226">
        <v>-0.02</v>
      </c>
      <c r="K107" s="226">
        <v>-0.03</v>
      </c>
      <c r="L107" s="226">
        <v>-2.3E-2</v>
      </c>
      <c r="M107" s="226">
        <v>-3.2000000000000001E-2</v>
      </c>
      <c r="N107" s="226">
        <v>-2.1000000000000001E-2</v>
      </c>
      <c r="O107" s="226">
        <v>0</v>
      </c>
      <c r="P107" s="226">
        <v>0</v>
      </c>
      <c r="Q107" s="226">
        <v>0</v>
      </c>
      <c r="R107" s="226">
        <v>0</v>
      </c>
      <c r="S107" s="226">
        <v>0</v>
      </c>
      <c r="T107" s="226">
        <v>0</v>
      </c>
      <c r="U107" s="226">
        <v>0</v>
      </c>
    </row>
    <row r="108" spans="2:29" hidden="1" outlineLevel="1">
      <c r="B108" s="85" t="s">
        <v>137</v>
      </c>
      <c r="G108" s="226">
        <v>-7.4999999999999997E-2</v>
      </c>
      <c r="H108" s="226">
        <v>-0.14299999999999999</v>
      </c>
      <c r="I108" s="226">
        <v>-0.11799999999999999</v>
      </c>
      <c r="J108" s="226">
        <f>+-0.136</f>
        <v>-0.13600000000000001</v>
      </c>
      <c r="K108" s="226">
        <v>-0.112</v>
      </c>
      <c r="L108" s="226">
        <v>-0.108</v>
      </c>
      <c r="M108" s="226">
        <v>-0.123</v>
      </c>
      <c r="N108" s="226">
        <v>-0.113</v>
      </c>
      <c r="O108" s="226">
        <v>-0.12</v>
      </c>
      <c r="P108" s="226">
        <v>-0.12</v>
      </c>
      <c r="Q108" s="226">
        <v>-0.12</v>
      </c>
      <c r="R108" s="226">
        <v>-0.12</v>
      </c>
      <c r="S108" s="226">
        <v>-0.12</v>
      </c>
      <c r="T108" s="226">
        <v>-0.12</v>
      </c>
      <c r="U108" s="226">
        <v>-0.12</v>
      </c>
    </row>
    <row r="109" spans="2:29" hidden="1" outlineLevel="1"/>
    <row r="110" spans="2:29" customFormat="1" hidden="1" outlineLevel="1"/>
    <row r="111" spans="2:29" collapsed="1"/>
    <row r="112" spans="2:29" outlineLevel="1">
      <c r="B112" s="152" t="s">
        <v>654</v>
      </c>
      <c r="C112" s="8"/>
      <c r="D112" s="8"/>
      <c r="E112" s="8"/>
      <c r="F112" s="8"/>
      <c r="G112" s="180"/>
      <c r="H112" s="180"/>
      <c r="I112" s="180"/>
      <c r="J112" s="180"/>
      <c r="K112" s="180"/>
      <c r="L112" s="180"/>
      <c r="M112" s="180"/>
      <c r="N112" s="180"/>
      <c r="O112" s="180"/>
      <c r="P112" s="180"/>
      <c r="Q112" s="180"/>
      <c r="R112" s="180"/>
      <c r="S112" s="180"/>
      <c r="T112" s="200"/>
      <c r="U112" s="200"/>
    </row>
    <row r="113" spans="2:21" outlineLevel="1">
      <c r="B113" s="477" t="s">
        <v>658</v>
      </c>
      <c r="O113" s="479">
        <v>1350</v>
      </c>
      <c r="P113" s="479">
        <v>1282.5</v>
      </c>
      <c r="Q113" s="189">
        <f>1375-(0.05*1375)/4</f>
        <v>1357.8125</v>
      </c>
      <c r="R113" s="186">
        <f>Q113+CF!R44</f>
        <v>807.8125</v>
      </c>
      <c r="S113" s="186">
        <f>R113+CF!S44</f>
        <v>713.28125</v>
      </c>
      <c r="T113" s="186">
        <f>S113+CF!T44</f>
        <v>601.5625</v>
      </c>
      <c r="U113" s="186">
        <f>T113+CF!U44</f>
        <v>464.0625</v>
      </c>
    </row>
    <row r="114" spans="2:21" outlineLevel="1">
      <c r="B114" s="477" t="s">
        <v>657</v>
      </c>
      <c r="O114" s="155">
        <v>0</v>
      </c>
      <c r="P114" s="155">
        <v>0</v>
      </c>
      <c r="Q114" s="155">
        <v>120</v>
      </c>
      <c r="R114" s="155">
        <f>Q114</f>
        <v>120</v>
      </c>
      <c r="S114" s="155">
        <f t="shared" ref="S114:U114" si="58">R114</f>
        <v>120</v>
      </c>
      <c r="T114" s="155">
        <f t="shared" si="58"/>
        <v>120</v>
      </c>
      <c r="U114" s="155">
        <f t="shared" si="58"/>
        <v>120</v>
      </c>
    </row>
    <row r="115" spans="2:21" outlineLevel="1">
      <c r="B115" s="477" t="s">
        <v>659</v>
      </c>
      <c r="O115" s="480">
        <v>800</v>
      </c>
      <c r="P115" s="480">
        <v>590</v>
      </c>
      <c r="Q115" s="155">
        <v>0</v>
      </c>
      <c r="R115" s="155">
        <f>Q115</f>
        <v>0</v>
      </c>
      <c r="S115" s="155">
        <f t="shared" ref="S115:U115" si="59">R115</f>
        <v>0</v>
      </c>
      <c r="T115" s="155">
        <f t="shared" si="59"/>
        <v>0</v>
      </c>
      <c r="U115" s="155">
        <f t="shared" si="59"/>
        <v>0</v>
      </c>
    </row>
    <row r="116" spans="2:21" outlineLevel="1">
      <c r="B116" s="477" t="s">
        <v>660</v>
      </c>
      <c r="O116" s="480">
        <v>103</v>
      </c>
      <c r="P116" s="480">
        <v>103</v>
      </c>
      <c r="Q116" s="155">
        <f>P116</f>
        <v>103</v>
      </c>
      <c r="R116" s="155">
        <f t="shared" ref="R116:U116" si="60">Q116</f>
        <v>103</v>
      </c>
      <c r="S116" s="155">
        <f t="shared" si="60"/>
        <v>103</v>
      </c>
      <c r="T116" s="155">
        <f t="shared" si="60"/>
        <v>103</v>
      </c>
      <c r="U116" s="155">
        <f t="shared" si="60"/>
        <v>103</v>
      </c>
    </row>
    <row r="117" spans="2:21" outlineLevel="1">
      <c r="B117" s="477" t="s">
        <v>661</v>
      </c>
      <c r="O117" s="480">
        <v>50</v>
      </c>
      <c r="P117" s="480">
        <v>50</v>
      </c>
      <c r="Q117" s="155">
        <f>P117</f>
        <v>50</v>
      </c>
      <c r="R117" s="155">
        <f t="shared" ref="R117:U117" si="61">Q117</f>
        <v>50</v>
      </c>
      <c r="S117" s="155">
        <f t="shared" si="61"/>
        <v>50</v>
      </c>
      <c r="T117" s="155">
        <f t="shared" si="61"/>
        <v>50</v>
      </c>
      <c r="U117" s="155">
        <f t="shared" si="61"/>
        <v>50</v>
      </c>
    </row>
    <row r="118" spans="2:21" outlineLevel="1">
      <c r="B118" s="477" t="s">
        <v>662</v>
      </c>
      <c r="O118" s="480">
        <v>2.9</v>
      </c>
      <c r="P118" s="480">
        <v>2.9</v>
      </c>
      <c r="Q118" s="155">
        <f>P118</f>
        <v>2.9</v>
      </c>
      <c r="R118" s="155">
        <f t="shared" ref="R118:U118" si="62">Q118</f>
        <v>2.9</v>
      </c>
      <c r="S118" s="155">
        <f t="shared" si="62"/>
        <v>2.9</v>
      </c>
      <c r="T118" s="155">
        <f t="shared" si="62"/>
        <v>2.9</v>
      </c>
      <c r="U118" s="155">
        <f t="shared" si="62"/>
        <v>2.9</v>
      </c>
    </row>
    <row r="119" spans="2:21" outlineLevel="1">
      <c r="B119" s="477" t="s">
        <v>641</v>
      </c>
      <c r="O119" s="480">
        <v>720</v>
      </c>
      <c r="P119" s="480">
        <v>720</v>
      </c>
      <c r="Q119" s="155">
        <f>P119</f>
        <v>720</v>
      </c>
      <c r="R119" s="155">
        <f t="shared" ref="R119:U119" si="63">Q119</f>
        <v>720</v>
      </c>
      <c r="S119" s="155">
        <f t="shared" si="63"/>
        <v>720</v>
      </c>
      <c r="T119" s="155">
        <f t="shared" si="63"/>
        <v>720</v>
      </c>
      <c r="U119" s="155">
        <f t="shared" si="63"/>
        <v>720</v>
      </c>
    </row>
    <row r="120" spans="2:21" outlineLevel="1">
      <c r="B120" s="477" t="s">
        <v>656</v>
      </c>
      <c r="O120" s="480">
        <v>0</v>
      </c>
      <c r="P120" s="480">
        <v>0</v>
      </c>
      <c r="Q120" s="155">
        <v>500</v>
      </c>
      <c r="R120" s="155">
        <f t="shared" ref="R120:U120" si="64">Q120</f>
        <v>500</v>
      </c>
      <c r="S120" s="155">
        <f t="shared" si="64"/>
        <v>500</v>
      </c>
      <c r="T120" s="155">
        <f t="shared" si="64"/>
        <v>500</v>
      </c>
      <c r="U120" s="155">
        <f t="shared" si="64"/>
        <v>500</v>
      </c>
    </row>
    <row r="121" spans="2:21" outlineLevel="1">
      <c r="B121" s="477" t="s">
        <v>675</v>
      </c>
      <c r="O121" s="480">
        <v>0</v>
      </c>
      <c r="P121" s="480">
        <v>0</v>
      </c>
      <c r="Q121" s="480">
        <v>0</v>
      </c>
      <c r="R121" s="155">
        <v>550</v>
      </c>
      <c r="S121" s="155">
        <v>550</v>
      </c>
      <c r="T121" s="155">
        <v>550</v>
      </c>
      <c r="U121" s="155">
        <v>550</v>
      </c>
    </row>
    <row r="122" spans="2:21" outlineLevel="1">
      <c r="B122" s="477" t="s">
        <v>642</v>
      </c>
      <c r="O122" s="480">
        <v>500</v>
      </c>
      <c r="P122" s="480">
        <v>500</v>
      </c>
      <c r="Q122" s="155">
        <f t="shared" ref="Q122:Q127" si="65">P122</f>
        <v>500</v>
      </c>
      <c r="R122" s="155">
        <f t="shared" ref="R122:U122" si="66">Q122</f>
        <v>500</v>
      </c>
      <c r="S122" s="155">
        <f t="shared" si="66"/>
        <v>500</v>
      </c>
      <c r="T122" s="155">
        <f t="shared" si="66"/>
        <v>500</v>
      </c>
      <c r="U122" s="155">
        <f t="shared" si="66"/>
        <v>500</v>
      </c>
    </row>
    <row r="123" spans="2:21" outlineLevel="1">
      <c r="B123" s="477" t="s">
        <v>643</v>
      </c>
      <c r="O123" s="480">
        <v>200</v>
      </c>
      <c r="P123" s="480">
        <v>200</v>
      </c>
      <c r="Q123" s="155">
        <f t="shared" si="65"/>
        <v>200</v>
      </c>
      <c r="R123" s="155">
        <f t="shared" ref="R123:U123" si="67">Q123</f>
        <v>200</v>
      </c>
      <c r="S123" s="155">
        <f t="shared" si="67"/>
        <v>200</v>
      </c>
      <c r="T123" s="155">
        <f t="shared" si="67"/>
        <v>200</v>
      </c>
      <c r="U123" s="155">
        <f t="shared" si="67"/>
        <v>200</v>
      </c>
    </row>
    <row r="124" spans="2:21" outlineLevel="1">
      <c r="B124" s="477" t="s">
        <v>644</v>
      </c>
      <c r="O124" s="480">
        <v>125</v>
      </c>
      <c r="P124" s="480">
        <v>0</v>
      </c>
      <c r="Q124" s="155">
        <f t="shared" si="65"/>
        <v>0</v>
      </c>
      <c r="R124" s="155">
        <f t="shared" ref="R124:U124" si="68">Q124</f>
        <v>0</v>
      </c>
      <c r="S124" s="155">
        <f t="shared" si="68"/>
        <v>0</v>
      </c>
      <c r="T124" s="155">
        <f t="shared" si="68"/>
        <v>0</v>
      </c>
      <c r="U124" s="155">
        <f t="shared" si="68"/>
        <v>0</v>
      </c>
    </row>
    <row r="125" spans="2:21" outlineLevel="1">
      <c r="B125" s="477" t="s">
        <v>645</v>
      </c>
      <c r="O125" s="480">
        <v>24.4</v>
      </c>
      <c r="P125" s="480">
        <v>12.2</v>
      </c>
      <c r="Q125" s="155">
        <f t="shared" si="65"/>
        <v>12.2</v>
      </c>
      <c r="R125" s="155">
        <f t="shared" ref="R125:U125" si="69">Q125</f>
        <v>12.2</v>
      </c>
      <c r="S125" s="155">
        <f t="shared" si="69"/>
        <v>12.2</v>
      </c>
      <c r="T125" s="155">
        <f t="shared" si="69"/>
        <v>12.2</v>
      </c>
      <c r="U125" s="155">
        <f t="shared" si="69"/>
        <v>12.2</v>
      </c>
    </row>
    <row r="126" spans="2:21" outlineLevel="1">
      <c r="B126" s="477" t="s">
        <v>646</v>
      </c>
      <c r="O126" s="480">
        <v>0</v>
      </c>
      <c r="P126" s="480">
        <v>210</v>
      </c>
      <c r="Q126" s="155">
        <f t="shared" si="65"/>
        <v>210</v>
      </c>
      <c r="R126" s="155">
        <f t="shared" ref="R126:U126" si="70">Q126</f>
        <v>210</v>
      </c>
      <c r="S126" s="155">
        <f t="shared" si="70"/>
        <v>210</v>
      </c>
      <c r="T126" s="155">
        <f t="shared" si="70"/>
        <v>210</v>
      </c>
      <c r="U126" s="155">
        <f t="shared" si="70"/>
        <v>210</v>
      </c>
    </row>
    <row r="127" spans="2:21" outlineLevel="1">
      <c r="B127" s="477" t="s">
        <v>647</v>
      </c>
      <c r="O127" s="481">
        <v>4.5999999999999996</v>
      </c>
      <c r="P127" s="481">
        <v>3.9</v>
      </c>
      <c r="Q127" s="190">
        <f t="shared" si="65"/>
        <v>3.9</v>
      </c>
      <c r="R127" s="190">
        <f t="shared" ref="R127:U127" si="71">Q127</f>
        <v>3.9</v>
      </c>
      <c r="S127" s="190">
        <f t="shared" si="71"/>
        <v>3.9</v>
      </c>
      <c r="T127" s="190">
        <f t="shared" si="71"/>
        <v>3.9</v>
      </c>
      <c r="U127" s="190">
        <f t="shared" si="71"/>
        <v>3.9</v>
      </c>
    </row>
    <row r="128" spans="2:21" outlineLevel="1">
      <c r="B128" s="476" t="s">
        <v>648</v>
      </c>
      <c r="C128" s="202"/>
      <c r="D128" s="202"/>
      <c r="E128" s="202"/>
      <c r="F128" s="202"/>
      <c r="G128" s="202"/>
      <c r="H128" s="202"/>
      <c r="I128" s="202"/>
      <c r="J128" s="202"/>
      <c r="K128" s="202"/>
      <c r="L128" s="202"/>
      <c r="M128" s="202"/>
      <c r="N128" s="202"/>
      <c r="O128" s="482">
        <f t="shared" ref="O128:U128" si="72">SUM(O113:O127)</f>
        <v>3879.9</v>
      </c>
      <c r="P128" s="482">
        <f t="shared" si="72"/>
        <v>3674.5</v>
      </c>
      <c r="Q128" s="482">
        <f t="shared" si="72"/>
        <v>3779.8125</v>
      </c>
      <c r="R128" s="482">
        <f t="shared" si="72"/>
        <v>3779.8125</v>
      </c>
      <c r="S128" s="482">
        <f t="shared" si="72"/>
        <v>3685.28125</v>
      </c>
      <c r="T128" s="482">
        <f t="shared" si="72"/>
        <v>3573.5625</v>
      </c>
      <c r="U128" s="482">
        <f t="shared" si="72"/>
        <v>3436.0625</v>
      </c>
    </row>
    <row r="129" spans="2:21" outlineLevel="1">
      <c r="B129" s="477" t="s">
        <v>649</v>
      </c>
      <c r="O129" s="155">
        <v>-32.700000000000003</v>
      </c>
      <c r="P129" s="155">
        <v>-28.5</v>
      </c>
      <c r="Q129" s="155">
        <f>(3745.2-3797)/2</f>
        <v>-25.900000000000091</v>
      </c>
      <c r="R129" s="396">
        <f>Q129</f>
        <v>-25.900000000000091</v>
      </c>
      <c r="S129" s="396">
        <f t="shared" ref="S129:U130" si="73">R129</f>
        <v>-25.900000000000091</v>
      </c>
      <c r="T129" s="396">
        <f t="shared" si="73"/>
        <v>-25.900000000000091</v>
      </c>
      <c r="U129" s="396">
        <f t="shared" si="73"/>
        <v>-25.900000000000091</v>
      </c>
    </row>
    <row r="130" spans="2:21" outlineLevel="1">
      <c r="B130" s="477" t="s">
        <v>650</v>
      </c>
      <c r="O130" s="41">
        <v>1.6</v>
      </c>
      <c r="P130" s="41">
        <v>-28.4</v>
      </c>
      <c r="Q130" s="41">
        <f>(3745.2-3797)/2</f>
        <v>-25.900000000000091</v>
      </c>
      <c r="R130" s="346">
        <f>Q130</f>
        <v>-25.900000000000091</v>
      </c>
      <c r="S130" s="346">
        <f t="shared" si="73"/>
        <v>-25.900000000000091</v>
      </c>
      <c r="T130" s="346">
        <f t="shared" si="73"/>
        <v>-25.900000000000091</v>
      </c>
      <c r="U130" s="346">
        <f t="shared" si="73"/>
        <v>-25.900000000000091</v>
      </c>
    </row>
    <row r="131" spans="2:21" outlineLevel="1">
      <c r="B131" s="477" t="s">
        <v>18</v>
      </c>
      <c r="O131" s="524">
        <f>O25-(O128+O129+O130-O133)</f>
        <v>0</v>
      </c>
      <c r="P131" s="524">
        <f>P25-(P128+P129+P130-P133)</f>
        <v>0</v>
      </c>
      <c r="Q131" s="524">
        <f>Q25-(Q128+Q129+Q130-Q133)</f>
        <v>-116.01249999999982</v>
      </c>
      <c r="R131" s="523">
        <f>Q131</f>
        <v>-116.01249999999982</v>
      </c>
      <c r="S131" s="523">
        <f t="shared" ref="S131" si="74">R131</f>
        <v>-116.01249999999982</v>
      </c>
      <c r="T131" s="523">
        <f t="shared" ref="T131" si="75">S131</f>
        <v>-116.01249999999982</v>
      </c>
      <c r="U131" s="523">
        <f t="shared" ref="U131" si="76">T131</f>
        <v>-116.01249999999982</v>
      </c>
    </row>
    <row r="132" spans="2:21" outlineLevel="1">
      <c r="B132" s="476" t="s">
        <v>651</v>
      </c>
      <c r="C132" s="202"/>
      <c r="D132" s="202"/>
      <c r="E132" s="202"/>
      <c r="F132" s="202"/>
      <c r="G132" s="202"/>
      <c r="H132" s="202"/>
      <c r="I132" s="202"/>
      <c r="J132" s="202"/>
      <c r="K132" s="202"/>
      <c r="L132" s="202"/>
      <c r="M132" s="202"/>
      <c r="N132" s="202"/>
      <c r="O132" s="482">
        <f t="shared" ref="O132:P132" si="77">SUM(O128:O131)</f>
        <v>3848.8</v>
      </c>
      <c r="P132" s="482">
        <f t="shared" si="77"/>
        <v>3617.6</v>
      </c>
      <c r="Q132" s="482">
        <f>SUM(Q128:Q131)</f>
        <v>3612</v>
      </c>
      <c r="R132" s="482">
        <f t="shared" ref="R132:U132" si="78">SUM(R128:R131)</f>
        <v>3612</v>
      </c>
      <c r="S132" s="482">
        <f t="shared" si="78"/>
        <v>3517.46875</v>
      </c>
      <c r="T132" s="482">
        <f t="shared" si="78"/>
        <v>3405.75</v>
      </c>
      <c r="U132" s="482">
        <f t="shared" si="78"/>
        <v>3268.25</v>
      </c>
    </row>
    <row r="133" spans="2:21" outlineLevel="1">
      <c r="B133" s="477" t="s">
        <v>652</v>
      </c>
      <c r="O133" s="190">
        <v>205</v>
      </c>
      <c r="P133" s="190">
        <v>80.5</v>
      </c>
      <c r="Q133" s="190">
        <f>Q19</f>
        <v>0.7</v>
      </c>
      <c r="R133" s="485">
        <f>R19</f>
        <v>0.7</v>
      </c>
      <c r="S133" s="485">
        <f>S19</f>
        <v>0.7</v>
      </c>
      <c r="T133" s="485">
        <f>T19</f>
        <v>0.7</v>
      </c>
      <c r="U133" s="485">
        <f>U19</f>
        <v>0.7</v>
      </c>
    </row>
    <row r="134" spans="2:21" outlineLevel="1">
      <c r="B134" s="476" t="s">
        <v>653</v>
      </c>
      <c r="C134" s="202"/>
      <c r="D134" s="202"/>
      <c r="E134" s="202"/>
      <c r="F134" s="202"/>
      <c r="G134" s="202"/>
      <c r="H134" s="202"/>
      <c r="I134" s="202"/>
      <c r="J134" s="202"/>
      <c r="K134" s="202"/>
      <c r="L134" s="202"/>
      <c r="M134" s="202"/>
      <c r="N134" s="202"/>
      <c r="O134" s="482">
        <f t="shared" ref="O134:U134" si="79">O132-O133</f>
        <v>3643.8</v>
      </c>
      <c r="P134" s="482">
        <f t="shared" si="79"/>
        <v>3537.1</v>
      </c>
      <c r="Q134" s="482">
        <f t="shared" si="79"/>
        <v>3611.3</v>
      </c>
      <c r="R134" s="482">
        <f t="shared" si="79"/>
        <v>3611.3</v>
      </c>
      <c r="S134" s="482">
        <f t="shared" si="79"/>
        <v>3516.7687500000002</v>
      </c>
      <c r="T134" s="482">
        <f t="shared" si="79"/>
        <v>3405.05</v>
      </c>
      <c r="U134" s="482">
        <f t="shared" si="79"/>
        <v>3267.55</v>
      </c>
    </row>
    <row r="135" spans="2:21" outlineLevel="1">
      <c r="B135" s="478" t="s">
        <v>122</v>
      </c>
      <c r="O135" s="364">
        <f t="shared" ref="O135:U135" si="80">O134-O25</f>
        <v>0</v>
      </c>
      <c r="P135" s="364">
        <f t="shared" si="80"/>
        <v>0</v>
      </c>
      <c r="Q135" s="364">
        <f t="shared" si="80"/>
        <v>0</v>
      </c>
      <c r="R135" s="364">
        <f t="shared" si="80"/>
        <v>0</v>
      </c>
      <c r="S135" s="364">
        <f t="shared" si="80"/>
        <v>0</v>
      </c>
      <c r="T135" s="364">
        <f t="shared" si="80"/>
        <v>0</v>
      </c>
      <c r="U135" s="364">
        <f t="shared" si="80"/>
        <v>0</v>
      </c>
    </row>
    <row r="136" spans="2:21" outlineLevel="1">
      <c r="B136" s="473"/>
      <c r="O136" s="474"/>
      <c r="P136" s="474"/>
      <c r="Q136" s="184"/>
      <c r="R136" s="184"/>
      <c r="S136" s="184"/>
      <c r="T136" s="184"/>
      <c r="U136" s="184"/>
    </row>
    <row r="137" spans="2:21" outlineLevel="1">
      <c r="B137" s="477" t="s">
        <v>658</v>
      </c>
      <c r="O137" s="467">
        <v>2.1700000000000001E-2</v>
      </c>
      <c r="P137" s="467">
        <v>2.7699999999999999E-2</v>
      </c>
      <c r="Q137" s="520">
        <f>+P137+Q$154</f>
        <v>3.0699999999999998E-2</v>
      </c>
      <c r="R137" s="520">
        <f>+Q137+R$154</f>
        <v>3.6699999999999997E-2</v>
      </c>
      <c r="S137" s="483">
        <f t="shared" ref="S137:U137" si="81">R137</f>
        <v>3.6699999999999997E-2</v>
      </c>
      <c r="T137" s="483">
        <f t="shared" si="81"/>
        <v>3.6699999999999997E-2</v>
      </c>
      <c r="U137" s="483">
        <f t="shared" si="81"/>
        <v>3.6699999999999997E-2</v>
      </c>
    </row>
    <row r="138" spans="2:21" outlineLevel="1">
      <c r="B138" s="477" t="s">
        <v>657</v>
      </c>
      <c r="O138" s="218">
        <v>0</v>
      </c>
      <c r="P138" s="218">
        <v>0</v>
      </c>
      <c r="Q138" s="520">
        <f>+P139+Q$154</f>
        <v>2.5700000000000001E-2</v>
      </c>
      <c r="R138" s="520">
        <f>+Q138+R$154</f>
        <v>3.1699999999999999E-2</v>
      </c>
      <c r="S138" s="483">
        <f t="shared" ref="S138:U138" si="82">R138</f>
        <v>3.1699999999999999E-2</v>
      </c>
      <c r="T138" s="483">
        <f t="shared" si="82"/>
        <v>3.1699999999999999E-2</v>
      </c>
      <c r="U138" s="483">
        <f t="shared" si="82"/>
        <v>3.1699999999999999E-2</v>
      </c>
    </row>
    <row r="139" spans="2:21" outlineLevel="1">
      <c r="B139" s="477" t="s">
        <v>659</v>
      </c>
      <c r="O139" s="467">
        <v>1.77E-2</v>
      </c>
      <c r="P139" s="467">
        <v>2.2700000000000001E-2</v>
      </c>
      <c r="Q139" s="218">
        <v>0</v>
      </c>
      <c r="R139" s="218">
        <f t="shared" ref="R139:U139" si="83">Q139</f>
        <v>0</v>
      </c>
      <c r="S139" s="218">
        <f t="shared" si="83"/>
        <v>0</v>
      </c>
      <c r="T139" s="218">
        <f t="shared" si="83"/>
        <v>0</v>
      </c>
      <c r="U139" s="218">
        <f t="shared" si="83"/>
        <v>0</v>
      </c>
    </row>
    <row r="140" spans="2:21" outlineLevel="1">
      <c r="B140" s="477" t="s">
        <v>660</v>
      </c>
      <c r="O140" s="467">
        <v>1.4E-2</v>
      </c>
      <c r="P140" s="467">
        <v>2.47E-2</v>
      </c>
      <c r="Q140" s="520">
        <f>+P140+Q$154</f>
        <v>2.7699999999999999E-2</v>
      </c>
      <c r="R140" s="520">
        <f>+Q140+R$154</f>
        <v>3.3700000000000001E-2</v>
      </c>
      <c r="S140" s="483">
        <f t="shared" ref="S140:U140" si="84">R140</f>
        <v>3.3700000000000001E-2</v>
      </c>
      <c r="T140" s="483">
        <f t="shared" si="84"/>
        <v>3.3700000000000001E-2</v>
      </c>
      <c r="U140" s="483">
        <f t="shared" si="84"/>
        <v>3.3700000000000001E-2</v>
      </c>
    </row>
    <row r="141" spans="2:21" outlineLevel="1">
      <c r="B141" s="477" t="s">
        <v>661</v>
      </c>
      <c r="O141" s="467">
        <v>1.4E-2</v>
      </c>
      <c r="P141" s="467">
        <v>2.47E-2</v>
      </c>
      <c r="Q141" s="520">
        <f t="shared" ref="Q141:R141" si="85">+P141+Q$154</f>
        <v>2.7699999999999999E-2</v>
      </c>
      <c r="R141" s="520">
        <f t="shared" si="85"/>
        <v>3.3700000000000001E-2</v>
      </c>
      <c r="S141" s="483">
        <f t="shared" ref="S141:S142" si="86">R141</f>
        <v>3.3700000000000001E-2</v>
      </c>
      <c r="T141" s="483">
        <f t="shared" ref="T141:T142" si="87">S141</f>
        <v>3.3700000000000001E-2</v>
      </c>
      <c r="U141" s="483">
        <f t="shared" ref="U141:U142" si="88">T141</f>
        <v>3.3700000000000001E-2</v>
      </c>
    </row>
    <row r="142" spans="2:21" outlineLevel="1">
      <c r="B142" s="477" t="s">
        <v>662</v>
      </c>
      <c r="O142" s="467">
        <v>2.7000000000000001E-3</v>
      </c>
      <c r="P142" s="467">
        <v>2.5000000000000001E-3</v>
      </c>
      <c r="Q142" s="520">
        <f t="shared" ref="Q142:R142" si="89">+P142+Q$154</f>
        <v>5.4999999999999997E-3</v>
      </c>
      <c r="R142" s="520">
        <f t="shared" si="89"/>
        <v>1.15E-2</v>
      </c>
      <c r="S142" s="483">
        <f t="shared" si="86"/>
        <v>1.15E-2</v>
      </c>
      <c r="T142" s="483">
        <f t="shared" si="87"/>
        <v>1.15E-2</v>
      </c>
      <c r="U142" s="483">
        <f t="shared" si="88"/>
        <v>1.15E-2</v>
      </c>
    </row>
    <row r="143" spans="2:21" outlineLevel="1">
      <c r="B143" s="477" t="s">
        <v>641</v>
      </c>
      <c r="O143" s="467">
        <v>9.7500000000000003E-2</v>
      </c>
      <c r="P143" s="467">
        <v>9.7500000000000003E-2</v>
      </c>
      <c r="Q143" s="483">
        <f t="shared" ref="Q143:Q148" si="90">P143</f>
        <v>9.7500000000000003E-2</v>
      </c>
      <c r="R143" s="483">
        <f t="shared" ref="R143" si="91">Q143</f>
        <v>9.7500000000000003E-2</v>
      </c>
      <c r="S143" s="483">
        <f t="shared" ref="S143" si="92">R143</f>
        <v>9.7500000000000003E-2</v>
      </c>
      <c r="T143" s="483">
        <f t="shared" ref="T143" si="93">S143</f>
        <v>9.7500000000000003E-2</v>
      </c>
      <c r="U143" s="483">
        <f t="shared" ref="U143" si="94">T143</f>
        <v>9.7500000000000003E-2</v>
      </c>
    </row>
    <row r="144" spans="2:21" outlineLevel="1">
      <c r="B144" s="477" t="s">
        <v>656</v>
      </c>
      <c r="O144" s="218">
        <v>0</v>
      </c>
      <c r="P144" s="218">
        <v>0</v>
      </c>
      <c r="Q144" s="467">
        <v>5.1249999999999997E-2</v>
      </c>
      <c r="R144" s="483">
        <f t="shared" ref="R144:U147" si="95">Q144</f>
        <v>5.1249999999999997E-2</v>
      </c>
      <c r="S144" s="483">
        <f t="shared" si="95"/>
        <v>5.1249999999999997E-2</v>
      </c>
      <c r="T144" s="483">
        <f t="shared" si="95"/>
        <v>5.1249999999999997E-2</v>
      </c>
      <c r="U144" s="483">
        <f t="shared" si="95"/>
        <v>5.1249999999999997E-2</v>
      </c>
    </row>
    <row r="145" spans="2:21" outlineLevel="1">
      <c r="B145" s="477" t="s">
        <v>675</v>
      </c>
      <c r="O145" s="218">
        <v>0</v>
      </c>
      <c r="P145" s="483">
        <f>O145</f>
        <v>0</v>
      </c>
      <c r="Q145" s="483">
        <f t="shared" ref="Q145" si="96">P145</f>
        <v>0</v>
      </c>
      <c r="R145" s="467">
        <v>0.05</v>
      </c>
      <c r="S145" s="483">
        <f>R145</f>
        <v>0.05</v>
      </c>
      <c r="T145" s="483">
        <f t="shared" si="95"/>
        <v>0.05</v>
      </c>
      <c r="U145" s="483">
        <f t="shared" si="95"/>
        <v>0.05</v>
      </c>
    </row>
    <row r="146" spans="2:21" outlineLevel="1">
      <c r="B146" s="477" t="s">
        <v>642</v>
      </c>
      <c r="O146" s="467">
        <v>0.1</v>
      </c>
      <c r="P146" s="467">
        <v>0.1</v>
      </c>
      <c r="Q146" s="483">
        <f t="shared" si="90"/>
        <v>0.1</v>
      </c>
      <c r="R146" s="483">
        <f t="shared" si="95"/>
        <v>0.1</v>
      </c>
      <c r="S146" s="483">
        <f t="shared" si="95"/>
        <v>0.1</v>
      </c>
      <c r="T146" s="483">
        <f t="shared" si="95"/>
        <v>0.1</v>
      </c>
      <c r="U146" s="483">
        <f t="shared" si="95"/>
        <v>0.1</v>
      </c>
    </row>
    <row r="147" spans="2:21" outlineLevel="1">
      <c r="B147" s="477" t="s">
        <v>643</v>
      </c>
      <c r="O147" s="467">
        <v>5.5E-2</v>
      </c>
      <c r="P147" s="467">
        <v>5.5E-2</v>
      </c>
      <c r="Q147" s="483">
        <f t="shared" si="90"/>
        <v>5.5E-2</v>
      </c>
      <c r="R147" s="483">
        <f t="shared" si="95"/>
        <v>5.5E-2</v>
      </c>
      <c r="S147" s="483">
        <f t="shared" si="95"/>
        <v>5.5E-2</v>
      </c>
      <c r="T147" s="483">
        <f t="shared" si="95"/>
        <v>5.5E-2</v>
      </c>
      <c r="U147" s="483">
        <f t="shared" si="95"/>
        <v>5.5E-2</v>
      </c>
    </row>
    <row r="148" spans="2:21" outlineLevel="1">
      <c r="B148" s="477" t="s">
        <v>644</v>
      </c>
      <c r="O148" s="467">
        <v>6.7500000000000004E-2</v>
      </c>
      <c r="P148" s="467">
        <v>0</v>
      </c>
      <c r="Q148" s="483">
        <f t="shared" si="90"/>
        <v>0</v>
      </c>
      <c r="R148" s="483">
        <f t="shared" ref="R148" si="97">Q148</f>
        <v>0</v>
      </c>
      <c r="S148" s="483">
        <f t="shared" ref="S148" si="98">R148</f>
        <v>0</v>
      </c>
      <c r="T148" s="483">
        <f t="shared" ref="T148" si="99">S148</f>
        <v>0</v>
      </c>
      <c r="U148" s="483">
        <f t="shared" ref="U148" si="100">T148</f>
        <v>0</v>
      </c>
    </row>
    <row r="149" spans="2:21" outlineLevel="1">
      <c r="B149" s="477" t="s">
        <v>645</v>
      </c>
      <c r="O149" s="467">
        <v>7.2300000000000003E-2</v>
      </c>
      <c r="P149" s="467">
        <v>7.2300000000000003E-2</v>
      </c>
      <c r="Q149" s="467">
        <v>7.2300000000000003E-2</v>
      </c>
      <c r="R149" s="483">
        <f t="shared" ref="R149:U151" si="101">Q149</f>
        <v>7.2300000000000003E-2</v>
      </c>
      <c r="S149" s="483">
        <f t="shared" si="101"/>
        <v>7.2300000000000003E-2</v>
      </c>
      <c r="T149" s="483">
        <f t="shared" si="101"/>
        <v>7.2300000000000003E-2</v>
      </c>
      <c r="U149" s="483">
        <f t="shared" si="101"/>
        <v>7.2300000000000003E-2</v>
      </c>
    </row>
    <row r="150" spans="2:21" outlineLevel="1">
      <c r="B150" s="477" t="s">
        <v>646</v>
      </c>
      <c r="O150" s="467">
        <v>0.05</v>
      </c>
      <c r="P150" s="467">
        <v>0.05</v>
      </c>
      <c r="Q150" s="467">
        <v>0.05</v>
      </c>
      <c r="R150" s="483">
        <f t="shared" si="101"/>
        <v>0.05</v>
      </c>
      <c r="S150" s="483">
        <f t="shared" si="101"/>
        <v>0.05</v>
      </c>
      <c r="T150" s="483">
        <f t="shared" si="101"/>
        <v>0.05</v>
      </c>
      <c r="U150" s="483">
        <f t="shared" si="101"/>
        <v>0.05</v>
      </c>
    </row>
    <row r="151" spans="2:21" outlineLevel="1">
      <c r="B151" s="477" t="s">
        <v>647</v>
      </c>
      <c r="O151" s="467">
        <v>0.05</v>
      </c>
      <c r="P151" s="467">
        <v>0.05</v>
      </c>
      <c r="Q151" s="467">
        <v>0.05</v>
      </c>
      <c r="R151" s="483">
        <f t="shared" si="101"/>
        <v>0.05</v>
      </c>
      <c r="S151" s="483">
        <f t="shared" si="101"/>
        <v>0.05</v>
      </c>
      <c r="T151" s="483">
        <f t="shared" si="101"/>
        <v>0.05</v>
      </c>
      <c r="U151" s="483">
        <f t="shared" si="101"/>
        <v>0.05</v>
      </c>
    </row>
    <row r="152" spans="2:21" outlineLevel="1">
      <c r="B152" s="476" t="s">
        <v>651</v>
      </c>
      <c r="C152" s="202"/>
      <c r="D152" s="202"/>
      <c r="E152" s="202"/>
      <c r="F152" s="202"/>
      <c r="G152" s="202"/>
      <c r="H152" s="202"/>
      <c r="I152" s="202"/>
      <c r="J152" s="202"/>
      <c r="K152" s="202"/>
      <c r="L152" s="202"/>
      <c r="M152" s="202"/>
      <c r="N152" s="202"/>
      <c r="O152" s="484">
        <f t="shared" ref="O152:U152" si="102">SUMPRODUCT(O137:O151,O113:O127)/SUM(O128)</f>
        <v>4.8258060774762232E-2</v>
      </c>
      <c r="P152" s="484">
        <f t="shared" si="102"/>
        <v>5.3199526466185879E-2</v>
      </c>
      <c r="Q152" s="484">
        <f t="shared" si="102"/>
        <v>5.7522682342047389E-2</v>
      </c>
      <c r="R152" s="484">
        <f t="shared" si="102"/>
        <v>6.2051286604824972E-2</v>
      </c>
      <c r="S152" s="484">
        <f t="shared" si="102"/>
        <v>6.2701573149946149E-2</v>
      </c>
      <c r="T152" s="484">
        <f t="shared" si="102"/>
        <v>6.3514449166622938E-2</v>
      </c>
      <c r="U152" s="484">
        <f t="shared" si="102"/>
        <v>6.4587475853538759E-2</v>
      </c>
    </row>
    <row r="153" spans="2:21" outlineLevel="1">
      <c r="O153" s="209"/>
      <c r="P153" s="209"/>
      <c r="Q153" s="475"/>
    </row>
    <row r="154" spans="2:21" outlineLevel="1">
      <c r="B154" s="473" t="s">
        <v>676</v>
      </c>
      <c r="O154" s="209"/>
      <c r="P154" s="209"/>
      <c r="Q154" s="467">
        <v>3.0000000000000001E-3</v>
      </c>
      <c r="R154" s="467">
        <v>6.0000000000000001E-3</v>
      </c>
    </row>
    <row r="155" spans="2:21" outlineLevel="1">
      <c r="O155" s="209"/>
      <c r="P155" s="209"/>
      <c r="Q155" s="475"/>
    </row>
    <row r="156" spans="2:21" outlineLevel="1">
      <c r="B156" s="476" t="s">
        <v>655</v>
      </c>
      <c r="C156" s="202"/>
      <c r="D156" s="202"/>
      <c r="E156" s="202"/>
      <c r="F156" s="202"/>
      <c r="G156" s="202"/>
      <c r="H156" s="202"/>
      <c r="I156" s="202"/>
      <c r="J156" s="202"/>
      <c r="K156" s="202"/>
      <c r="L156" s="202"/>
      <c r="M156" s="202"/>
      <c r="N156" s="202"/>
      <c r="O156" s="486">
        <f t="shared" ref="O156:U156" si="103">O152*O128</f>
        <v>187.23644999999999</v>
      </c>
      <c r="P156" s="486">
        <f t="shared" si="103"/>
        <v>195.48166000000001</v>
      </c>
      <c r="Q156" s="486">
        <f t="shared" si="103"/>
        <v>217.42495374999999</v>
      </c>
      <c r="R156" s="486">
        <f t="shared" si="103"/>
        <v>234.54222874999999</v>
      </c>
      <c r="S156" s="486">
        <f t="shared" si="103"/>
        <v>231.07293187499999</v>
      </c>
      <c r="T156" s="486">
        <f t="shared" si="103"/>
        <v>226.97285374999998</v>
      </c>
      <c r="U156" s="486">
        <f t="shared" si="103"/>
        <v>221.92660375000003</v>
      </c>
    </row>
    <row r="157" spans="2:21" outlineLevel="1">
      <c r="B157" s="473" t="s">
        <v>669</v>
      </c>
      <c r="C157" s="202"/>
      <c r="D157" s="202"/>
      <c r="E157" s="202"/>
      <c r="F157" s="202"/>
      <c r="G157" s="202"/>
      <c r="H157" s="202"/>
      <c r="I157" s="202"/>
      <c r="J157" s="202"/>
      <c r="K157" s="202"/>
      <c r="L157" s="202"/>
      <c r="M157" s="202"/>
      <c r="N157" s="202"/>
      <c r="O157" s="486"/>
      <c r="P157" s="486"/>
      <c r="Q157" s="486">
        <f>Q158-Q156</f>
        <v>-2.4953749999980346E-2</v>
      </c>
      <c r="R157" s="509">
        <v>5.5</v>
      </c>
      <c r="S157" s="509">
        <v>5.5</v>
      </c>
      <c r="T157" s="509">
        <v>5.5</v>
      </c>
      <c r="U157" s="509">
        <v>5.5</v>
      </c>
    </row>
    <row r="158" spans="2:21">
      <c r="B158" s="473" t="s">
        <v>668</v>
      </c>
      <c r="O158" s="486"/>
      <c r="P158" s="486"/>
      <c r="Q158" s="486">
        <f>-Q101</f>
        <v>217.4</v>
      </c>
      <c r="R158" s="486">
        <f>SUM(R156:R157)</f>
        <v>240.04222874999999</v>
      </c>
      <c r="S158" s="486">
        <f>SUM(S156:S157)</f>
        <v>236.57293187499999</v>
      </c>
      <c r="T158" s="486">
        <f>SUM(T156:T157)</f>
        <v>232.47285374999998</v>
      </c>
      <c r="U158" s="486">
        <f>SUM(U156:U157)</f>
        <v>227.42660375000003</v>
      </c>
    </row>
    <row r="159" spans="2:21">
      <c r="O159" s="209"/>
      <c r="P159" s="209"/>
    </row>
    <row r="160" spans="2:21">
      <c r="O160" s="209"/>
      <c r="P160" s="209"/>
    </row>
    <row r="161" spans="15:16">
      <c r="O161" s="209"/>
      <c r="P161" s="209"/>
    </row>
    <row r="162" spans="15:16">
      <c r="O162" s="209"/>
      <c r="P162" s="209"/>
    </row>
    <row r="163" spans="15:16">
      <c r="O163" s="209"/>
      <c r="P163" s="209"/>
    </row>
    <row r="164" spans="15:16">
      <c r="O164" s="209"/>
      <c r="P164" s="209"/>
    </row>
    <row r="165" spans="15:16">
      <c r="O165" s="209"/>
      <c r="P165" s="209"/>
    </row>
    <row r="166" spans="15:16">
      <c r="O166" s="209"/>
      <c r="P166" s="209"/>
    </row>
    <row r="167" spans="15:16">
      <c r="O167" s="209"/>
      <c r="P167" s="209"/>
    </row>
    <row r="168" spans="15:16">
      <c r="O168" s="209"/>
      <c r="P168" s="209"/>
    </row>
    <row r="169" spans="15:16">
      <c r="O169" s="209"/>
      <c r="P169" s="209"/>
    </row>
    <row r="170" spans="15:16">
      <c r="O170" s="209"/>
      <c r="P170" s="209"/>
    </row>
    <row r="171" spans="15:16">
      <c r="O171" s="209"/>
      <c r="P171" s="209"/>
    </row>
    <row r="172" spans="15:16">
      <c r="O172" s="209"/>
      <c r="P172" s="209"/>
    </row>
    <row r="173" spans="15:16">
      <c r="O173" s="209"/>
      <c r="P173" s="209"/>
    </row>
    <row r="174" spans="15:16">
      <c r="O174" s="209"/>
      <c r="P174" s="209"/>
    </row>
    <row r="175" spans="15:16">
      <c r="O175" s="209"/>
      <c r="P175" s="209"/>
    </row>
    <row r="176" spans="15:16">
      <c r="O176" s="209"/>
      <c r="P176" s="209"/>
    </row>
    <row r="177" spans="15:16">
      <c r="O177" s="209"/>
      <c r="P177" s="209"/>
    </row>
    <row r="178" spans="15:16">
      <c r="O178" s="209"/>
      <c r="P178" s="209"/>
    </row>
    <row r="179" spans="15:16">
      <c r="O179" s="209"/>
      <c r="P179" s="209"/>
    </row>
    <row r="180" spans="15:16">
      <c r="O180" s="209"/>
      <c r="P180" s="209"/>
    </row>
    <row r="181" spans="15:16">
      <c r="O181" s="209"/>
      <c r="P181" s="209"/>
    </row>
    <row r="182" spans="15:16">
      <c r="O182" s="209"/>
      <c r="P182" s="209"/>
    </row>
    <row r="183" spans="15:16">
      <c r="O183" s="209"/>
      <c r="P183" s="209"/>
    </row>
    <row r="184" spans="15:16">
      <c r="O184" s="209"/>
      <c r="P184" s="209"/>
    </row>
    <row r="185" spans="15:16">
      <c r="O185" s="209"/>
      <c r="P185" s="209"/>
    </row>
    <row r="186" spans="15:16">
      <c r="O186" s="209"/>
      <c r="P186" s="209"/>
    </row>
    <row r="187" spans="15:16">
      <c r="O187" s="209"/>
      <c r="P187" s="209"/>
    </row>
    <row r="188" spans="15:16">
      <c r="O188" s="209"/>
      <c r="P188" s="209"/>
    </row>
    <row r="189" spans="15:16">
      <c r="O189" s="209"/>
      <c r="P189" s="209"/>
    </row>
    <row r="190" spans="15:16">
      <c r="O190" s="209"/>
      <c r="P190" s="209"/>
    </row>
    <row r="191" spans="15:16">
      <c r="O191" s="209"/>
      <c r="P191" s="209"/>
    </row>
    <row r="192" spans="15:16">
      <c r="O192" s="209"/>
      <c r="P192" s="209"/>
    </row>
    <row r="193" spans="15:16">
      <c r="O193" s="209"/>
      <c r="P193" s="209"/>
    </row>
    <row r="194" spans="15:16">
      <c r="O194" s="209"/>
      <c r="P194" s="209"/>
    </row>
    <row r="195" spans="15:16">
      <c r="O195" s="209"/>
      <c r="P195" s="209"/>
    </row>
    <row r="196" spans="15:16">
      <c r="O196" s="209"/>
      <c r="P196" s="209"/>
    </row>
    <row r="197" spans="15:16">
      <c r="O197" s="209"/>
      <c r="P197" s="209"/>
    </row>
    <row r="198" spans="15:16">
      <c r="O198" s="209"/>
      <c r="P198" s="209"/>
    </row>
    <row r="199" spans="15:16">
      <c r="O199" s="209"/>
      <c r="P199" s="209"/>
    </row>
    <row r="200" spans="15:16">
      <c r="O200" s="209"/>
      <c r="P200" s="209"/>
    </row>
    <row r="201" spans="15:16">
      <c r="O201" s="209"/>
      <c r="P201" s="209"/>
    </row>
    <row r="202" spans="15:16">
      <c r="O202" s="209"/>
      <c r="P202" s="209"/>
    </row>
    <row r="203" spans="15:16">
      <c r="O203" s="209"/>
      <c r="P203" s="209"/>
    </row>
    <row r="204" spans="15:16">
      <c r="O204" s="209"/>
      <c r="P204" s="209"/>
    </row>
  </sheetData>
  <phoneticPr fontId="7" type="noConversion"/>
  <pageMargins left="0.75" right="0.75" top="1" bottom="1" header="0.5" footer="0.5"/>
  <pageSetup orientation="landscape" r:id="rId1"/>
  <headerFooter alignWithMargins="0"/>
  <ignoredErrors>
    <ignoredError sqref="H56:H57" 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pageSetUpPr fitToPage="1"/>
  </sheetPr>
  <dimension ref="A1:AC85"/>
  <sheetViews>
    <sheetView zoomScale="85" zoomScaleNormal="85" workbookViewId="0">
      <pane xSplit="6" ySplit="2" topLeftCell="G3" activePane="bottomRight" state="frozen"/>
      <selection pane="topRight"/>
      <selection pane="bottomLeft"/>
      <selection pane="bottomRight" activeCell="G3" sqref="G3"/>
    </sheetView>
  </sheetViews>
  <sheetFormatPr defaultRowHeight="12.75" outlineLevelCol="1"/>
  <cols>
    <col min="1" max="1" width="1.7109375" style="181" customWidth="1"/>
    <col min="2" max="6" width="9.28515625" style="181" customWidth="1"/>
    <col min="7" max="12" width="9.140625" style="181" customWidth="1" outlineLevel="1"/>
    <col min="13" max="23" width="9.140625" style="181"/>
    <col min="24" max="24" width="17.140625" customWidth="1" outlineLevel="1"/>
    <col min="25" max="29" width="9.140625" customWidth="1" outlineLevel="1"/>
    <col min="30" max="16384" width="9.140625" style="181"/>
  </cols>
  <sheetData>
    <row r="1" spans="1:29" s="98" customFormat="1">
      <c r="A1" s="98" t="s">
        <v>150</v>
      </c>
      <c r="B1" s="179" t="s">
        <v>315</v>
      </c>
      <c r="C1" s="8"/>
      <c r="D1" s="8"/>
      <c r="E1" s="8"/>
      <c r="F1" s="8"/>
      <c r="G1" s="180"/>
      <c r="H1" s="180"/>
      <c r="I1" s="180"/>
      <c r="J1" s="180"/>
      <c r="K1" s="180"/>
      <c r="L1" s="180"/>
      <c r="M1" s="180"/>
      <c r="N1" s="180"/>
      <c r="O1" s="180"/>
      <c r="P1" s="180"/>
      <c r="Q1" s="180"/>
      <c r="R1" s="180"/>
      <c r="S1" s="180"/>
      <c r="T1" s="20"/>
      <c r="U1" s="20" t="s">
        <v>187</v>
      </c>
      <c r="V1" s="181"/>
      <c r="X1"/>
      <c r="Y1"/>
      <c r="Z1"/>
      <c r="AA1"/>
      <c r="AB1"/>
      <c r="AC1"/>
    </row>
    <row r="2" spans="1:29" s="98" customFormat="1">
      <c r="B2" s="182"/>
      <c r="C2" s="183"/>
      <c r="D2" s="183"/>
      <c r="E2" s="183"/>
      <c r="F2" s="183"/>
      <c r="G2" s="9">
        <v>2007</v>
      </c>
      <c r="H2" s="9">
        <f t="shared" ref="H2:U2" si="0">+G2+1</f>
        <v>2008</v>
      </c>
      <c r="I2" s="9">
        <f t="shared" si="0"/>
        <v>2009</v>
      </c>
      <c r="J2" s="9">
        <f t="shared" si="0"/>
        <v>2010</v>
      </c>
      <c r="K2" s="9">
        <f t="shared" si="0"/>
        <v>2011</v>
      </c>
      <c r="L2" s="9">
        <f t="shared" si="0"/>
        <v>2012</v>
      </c>
      <c r="M2" s="9">
        <f t="shared" si="0"/>
        <v>2013</v>
      </c>
      <c r="N2" s="9">
        <v>2014</v>
      </c>
      <c r="O2" s="9">
        <f t="shared" si="0"/>
        <v>2015</v>
      </c>
      <c r="P2" s="9">
        <f t="shared" si="0"/>
        <v>2016</v>
      </c>
      <c r="Q2" s="9">
        <f t="shared" si="0"/>
        <v>2017</v>
      </c>
      <c r="R2" s="10">
        <f t="shared" si="0"/>
        <v>2018</v>
      </c>
      <c r="S2" s="10">
        <f t="shared" si="0"/>
        <v>2019</v>
      </c>
      <c r="T2" s="10">
        <f t="shared" si="0"/>
        <v>2020</v>
      </c>
      <c r="U2" s="10">
        <f t="shared" si="0"/>
        <v>2021</v>
      </c>
      <c r="V2" s="181"/>
      <c r="X2"/>
      <c r="Y2"/>
      <c r="Z2"/>
      <c r="AA2"/>
      <c r="AB2"/>
      <c r="AC2"/>
    </row>
    <row r="3" spans="1:29" s="184" customFormat="1">
      <c r="B3" s="38" t="s">
        <v>98</v>
      </c>
      <c r="G3" s="189">
        <v>-9.1999999999999993</v>
      </c>
      <c r="H3" s="185">
        <f>IS!H27</f>
        <v>157.69999999999999</v>
      </c>
      <c r="I3" s="185">
        <f>IS!I27</f>
        <v>135.69999999999999</v>
      </c>
      <c r="J3" s="185">
        <f>IS!J27</f>
        <v>64.800000000000011</v>
      </c>
      <c r="K3" s="185">
        <f>IS!K27</f>
        <v>241.7</v>
      </c>
      <c r="L3" s="185">
        <f>IS!L27</f>
        <v>149.6</v>
      </c>
      <c r="M3" s="185">
        <f>IS!M27</f>
        <v>178.60000000000002</v>
      </c>
      <c r="N3" s="185">
        <f>IS!N27</f>
        <v>105.70000000000002</v>
      </c>
      <c r="O3" s="189">
        <v>-1.4</v>
      </c>
      <c r="P3" s="185">
        <f>IS!P27</f>
        <v>-3.8999999999999631</v>
      </c>
      <c r="Q3" s="189">
        <v>549.5</v>
      </c>
      <c r="R3" s="185">
        <f>IS!R27</f>
        <v>314.96415768711756</v>
      </c>
      <c r="S3" s="185">
        <f>IS!S27</f>
        <v>435.37589622537087</v>
      </c>
      <c r="T3" s="185">
        <f>IS!T27</f>
        <v>495.7312528554022</v>
      </c>
      <c r="U3" s="185">
        <f>IS!U27</f>
        <v>571.53655897192516</v>
      </c>
      <c r="X3"/>
      <c r="Y3"/>
      <c r="Z3"/>
      <c r="AA3"/>
      <c r="AB3"/>
      <c r="AC3"/>
    </row>
    <row r="4" spans="1:29">
      <c r="C4" s="229"/>
      <c r="D4" s="229"/>
      <c r="E4" s="229"/>
      <c r="F4" s="229"/>
      <c r="G4" s="188"/>
      <c r="H4" s="188"/>
      <c r="I4" s="188"/>
      <c r="J4" s="188"/>
      <c r="K4" s="188"/>
      <c r="L4" s="188"/>
      <c r="M4" s="188"/>
      <c r="N4" s="188"/>
      <c r="O4" s="188"/>
      <c r="P4" s="188"/>
      <c r="Q4" s="188"/>
      <c r="R4" s="188"/>
      <c r="S4" s="188"/>
      <c r="T4" s="188"/>
      <c r="U4" s="188"/>
    </row>
    <row r="5" spans="1:29" s="153" customFormat="1">
      <c r="B5" s="207" t="s">
        <v>306</v>
      </c>
      <c r="G5" s="155">
        <v>110</v>
      </c>
      <c r="H5" s="155">
        <v>0</v>
      </c>
      <c r="I5" s="155">
        <v>0</v>
      </c>
      <c r="J5" s="155">
        <v>0</v>
      </c>
      <c r="K5" s="155">
        <v>-181.4</v>
      </c>
      <c r="L5" s="155">
        <v>0</v>
      </c>
      <c r="M5" s="155">
        <v>0</v>
      </c>
      <c r="N5" s="155">
        <v>0</v>
      </c>
      <c r="O5" s="155">
        <v>0</v>
      </c>
      <c r="P5" s="155">
        <v>0</v>
      </c>
      <c r="Q5" s="155">
        <v>0</v>
      </c>
      <c r="R5" s="155">
        <v>0</v>
      </c>
      <c r="S5" s="155">
        <v>0</v>
      </c>
      <c r="T5" s="155">
        <v>0</v>
      </c>
      <c r="U5" s="155">
        <v>0</v>
      </c>
      <c r="X5"/>
      <c r="Y5"/>
      <c r="Z5"/>
      <c r="AA5"/>
      <c r="AB5"/>
      <c r="AC5"/>
    </row>
    <row r="6" spans="1:29" s="153" customFormat="1">
      <c r="B6" s="207" t="s">
        <v>279</v>
      </c>
      <c r="G6" s="155">
        <v>-46</v>
      </c>
      <c r="H6" s="155">
        <v>-39.4</v>
      </c>
      <c r="I6" s="155">
        <v>-37.700000000000003</v>
      </c>
      <c r="J6" s="155">
        <v>-29.9</v>
      </c>
      <c r="K6" s="155">
        <v>-9.6</v>
      </c>
      <c r="L6" s="155">
        <v>-3</v>
      </c>
      <c r="M6" s="155">
        <v>-2.8</v>
      </c>
      <c r="N6" s="155">
        <v>-1.7</v>
      </c>
      <c r="O6" s="155">
        <v>-1.7</v>
      </c>
      <c r="P6" s="155">
        <v>-1.7</v>
      </c>
      <c r="Q6" s="155">
        <v>-1.8</v>
      </c>
      <c r="R6" s="194">
        <f>-IS!R10</f>
        <v>-2</v>
      </c>
      <c r="S6" s="194">
        <f>-IS!S10</f>
        <v>-2</v>
      </c>
      <c r="T6" s="194">
        <f>-IS!T10</f>
        <v>-2</v>
      </c>
      <c r="U6" s="194">
        <f>-IS!U10</f>
        <v>-2</v>
      </c>
      <c r="X6"/>
      <c r="Y6"/>
      <c r="Z6"/>
      <c r="AA6"/>
      <c r="AB6"/>
      <c r="AC6"/>
    </row>
    <row r="7" spans="1:29" s="153" customFormat="1">
      <c r="B7" s="207" t="s">
        <v>312</v>
      </c>
      <c r="G7" s="155">
        <v>0</v>
      </c>
      <c r="H7" s="155">
        <v>0</v>
      </c>
      <c r="I7" s="155">
        <v>0</v>
      </c>
      <c r="J7" s="155">
        <v>0</v>
      </c>
      <c r="K7" s="155">
        <v>0</v>
      </c>
      <c r="L7" s="155">
        <v>0</v>
      </c>
      <c r="M7" s="155">
        <v>-6.5</v>
      </c>
      <c r="N7" s="155">
        <v>0</v>
      </c>
      <c r="O7" s="155">
        <v>0</v>
      </c>
      <c r="P7" s="155">
        <v>0</v>
      </c>
      <c r="Q7" s="155">
        <v>0</v>
      </c>
      <c r="R7" s="155">
        <v>0</v>
      </c>
      <c r="S7" s="155">
        <v>0</v>
      </c>
      <c r="T7" s="155">
        <v>0</v>
      </c>
      <c r="U7" s="155">
        <v>0</v>
      </c>
      <c r="X7"/>
      <c r="Y7"/>
      <c r="Z7"/>
      <c r="AA7"/>
      <c r="AB7"/>
      <c r="AC7"/>
    </row>
    <row r="8" spans="1:29" s="153" customFormat="1">
      <c r="B8" s="207" t="s">
        <v>280</v>
      </c>
      <c r="G8" s="155">
        <v>0</v>
      </c>
      <c r="H8" s="155">
        <v>0.7</v>
      </c>
      <c r="I8" s="155">
        <v>-6.5</v>
      </c>
      <c r="J8" s="155">
        <v>-1.1000000000000001</v>
      </c>
      <c r="K8" s="155">
        <v>-6.2</v>
      </c>
      <c r="L8" s="155">
        <v>-2.1</v>
      </c>
      <c r="M8" s="155">
        <v>-0.4</v>
      </c>
      <c r="N8" s="155">
        <v>-1.1000000000000001</v>
      </c>
      <c r="O8" s="155">
        <v>-25.2</v>
      </c>
      <c r="P8" s="155">
        <v>0.7</v>
      </c>
      <c r="Q8" s="155">
        <v>-3.1</v>
      </c>
      <c r="R8" s="155">
        <v>0</v>
      </c>
      <c r="S8" s="155">
        <v>0</v>
      </c>
      <c r="T8" s="155">
        <v>0</v>
      </c>
      <c r="U8" s="155">
        <v>0</v>
      </c>
      <c r="X8"/>
      <c r="Y8"/>
      <c r="Z8"/>
      <c r="AA8"/>
      <c r="AB8"/>
      <c r="AC8"/>
    </row>
    <row r="9" spans="1:29" s="153" customFormat="1">
      <c r="B9" s="207" t="s">
        <v>281</v>
      </c>
      <c r="G9" s="155">
        <v>4.9000000000000004</v>
      </c>
      <c r="H9" s="155">
        <v>6.3</v>
      </c>
      <c r="I9" s="155">
        <v>5.8</v>
      </c>
      <c r="J9" s="155">
        <v>6.7</v>
      </c>
      <c r="K9" s="155">
        <v>5.8</v>
      </c>
      <c r="L9" s="155">
        <v>6.2</v>
      </c>
      <c r="M9" s="155">
        <v>8.8000000000000007</v>
      </c>
      <c r="N9" s="155">
        <v>5.0999999999999996</v>
      </c>
      <c r="O9" s="155">
        <v>7.6</v>
      </c>
      <c r="P9" s="155">
        <v>7.5</v>
      </c>
      <c r="Q9" s="155">
        <v>9.1</v>
      </c>
      <c r="R9" s="155">
        <v>9</v>
      </c>
      <c r="S9" s="155">
        <v>9</v>
      </c>
      <c r="T9" s="155">
        <v>9</v>
      </c>
      <c r="U9" s="155">
        <v>9</v>
      </c>
      <c r="X9"/>
      <c r="Y9"/>
      <c r="Z9"/>
      <c r="AA9"/>
      <c r="AB9"/>
      <c r="AC9"/>
    </row>
    <row r="10" spans="1:29" s="153" customFormat="1">
      <c r="B10" s="207" t="s">
        <v>123</v>
      </c>
      <c r="G10" s="155">
        <v>47.3</v>
      </c>
      <c r="H10" s="155">
        <v>68.099999999999994</v>
      </c>
      <c r="I10" s="155">
        <v>70.2</v>
      </c>
      <c r="J10" s="155">
        <v>85.4</v>
      </c>
      <c r="K10" s="155">
        <v>97.4</v>
      </c>
      <c r="L10" s="155">
        <v>104.4</v>
      </c>
      <c r="M10" s="155">
        <v>120.7</v>
      </c>
      <c r="N10" s="155">
        <v>124.5</v>
      </c>
      <c r="O10" s="155">
        <v>198.1</v>
      </c>
      <c r="P10" s="155">
        <v>435.7</v>
      </c>
      <c r="Q10" s="194">
        <f ca="1">+BS!Q70</f>
        <v>507.79999999999995</v>
      </c>
      <c r="R10" s="194">
        <f ca="1">+BS!R70</f>
        <v>513.9</v>
      </c>
      <c r="S10" s="194">
        <f ca="1">+BS!S70</f>
        <v>530.82305381004085</v>
      </c>
      <c r="T10" s="194">
        <f ca="1">+BS!T70</f>
        <v>541.83740418503169</v>
      </c>
      <c r="U10" s="194">
        <f ca="1">+BS!U70</f>
        <v>553.06294620766243</v>
      </c>
      <c r="X10"/>
      <c r="Y10"/>
      <c r="Z10"/>
      <c r="AA10"/>
      <c r="AB10"/>
      <c r="AC10"/>
    </row>
    <row r="11" spans="1:29" s="153" customFormat="1">
      <c r="B11" s="207" t="s">
        <v>278</v>
      </c>
      <c r="G11" s="155">
        <f>48-G10</f>
        <v>0.70000000000000284</v>
      </c>
      <c r="H11" s="155">
        <f>69.6-H10</f>
        <v>1.5</v>
      </c>
      <c r="I11" s="155">
        <f>71.7-I10</f>
        <v>1.5</v>
      </c>
      <c r="J11" s="155">
        <f>86.9-J10</f>
        <v>1.5</v>
      </c>
      <c r="K11" s="155">
        <f>99.3-K10</f>
        <v>1.8999999999999915</v>
      </c>
      <c r="L11" s="155">
        <f>110.9-L10</f>
        <v>6.5</v>
      </c>
      <c r="M11" s="155">
        <f>135.3-M10</f>
        <v>14.600000000000009</v>
      </c>
      <c r="N11" s="155">
        <f>139.1-N10</f>
        <v>14.599999999999994</v>
      </c>
      <c r="O11" s="155">
        <f>228.9-O10</f>
        <v>30.800000000000011</v>
      </c>
      <c r="P11" s="155">
        <f>533.5-P10</f>
        <v>97.800000000000011</v>
      </c>
      <c r="Q11" s="194">
        <f ca="1">BS!Q86</f>
        <v>51.100000000000023</v>
      </c>
      <c r="R11" s="194">
        <f ca="1">BS!R86</f>
        <v>51.100000000000023</v>
      </c>
      <c r="S11" s="194">
        <f ca="1">BS!S86</f>
        <v>51.100000000000023</v>
      </c>
      <c r="T11" s="194">
        <f ca="1">BS!T86</f>
        <v>51.100000000000023</v>
      </c>
      <c r="U11" s="194">
        <f ca="1">BS!U86</f>
        <v>51.100000000000023</v>
      </c>
      <c r="X11"/>
      <c r="Y11"/>
      <c r="Z11"/>
      <c r="AA11"/>
      <c r="AB11"/>
      <c r="AC11"/>
    </row>
    <row r="12" spans="1:29" s="153" customFormat="1">
      <c r="B12" s="207" t="s">
        <v>116</v>
      </c>
      <c r="G12" s="155">
        <v>-17</v>
      </c>
      <c r="H12" s="155">
        <v>11</v>
      </c>
      <c r="I12" s="155">
        <v>72.3</v>
      </c>
      <c r="J12" s="155">
        <v>11.2</v>
      </c>
      <c r="K12" s="155">
        <v>92.6</v>
      </c>
      <c r="L12" s="155">
        <v>42.5</v>
      </c>
      <c r="M12" s="155">
        <v>12.4</v>
      </c>
      <c r="N12" s="155">
        <v>31</v>
      </c>
      <c r="O12" s="155">
        <v>5.6</v>
      </c>
      <c r="P12" s="155">
        <v>-32.700000000000003</v>
      </c>
      <c r="Q12" s="155">
        <v>-452.7</v>
      </c>
      <c r="R12" s="155">
        <f>-50-IS!R19</f>
        <v>54.988052562372516</v>
      </c>
      <c r="S12" s="155">
        <f>-0.175*IS!S16-IS!S19</f>
        <v>38.287589622537098</v>
      </c>
      <c r="T12" s="155">
        <f>-0.175*IS!T16-IS!T19</f>
        <v>46.948125285540229</v>
      </c>
      <c r="U12" s="155">
        <f>-0.175*IS!U16-IS!U19</f>
        <v>57.153655897192522</v>
      </c>
      <c r="V12" s="493"/>
      <c r="X12"/>
      <c r="Y12"/>
      <c r="Z12"/>
      <c r="AA12"/>
      <c r="AB12"/>
      <c r="AC12"/>
    </row>
    <row r="13" spans="1:29" s="153" customFormat="1">
      <c r="B13" s="207" t="s">
        <v>277</v>
      </c>
      <c r="G13" s="155">
        <v>0</v>
      </c>
      <c r="H13" s="155">
        <v>0</v>
      </c>
      <c r="I13" s="155">
        <v>0</v>
      </c>
      <c r="J13" s="155">
        <v>17.5</v>
      </c>
      <c r="K13" s="155">
        <v>0</v>
      </c>
      <c r="L13" s="155">
        <v>0</v>
      </c>
      <c r="M13" s="155">
        <v>0</v>
      </c>
      <c r="N13" s="155">
        <v>3.3</v>
      </c>
      <c r="O13" s="155">
        <v>0.5</v>
      </c>
      <c r="P13" s="155">
        <v>76.599999999999994</v>
      </c>
      <c r="Q13" s="155">
        <v>1.4</v>
      </c>
      <c r="R13" s="155">
        <v>0</v>
      </c>
      <c r="S13" s="155">
        <v>0</v>
      </c>
      <c r="T13" s="155">
        <v>0</v>
      </c>
      <c r="U13" s="155">
        <v>0</v>
      </c>
      <c r="X13"/>
      <c r="Y13"/>
      <c r="Z13"/>
      <c r="AA13"/>
      <c r="AB13"/>
      <c r="AC13"/>
    </row>
    <row r="14" spans="1:29" s="153" customFormat="1">
      <c r="B14" s="207" t="s">
        <v>282</v>
      </c>
      <c r="G14" s="155">
        <v>-102.4</v>
      </c>
      <c r="H14" s="155">
        <v>0</v>
      </c>
      <c r="I14" s="155">
        <v>-4.5</v>
      </c>
      <c r="J14" s="155">
        <v>-9.8000000000000007</v>
      </c>
      <c r="K14" s="155">
        <v>-0.9</v>
      </c>
      <c r="L14" s="155">
        <v>-0.9</v>
      </c>
      <c r="M14" s="155">
        <v>-1</v>
      </c>
      <c r="N14" s="155">
        <v>-0.8</v>
      </c>
      <c r="O14" s="155">
        <v>-0.9</v>
      </c>
      <c r="P14" s="155">
        <v>-7.3</v>
      </c>
      <c r="Q14" s="155">
        <v>-1.7</v>
      </c>
      <c r="R14" s="155">
        <v>0</v>
      </c>
      <c r="S14" s="155">
        <v>0</v>
      </c>
      <c r="T14" s="155">
        <v>0</v>
      </c>
      <c r="U14" s="155">
        <v>0</v>
      </c>
      <c r="V14" s="429"/>
      <c r="X14"/>
      <c r="Y14"/>
      <c r="Z14"/>
      <c r="AA14"/>
      <c r="AB14"/>
      <c r="AC14"/>
    </row>
    <row r="15" spans="1:29" s="153" customFormat="1">
      <c r="B15" s="207" t="s">
        <v>283</v>
      </c>
      <c r="G15" s="155">
        <v>14.4</v>
      </c>
      <c r="H15" s="155">
        <v>-11.6</v>
      </c>
      <c r="I15" s="155">
        <v>-21.8</v>
      </c>
      <c r="J15" s="155">
        <v>-21.6</v>
      </c>
      <c r="K15" s="155">
        <v>-26.4</v>
      </c>
      <c r="L15" s="155">
        <v>-24.8</v>
      </c>
      <c r="M15" s="155">
        <v>-24.1</v>
      </c>
      <c r="N15" s="155">
        <v>-28.5</v>
      </c>
      <c r="O15" s="155">
        <v>-32</v>
      </c>
      <c r="P15" s="155">
        <v>-37.5</v>
      </c>
      <c r="Q15" s="155">
        <v>-26.9</v>
      </c>
      <c r="R15" s="155">
        <v>-30</v>
      </c>
      <c r="S15" s="155">
        <v>-30</v>
      </c>
      <c r="T15" s="155">
        <v>-30</v>
      </c>
      <c r="U15" s="155">
        <v>-30</v>
      </c>
      <c r="V15" s="155"/>
      <c r="X15"/>
      <c r="Y15"/>
      <c r="Z15"/>
      <c r="AA15"/>
      <c r="AB15"/>
      <c r="AC15"/>
    </row>
    <row r="16" spans="1:29" s="153" customFormat="1">
      <c r="B16" s="207" t="s">
        <v>307</v>
      </c>
      <c r="G16" s="155">
        <v>0</v>
      </c>
      <c r="H16" s="155">
        <v>26.6</v>
      </c>
      <c r="I16" s="155">
        <v>0</v>
      </c>
      <c r="J16" s="155">
        <v>0</v>
      </c>
      <c r="K16" s="155">
        <v>0</v>
      </c>
      <c r="L16" s="155">
        <v>0</v>
      </c>
      <c r="M16" s="155">
        <v>0</v>
      </c>
      <c r="N16" s="155">
        <v>0</v>
      </c>
      <c r="O16" s="155">
        <v>0</v>
      </c>
      <c r="P16" s="155">
        <v>0</v>
      </c>
      <c r="Q16" s="155">
        <v>0</v>
      </c>
      <c r="R16" s="155">
        <v>0</v>
      </c>
      <c r="S16" s="155">
        <v>0</v>
      </c>
      <c r="T16" s="155">
        <v>0</v>
      </c>
      <c r="U16" s="155">
        <v>0</v>
      </c>
      <c r="V16" s="155"/>
      <c r="X16"/>
      <c r="Y16"/>
      <c r="Z16"/>
      <c r="AA16"/>
      <c r="AB16"/>
      <c r="AC16"/>
    </row>
    <row r="17" spans="2:29" s="153" customFormat="1">
      <c r="B17" s="207" t="s">
        <v>308</v>
      </c>
      <c r="G17" s="155">
        <v>1.9</v>
      </c>
      <c r="H17" s="155">
        <v>2.7</v>
      </c>
      <c r="I17" s="155">
        <v>2.1</v>
      </c>
      <c r="J17" s="155">
        <v>1</v>
      </c>
      <c r="K17" s="155">
        <v>0</v>
      </c>
      <c r="L17" s="155">
        <v>0</v>
      </c>
      <c r="M17" s="155">
        <v>0</v>
      </c>
      <c r="N17" s="155">
        <v>0</v>
      </c>
      <c r="O17" s="155">
        <v>0</v>
      </c>
      <c r="P17" s="155">
        <v>0</v>
      </c>
      <c r="Q17" s="155">
        <v>0</v>
      </c>
      <c r="R17" s="155">
        <v>0</v>
      </c>
      <c r="S17" s="155">
        <v>0</v>
      </c>
      <c r="T17" s="155">
        <v>0</v>
      </c>
      <c r="U17" s="155">
        <v>0</v>
      </c>
      <c r="V17" s="155"/>
      <c r="X17"/>
      <c r="Y17"/>
      <c r="Z17"/>
      <c r="AA17"/>
      <c r="AB17"/>
      <c r="AC17"/>
    </row>
    <row r="18" spans="2:29" s="153" customFormat="1">
      <c r="B18" s="207" t="s">
        <v>309</v>
      </c>
      <c r="G18" s="155">
        <v>105.4</v>
      </c>
      <c r="H18" s="155">
        <v>0</v>
      </c>
      <c r="I18" s="155">
        <v>0</v>
      </c>
      <c r="J18" s="155">
        <v>0</v>
      </c>
      <c r="K18" s="155">
        <v>0</v>
      </c>
      <c r="L18" s="155">
        <v>0</v>
      </c>
      <c r="M18" s="155">
        <v>0</v>
      </c>
      <c r="N18" s="155">
        <v>0</v>
      </c>
      <c r="O18" s="155">
        <v>0</v>
      </c>
      <c r="P18" s="155">
        <v>0</v>
      </c>
      <c r="Q18" s="155">
        <v>0</v>
      </c>
      <c r="R18" s="155">
        <v>0</v>
      </c>
      <c r="S18" s="155">
        <v>0</v>
      </c>
      <c r="T18" s="155">
        <v>0</v>
      </c>
      <c r="U18" s="155">
        <v>0</v>
      </c>
      <c r="X18"/>
      <c r="Y18"/>
      <c r="Z18"/>
      <c r="AA18"/>
      <c r="AB18"/>
      <c r="AC18"/>
    </row>
    <row r="19" spans="2:29" s="153" customFormat="1">
      <c r="B19" s="230"/>
      <c r="X19"/>
      <c r="Y19"/>
      <c r="Z19"/>
      <c r="AA19"/>
      <c r="AB19"/>
      <c r="AC19"/>
    </row>
    <row r="20" spans="2:29" s="153" customFormat="1">
      <c r="B20" s="231" t="s">
        <v>284</v>
      </c>
      <c r="G20" s="155">
        <v>-7.7</v>
      </c>
      <c r="H20" s="155">
        <v>-9.5</v>
      </c>
      <c r="I20" s="155">
        <v>29.7</v>
      </c>
      <c r="J20" s="155">
        <v>-3.6</v>
      </c>
      <c r="K20" s="155">
        <v>-26.2</v>
      </c>
      <c r="L20" s="155">
        <v>1.2</v>
      </c>
      <c r="M20" s="155">
        <v>18.899999999999999</v>
      </c>
      <c r="N20" s="155">
        <v>25.8</v>
      </c>
      <c r="O20" s="155">
        <v>-115.1</v>
      </c>
      <c r="P20" s="155">
        <v>38.5</v>
      </c>
      <c r="Q20" s="155">
        <v>-49.9</v>
      </c>
      <c r="R20" s="194">
        <f>+BS!Q4-BS!R4</f>
        <v>-63.033492775005584</v>
      </c>
      <c r="S20" s="194">
        <f>+BS!R4-BS!S4</f>
        <v>-33.276476355725777</v>
      </c>
      <c r="T20" s="194">
        <f>+BS!S4-BS!T4</f>
        <v>-39.726884620734495</v>
      </c>
      <c r="U20" s="194">
        <f>+BS!T4-BS!U4</f>
        <v>-35.674310180161456</v>
      </c>
      <c r="X20"/>
      <c r="Y20"/>
      <c r="Z20"/>
      <c r="AA20"/>
      <c r="AB20"/>
      <c r="AC20"/>
    </row>
    <row r="21" spans="2:29" s="153" customFormat="1">
      <c r="B21" s="231" t="s">
        <v>285</v>
      </c>
      <c r="G21" s="155">
        <v>-0.3</v>
      </c>
      <c r="H21" s="155">
        <v>-1</v>
      </c>
      <c r="I21" s="155">
        <v>-20</v>
      </c>
      <c r="J21" s="155">
        <v>13.3</v>
      </c>
      <c r="K21" s="155">
        <v>5</v>
      </c>
      <c r="L21" s="155">
        <v>0.1</v>
      </c>
      <c r="M21" s="155">
        <v>0.4</v>
      </c>
      <c r="N21" s="155">
        <v>-27.8</v>
      </c>
      <c r="O21" s="155">
        <v>-12.6</v>
      </c>
      <c r="P21" s="155">
        <v>10.7</v>
      </c>
      <c r="Q21" s="155">
        <v>9.6</v>
      </c>
      <c r="R21" s="194">
        <f>BS!Q5-BS!R5+BS!R21-BS!Q21</f>
        <v>0</v>
      </c>
      <c r="S21" s="194">
        <f>BS!R5-BS!S5+BS!S21-BS!R21</f>
        <v>0</v>
      </c>
      <c r="T21" s="194">
        <f>BS!S5-BS!T5+BS!T21-BS!S21</f>
        <v>0</v>
      </c>
      <c r="U21" s="194">
        <f>BS!T5-BS!U5+BS!U21-BS!T21</f>
        <v>0</v>
      </c>
      <c r="X21"/>
      <c r="Y21"/>
      <c r="Z21"/>
      <c r="AA21"/>
      <c r="AB21"/>
      <c r="AC21"/>
    </row>
    <row r="22" spans="2:29" s="153" customFormat="1">
      <c r="B22" s="231" t="s">
        <v>39</v>
      </c>
      <c r="G22" s="155">
        <v>1.4</v>
      </c>
      <c r="H22" s="155">
        <v>-25</v>
      </c>
      <c r="I22" s="155">
        <v>7.6</v>
      </c>
      <c r="J22" s="155">
        <v>-31.8</v>
      </c>
      <c r="K22" s="155">
        <v>-17</v>
      </c>
      <c r="L22" s="155">
        <v>17.899999999999999</v>
      </c>
      <c r="M22" s="155">
        <v>8.6</v>
      </c>
      <c r="N22" s="155">
        <v>-23.6</v>
      </c>
      <c r="O22" s="155">
        <v>-1.7</v>
      </c>
      <c r="P22" s="155">
        <v>23.9</v>
      </c>
      <c r="Q22" s="155">
        <v>-37.799999999999997</v>
      </c>
      <c r="R22" s="194">
        <f>BS!Q6-BS!R6</f>
        <v>-31.677463413766191</v>
      </c>
      <c r="S22" s="194">
        <f>BS!R6-BS!S6</f>
        <v>-19.287872751374948</v>
      </c>
      <c r="T22" s="194">
        <f>BS!S6-BS!T6</f>
        <v>-32.574757402363048</v>
      </c>
      <c r="U22" s="194">
        <f>BS!T6-BS!U6</f>
        <v>-26.095774644791163</v>
      </c>
      <c r="X22"/>
      <c r="Y22"/>
      <c r="Z22"/>
      <c r="AA22"/>
      <c r="AB22"/>
      <c r="AC22"/>
    </row>
    <row r="23" spans="2:29" s="153" customFormat="1">
      <c r="B23" s="231" t="s">
        <v>30</v>
      </c>
      <c r="G23" s="155">
        <v>0.7</v>
      </c>
      <c r="H23" s="155">
        <v>3.8</v>
      </c>
      <c r="I23" s="155">
        <v>3.6</v>
      </c>
      <c r="J23" s="155">
        <v>-1.7</v>
      </c>
      <c r="K23" s="155">
        <v>0.6</v>
      </c>
      <c r="L23" s="155">
        <v>-0.1</v>
      </c>
      <c r="M23" s="155">
        <v>0.7</v>
      </c>
      <c r="N23" s="155">
        <v>1.7</v>
      </c>
      <c r="O23" s="155">
        <v>-30.6</v>
      </c>
      <c r="P23" s="155">
        <v>20.9</v>
      </c>
      <c r="Q23" s="155">
        <v>-12.1</v>
      </c>
      <c r="R23" s="194">
        <f>BS!Q7-BS!R7</f>
        <v>0</v>
      </c>
      <c r="S23" s="194">
        <f>BS!R7-BS!S7</f>
        <v>0</v>
      </c>
      <c r="T23" s="194">
        <f>BS!S7-BS!T7</f>
        <v>0</v>
      </c>
      <c r="U23" s="194">
        <f>BS!T7-BS!U7</f>
        <v>0</v>
      </c>
      <c r="X23"/>
      <c r="Y23"/>
      <c r="Z23"/>
      <c r="AA23"/>
      <c r="AB23"/>
      <c r="AC23"/>
    </row>
    <row r="24" spans="2:29" s="153" customFormat="1">
      <c r="B24" s="231" t="s">
        <v>286</v>
      </c>
      <c r="G24" s="155">
        <v>53.2</v>
      </c>
      <c r="H24" s="155">
        <v>-66.099999999999994</v>
      </c>
      <c r="I24" s="155">
        <v>-43.5</v>
      </c>
      <c r="J24" s="155">
        <v>14.1</v>
      </c>
      <c r="K24" s="155">
        <v>15.6</v>
      </c>
      <c r="L24" s="155">
        <v>-0.7</v>
      </c>
      <c r="M24" s="155">
        <v>1</v>
      </c>
      <c r="N24" s="155">
        <v>-38.5</v>
      </c>
      <c r="O24" s="155">
        <v>185.1</v>
      </c>
      <c r="P24" s="155">
        <v>-13.1</v>
      </c>
      <c r="Q24" s="155">
        <v>100</v>
      </c>
      <c r="R24" s="194">
        <f>+SUM(BS!R20,BS!R22)-SUM(BS!Q20,BS!Q22)</f>
        <v>42.938131982847381</v>
      </c>
      <c r="S24" s="194">
        <f>+SUM(BS!S20,BS!S22)-SUM(BS!R20,BS!R22)</f>
        <v>19.246305670958122</v>
      </c>
      <c r="T24" s="194">
        <f>+SUM(BS!T20,BS!T22)-SUM(BS!S20,BS!S22)</f>
        <v>32.504555904356494</v>
      </c>
      <c r="U24" s="194">
        <f>+SUM(BS!U20,BS!U22)-SUM(BS!T20,BS!T22)</f>
        <v>26.039535930590318</v>
      </c>
      <c r="X24"/>
      <c r="Y24"/>
      <c r="Z24"/>
      <c r="AA24"/>
      <c r="AB24"/>
      <c r="AC24"/>
    </row>
    <row r="25" spans="2:29" s="153" customFormat="1">
      <c r="B25" s="231" t="s">
        <v>46</v>
      </c>
      <c r="G25" s="155">
        <v>8.8000000000000007</v>
      </c>
      <c r="H25" s="155">
        <v>3.8</v>
      </c>
      <c r="I25" s="155">
        <v>-2.1</v>
      </c>
      <c r="J25" s="155">
        <v>2</v>
      </c>
      <c r="K25" s="155">
        <v>-0.2</v>
      </c>
      <c r="L25" s="155">
        <v>0.3</v>
      </c>
      <c r="M25" s="155">
        <v>1.3</v>
      </c>
      <c r="N25" s="155">
        <v>5.2</v>
      </c>
      <c r="O25" s="155">
        <v>37.6</v>
      </c>
      <c r="P25" s="155">
        <v>-4.3</v>
      </c>
      <c r="Q25" s="155">
        <v>5.8</v>
      </c>
      <c r="R25" s="194">
        <f>BS!Q14-BS!R14-R34</f>
        <v>0</v>
      </c>
      <c r="S25" s="194">
        <f>BS!R14-BS!S14-S34</f>
        <v>0</v>
      </c>
      <c r="T25" s="194">
        <f>BS!S14-BS!T14-T34</f>
        <v>0</v>
      </c>
      <c r="U25" s="194">
        <f>BS!T14-BS!U14-U34</f>
        <v>0</v>
      </c>
      <c r="X25"/>
      <c r="Y25"/>
      <c r="Z25"/>
      <c r="AA25"/>
      <c r="AB25"/>
      <c r="AC25"/>
    </row>
    <row r="26" spans="2:29" s="153" customFormat="1">
      <c r="B26" s="231" t="s">
        <v>287</v>
      </c>
      <c r="G26" s="155">
        <v>38.6</v>
      </c>
      <c r="H26" s="155">
        <v>-14.5</v>
      </c>
      <c r="I26" s="155">
        <v>10.199999999999999</v>
      </c>
      <c r="J26" s="155">
        <v>-2</v>
      </c>
      <c r="K26" s="155">
        <v>25.6</v>
      </c>
      <c r="L26" s="155">
        <v>-17.899999999999999</v>
      </c>
      <c r="M26" s="155">
        <v>-14.5</v>
      </c>
      <c r="N26" s="155">
        <v>-33.200000000000003</v>
      </c>
      <c r="O26" s="155">
        <v>-32.5</v>
      </c>
      <c r="P26" s="155">
        <v>-12.1</v>
      </c>
      <c r="Q26" s="155">
        <v>-5.9</v>
      </c>
      <c r="R26" s="194">
        <f>BS!R28-BS!Q28</f>
        <v>0</v>
      </c>
      <c r="S26" s="194">
        <f>BS!S28-BS!R28</f>
        <v>0</v>
      </c>
      <c r="T26" s="194">
        <f>BS!T28-BS!S28</f>
        <v>0</v>
      </c>
      <c r="U26" s="194">
        <f>BS!U28-BS!T28</f>
        <v>0</v>
      </c>
      <c r="X26"/>
      <c r="Y26"/>
      <c r="Z26"/>
      <c r="AA26"/>
      <c r="AB26"/>
      <c r="AC26"/>
    </row>
    <row r="27" spans="2:29" s="153" customFormat="1">
      <c r="B27" s="207" t="s">
        <v>288</v>
      </c>
      <c r="G27" s="155">
        <v>-0.5</v>
      </c>
      <c r="H27" s="155">
        <v>0.5</v>
      </c>
      <c r="I27" s="155">
        <v>-2.4</v>
      </c>
      <c r="J27" s="155">
        <v>-0.5</v>
      </c>
      <c r="K27" s="155">
        <v>-2.4</v>
      </c>
      <c r="L27" s="155">
        <v>0</v>
      </c>
      <c r="M27" s="155">
        <v>0.3</v>
      </c>
      <c r="N27" s="155">
        <v>-2.5</v>
      </c>
      <c r="O27" s="155">
        <v>5.5</v>
      </c>
      <c r="P27" s="155">
        <v>3.5</v>
      </c>
      <c r="Q27" s="155">
        <v>6.4</v>
      </c>
      <c r="R27" s="155">
        <v>0</v>
      </c>
      <c r="S27" s="155">
        <v>0</v>
      </c>
      <c r="T27" s="155">
        <v>0</v>
      </c>
      <c r="U27" s="155">
        <v>0</v>
      </c>
      <c r="X27"/>
      <c r="Y27"/>
      <c r="Z27"/>
      <c r="AA27"/>
      <c r="AB27"/>
      <c r="AC27"/>
    </row>
    <row r="28" spans="2:29" s="184" customFormat="1">
      <c r="B28" s="232" t="s">
        <v>235</v>
      </c>
      <c r="G28" s="228">
        <f>SUM(G20:G27)</f>
        <v>94.200000000000017</v>
      </c>
      <c r="H28" s="228">
        <f t="shared" ref="H28:T28" si="1">SUM(H20:H27)</f>
        <v>-108</v>
      </c>
      <c r="I28" s="228">
        <f t="shared" si="1"/>
        <v>-16.900000000000002</v>
      </c>
      <c r="J28" s="228">
        <f t="shared" si="1"/>
        <v>-10.200000000000001</v>
      </c>
      <c r="K28" s="228">
        <f t="shared" si="1"/>
        <v>1.0000000000000022</v>
      </c>
      <c r="L28" s="228">
        <f t="shared" si="1"/>
        <v>0.80000000000000071</v>
      </c>
      <c r="M28" s="228">
        <f t="shared" si="1"/>
        <v>16.7</v>
      </c>
      <c r="N28" s="228">
        <f t="shared" si="1"/>
        <v>-92.9</v>
      </c>
      <c r="O28" s="228">
        <f t="shared" si="1"/>
        <v>35.700000000000024</v>
      </c>
      <c r="P28" s="228">
        <f t="shared" si="1"/>
        <v>68.000000000000014</v>
      </c>
      <c r="Q28" s="228">
        <f t="shared" si="1"/>
        <v>16.100000000000012</v>
      </c>
      <c r="R28" s="228">
        <f t="shared" si="1"/>
        <v>-51.772824205924394</v>
      </c>
      <c r="S28" s="228">
        <f t="shared" si="1"/>
        <v>-33.318043436142602</v>
      </c>
      <c r="T28" s="228">
        <f t="shared" si="1"/>
        <v>-39.797086118741049</v>
      </c>
      <c r="U28" s="228">
        <f>SUM(U20:U27)</f>
        <v>-35.7305488943623</v>
      </c>
      <c r="X28"/>
      <c r="Y28"/>
      <c r="Z28"/>
      <c r="AA28"/>
      <c r="AB28"/>
      <c r="AC28"/>
    </row>
    <row r="29" spans="2:29">
      <c r="B29" s="85"/>
      <c r="G29" s="126"/>
      <c r="H29" s="126"/>
      <c r="I29" s="126"/>
      <c r="J29" s="126"/>
      <c r="K29" s="126"/>
      <c r="L29" s="126"/>
      <c r="M29" s="126"/>
      <c r="N29" s="126"/>
      <c r="O29" s="126"/>
      <c r="P29" s="126"/>
      <c r="Q29" s="126"/>
      <c r="R29" s="126"/>
      <c r="S29" s="126"/>
    </row>
    <row r="30" spans="2:29" s="192" customFormat="1">
      <c r="B30" s="106" t="s">
        <v>555</v>
      </c>
      <c r="C30" s="193"/>
      <c r="D30" s="193"/>
      <c r="E30" s="193"/>
      <c r="F30" s="193"/>
      <c r="G30" s="110">
        <f>SUM(G3,G5:G18,G28)</f>
        <v>204.20000000000002</v>
      </c>
      <c r="H30" s="110">
        <f t="shared" ref="H30:T30" si="2">SUM(H3,H5:H18,H28)</f>
        <v>115.59999999999997</v>
      </c>
      <c r="I30" s="110">
        <f t="shared" si="2"/>
        <v>200.2</v>
      </c>
      <c r="J30" s="110">
        <f t="shared" si="2"/>
        <v>115.50000000000001</v>
      </c>
      <c r="K30" s="110">
        <f t="shared" si="2"/>
        <v>215.89999999999995</v>
      </c>
      <c r="L30" s="110">
        <f t="shared" si="2"/>
        <v>279.20000000000005</v>
      </c>
      <c r="M30" s="110">
        <f t="shared" si="2"/>
        <v>317</v>
      </c>
      <c r="N30" s="110">
        <f t="shared" si="2"/>
        <v>159.20000000000002</v>
      </c>
      <c r="O30" s="110">
        <f t="shared" si="2"/>
        <v>217.10000000000002</v>
      </c>
      <c r="P30" s="110">
        <f t="shared" si="2"/>
        <v>603.20000000000005</v>
      </c>
      <c r="Q30" s="110">
        <f t="shared" ca="1" si="2"/>
        <v>648.79999999999984</v>
      </c>
      <c r="R30" s="110">
        <f t="shared" ca="1" si="2"/>
        <v>860.17938604356573</v>
      </c>
      <c r="S30" s="110">
        <f t="shared" ca="1" si="2"/>
        <v>999.26849622180623</v>
      </c>
      <c r="T30" s="110">
        <f t="shared" ca="1" si="2"/>
        <v>1072.8196962072334</v>
      </c>
      <c r="U30" s="110">
        <f ca="1">SUM(U3,U5:U18,U28)</f>
        <v>1174.1226121824177</v>
      </c>
      <c r="X30"/>
      <c r="Y30"/>
      <c r="Z30"/>
      <c r="AA30"/>
      <c r="AB30"/>
      <c r="AC30"/>
    </row>
    <row r="31" spans="2:29">
      <c r="C31" s="229"/>
      <c r="D31" s="229"/>
      <c r="E31" s="229"/>
      <c r="F31" s="229"/>
      <c r="G31" s="188"/>
      <c r="H31" s="188"/>
      <c r="I31" s="188"/>
      <c r="J31" s="188"/>
      <c r="K31" s="188"/>
      <c r="L31" s="188"/>
      <c r="M31" s="188"/>
      <c r="N31" s="188"/>
      <c r="O31" s="188"/>
      <c r="P31" s="188"/>
      <c r="Q31" s="493"/>
      <c r="R31" s="189"/>
      <c r="S31" s="189"/>
      <c r="T31" s="217"/>
      <c r="U31" s="217"/>
      <c r="V31" s="217"/>
      <c r="W31" s="217"/>
    </row>
    <row r="32" spans="2:29" s="184" customFormat="1">
      <c r="B32" s="232" t="s">
        <v>289</v>
      </c>
      <c r="G32" s="189">
        <v>-76.099999999999994</v>
      </c>
      <c r="H32" s="189">
        <v>-180.3</v>
      </c>
      <c r="I32" s="189">
        <v>-137.9</v>
      </c>
      <c r="J32" s="189">
        <v>-85.3</v>
      </c>
      <c r="K32" s="189">
        <v>-200.9</v>
      </c>
      <c r="L32" s="189">
        <v>-255.7</v>
      </c>
      <c r="M32" s="189">
        <v>-90.8</v>
      </c>
      <c r="N32" s="189">
        <v>-71.8</v>
      </c>
      <c r="O32" s="189">
        <v>-130.9</v>
      </c>
      <c r="P32" s="189">
        <v>-278</v>
      </c>
      <c r="Q32" s="189">
        <v>-294.3</v>
      </c>
      <c r="R32" s="189">
        <v>-400</v>
      </c>
      <c r="S32" s="189">
        <f>-250-70-50</f>
        <v>-370</v>
      </c>
      <c r="T32" s="189">
        <f>-250-45-50</f>
        <v>-345</v>
      </c>
      <c r="U32" s="189">
        <f>-250-50</f>
        <v>-300</v>
      </c>
      <c r="X32"/>
      <c r="Y32"/>
      <c r="Z32"/>
      <c r="AA32"/>
      <c r="AB32"/>
      <c r="AC32"/>
    </row>
    <row r="33" spans="2:29" s="153" customFormat="1">
      <c r="B33" s="207" t="s">
        <v>290</v>
      </c>
      <c r="G33" s="155">
        <f>-426.1+126.4</f>
        <v>-299.70000000000005</v>
      </c>
      <c r="H33" s="155">
        <v>0</v>
      </c>
      <c r="I33" s="155">
        <v>0</v>
      </c>
      <c r="J33" s="155">
        <v>0</v>
      </c>
      <c r="K33" s="155">
        <v>-123.4</v>
      </c>
      <c r="L33" s="155">
        <v>-310.39999999999998</v>
      </c>
      <c r="M33" s="155">
        <v>0</v>
      </c>
      <c r="N33" s="155">
        <v>0</v>
      </c>
      <c r="O33" s="155">
        <v>-408.1</v>
      </c>
      <c r="P33" s="155">
        <v>-69.5</v>
      </c>
      <c r="Q33" s="155">
        <v>0</v>
      </c>
      <c r="R33" s="155">
        <v>0</v>
      </c>
      <c r="S33" s="155">
        <v>0</v>
      </c>
      <c r="T33" s="155">
        <v>0</v>
      </c>
      <c r="U33" s="155">
        <v>0</v>
      </c>
      <c r="X33"/>
      <c r="Y33"/>
      <c r="Z33"/>
      <c r="AA33"/>
      <c r="AB33"/>
      <c r="AC33"/>
    </row>
    <row r="34" spans="2:29" s="153" customFormat="1">
      <c r="B34" s="207" t="s">
        <v>291</v>
      </c>
      <c r="G34" s="155">
        <v>0</v>
      </c>
      <c r="H34" s="155">
        <v>0</v>
      </c>
      <c r="I34" s="155">
        <v>0</v>
      </c>
      <c r="J34" s="155">
        <v>0</v>
      </c>
      <c r="K34" s="155">
        <v>0</v>
      </c>
      <c r="L34" s="155">
        <v>0</v>
      </c>
      <c r="M34" s="155">
        <v>0</v>
      </c>
      <c r="N34" s="155">
        <v>0</v>
      </c>
      <c r="O34" s="155">
        <v>0</v>
      </c>
      <c r="P34" s="155">
        <v>-175.7</v>
      </c>
      <c r="Q34" s="155">
        <v>-209.4</v>
      </c>
      <c r="R34" s="155">
        <v>0</v>
      </c>
      <c r="S34" s="155">
        <v>0</v>
      </c>
      <c r="T34" s="155">
        <v>-450</v>
      </c>
      <c r="U34" s="155">
        <v>0</v>
      </c>
      <c r="X34"/>
      <c r="Y34"/>
      <c r="Z34"/>
      <c r="AA34"/>
      <c r="AB34"/>
      <c r="AC34"/>
    </row>
    <row r="35" spans="2:29" s="153" customFormat="1">
      <c r="B35" s="207" t="s">
        <v>292</v>
      </c>
      <c r="G35" s="155">
        <v>14.8</v>
      </c>
      <c r="H35" s="155">
        <v>0</v>
      </c>
      <c r="I35" s="155">
        <v>0</v>
      </c>
      <c r="J35" s="155">
        <v>0</v>
      </c>
      <c r="K35" s="155">
        <v>3.2</v>
      </c>
      <c r="L35" s="155">
        <v>4.4000000000000004</v>
      </c>
      <c r="M35" s="155">
        <v>35.799999999999997</v>
      </c>
      <c r="N35" s="155">
        <v>0</v>
      </c>
      <c r="O35" s="155">
        <v>0</v>
      </c>
      <c r="P35" s="155">
        <v>40.4</v>
      </c>
      <c r="Q35" s="155">
        <v>0</v>
      </c>
      <c r="R35" s="155">
        <v>0</v>
      </c>
      <c r="S35" s="155">
        <v>0</v>
      </c>
      <c r="T35" s="155">
        <v>0</v>
      </c>
      <c r="U35" s="155">
        <v>0</v>
      </c>
      <c r="X35"/>
      <c r="Y35"/>
      <c r="Z35"/>
      <c r="AA35"/>
      <c r="AB35"/>
      <c r="AC35"/>
    </row>
    <row r="36" spans="2:29" s="153" customFormat="1">
      <c r="B36" s="207" t="s">
        <v>293</v>
      </c>
      <c r="G36" s="155">
        <v>0</v>
      </c>
      <c r="H36" s="155">
        <v>0.6</v>
      </c>
      <c r="I36" s="155">
        <v>8.5</v>
      </c>
      <c r="J36" s="155">
        <v>3.1</v>
      </c>
      <c r="K36" s="155">
        <v>7.9</v>
      </c>
      <c r="L36" s="155">
        <v>8.6</v>
      </c>
      <c r="M36" s="155">
        <v>4.5999999999999996</v>
      </c>
      <c r="N36" s="155">
        <v>5.6</v>
      </c>
      <c r="O36" s="155">
        <v>26.2</v>
      </c>
      <c r="P36" s="155">
        <v>0.5</v>
      </c>
      <c r="Q36" s="155">
        <v>5.2</v>
      </c>
      <c r="R36" s="155">
        <v>0</v>
      </c>
      <c r="S36" s="155">
        <v>0</v>
      </c>
      <c r="T36" s="155">
        <v>0</v>
      </c>
      <c r="U36" s="155">
        <v>0</v>
      </c>
      <c r="X36"/>
      <c r="Y36"/>
      <c r="Z36"/>
      <c r="AA36"/>
      <c r="AB36"/>
      <c r="AC36"/>
    </row>
    <row r="37" spans="2:29" s="153" customFormat="1">
      <c r="B37" s="207" t="s">
        <v>294</v>
      </c>
      <c r="G37" s="155">
        <v>0</v>
      </c>
      <c r="H37" s="155">
        <v>0</v>
      </c>
      <c r="I37" s="155">
        <v>0</v>
      </c>
      <c r="J37" s="155">
        <v>0</v>
      </c>
      <c r="K37" s="155">
        <v>0</v>
      </c>
      <c r="L37" s="155">
        <v>0</v>
      </c>
      <c r="M37" s="155">
        <v>0</v>
      </c>
      <c r="N37" s="155">
        <v>0</v>
      </c>
      <c r="O37" s="155">
        <v>8.8000000000000007</v>
      </c>
      <c r="P37" s="155">
        <v>8.8000000000000007</v>
      </c>
      <c r="Q37" s="155">
        <v>0</v>
      </c>
      <c r="R37" s="155">
        <v>0</v>
      </c>
      <c r="S37" s="155">
        <v>0</v>
      </c>
      <c r="T37" s="155">
        <v>0</v>
      </c>
      <c r="U37" s="155">
        <v>0</v>
      </c>
      <c r="X37"/>
      <c r="Y37"/>
      <c r="Z37"/>
      <c r="AA37"/>
      <c r="AB37"/>
      <c r="AC37"/>
    </row>
    <row r="38" spans="2:29" s="153" customFormat="1">
      <c r="B38" s="207" t="s">
        <v>295</v>
      </c>
      <c r="G38" s="155">
        <v>0</v>
      </c>
      <c r="H38" s="155">
        <v>0</v>
      </c>
      <c r="I38" s="155">
        <v>0</v>
      </c>
      <c r="J38" s="155">
        <v>-102</v>
      </c>
      <c r="K38" s="155">
        <v>50.3</v>
      </c>
      <c r="L38" s="155">
        <v>39.799999999999997</v>
      </c>
      <c r="M38" s="155">
        <v>7.7</v>
      </c>
      <c r="N38" s="155">
        <v>4.2</v>
      </c>
      <c r="O38" s="155">
        <v>0</v>
      </c>
      <c r="P38" s="155">
        <v>0</v>
      </c>
      <c r="Q38" s="155">
        <v>0</v>
      </c>
      <c r="R38" s="155">
        <v>0</v>
      </c>
      <c r="S38" s="155">
        <v>0</v>
      </c>
      <c r="T38" s="155">
        <v>0</v>
      </c>
      <c r="U38" s="155">
        <v>0</v>
      </c>
      <c r="X38"/>
      <c r="Y38"/>
      <c r="Z38"/>
      <c r="AA38"/>
      <c r="AB38"/>
      <c r="AC38"/>
    </row>
    <row r="39" spans="2:29" s="153" customFormat="1">
      <c r="B39" s="207" t="s">
        <v>28</v>
      </c>
      <c r="G39" s="155">
        <f>25.4+2.2+50</f>
        <v>77.599999999999994</v>
      </c>
      <c r="H39" s="155">
        <f>27.6-3.9</f>
        <v>23.700000000000003</v>
      </c>
      <c r="I39" s="155">
        <f>37.1+4.6</f>
        <v>41.7</v>
      </c>
      <c r="J39" s="155">
        <f>23.6+0.9</f>
        <v>24.5</v>
      </c>
      <c r="K39" s="155">
        <f>1.4+1.9</f>
        <v>3.3</v>
      </c>
      <c r="L39" s="155">
        <f>-0.4+1.3</f>
        <v>0.9</v>
      </c>
      <c r="M39" s="155">
        <f>-2.6+1.5</f>
        <v>-1.1000000000000001</v>
      </c>
      <c r="N39" s="155">
        <v>0.3</v>
      </c>
      <c r="O39" s="155">
        <v>0</v>
      </c>
      <c r="P39" s="155">
        <v>0</v>
      </c>
      <c r="Q39" s="155">
        <v>0</v>
      </c>
      <c r="R39" s="155">
        <v>0</v>
      </c>
      <c r="S39" s="155">
        <v>0</v>
      </c>
      <c r="T39" s="155">
        <v>0</v>
      </c>
      <c r="U39" s="155">
        <v>0</v>
      </c>
      <c r="X39"/>
      <c r="Y39"/>
      <c r="Z39"/>
      <c r="AA39"/>
      <c r="AB39"/>
      <c r="AC39"/>
    </row>
    <row r="40" spans="2:29" s="153" customFormat="1">
      <c r="B40" s="207" t="s">
        <v>310</v>
      </c>
      <c r="G40" s="155">
        <v>373.5</v>
      </c>
      <c r="H40" s="155">
        <v>0</v>
      </c>
      <c r="I40" s="155">
        <v>0</v>
      </c>
      <c r="J40" s="155">
        <v>0</v>
      </c>
      <c r="K40" s="155">
        <v>0</v>
      </c>
      <c r="L40" s="155">
        <v>0</v>
      </c>
      <c r="M40" s="155">
        <v>0</v>
      </c>
      <c r="N40" s="155">
        <v>0</v>
      </c>
      <c r="O40" s="155">
        <v>0</v>
      </c>
      <c r="P40" s="155">
        <v>0</v>
      </c>
      <c r="Q40" s="155">
        <v>0</v>
      </c>
      <c r="R40" s="155">
        <v>0</v>
      </c>
      <c r="S40" s="155">
        <v>0</v>
      </c>
      <c r="T40" s="155">
        <v>0</v>
      </c>
      <c r="U40" s="155">
        <v>0</v>
      </c>
      <c r="X40"/>
      <c r="Y40"/>
      <c r="Z40"/>
      <c r="AA40"/>
      <c r="AB40"/>
      <c r="AC40"/>
    </row>
    <row r="41" spans="2:29" s="192" customFormat="1">
      <c r="B41" s="106" t="s">
        <v>206</v>
      </c>
      <c r="C41" s="193"/>
      <c r="D41" s="193"/>
      <c r="E41" s="193"/>
      <c r="F41" s="193"/>
      <c r="G41" s="110">
        <f>SUM(G32:G40)</f>
        <v>90.099999999999909</v>
      </c>
      <c r="H41" s="110">
        <f t="shared" ref="H41:T41" si="3">SUM(H32:H40)</f>
        <v>-156</v>
      </c>
      <c r="I41" s="110">
        <f t="shared" si="3"/>
        <v>-87.7</v>
      </c>
      <c r="J41" s="110">
        <f t="shared" si="3"/>
        <v>-159.69999999999999</v>
      </c>
      <c r="K41" s="110">
        <f t="shared" si="3"/>
        <v>-259.60000000000002</v>
      </c>
      <c r="L41" s="110">
        <f t="shared" si="3"/>
        <v>-512.4</v>
      </c>
      <c r="M41" s="110">
        <f t="shared" si="3"/>
        <v>-43.8</v>
      </c>
      <c r="N41" s="110">
        <f t="shared" si="3"/>
        <v>-61.7</v>
      </c>
      <c r="O41" s="110">
        <f t="shared" si="3"/>
        <v>-503.99999999999994</v>
      </c>
      <c r="P41" s="110">
        <f t="shared" si="3"/>
        <v>-473.50000000000006</v>
      </c>
      <c r="Q41" s="110">
        <f t="shared" si="3"/>
        <v>-498.50000000000006</v>
      </c>
      <c r="R41" s="110">
        <f t="shared" si="3"/>
        <v>-400</v>
      </c>
      <c r="S41" s="110">
        <f t="shared" si="3"/>
        <v>-370</v>
      </c>
      <c r="T41" s="110">
        <f t="shared" si="3"/>
        <v>-795</v>
      </c>
      <c r="U41" s="110">
        <f>SUM(U32:U40)</f>
        <v>-300</v>
      </c>
      <c r="X41"/>
      <c r="Y41"/>
      <c r="Z41"/>
      <c r="AA41"/>
      <c r="AB41"/>
      <c r="AC41"/>
    </row>
    <row r="42" spans="2:29">
      <c r="C42" s="229"/>
      <c r="D42" s="229"/>
      <c r="E42" s="229"/>
      <c r="F42" s="229"/>
      <c r="G42" s="188"/>
      <c r="H42" s="188"/>
      <c r="I42" s="188"/>
      <c r="J42" s="188"/>
      <c r="K42" s="188"/>
      <c r="L42" s="188"/>
      <c r="M42" s="188"/>
      <c r="N42" s="188"/>
      <c r="O42" s="188"/>
      <c r="P42" s="188"/>
      <c r="Q42" s="188"/>
      <c r="R42" s="188"/>
      <c r="S42" s="188"/>
      <c r="T42" s="188"/>
      <c r="U42" s="188"/>
    </row>
    <row r="43" spans="2:29" s="153" customFormat="1">
      <c r="B43" s="207" t="s">
        <v>296</v>
      </c>
      <c r="G43" s="155">
        <v>180</v>
      </c>
      <c r="H43" s="155">
        <v>0</v>
      </c>
      <c r="I43" s="155">
        <v>150.30000000000001</v>
      </c>
      <c r="J43" s="155">
        <v>117</v>
      </c>
      <c r="K43" s="155">
        <v>36</v>
      </c>
      <c r="L43" s="155">
        <v>200</v>
      </c>
      <c r="M43" s="155">
        <v>0</v>
      </c>
      <c r="N43" s="155">
        <v>150</v>
      </c>
      <c r="O43" s="155">
        <v>1275</v>
      </c>
      <c r="P43" s="155">
        <v>230</v>
      </c>
      <c r="Q43" s="155">
        <v>0</v>
      </c>
      <c r="R43" s="155">
        <v>550</v>
      </c>
      <c r="S43" s="155">
        <v>0</v>
      </c>
      <c r="T43" s="155">
        <v>0</v>
      </c>
      <c r="U43" s="155">
        <v>0</v>
      </c>
      <c r="X43"/>
      <c r="Y43"/>
      <c r="Z43"/>
      <c r="AA43"/>
      <c r="AB43"/>
      <c r="AC43"/>
    </row>
    <row r="44" spans="2:29" s="153" customFormat="1">
      <c r="B44" s="207" t="s">
        <v>297</v>
      </c>
      <c r="G44" s="155">
        <v>-325.7</v>
      </c>
      <c r="H44" s="155">
        <v>-11.3</v>
      </c>
      <c r="I44" s="155">
        <v>0</v>
      </c>
      <c r="J44" s="155">
        <v>-20.7</v>
      </c>
      <c r="K44" s="155">
        <v>-87.2</v>
      </c>
      <c r="L44" s="155">
        <v>-19.899999999999999</v>
      </c>
      <c r="M44" s="155">
        <v>-23.7</v>
      </c>
      <c r="N44" s="155">
        <v>-162.4</v>
      </c>
      <c r="O44" s="155">
        <v>-730.7</v>
      </c>
      <c r="P44" s="155">
        <v>-435.3</v>
      </c>
      <c r="Q44" s="155">
        <v>-2.4</v>
      </c>
      <c r="R44" s="155">
        <f>-550</f>
        <v>-550</v>
      </c>
      <c r="S44" s="155">
        <f>(-0.05*1375)*0.25+(-0.075*1375)*0.75</f>
        <v>-94.53125</v>
      </c>
      <c r="T44" s="155">
        <f>(-0.075*1375)*0.75+(-0.1*1375)*0.25</f>
        <v>-111.71875</v>
      </c>
      <c r="U44" s="155">
        <f>-(0.1*1375)</f>
        <v>-137.5</v>
      </c>
      <c r="X44"/>
      <c r="Y44"/>
      <c r="Z44"/>
      <c r="AA44"/>
      <c r="AB44"/>
      <c r="AC44"/>
    </row>
    <row r="45" spans="2:29" s="153" customFormat="1">
      <c r="B45" s="207" t="s">
        <v>298</v>
      </c>
      <c r="G45" s="155">
        <v>0</v>
      </c>
      <c r="H45" s="155">
        <v>0</v>
      </c>
      <c r="I45" s="155">
        <v>0</v>
      </c>
      <c r="J45" s="155">
        <v>0</v>
      </c>
      <c r="K45" s="155">
        <v>0</v>
      </c>
      <c r="L45" s="155">
        <v>-15.3</v>
      </c>
      <c r="M45" s="155">
        <v>-17.100000000000001</v>
      </c>
      <c r="N45" s="155">
        <v>-14.8</v>
      </c>
      <c r="O45" s="155">
        <v>0</v>
      </c>
      <c r="P45" s="155">
        <v>0</v>
      </c>
      <c r="Q45" s="155">
        <v>0</v>
      </c>
      <c r="R45" s="155">
        <v>0</v>
      </c>
      <c r="S45" s="155">
        <v>0</v>
      </c>
      <c r="T45" s="155">
        <v>0</v>
      </c>
      <c r="U45" s="155">
        <v>0</v>
      </c>
      <c r="X45"/>
      <c r="Y45"/>
      <c r="Z45"/>
      <c r="AA45"/>
      <c r="AB45"/>
      <c r="AC45"/>
    </row>
    <row r="46" spans="2:29" s="153" customFormat="1">
      <c r="B46" s="207" t="s">
        <v>299</v>
      </c>
      <c r="G46" s="155">
        <v>0</v>
      </c>
      <c r="H46" s="155">
        <v>0</v>
      </c>
      <c r="I46" s="155">
        <v>0</v>
      </c>
      <c r="J46" s="155">
        <v>0</v>
      </c>
      <c r="K46" s="155">
        <v>-4.2</v>
      </c>
      <c r="L46" s="155">
        <v>-3.1</v>
      </c>
      <c r="M46" s="155">
        <v>-36.200000000000003</v>
      </c>
      <c r="N46" s="155">
        <v>-64.8</v>
      </c>
      <c r="O46" s="155">
        <v>0</v>
      </c>
      <c r="P46" s="155">
        <v>0</v>
      </c>
      <c r="Q46" s="155">
        <v>0</v>
      </c>
      <c r="R46" s="155">
        <v>0</v>
      </c>
      <c r="S46" s="155">
        <v>0</v>
      </c>
      <c r="T46" s="155">
        <v>0</v>
      </c>
      <c r="U46" s="155">
        <v>0</v>
      </c>
      <c r="X46"/>
      <c r="Y46"/>
      <c r="Z46"/>
      <c r="AA46"/>
      <c r="AB46"/>
      <c r="AC46"/>
    </row>
    <row r="47" spans="2:29" s="153" customFormat="1">
      <c r="B47" s="207" t="s">
        <v>311</v>
      </c>
      <c r="G47" s="155">
        <v>13.6</v>
      </c>
      <c r="H47" s="155">
        <v>15.4</v>
      </c>
      <c r="I47" s="155">
        <v>14.8</v>
      </c>
      <c r="J47" s="155">
        <v>9.1999999999999993</v>
      </c>
      <c r="K47" s="155">
        <v>0</v>
      </c>
      <c r="L47" s="155">
        <v>0</v>
      </c>
      <c r="M47" s="155">
        <v>0</v>
      </c>
      <c r="N47" s="155">
        <v>0</v>
      </c>
      <c r="O47" s="155">
        <v>0</v>
      </c>
      <c r="P47" s="155">
        <v>0</v>
      </c>
      <c r="Q47" s="155">
        <v>0</v>
      </c>
      <c r="R47" s="155">
        <v>0</v>
      </c>
      <c r="S47" s="155">
        <v>0</v>
      </c>
      <c r="T47" s="155">
        <v>0</v>
      </c>
      <c r="U47" s="155">
        <v>0</v>
      </c>
      <c r="X47"/>
      <c r="Y47"/>
      <c r="Z47"/>
      <c r="AA47"/>
      <c r="AB47"/>
      <c r="AC47"/>
    </row>
    <row r="48" spans="2:29" s="153" customFormat="1">
      <c r="B48" s="207" t="s">
        <v>300</v>
      </c>
      <c r="G48" s="155">
        <v>4.2</v>
      </c>
      <c r="H48" s="155">
        <v>31.9</v>
      </c>
      <c r="I48" s="155">
        <v>0.2</v>
      </c>
      <c r="J48" s="155">
        <v>2.9</v>
      </c>
      <c r="K48" s="155">
        <v>8.3000000000000007</v>
      </c>
      <c r="L48" s="155">
        <v>1.3</v>
      </c>
      <c r="M48" s="155">
        <v>8.8000000000000007</v>
      </c>
      <c r="N48" s="155">
        <v>6.6</v>
      </c>
      <c r="O48" s="155">
        <v>2.2000000000000002</v>
      </c>
      <c r="P48" s="155">
        <v>0.5</v>
      </c>
      <c r="Q48" s="155">
        <v>29.8</v>
      </c>
      <c r="R48" s="155">
        <v>0</v>
      </c>
      <c r="S48" s="155">
        <v>0</v>
      </c>
      <c r="T48" s="155">
        <v>0</v>
      </c>
      <c r="U48" s="155">
        <v>0</v>
      </c>
      <c r="X48"/>
      <c r="Y48"/>
      <c r="Z48"/>
      <c r="AA48"/>
      <c r="AB48"/>
      <c r="AC48"/>
    </row>
    <row r="49" spans="1:29" s="153" customFormat="1">
      <c r="B49" s="207" t="s">
        <v>301</v>
      </c>
      <c r="G49" s="155">
        <v>1.1000000000000001</v>
      </c>
      <c r="H49" s="155">
        <v>5.5</v>
      </c>
      <c r="I49" s="155">
        <v>0</v>
      </c>
      <c r="J49" s="155">
        <v>0.2</v>
      </c>
      <c r="K49" s="155">
        <v>1</v>
      </c>
      <c r="L49" s="155">
        <v>0.7</v>
      </c>
      <c r="M49" s="155">
        <v>1.6</v>
      </c>
      <c r="N49" s="155">
        <v>1.1000000000000001</v>
      </c>
      <c r="O49" s="155">
        <v>0.4</v>
      </c>
      <c r="P49" s="155">
        <v>0.4</v>
      </c>
      <c r="Q49" s="155">
        <v>0</v>
      </c>
      <c r="R49" s="155">
        <f>Q49</f>
        <v>0</v>
      </c>
      <c r="S49" s="155">
        <f>R49</f>
        <v>0</v>
      </c>
      <c r="T49" s="155">
        <f>S49</f>
        <v>0</v>
      </c>
      <c r="U49" s="155">
        <f>T49</f>
        <v>0</v>
      </c>
      <c r="X49"/>
      <c r="Y49"/>
      <c r="Z49"/>
      <c r="AA49"/>
      <c r="AB49"/>
      <c r="AC49"/>
    </row>
    <row r="50" spans="1:29" s="153" customFormat="1">
      <c r="B50" s="207" t="s">
        <v>303</v>
      </c>
      <c r="G50" s="155">
        <v>-59.2</v>
      </c>
      <c r="H50" s="155">
        <v>-60.6</v>
      </c>
      <c r="I50" s="155">
        <v>-62.5</v>
      </c>
      <c r="J50" s="155">
        <v>-63.3</v>
      </c>
      <c r="K50" s="155">
        <v>-64</v>
      </c>
      <c r="L50" s="155">
        <v>-64.099999999999994</v>
      </c>
      <c r="M50" s="155">
        <v>-64</v>
      </c>
      <c r="N50" s="155">
        <v>-63</v>
      </c>
      <c r="O50" s="155">
        <v>-79.5</v>
      </c>
      <c r="P50" s="155">
        <v>-132.1</v>
      </c>
      <c r="Q50" s="155">
        <v>-133</v>
      </c>
      <c r="R50" s="194">
        <f>-IS!R38</f>
        <v>-134.18</v>
      </c>
      <c r="S50" s="194">
        <f>-IS!S38</f>
        <v>-135.18</v>
      </c>
      <c r="T50" s="194">
        <f>-IS!T38</f>
        <v>-136.18</v>
      </c>
      <c r="U50" s="194">
        <f>-IS!U38</f>
        <v>-137.18</v>
      </c>
      <c r="X50"/>
      <c r="Y50"/>
      <c r="Z50"/>
      <c r="AA50"/>
      <c r="AB50"/>
      <c r="AC50"/>
    </row>
    <row r="51" spans="1:29" s="153" customFormat="1">
      <c r="B51" s="207" t="s">
        <v>302</v>
      </c>
      <c r="G51" s="155">
        <v>-2.1</v>
      </c>
      <c r="H51" s="155">
        <v>0</v>
      </c>
      <c r="I51" s="155">
        <v>-3.3</v>
      </c>
      <c r="J51" s="155">
        <v>-1</v>
      </c>
      <c r="K51" s="155">
        <v>0</v>
      </c>
      <c r="L51" s="155">
        <v>-6</v>
      </c>
      <c r="M51" s="155">
        <v>0</v>
      </c>
      <c r="N51" s="155">
        <v>-1.2</v>
      </c>
      <c r="O51" s="155">
        <v>-45.2</v>
      </c>
      <c r="P51" s="155">
        <v>-1</v>
      </c>
      <c r="Q51" s="155">
        <v>-11.2</v>
      </c>
      <c r="R51" s="155">
        <v>0</v>
      </c>
      <c r="S51" s="155">
        <v>0</v>
      </c>
      <c r="T51" s="155">
        <v>0</v>
      </c>
      <c r="U51" s="155">
        <v>0</v>
      </c>
      <c r="X51"/>
      <c r="Y51"/>
      <c r="Z51"/>
      <c r="AA51"/>
      <c r="AB51"/>
      <c r="AC51"/>
    </row>
    <row r="52" spans="1:29" s="192" customFormat="1">
      <c r="A52" s="89" t="s">
        <v>150</v>
      </c>
      <c r="B52" s="106" t="s">
        <v>207</v>
      </c>
      <c r="C52" s="193"/>
      <c r="D52" s="193"/>
      <c r="E52" s="193"/>
      <c r="F52" s="193"/>
      <c r="G52" s="110">
        <f>SUM(G43:G51)</f>
        <v>-188.1</v>
      </c>
      <c r="H52" s="110">
        <f t="shared" ref="H52:T52" si="4">SUM(H43:H51)</f>
        <v>-19.100000000000001</v>
      </c>
      <c r="I52" s="110">
        <f t="shared" si="4"/>
        <v>99.500000000000014</v>
      </c>
      <c r="J52" s="110">
        <f t="shared" si="4"/>
        <v>44.300000000000011</v>
      </c>
      <c r="K52" s="110">
        <f t="shared" si="4"/>
        <v>-110.10000000000001</v>
      </c>
      <c r="L52" s="110">
        <f t="shared" si="4"/>
        <v>93.6</v>
      </c>
      <c r="M52" s="110">
        <f t="shared" si="4"/>
        <v>-130.60000000000002</v>
      </c>
      <c r="N52" s="110">
        <f t="shared" si="4"/>
        <v>-148.5</v>
      </c>
      <c r="O52" s="110">
        <f t="shared" si="4"/>
        <v>422.2</v>
      </c>
      <c r="P52" s="110">
        <f t="shared" si="4"/>
        <v>-337.5</v>
      </c>
      <c r="Q52" s="110">
        <f t="shared" si="4"/>
        <v>-116.8</v>
      </c>
      <c r="R52" s="110">
        <f t="shared" si="4"/>
        <v>-134.18</v>
      </c>
      <c r="S52" s="110">
        <f t="shared" si="4"/>
        <v>-229.71125000000001</v>
      </c>
      <c r="T52" s="110">
        <f t="shared" si="4"/>
        <v>-247.89875000000001</v>
      </c>
      <c r="U52" s="110">
        <f>SUM(U43:U51)</f>
        <v>-274.68</v>
      </c>
      <c r="W52" s="184"/>
      <c r="X52"/>
      <c r="Y52"/>
      <c r="Z52"/>
      <c r="AA52"/>
      <c r="AB52"/>
      <c r="AC52"/>
    </row>
    <row r="53" spans="1:29">
      <c r="C53" s="229"/>
      <c r="D53" s="229"/>
      <c r="E53" s="229"/>
      <c r="F53" s="229"/>
      <c r="G53" s="188"/>
      <c r="H53" s="188"/>
      <c r="I53" s="188"/>
      <c r="J53" s="188"/>
      <c r="K53" s="188"/>
      <c r="L53" s="188"/>
      <c r="M53" s="188"/>
      <c r="N53" s="188"/>
      <c r="O53" s="188"/>
      <c r="P53" s="188"/>
      <c r="Q53" s="188"/>
      <c r="R53" s="188"/>
      <c r="S53" s="188"/>
      <c r="T53" s="188"/>
      <c r="U53" s="188"/>
    </row>
    <row r="54" spans="1:29" s="153" customFormat="1">
      <c r="B54" s="207" t="s">
        <v>4</v>
      </c>
      <c r="G54" s="155">
        <v>0</v>
      </c>
      <c r="H54" s="155">
        <v>0</v>
      </c>
      <c r="I54" s="155">
        <v>0</v>
      </c>
      <c r="J54" s="155">
        <v>0</v>
      </c>
      <c r="K54" s="155">
        <v>0</v>
      </c>
      <c r="L54" s="155">
        <v>0</v>
      </c>
      <c r="M54" s="155">
        <v>0</v>
      </c>
      <c r="N54" s="155">
        <v>0</v>
      </c>
      <c r="O54" s="155">
        <v>-0.1</v>
      </c>
      <c r="P54" s="155">
        <v>0.3</v>
      </c>
      <c r="Q54" s="155">
        <v>0.4</v>
      </c>
      <c r="R54" s="155">
        <v>0</v>
      </c>
      <c r="S54" s="155">
        <v>0</v>
      </c>
      <c r="T54" s="155">
        <v>0</v>
      </c>
      <c r="U54" s="155">
        <v>0</v>
      </c>
      <c r="X54"/>
      <c r="Y54"/>
      <c r="Z54"/>
      <c r="AA54"/>
      <c r="AB54"/>
      <c r="AC54"/>
    </row>
    <row r="55" spans="1:29" s="184" customFormat="1">
      <c r="A55" s="89" t="s">
        <v>150</v>
      </c>
      <c r="B55" s="106" t="s">
        <v>5</v>
      </c>
      <c r="C55" s="193"/>
      <c r="D55" s="193"/>
      <c r="E55" s="193"/>
      <c r="F55" s="193"/>
      <c r="G55" s="110">
        <f>SUM(G30,G41,G52,G54:G54)</f>
        <v>106.19999999999996</v>
      </c>
      <c r="H55" s="110">
        <f t="shared" ref="H55:T55" si="5">SUM(H30,H41,H52,H54:H54)</f>
        <v>-59.500000000000036</v>
      </c>
      <c r="I55" s="110">
        <f t="shared" si="5"/>
        <v>212</v>
      </c>
      <c r="J55" s="110">
        <f t="shared" si="5"/>
        <v>0.10000000000003695</v>
      </c>
      <c r="K55" s="110">
        <f t="shared" si="5"/>
        <v>-153.80000000000007</v>
      </c>
      <c r="L55" s="110">
        <f t="shared" si="5"/>
        <v>-139.59999999999994</v>
      </c>
      <c r="M55" s="110">
        <f t="shared" si="5"/>
        <v>142.59999999999997</v>
      </c>
      <c r="N55" s="110">
        <f t="shared" si="5"/>
        <v>-50.999999999999986</v>
      </c>
      <c r="O55" s="110">
        <f t="shared" si="5"/>
        <v>135.20000000000007</v>
      </c>
      <c r="P55" s="110">
        <f t="shared" si="5"/>
        <v>-207.5</v>
      </c>
      <c r="Q55" s="110">
        <f t="shared" ca="1" si="5"/>
        <v>33.899999999999785</v>
      </c>
      <c r="R55" s="110">
        <f t="shared" ca="1" si="5"/>
        <v>325.99938604356572</v>
      </c>
      <c r="S55" s="110">
        <f t="shared" ca="1" si="5"/>
        <v>399.55724622180622</v>
      </c>
      <c r="T55" s="110">
        <f t="shared" ca="1" si="5"/>
        <v>29.920946207233385</v>
      </c>
      <c r="U55" s="110">
        <f ca="1">SUM(U30,U41,U52,U54:U54)</f>
        <v>599.44261218241763</v>
      </c>
      <c r="X55"/>
      <c r="Y55"/>
      <c r="Z55"/>
      <c r="AA55"/>
      <c r="AB55"/>
      <c r="AC55"/>
    </row>
    <row r="56" spans="1:29">
      <c r="B56" s="202"/>
      <c r="C56" s="233"/>
      <c r="D56" s="233"/>
      <c r="E56" s="233"/>
      <c r="F56" s="233"/>
      <c r="G56" s="234"/>
      <c r="H56" s="234"/>
      <c r="I56" s="234"/>
      <c r="J56" s="234"/>
      <c r="K56" s="234"/>
      <c r="L56" s="234"/>
      <c r="M56" s="234"/>
      <c r="N56" s="234"/>
      <c r="O56" s="234"/>
      <c r="P56" s="234"/>
      <c r="Q56" s="234"/>
      <c r="R56" s="234"/>
      <c r="S56" s="234"/>
      <c r="T56" s="234"/>
      <c r="U56" s="234"/>
    </row>
    <row r="57" spans="1:29" s="153" customFormat="1">
      <c r="B57" s="207" t="s">
        <v>6</v>
      </c>
      <c r="G57" s="153">
        <v>199.8</v>
      </c>
      <c r="H57" s="153">
        <f>G58</f>
        <v>306</v>
      </c>
      <c r="I57" s="153">
        <f t="shared" ref="I57:U57" si="6">+H58</f>
        <v>246.49999999999997</v>
      </c>
      <c r="J57" s="153">
        <f t="shared" si="6"/>
        <v>458.5</v>
      </c>
      <c r="K57" s="153">
        <v>458.6</v>
      </c>
      <c r="L57" s="235">
        <f>+K58</f>
        <v>304.79999999999995</v>
      </c>
      <c r="M57" s="153">
        <f t="shared" si="6"/>
        <v>165.20000000000002</v>
      </c>
      <c r="N57" s="153">
        <f t="shared" si="6"/>
        <v>307.8</v>
      </c>
      <c r="O57" s="153">
        <f t="shared" si="6"/>
        <v>256.8</v>
      </c>
      <c r="P57" s="153">
        <f t="shared" si="6"/>
        <v>392.00000000000011</v>
      </c>
      <c r="Q57" s="153">
        <f t="shared" si="6"/>
        <v>184.50000000000011</v>
      </c>
      <c r="R57" s="153">
        <f t="shared" ca="1" si="6"/>
        <v>218.39999999999989</v>
      </c>
      <c r="S57" s="153">
        <f t="shared" ca="1" si="6"/>
        <v>544.39938604356564</v>
      </c>
      <c r="T57" s="153">
        <f t="shared" ca="1" si="6"/>
        <v>943.95663226537181</v>
      </c>
      <c r="U57" s="153">
        <f t="shared" ca="1" si="6"/>
        <v>973.87757847260514</v>
      </c>
      <c r="X57"/>
      <c r="Y57"/>
      <c r="Z57"/>
      <c r="AA57"/>
      <c r="AB57"/>
      <c r="AC57"/>
    </row>
    <row r="58" spans="1:29" s="153" customFormat="1">
      <c r="B58" s="207" t="s">
        <v>7</v>
      </c>
      <c r="G58" s="153">
        <f>+G57+G55</f>
        <v>306</v>
      </c>
      <c r="H58" s="153">
        <f t="shared" ref="H58:T58" si="7">+H57+H55</f>
        <v>246.49999999999997</v>
      </c>
      <c r="I58" s="153">
        <f t="shared" si="7"/>
        <v>458.5</v>
      </c>
      <c r="J58" s="153">
        <f t="shared" si="7"/>
        <v>458.6</v>
      </c>
      <c r="K58" s="153">
        <f t="shared" si="7"/>
        <v>304.79999999999995</v>
      </c>
      <c r="L58" s="153">
        <f t="shared" si="7"/>
        <v>165.20000000000002</v>
      </c>
      <c r="M58" s="153">
        <v>307.8</v>
      </c>
      <c r="N58" s="153">
        <f t="shared" si="7"/>
        <v>256.8</v>
      </c>
      <c r="O58" s="153">
        <f>+O57+O55</f>
        <v>392.00000000000011</v>
      </c>
      <c r="P58" s="153">
        <f>+P57+P55</f>
        <v>184.50000000000011</v>
      </c>
      <c r="Q58" s="153">
        <f t="shared" ca="1" si="7"/>
        <v>218.39999999999989</v>
      </c>
      <c r="R58" s="153">
        <f t="shared" ca="1" si="7"/>
        <v>544.39938604356564</v>
      </c>
      <c r="S58" s="153">
        <f t="shared" ca="1" si="7"/>
        <v>943.95663226537181</v>
      </c>
      <c r="T58" s="153">
        <f t="shared" ca="1" si="7"/>
        <v>973.87757847260514</v>
      </c>
      <c r="U58" s="153">
        <f ca="1">+U57+U55</f>
        <v>1573.3201906550228</v>
      </c>
      <c r="X58"/>
      <c r="Y58"/>
      <c r="Z58"/>
      <c r="AA58"/>
      <c r="AB58"/>
      <c r="AC58"/>
    </row>
    <row r="59" spans="1:29">
      <c r="C59" s="229"/>
      <c r="D59" s="229"/>
      <c r="E59" s="229"/>
      <c r="F59" s="229"/>
      <c r="G59" s="188"/>
      <c r="H59" s="188"/>
      <c r="I59" s="188"/>
      <c r="J59" s="188"/>
      <c r="K59" s="188"/>
      <c r="L59" s="188"/>
      <c r="M59" s="188"/>
      <c r="N59" s="188"/>
      <c r="O59" s="188"/>
      <c r="P59" s="188"/>
      <c r="Q59" s="188"/>
      <c r="R59" s="188"/>
      <c r="S59" s="188"/>
      <c r="T59" s="188"/>
      <c r="U59" s="188"/>
    </row>
    <row r="60" spans="1:29" s="153" customFormat="1">
      <c r="B60" s="236" t="s">
        <v>122</v>
      </c>
      <c r="G60" s="194">
        <f>G58-BS!G3</f>
        <v>0</v>
      </c>
      <c r="H60" s="194">
        <f>H58-BS!H3</f>
        <v>0</v>
      </c>
      <c r="I60" s="194">
        <f>I58-BS!I3</f>
        <v>0</v>
      </c>
      <c r="J60" s="194">
        <f>J58-BS!J3</f>
        <v>0</v>
      </c>
      <c r="K60" s="194">
        <f>K58-BS!K3</f>
        <v>0</v>
      </c>
      <c r="L60" s="194">
        <f>L58-BS!L3</f>
        <v>0</v>
      </c>
      <c r="M60" s="194">
        <f>M58-BS!M3</f>
        <v>0</v>
      </c>
      <c r="N60" s="194">
        <f>N58-BS!N3</f>
        <v>0</v>
      </c>
      <c r="O60" s="194">
        <f>O58-BS!O3</f>
        <v>0</v>
      </c>
      <c r="P60" s="194">
        <f>P58-BS!P3</f>
        <v>0</v>
      </c>
      <c r="Q60" s="194">
        <f ca="1">Q58-BS!Q3</f>
        <v>0</v>
      </c>
      <c r="R60" s="194">
        <f ca="1">R58-BS!R3</f>
        <v>0</v>
      </c>
      <c r="S60" s="194">
        <f ca="1">S58-BS!S3</f>
        <v>0</v>
      </c>
      <c r="T60" s="194">
        <f ca="1">T58-BS!T3</f>
        <v>0</v>
      </c>
      <c r="U60" s="194">
        <f ca="1">U58-BS!U3</f>
        <v>0</v>
      </c>
      <c r="X60"/>
      <c r="Y60"/>
      <c r="Z60"/>
      <c r="AA60"/>
      <c r="AB60"/>
      <c r="AC60"/>
    </row>
    <row r="61" spans="1:29">
      <c r="B61" s="5"/>
      <c r="C61" s="5"/>
      <c r="D61" s="5"/>
      <c r="E61" s="5"/>
      <c r="F61" s="5"/>
      <c r="G61" s="5"/>
      <c r="I61" s="5"/>
      <c r="J61" s="5"/>
    </row>
    <row r="62" spans="1:29">
      <c r="B62" s="5" t="s">
        <v>671</v>
      </c>
      <c r="C62" s="5"/>
      <c r="D62" s="5"/>
      <c r="E62" s="5"/>
      <c r="F62" s="5"/>
      <c r="G62" s="5"/>
      <c r="I62" s="5"/>
      <c r="J62" s="5"/>
      <c r="M62" s="181">
        <f>M30</f>
        <v>317</v>
      </c>
      <c r="N62" s="181">
        <f t="shared" ref="N62:U62" si="8">N30</f>
        <v>159.20000000000002</v>
      </c>
      <c r="O62" s="181">
        <f t="shared" si="8"/>
        <v>217.10000000000002</v>
      </c>
      <c r="P62" s="181">
        <f t="shared" si="8"/>
        <v>603.20000000000005</v>
      </c>
      <c r="Q62" s="181">
        <f t="shared" ca="1" si="8"/>
        <v>648.79999999999984</v>
      </c>
      <c r="R62" s="181">
        <f t="shared" ca="1" si="8"/>
        <v>860.17938604356573</v>
      </c>
      <c r="S62" s="181">
        <f ca="1">S30</f>
        <v>999.26849622180623</v>
      </c>
      <c r="T62" s="181">
        <f t="shared" ca="1" si="8"/>
        <v>1072.8196962072334</v>
      </c>
      <c r="U62" s="181">
        <f t="shared" ca="1" si="8"/>
        <v>1174.1226121824177</v>
      </c>
    </row>
    <row r="63" spans="1:29">
      <c r="B63" s="510" t="s">
        <v>672</v>
      </c>
      <c r="C63" s="510"/>
      <c r="D63" s="510"/>
      <c r="E63" s="510"/>
      <c r="F63" s="510"/>
      <c r="G63" s="510"/>
      <c r="H63" s="511"/>
      <c r="I63" s="510"/>
      <c r="J63" s="510"/>
      <c r="K63" s="511"/>
      <c r="L63" s="511"/>
      <c r="M63" s="511">
        <f>M32</f>
        <v>-90.8</v>
      </c>
      <c r="N63" s="511">
        <f t="shared" ref="N63:U63" si="9">N32</f>
        <v>-71.8</v>
      </c>
      <c r="O63" s="511">
        <f t="shared" si="9"/>
        <v>-130.9</v>
      </c>
      <c r="P63" s="511">
        <f t="shared" si="9"/>
        <v>-278</v>
      </c>
      <c r="Q63" s="511">
        <f t="shared" si="9"/>
        <v>-294.3</v>
      </c>
      <c r="R63" s="511">
        <f t="shared" si="9"/>
        <v>-400</v>
      </c>
      <c r="S63" s="511">
        <f t="shared" si="9"/>
        <v>-370</v>
      </c>
      <c r="T63" s="511">
        <f t="shared" si="9"/>
        <v>-345</v>
      </c>
      <c r="U63" s="511">
        <f t="shared" si="9"/>
        <v>-300</v>
      </c>
    </row>
    <row r="64" spans="1:29">
      <c r="B64" s="18" t="s">
        <v>673</v>
      </c>
      <c r="C64" s="5"/>
      <c r="D64" s="5"/>
      <c r="E64" s="5"/>
      <c r="F64" s="5"/>
      <c r="G64" s="5"/>
      <c r="I64" s="5"/>
      <c r="J64" s="5"/>
      <c r="M64" s="202">
        <f>SUM(M62:M63)</f>
        <v>226.2</v>
      </c>
      <c r="N64" s="202">
        <f t="shared" ref="N64:U64" si="10">SUM(N62:N63)</f>
        <v>87.40000000000002</v>
      </c>
      <c r="O64" s="202">
        <f t="shared" si="10"/>
        <v>86.200000000000017</v>
      </c>
      <c r="P64" s="202">
        <f t="shared" si="10"/>
        <v>325.20000000000005</v>
      </c>
      <c r="Q64" s="202">
        <f t="shared" ca="1" si="10"/>
        <v>354.49999999999983</v>
      </c>
      <c r="R64" s="202">
        <f t="shared" ca="1" si="10"/>
        <v>460.17938604356573</v>
      </c>
      <c r="S64" s="202">
        <f t="shared" ca="1" si="10"/>
        <v>629.26849622180623</v>
      </c>
      <c r="T64" s="202">
        <f t="shared" ca="1" si="10"/>
        <v>727.81969620723339</v>
      </c>
      <c r="U64" s="202">
        <f t="shared" ca="1" si="10"/>
        <v>874.1226121824177</v>
      </c>
    </row>
    <row r="65" spans="2:19">
      <c r="B65" s="5"/>
      <c r="C65" s="5"/>
      <c r="D65" s="5"/>
      <c r="E65" s="5"/>
      <c r="F65" s="5"/>
      <c r="G65" s="5"/>
      <c r="I65" s="5"/>
      <c r="J65" s="5"/>
      <c r="S65" s="209"/>
    </row>
    <row r="66" spans="2:19">
      <c r="B66" s="5"/>
      <c r="C66" s="5"/>
      <c r="D66" s="5"/>
      <c r="E66" s="5"/>
      <c r="F66" s="5"/>
      <c r="G66" s="5"/>
      <c r="I66" s="5"/>
      <c r="J66" s="5"/>
      <c r="S66" s="209"/>
    </row>
    <row r="67" spans="2:19" customFormat="1"/>
    <row r="68" spans="2:19">
      <c r="B68" s="5"/>
      <c r="C68" s="5"/>
      <c r="D68" s="5"/>
      <c r="E68" s="5"/>
      <c r="F68" s="5"/>
      <c r="G68" s="5"/>
      <c r="H68" s="5"/>
      <c r="I68" s="5"/>
      <c r="J68" s="5"/>
    </row>
    <row r="69" spans="2:19">
      <c r="B69" s="5"/>
      <c r="C69" s="5"/>
      <c r="D69" s="5"/>
      <c r="E69" s="5"/>
      <c r="F69" s="5"/>
      <c r="G69" s="5"/>
      <c r="H69" s="5"/>
      <c r="I69" s="5"/>
      <c r="J69" s="5"/>
    </row>
    <row r="70" spans="2:19">
      <c r="B70" s="5"/>
      <c r="C70" s="5"/>
      <c r="D70" s="5"/>
      <c r="E70" s="5"/>
      <c r="F70" s="5"/>
      <c r="G70" s="5"/>
      <c r="H70" s="5"/>
      <c r="I70" s="5"/>
      <c r="J70" s="5"/>
    </row>
    <row r="71" spans="2:19">
      <c r="B71" s="5"/>
      <c r="C71" s="5"/>
      <c r="D71" s="5"/>
      <c r="E71" s="5"/>
      <c r="F71" s="5"/>
      <c r="G71" s="5"/>
      <c r="H71" s="5"/>
      <c r="I71" s="5"/>
      <c r="J71" s="5"/>
      <c r="S71" s="181">
        <f>25*0.75</f>
        <v>18.75</v>
      </c>
    </row>
    <row r="72" spans="2:19">
      <c r="B72" s="5"/>
      <c r="C72" s="5"/>
      <c r="D72" s="5"/>
      <c r="E72" s="5"/>
      <c r="F72" s="5"/>
      <c r="G72" s="5"/>
      <c r="H72" s="5"/>
      <c r="I72" s="5"/>
      <c r="J72" s="5"/>
      <c r="S72" s="181">
        <f>+S71*(3)</f>
        <v>56.25</v>
      </c>
    </row>
    <row r="73" spans="2:19">
      <c r="B73" s="5"/>
      <c r="C73" s="5"/>
      <c r="D73" s="5"/>
      <c r="E73" s="5"/>
      <c r="F73" s="5"/>
      <c r="G73" s="5"/>
      <c r="H73" s="5"/>
      <c r="I73" s="5"/>
      <c r="J73" s="5"/>
    </row>
    <row r="74" spans="2:19">
      <c r="B74" s="5"/>
      <c r="C74" s="5"/>
      <c r="D74" s="5"/>
      <c r="E74" s="5"/>
      <c r="F74" s="5"/>
      <c r="G74" s="5"/>
      <c r="H74" s="5"/>
      <c r="I74" s="5"/>
      <c r="J74" s="5"/>
    </row>
    <row r="75" spans="2:19">
      <c r="B75" s="5"/>
      <c r="C75" s="5"/>
      <c r="D75" s="5"/>
      <c r="E75" s="5"/>
      <c r="F75" s="5"/>
      <c r="G75" s="5"/>
      <c r="H75" s="5"/>
      <c r="I75" s="5"/>
      <c r="J75" s="5"/>
    </row>
    <row r="76" spans="2:19">
      <c r="B76" s="5"/>
      <c r="C76" s="5"/>
      <c r="D76" s="5"/>
      <c r="E76" s="5"/>
      <c r="F76" s="5"/>
      <c r="G76" s="5"/>
      <c r="H76" s="5"/>
      <c r="I76" s="5"/>
      <c r="J76" s="5"/>
    </row>
    <row r="77" spans="2:19">
      <c r="B77" s="5"/>
      <c r="C77" s="5"/>
      <c r="D77" s="5"/>
      <c r="E77" s="5"/>
      <c r="F77" s="5"/>
      <c r="G77" s="5"/>
      <c r="H77" s="5"/>
      <c r="I77" s="5"/>
      <c r="J77" s="5"/>
    </row>
    <row r="78" spans="2:19">
      <c r="B78" s="5"/>
      <c r="C78" s="5"/>
      <c r="D78" s="5"/>
      <c r="E78" s="5"/>
      <c r="F78" s="5"/>
      <c r="G78" s="5"/>
      <c r="H78" s="5"/>
      <c r="I78" s="5"/>
      <c r="J78" s="5"/>
    </row>
    <row r="79" spans="2:19">
      <c r="B79" s="5"/>
      <c r="C79" s="5"/>
      <c r="D79" s="5"/>
      <c r="E79" s="5"/>
      <c r="F79" s="5"/>
      <c r="G79" s="5"/>
      <c r="H79" s="5"/>
      <c r="I79" s="5"/>
      <c r="J79" s="5"/>
    </row>
    <row r="80" spans="2:19">
      <c r="B80" s="5"/>
      <c r="C80" s="5"/>
      <c r="D80" s="5"/>
      <c r="E80" s="5"/>
      <c r="F80" s="5"/>
      <c r="G80" s="5"/>
      <c r="H80" s="5"/>
      <c r="I80" s="5"/>
      <c r="J80" s="5"/>
    </row>
    <row r="81" spans="2:10">
      <c r="B81" s="5"/>
      <c r="C81" s="5"/>
      <c r="D81" s="5"/>
      <c r="E81" s="5"/>
      <c r="F81" s="5"/>
      <c r="G81" s="5"/>
      <c r="H81" s="5"/>
      <c r="I81" s="5"/>
      <c r="J81" s="5"/>
    </row>
    <row r="82" spans="2:10">
      <c r="B82" s="5"/>
      <c r="C82" s="5"/>
      <c r="D82" s="5"/>
      <c r="E82" s="5"/>
      <c r="F82" s="5"/>
      <c r="G82" s="5"/>
      <c r="H82" s="5"/>
      <c r="I82" s="5"/>
      <c r="J82" s="5"/>
    </row>
    <row r="83" spans="2:10">
      <c r="B83" s="5"/>
      <c r="C83" s="5"/>
      <c r="D83" s="5"/>
      <c r="E83" s="5"/>
      <c r="F83" s="5"/>
      <c r="G83" s="5"/>
      <c r="H83" s="5"/>
      <c r="I83" s="5"/>
      <c r="J83" s="5"/>
    </row>
    <row r="84" spans="2:10">
      <c r="B84" s="5"/>
      <c r="C84" s="5"/>
      <c r="D84" s="5"/>
      <c r="E84" s="5"/>
      <c r="F84" s="5"/>
      <c r="G84" s="5"/>
      <c r="H84" s="5"/>
      <c r="I84" s="5"/>
      <c r="J84" s="5"/>
    </row>
    <row r="85" spans="2:10">
      <c r="B85" s="5"/>
      <c r="C85" s="5"/>
      <c r="D85" s="5"/>
      <c r="E85" s="5"/>
      <c r="F85" s="5"/>
      <c r="G85" s="5"/>
      <c r="H85" s="5"/>
      <c r="I85" s="5"/>
      <c r="J85" s="5"/>
    </row>
  </sheetData>
  <phoneticPr fontId="7" type="noConversion"/>
  <pageMargins left="0.75" right="0.75" top="1" bottom="1" header="0.5" footer="0.5"/>
  <pageSetup paperSize="9" scale="63"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3"/>
  <sheetViews>
    <sheetView workbookViewId="0">
      <selection activeCell="B42" sqref="B42"/>
    </sheetView>
  </sheetViews>
  <sheetFormatPr defaultRowHeight="12.75"/>
  <cols>
    <col min="1" max="1" width="29.5703125" style="3" bestFit="1" customWidth="1"/>
    <col min="2" max="2" width="19.85546875" style="551" customWidth="1"/>
    <col min="3" max="3" width="12" style="3" bestFit="1" customWidth="1"/>
    <col min="4" max="256" width="9.140625" style="3"/>
    <col min="257" max="257" width="29.5703125" style="3" bestFit="1" customWidth="1"/>
    <col min="258" max="258" width="19.85546875" style="3" customWidth="1"/>
    <col min="259" max="259" width="12" style="3" bestFit="1" customWidth="1"/>
    <col min="260" max="512" width="9.140625" style="3"/>
    <col min="513" max="513" width="29.5703125" style="3" bestFit="1" customWidth="1"/>
    <col min="514" max="514" width="19.85546875" style="3" customWidth="1"/>
    <col min="515" max="515" width="12" style="3" bestFit="1" customWidth="1"/>
    <col min="516" max="768" width="9.140625" style="3"/>
    <col min="769" max="769" width="29.5703125" style="3" bestFit="1" customWidth="1"/>
    <col min="770" max="770" width="19.85546875" style="3" customWidth="1"/>
    <col min="771" max="771" width="12" style="3" bestFit="1" customWidth="1"/>
    <col min="772" max="1024" width="9.140625" style="3"/>
    <col min="1025" max="1025" width="29.5703125" style="3" bestFit="1" customWidth="1"/>
    <col min="1026" max="1026" width="19.85546875" style="3" customWidth="1"/>
    <col min="1027" max="1027" width="12" style="3" bestFit="1" customWidth="1"/>
    <col min="1028" max="1280" width="9.140625" style="3"/>
    <col min="1281" max="1281" width="29.5703125" style="3" bestFit="1" customWidth="1"/>
    <col min="1282" max="1282" width="19.85546875" style="3" customWidth="1"/>
    <col min="1283" max="1283" width="12" style="3" bestFit="1" customWidth="1"/>
    <col min="1284" max="1536" width="9.140625" style="3"/>
    <col min="1537" max="1537" width="29.5703125" style="3" bestFit="1" customWidth="1"/>
    <col min="1538" max="1538" width="19.85546875" style="3" customWidth="1"/>
    <col min="1539" max="1539" width="12" style="3" bestFit="1" customWidth="1"/>
    <col min="1540" max="1792" width="9.140625" style="3"/>
    <col min="1793" max="1793" width="29.5703125" style="3" bestFit="1" customWidth="1"/>
    <col min="1794" max="1794" width="19.85546875" style="3" customWidth="1"/>
    <col min="1795" max="1795" width="12" style="3" bestFit="1" customWidth="1"/>
    <col min="1796" max="2048" width="9.140625" style="3"/>
    <col min="2049" max="2049" width="29.5703125" style="3" bestFit="1" customWidth="1"/>
    <col min="2050" max="2050" width="19.85546875" style="3" customWidth="1"/>
    <col min="2051" max="2051" width="12" style="3" bestFit="1" customWidth="1"/>
    <col min="2052" max="2304" width="9.140625" style="3"/>
    <col min="2305" max="2305" width="29.5703125" style="3" bestFit="1" customWidth="1"/>
    <col min="2306" max="2306" width="19.85546875" style="3" customWidth="1"/>
    <col min="2307" max="2307" width="12" style="3" bestFit="1" customWidth="1"/>
    <col min="2308" max="2560" width="9.140625" style="3"/>
    <col min="2561" max="2561" width="29.5703125" style="3" bestFit="1" customWidth="1"/>
    <col min="2562" max="2562" width="19.85546875" style="3" customWidth="1"/>
    <col min="2563" max="2563" width="12" style="3" bestFit="1" customWidth="1"/>
    <col min="2564" max="2816" width="9.140625" style="3"/>
    <col min="2817" max="2817" width="29.5703125" style="3" bestFit="1" customWidth="1"/>
    <col min="2818" max="2818" width="19.85546875" style="3" customWidth="1"/>
    <col min="2819" max="2819" width="12" style="3" bestFit="1" customWidth="1"/>
    <col min="2820" max="3072" width="9.140625" style="3"/>
    <col min="3073" max="3073" width="29.5703125" style="3" bestFit="1" customWidth="1"/>
    <col min="3074" max="3074" width="19.85546875" style="3" customWidth="1"/>
    <col min="3075" max="3075" width="12" style="3" bestFit="1" customWidth="1"/>
    <col min="3076" max="3328" width="9.140625" style="3"/>
    <col min="3329" max="3329" width="29.5703125" style="3" bestFit="1" customWidth="1"/>
    <col min="3330" max="3330" width="19.85546875" style="3" customWidth="1"/>
    <col min="3331" max="3331" width="12" style="3" bestFit="1" customWidth="1"/>
    <col min="3332" max="3584" width="9.140625" style="3"/>
    <col min="3585" max="3585" width="29.5703125" style="3" bestFit="1" customWidth="1"/>
    <col min="3586" max="3586" width="19.85546875" style="3" customWidth="1"/>
    <col min="3587" max="3587" width="12" style="3" bestFit="1" customWidth="1"/>
    <col min="3588" max="3840" width="9.140625" style="3"/>
    <col min="3841" max="3841" width="29.5703125" style="3" bestFit="1" customWidth="1"/>
    <col min="3842" max="3842" width="19.85546875" style="3" customWidth="1"/>
    <col min="3843" max="3843" width="12" style="3" bestFit="1" customWidth="1"/>
    <col min="3844" max="4096" width="9.140625" style="3"/>
    <col min="4097" max="4097" width="29.5703125" style="3" bestFit="1" customWidth="1"/>
    <col min="4098" max="4098" width="19.85546875" style="3" customWidth="1"/>
    <col min="4099" max="4099" width="12" style="3" bestFit="1" customWidth="1"/>
    <col min="4100" max="4352" width="9.140625" style="3"/>
    <col min="4353" max="4353" width="29.5703125" style="3" bestFit="1" customWidth="1"/>
    <col min="4354" max="4354" width="19.85546875" style="3" customWidth="1"/>
    <col min="4355" max="4355" width="12" style="3" bestFit="1" customWidth="1"/>
    <col min="4356" max="4608" width="9.140625" style="3"/>
    <col min="4609" max="4609" width="29.5703125" style="3" bestFit="1" customWidth="1"/>
    <col min="4610" max="4610" width="19.85546875" style="3" customWidth="1"/>
    <col min="4611" max="4611" width="12" style="3" bestFit="1" customWidth="1"/>
    <col min="4612" max="4864" width="9.140625" style="3"/>
    <col min="4865" max="4865" width="29.5703125" style="3" bestFit="1" customWidth="1"/>
    <col min="4866" max="4866" width="19.85546875" style="3" customWidth="1"/>
    <col min="4867" max="4867" width="12" style="3" bestFit="1" customWidth="1"/>
    <col min="4868" max="5120" width="9.140625" style="3"/>
    <col min="5121" max="5121" width="29.5703125" style="3" bestFit="1" customWidth="1"/>
    <col min="5122" max="5122" width="19.85546875" style="3" customWidth="1"/>
    <col min="5123" max="5123" width="12" style="3" bestFit="1" customWidth="1"/>
    <col min="5124" max="5376" width="9.140625" style="3"/>
    <col min="5377" max="5377" width="29.5703125" style="3" bestFit="1" customWidth="1"/>
    <col min="5378" max="5378" width="19.85546875" style="3" customWidth="1"/>
    <col min="5379" max="5379" width="12" style="3" bestFit="1" customWidth="1"/>
    <col min="5380" max="5632" width="9.140625" style="3"/>
    <col min="5633" max="5633" width="29.5703125" style="3" bestFit="1" customWidth="1"/>
    <col min="5634" max="5634" width="19.85546875" style="3" customWidth="1"/>
    <col min="5635" max="5635" width="12" style="3" bestFit="1" customWidth="1"/>
    <col min="5636" max="5888" width="9.140625" style="3"/>
    <col min="5889" max="5889" width="29.5703125" style="3" bestFit="1" customWidth="1"/>
    <col min="5890" max="5890" width="19.85546875" style="3" customWidth="1"/>
    <col min="5891" max="5891" width="12" style="3" bestFit="1" customWidth="1"/>
    <col min="5892" max="6144" width="9.140625" style="3"/>
    <col min="6145" max="6145" width="29.5703125" style="3" bestFit="1" customWidth="1"/>
    <col min="6146" max="6146" width="19.85546875" style="3" customWidth="1"/>
    <col min="6147" max="6147" width="12" style="3" bestFit="1" customWidth="1"/>
    <col min="6148" max="6400" width="9.140625" style="3"/>
    <col min="6401" max="6401" width="29.5703125" style="3" bestFit="1" customWidth="1"/>
    <col min="6402" max="6402" width="19.85546875" style="3" customWidth="1"/>
    <col min="6403" max="6403" width="12" style="3" bestFit="1" customWidth="1"/>
    <col min="6404" max="6656" width="9.140625" style="3"/>
    <col min="6657" max="6657" width="29.5703125" style="3" bestFit="1" customWidth="1"/>
    <col min="6658" max="6658" width="19.85546875" style="3" customWidth="1"/>
    <col min="6659" max="6659" width="12" style="3" bestFit="1" customWidth="1"/>
    <col min="6660" max="6912" width="9.140625" style="3"/>
    <col min="6913" max="6913" width="29.5703125" style="3" bestFit="1" customWidth="1"/>
    <col min="6914" max="6914" width="19.85546875" style="3" customWidth="1"/>
    <col min="6915" max="6915" width="12" style="3" bestFit="1" customWidth="1"/>
    <col min="6916" max="7168" width="9.140625" style="3"/>
    <col min="7169" max="7169" width="29.5703125" style="3" bestFit="1" customWidth="1"/>
    <col min="7170" max="7170" width="19.85546875" style="3" customWidth="1"/>
    <col min="7171" max="7171" width="12" style="3" bestFit="1" customWidth="1"/>
    <col min="7172" max="7424" width="9.140625" style="3"/>
    <col min="7425" max="7425" width="29.5703125" style="3" bestFit="1" customWidth="1"/>
    <col min="7426" max="7426" width="19.85546875" style="3" customWidth="1"/>
    <col min="7427" max="7427" width="12" style="3" bestFit="1" customWidth="1"/>
    <col min="7428" max="7680" width="9.140625" style="3"/>
    <col min="7681" max="7681" width="29.5703125" style="3" bestFit="1" customWidth="1"/>
    <col min="7682" max="7682" width="19.85546875" style="3" customWidth="1"/>
    <col min="7683" max="7683" width="12" style="3" bestFit="1" customWidth="1"/>
    <col min="7684" max="7936" width="9.140625" style="3"/>
    <col min="7937" max="7937" width="29.5703125" style="3" bestFit="1" customWidth="1"/>
    <col min="7938" max="7938" width="19.85546875" style="3" customWidth="1"/>
    <col min="7939" max="7939" width="12" style="3" bestFit="1" customWidth="1"/>
    <col min="7940" max="8192" width="9.140625" style="3"/>
    <col min="8193" max="8193" width="29.5703125" style="3" bestFit="1" customWidth="1"/>
    <col min="8194" max="8194" width="19.85546875" style="3" customWidth="1"/>
    <col min="8195" max="8195" width="12" style="3" bestFit="1" customWidth="1"/>
    <col min="8196" max="8448" width="9.140625" style="3"/>
    <col min="8449" max="8449" width="29.5703125" style="3" bestFit="1" customWidth="1"/>
    <col min="8450" max="8450" width="19.85546875" style="3" customWidth="1"/>
    <col min="8451" max="8451" width="12" style="3" bestFit="1" customWidth="1"/>
    <col min="8452" max="8704" width="9.140625" style="3"/>
    <col min="8705" max="8705" width="29.5703125" style="3" bestFit="1" customWidth="1"/>
    <col min="8706" max="8706" width="19.85546875" style="3" customWidth="1"/>
    <col min="8707" max="8707" width="12" style="3" bestFit="1" customWidth="1"/>
    <col min="8708" max="8960" width="9.140625" style="3"/>
    <col min="8961" max="8961" width="29.5703125" style="3" bestFit="1" customWidth="1"/>
    <col min="8962" max="8962" width="19.85546875" style="3" customWidth="1"/>
    <col min="8963" max="8963" width="12" style="3" bestFit="1" customWidth="1"/>
    <col min="8964" max="9216" width="9.140625" style="3"/>
    <col min="9217" max="9217" width="29.5703125" style="3" bestFit="1" customWidth="1"/>
    <col min="9218" max="9218" width="19.85546875" style="3" customWidth="1"/>
    <col min="9219" max="9219" width="12" style="3" bestFit="1" customWidth="1"/>
    <col min="9220" max="9472" width="9.140625" style="3"/>
    <col min="9473" max="9473" width="29.5703125" style="3" bestFit="1" customWidth="1"/>
    <col min="9474" max="9474" width="19.85546875" style="3" customWidth="1"/>
    <col min="9475" max="9475" width="12" style="3" bestFit="1" customWidth="1"/>
    <col min="9476" max="9728" width="9.140625" style="3"/>
    <col min="9729" max="9729" width="29.5703125" style="3" bestFit="1" customWidth="1"/>
    <col min="9730" max="9730" width="19.85546875" style="3" customWidth="1"/>
    <col min="9731" max="9731" width="12" style="3" bestFit="1" customWidth="1"/>
    <col min="9732" max="9984" width="9.140625" style="3"/>
    <col min="9985" max="9985" width="29.5703125" style="3" bestFit="1" customWidth="1"/>
    <col min="9986" max="9986" width="19.85546875" style="3" customWidth="1"/>
    <col min="9987" max="9987" width="12" style="3" bestFit="1" customWidth="1"/>
    <col min="9988" max="10240" width="9.140625" style="3"/>
    <col min="10241" max="10241" width="29.5703125" style="3" bestFit="1" customWidth="1"/>
    <col min="10242" max="10242" width="19.85546875" style="3" customWidth="1"/>
    <col min="10243" max="10243" width="12" style="3" bestFit="1" customWidth="1"/>
    <col min="10244" max="10496" width="9.140625" style="3"/>
    <col min="10497" max="10497" width="29.5703125" style="3" bestFit="1" customWidth="1"/>
    <col min="10498" max="10498" width="19.85546875" style="3" customWidth="1"/>
    <col min="10499" max="10499" width="12" style="3" bestFit="1" customWidth="1"/>
    <col min="10500" max="10752" width="9.140625" style="3"/>
    <col min="10753" max="10753" width="29.5703125" style="3" bestFit="1" customWidth="1"/>
    <col min="10754" max="10754" width="19.85546875" style="3" customWidth="1"/>
    <col min="10755" max="10755" width="12" style="3" bestFit="1" customWidth="1"/>
    <col min="10756" max="11008" width="9.140625" style="3"/>
    <col min="11009" max="11009" width="29.5703125" style="3" bestFit="1" customWidth="1"/>
    <col min="11010" max="11010" width="19.85546875" style="3" customWidth="1"/>
    <col min="11011" max="11011" width="12" style="3" bestFit="1" customWidth="1"/>
    <col min="11012" max="11264" width="9.140625" style="3"/>
    <col min="11265" max="11265" width="29.5703125" style="3" bestFit="1" customWidth="1"/>
    <col min="11266" max="11266" width="19.85546875" style="3" customWidth="1"/>
    <col min="11267" max="11267" width="12" style="3" bestFit="1" customWidth="1"/>
    <col min="11268" max="11520" width="9.140625" style="3"/>
    <col min="11521" max="11521" width="29.5703125" style="3" bestFit="1" customWidth="1"/>
    <col min="11522" max="11522" width="19.85546875" style="3" customWidth="1"/>
    <col min="11523" max="11523" width="12" style="3" bestFit="1" customWidth="1"/>
    <col min="11524" max="11776" width="9.140625" style="3"/>
    <col min="11777" max="11777" width="29.5703125" style="3" bestFit="1" customWidth="1"/>
    <col min="11778" max="11778" width="19.85546875" style="3" customWidth="1"/>
    <col min="11779" max="11779" width="12" style="3" bestFit="1" customWidth="1"/>
    <col min="11780" max="12032" width="9.140625" style="3"/>
    <col min="12033" max="12033" width="29.5703125" style="3" bestFit="1" customWidth="1"/>
    <col min="12034" max="12034" width="19.85546875" style="3" customWidth="1"/>
    <col min="12035" max="12035" width="12" style="3" bestFit="1" customWidth="1"/>
    <col min="12036" max="12288" width="9.140625" style="3"/>
    <col min="12289" max="12289" width="29.5703125" style="3" bestFit="1" customWidth="1"/>
    <col min="12290" max="12290" width="19.85546875" style="3" customWidth="1"/>
    <col min="12291" max="12291" width="12" style="3" bestFit="1" customWidth="1"/>
    <col min="12292" max="12544" width="9.140625" style="3"/>
    <col min="12545" max="12545" width="29.5703125" style="3" bestFit="1" customWidth="1"/>
    <col min="12546" max="12546" width="19.85546875" style="3" customWidth="1"/>
    <col min="12547" max="12547" width="12" style="3" bestFit="1" customWidth="1"/>
    <col min="12548" max="12800" width="9.140625" style="3"/>
    <col min="12801" max="12801" width="29.5703125" style="3" bestFit="1" customWidth="1"/>
    <col min="12802" max="12802" width="19.85546875" style="3" customWidth="1"/>
    <col min="12803" max="12803" width="12" style="3" bestFit="1" customWidth="1"/>
    <col min="12804" max="13056" width="9.140625" style="3"/>
    <col min="13057" max="13057" width="29.5703125" style="3" bestFit="1" customWidth="1"/>
    <col min="13058" max="13058" width="19.85546875" style="3" customWidth="1"/>
    <col min="13059" max="13059" width="12" style="3" bestFit="1" customWidth="1"/>
    <col min="13060" max="13312" width="9.140625" style="3"/>
    <col min="13313" max="13313" width="29.5703125" style="3" bestFit="1" customWidth="1"/>
    <col min="13314" max="13314" width="19.85546875" style="3" customWidth="1"/>
    <col min="13315" max="13315" width="12" style="3" bestFit="1" customWidth="1"/>
    <col min="13316" max="13568" width="9.140625" style="3"/>
    <col min="13569" max="13569" width="29.5703125" style="3" bestFit="1" customWidth="1"/>
    <col min="13570" max="13570" width="19.85546875" style="3" customWidth="1"/>
    <col min="13571" max="13571" width="12" style="3" bestFit="1" customWidth="1"/>
    <col min="13572" max="13824" width="9.140625" style="3"/>
    <col min="13825" max="13825" width="29.5703125" style="3" bestFit="1" customWidth="1"/>
    <col min="13826" max="13826" width="19.85546875" style="3" customWidth="1"/>
    <col min="13827" max="13827" width="12" style="3" bestFit="1" customWidth="1"/>
    <col min="13828" max="14080" width="9.140625" style="3"/>
    <col min="14081" max="14081" width="29.5703125" style="3" bestFit="1" customWidth="1"/>
    <col min="14082" max="14082" width="19.85546875" style="3" customWidth="1"/>
    <col min="14083" max="14083" width="12" style="3" bestFit="1" customWidth="1"/>
    <col min="14084" max="14336" width="9.140625" style="3"/>
    <col min="14337" max="14337" width="29.5703125" style="3" bestFit="1" customWidth="1"/>
    <col min="14338" max="14338" width="19.85546875" style="3" customWidth="1"/>
    <col min="14339" max="14339" width="12" style="3" bestFit="1" customWidth="1"/>
    <col min="14340" max="14592" width="9.140625" style="3"/>
    <col min="14593" max="14593" width="29.5703125" style="3" bestFit="1" customWidth="1"/>
    <col min="14594" max="14594" width="19.85546875" style="3" customWidth="1"/>
    <col min="14595" max="14595" width="12" style="3" bestFit="1" customWidth="1"/>
    <col min="14596" max="14848" width="9.140625" style="3"/>
    <col min="14849" max="14849" width="29.5703125" style="3" bestFit="1" customWidth="1"/>
    <col min="14850" max="14850" width="19.85546875" style="3" customWidth="1"/>
    <col min="14851" max="14851" width="12" style="3" bestFit="1" customWidth="1"/>
    <col min="14852" max="15104" width="9.140625" style="3"/>
    <col min="15105" max="15105" width="29.5703125" style="3" bestFit="1" customWidth="1"/>
    <col min="15106" max="15106" width="19.85546875" style="3" customWidth="1"/>
    <col min="15107" max="15107" width="12" style="3" bestFit="1" customWidth="1"/>
    <col min="15108" max="15360" width="9.140625" style="3"/>
    <col min="15361" max="15361" width="29.5703125" style="3" bestFit="1" customWidth="1"/>
    <col min="15362" max="15362" width="19.85546875" style="3" customWidth="1"/>
    <col min="15363" max="15363" width="12" style="3" bestFit="1" customWidth="1"/>
    <col min="15364" max="15616" width="9.140625" style="3"/>
    <col min="15617" max="15617" width="29.5703125" style="3" bestFit="1" customWidth="1"/>
    <col min="15618" max="15618" width="19.85546875" style="3" customWidth="1"/>
    <col min="15619" max="15619" width="12" style="3" bestFit="1" customWidth="1"/>
    <col min="15620" max="15872" width="9.140625" style="3"/>
    <col min="15873" max="15873" width="29.5703125" style="3" bestFit="1" customWidth="1"/>
    <col min="15874" max="15874" width="19.85546875" style="3" customWidth="1"/>
    <col min="15875" max="15875" width="12" style="3" bestFit="1" customWidth="1"/>
    <col min="15876" max="16128" width="9.140625" style="3"/>
    <col min="16129" max="16129" width="29.5703125" style="3" bestFit="1" customWidth="1"/>
    <col min="16130" max="16130" width="19.85546875" style="3" customWidth="1"/>
    <col min="16131" max="16131" width="12" style="3" bestFit="1" customWidth="1"/>
    <col min="16132" max="16384" width="9.140625" style="3"/>
  </cols>
  <sheetData>
    <row r="1" spans="1:2">
      <c r="A1" s="3" t="s">
        <v>994</v>
      </c>
      <c r="B1" s="550">
        <v>6.1</v>
      </c>
    </row>
    <row r="2" spans="1:2">
      <c r="A2" s="3" t="s">
        <v>995</v>
      </c>
      <c r="B2" s="554">
        <v>43215.360254629632</v>
      </c>
    </row>
    <row r="3" spans="1:2">
      <c r="A3" s="3" t="s">
        <v>996</v>
      </c>
      <c r="B3" s="551" t="s">
        <v>702</v>
      </c>
    </row>
    <row r="4" spans="1:2">
      <c r="A4" s="3" t="s">
        <v>997</v>
      </c>
      <c r="B4" s="551" t="s">
        <v>339</v>
      </c>
    </row>
    <row r="5" spans="1:2">
      <c r="A5" s="3" t="s">
        <v>998</v>
      </c>
      <c r="B5" s="551" t="s">
        <v>999</v>
      </c>
    </row>
    <row r="6" spans="1:2">
      <c r="A6" s="3" t="s">
        <v>1000</v>
      </c>
    </row>
    <row r="7" spans="1:2">
      <c r="A7" s="3" t="s">
        <v>1001</v>
      </c>
      <c r="B7" s="551" t="s">
        <v>1044</v>
      </c>
    </row>
    <row r="8" spans="1:2">
      <c r="A8" s="3" t="s">
        <v>1002</v>
      </c>
      <c r="B8" s="551" t="s">
        <v>1003</v>
      </c>
    </row>
    <row r="9" spans="1:2">
      <c r="A9" s="3" t="s">
        <v>1004</v>
      </c>
      <c r="B9" s="551" t="s">
        <v>1041</v>
      </c>
    </row>
    <row r="10" spans="1:2">
      <c r="A10" s="3" t="s">
        <v>1005</v>
      </c>
    </row>
    <row r="11" spans="1:2">
      <c r="A11" s="3" t="s">
        <v>1006</v>
      </c>
    </row>
    <row r="12" spans="1:2">
      <c r="A12" s="3" t="s">
        <v>1007</v>
      </c>
    </row>
    <row r="13" spans="1:2">
      <c r="A13" s="3" t="s">
        <v>1008</v>
      </c>
    </row>
    <row r="14" spans="1:2">
      <c r="A14" s="3" t="s">
        <v>1009</v>
      </c>
    </row>
    <row r="15" spans="1:2">
      <c r="A15" s="3" t="s">
        <v>1010</v>
      </c>
    </row>
    <row r="16" spans="1:2">
      <c r="A16" s="3" t="s">
        <v>1011</v>
      </c>
    </row>
    <row r="17" spans="1:4">
      <c r="A17" s="3" t="s">
        <v>1012</v>
      </c>
      <c r="B17" s="551" t="s">
        <v>1042</v>
      </c>
    </row>
    <row r="18" spans="1:4">
      <c r="A18" s="3" t="s">
        <v>1013</v>
      </c>
      <c r="B18" s="551" t="s">
        <v>1045</v>
      </c>
    </row>
    <row r="19" spans="1:4">
      <c r="A19" s="3" t="s">
        <v>1014</v>
      </c>
      <c r="B19" s="551" t="s">
        <v>333</v>
      </c>
    </row>
    <row r="20" spans="1:4">
      <c r="A20" s="3" t="s">
        <v>1015</v>
      </c>
      <c r="B20" s="552">
        <v>680665205</v>
      </c>
    </row>
    <row r="21" spans="1:4">
      <c r="A21" s="3" t="s">
        <v>1016</v>
      </c>
      <c r="B21" s="551" t="s">
        <v>333</v>
      </c>
    </row>
    <row r="22" spans="1:4">
      <c r="A22" s="3" t="s">
        <v>1017</v>
      </c>
      <c r="B22" s="552">
        <v>2658526</v>
      </c>
    </row>
    <row r="23" spans="1:4">
      <c r="A23" s="3" t="s">
        <v>124</v>
      </c>
      <c r="B23" s="550">
        <v>29.86</v>
      </c>
    </row>
    <row r="24" spans="1:4">
      <c r="A24" s="3" t="s">
        <v>118</v>
      </c>
      <c r="B24" s="551" t="s">
        <v>127</v>
      </c>
      <c r="D24" s="3" t="s">
        <v>129</v>
      </c>
    </row>
    <row r="25" spans="1:4">
      <c r="A25" s="3" t="s">
        <v>1018</v>
      </c>
      <c r="B25" s="551" t="s">
        <v>1046</v>
      </c>
    </row>
    <row r="26" spans="1:4">
      <c r="A26" s="3" t="s">
        <v>1019</v>
      </c>
      <c r="B26" s="551">
        <v>0</v>
      </c>
    </row>
    <row r="27" spans="1:4">
      <c r="A27" s="3" t="s">
        <v>1020</v>
      </c>
      <c r="B27" s="551" t="s">
        <v>1021</v>
      </c>
    </row>
    <row r="28" spans="1:4">
      <c r="A28" s="3" t="s">
        <v>1022</v>
      </c>
      <c r="B28" s="551" t="s">
        <v>1023</v>
      </c>
    </row>
    <row r="29" spans="1:4">
      <c r="A29" s="3" t="s">
        <v>1024</v>
      </c>
    </row>
    <row r="30" spans="1:4">
      <c r="A30" s="3" t="s">
        <v>1025</v>
      </c>
    </row>
    <row r="31" spans="1:4">
      <c r="A31" s="3" t="s">
        <v>1026</v>
      </c>
    </row>
    <row r="32" spans="1:4">
      <c r="A32" s="3" t="s">
        <v>1027</v>
      </c>
      <c r="B32" s="550"/>
    </row>
    <row r="33" spans="1:2">
      <c r="A33" s="3" t="s">
        <v>1028</v>
      </c>
      <c r="B33" s="550"/>
    </row>
    <row r="34" spans="1:2">
      <c r="A34" s="3" t="s">
        <v>1029</v>
      </c>
      <c r="B34" s="550"/>
    </row>
    <row r="35" spans="1:2">
      <c r="A35" s="3" t="s">
        <v>1030</v>
      </c>
      <c r="B35" s="551">
        <v>1000000</v>
      </c>
    </row>
    <row r="36" spans="1:2">
      <c r="A36" s="3" t="s">
        <v>1031</v>
      </c>
      <c r="B36" s="551" t="s">
        <v>1043</v>
      </c>
    </row>
    <row r="37" spans="1:2">
      <c r="A37" s="3" t="s">
        <v>1032</v>
      </c>
      <c r="B37" s="551" t="s">
        <v>1033</v>
      </c>
    </row>
    <row r="38" spans="1:2">
      <c r="A38" s="3" t="s">
        <v>1034</v>
      </c>
      <c r="B38" s="551" t="s">
        <v>1035</v>
      </c>
    </row>
    <row r="39" spans="1:2">
      <c r="A39" s="3" t="s">
        <v>1036</v>
      </c>
      <c r="B39" s="551" t="s">
        <v>338</v>
      </c>
    </row>
    <row r="40" spans="1:2">
      <c r="A40" s="3" t="s">
        <v>1037</v>
      </c>
      <c r="B40" s="551">
        <v>1500005563</v>
      </c>
    </row>
    <row r="41" spans="1:2">
      <c r="A41" s="3" t="s">
        <v>1038</v>
      </c>
      <c r="B41" s="551">
        <v>1</v>
      </c>
    </row>
    <row r="42" spans="1:2">
      <c r="A42" s="553" t="s">
        <v>1039</v>
      </c>
    </row>
    <row r="43" spans="1:2">
      <c r="A43" s="3" t="s">
        <v>1040</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cols>
    <col min="1" max="1" width="28.5703125" style="3" bestFit="1" customWidth="1"/>
    <col min="2" max="256" width="9.140625" style="3"/>
    <col min="257" max="257" width="28.5703125" style="3" bestFit="1" customWidth="1"/>
    <col min="258" max="512" width="9.140625" style="3"/>
    <col min="513" max="513" width="28.5703125" style="3" bestFit="1" customWidth="1"/>
    <col min="514" max="768" width="9.140625" style="3"/>
    <col min="769" max="769" width="28.5703125" style="3" bestFit="1" customWidth="1"/>
    <col min="770" max="1024" width="9.140625" style="3"/>
    <col min="1025" max="1025" width="28.5703125" style="3" bestFit="1" customWidth="1"/>
    <col min="1026" max="1280" width="9.140625" style="3"/>
    <col min="1281" max="1281" width="28.5703125" style="3" bestFit="1" customWidth="1"/>
    <col min="1282" max="1536" width="9.140625" style="3"/>
    <col min="1537" max="1537" width="28.5703125" style="3" bestFit="1" customWidth="1"/>
    <col min="1538" max="1792" width="9.140625" style="3"/>
    <col min="1793" max="1793" width="28.5703125" style="3" bestFit="1" customWidth="1"/>
    <col min="1794" max="2048" width="9.140625" style="3"/>
    <col min="2049" max="2049" width="28.5703125" style="3" bestFit="1" customWidth="1"/>
    <col min="2050" max="2304" width="9.140625" style="3"/>
    <col min="2305" max="2305" width="28.5703125" style="3" bestFit="1" customWidth="1"/>
    <col min="2306" max="2560" width="9.140625" style="3"/>
    <col min="2561" max="2561" width="28.5703125" style="3" bestFit="1" customWidth="1"/>
    <col min="2562" max="2816" width="9.140625" style="3"/>
    <col min="2817" max="2817" width="28.5703125" style="3" bestFit="1" customWidth="1"/>
    <col min="2818" max="3072" width="9.140625" style="3"/>
    <col min="3073" max="3073" width="28.5703125" style="3" bestFit="1" customWidth="1"/>
    <col min="3074" max="3328" width="9.140625" style="3"/>
    <col min="3329" max="3329" width="28.5703125" style="3" bestFit="1" customWidth="1"/>
    <col min="3330" max="3584" width="9.140625" style="3"/>
    <col min="3585" max="3585" width="28.5703125" style="3" bestFit="1" customWidth="1"/>
    <col min="3586" max="3840" width="9.140625" style="3"/>
    <col min="3841" max="3841" width="28.5703125" style="3" bestFit="1" customWidth="1"/>
    <col min="3842" max="4096" width="9.140625" style="3"/>
    <col min="4097" max="4097" width="28.5703125" style="3" bestFit="1" customWidth="1"/>
    <col min="4098" max="4352" width="9.140625" style="3"/>
    <col min="4353" max="4353" width="28.5703125" style="3" bestFit="1" customWidth="1"/>
    <col min="4354" max="4608" width="9.140625" style="3"/>
    <col min="4609" max="4609" width="28.5703125" style="3" bestFit="1" customWidth="1"/>
    <col min="4610" max="4864" width="9.140625" style="3"/>
    <col min="4865" max="4865" width="28.5703125" style="3" bestFit="1" customWidth="1"/>
    <col min="4866" max="5120" width="9.140625" style="3"/>
    <col min="5121" max="5121" width="28.5703125" style="3" bestFit="1" customWidth="1"/>
    <col min="5122" max="5376" width="9.140625" style="3"/>
    <col min="5377" max="5377" width="28.5703125" style="3" bestFit="1" customWidth="1"/>
    <col min="5378" max="5632" width="9.140625" style="3"/>
    <col min="5633" max="5633" width="28.5703125" style="3" bestFit="1" customWidth="1"/>
    <col min="5634" max="5888" width="9.140625" style="3"/>
    <col min="5889" max="5889" width="28.5703125" style="3" bestFit="1" customWidth="1"/>
    <col min="5890" max="6144" width="9.140625" style="3"/>
    <col min="6145" max="6145" width="28.5703125" style="3" bestFit="1" customWidth="1"/>
    <col min="6146" max="6400" width="9.140625" style="3"/>
    <col min="6401" max="6401" width="28.5703125" style="3" bestFit="1" customWidth="1"/>
    <col min="6402" max="6656" width="9.140625" style="3"/>
    <col min="6657" max="6657" width="28.5703125" style="3" bestFit="1" customWidth="1"/>
    <col min="6658" max="6912" width="9.140625" style="3"/>
    <col min="6913" max="6913" width="28.5703125" style="3" bestFit="1" customWidth="1"/>
    <col min="6914" max="7168" width="9.140625" style="3"/>
    <col min="7169" max="7169" width="28.5703125" style="3" bestFit="1" customWidth="1"/>
    <col min="7170" max="7424" width="9.140625" style="3"/>
    <col min="7425" max="7425" width="28.5703125" style="3" bestFit="1" customWidth="1"/>
    <col min="7426" max="7680" width="9.140625" style="3"/>
    <col min="7681" max="7681" width="28.5703125" style="3" bestFit="1" customWidth="1"/>
    <col min="7682" max="7936" width="9.140625" style="3"/>
    <col min="7937" max="7937" width="28.5703125" style="3" bestFit="1" customWidth="1"/>
    <col min="7938" max="8192" width="9.140625" style="3"/>
    <col min="8193" max="8193" width="28.5703125" style="3" bestFit="1" customWidth="1"/>
    <col min="8194" max="8448" width="9.140625" style="3"/>
    <col min="8449" max="8449" width="28.5703125" style="3" bestFit="1" customWidth="1"/>
    <col min="8450" max="8704" width="9.140625" style="3"/>
    <col min="8705" max="8705" width="28.5703125" style="3" bestFit="1" customWidth="1"/>
    <col min="8706" max="8960" width="9.140625" style="3"/>
    <col min="8961" max="8961" width="28.5703125" style="3" bestFit="1" customWidth="1"/>
    <col min="8962" max="9216" width="9.140625" style="3"/>
    <col min="9217" max="9217" width="28.5703125" style="3" bestFit="1" customWidth="1"/>
    <col min="9218" max="9472" width="9.140625" style="3"/>
    <col min="9473" max="9473" width="28.5703125" style="3" bestFit="1" customWidth="1"/>
    <col min="9474" max="9728" width="9.140625" style="3"/>
    <col min="9729" max="9729" width="28.5703125" style="3" bestFit="1" customWidth="1"/>
    <col min="9730" max="9984" width="9.140625" style="3"/>
    <col min="9985" max="9985" width="28.5703125" style="3" bestFit="1" customWidth="1"/>
    <col min="9986" max="10240" width="9.140625" style="3"/>
    <col min="10241" max="10241" width="28.5703125" style="3" bestFit="1" customWidth="1"/>
    <col min="10242" max="10496" width="9.140625" style="3"/>
    <col min="10497" max="10497" width="28.5703125" style="3" bestFit="1" customWidth="1"/>
    <col min="10498" max="10752" width="9.140625" style="3"/>
    <col min="10753" max="10753" width="28.5703125" style="3" bestFit="1" customWidth="1"/>
    <col min="10754" max="11008" width="9.140625" style="3"/>
    <col min="11009" max="11009" width="28.5703125" style="3" bestFit="1" customWidth="1"/>
    <col min="11010" max="11264" width="9.140625" style="3"/>
    <col min="11265" max="11265" width="28.5703125" style="3" bestFit="1" customWidth="1"/>
    <col min="11266" max="11520" width="9.140625" style="3"/>
    <col min="11521" max="11521" width="28.5703125" style="3" bestFit="1" customWidth="1"/>
    <col min="11522" max="11776" width="9.140625" style="3"/>
    <col min="11777" max="11777" width="28.5703125" style="3" bestFit="1" customWidth="1"/>
    <col min="11778" max="12032" width="9.140625" style="3"/>
    <col min="12033" max="12033" width="28.5703125" style="3" bestFit="1" customWidth="1"/>
    <col min="12034" max="12288" width="9.140625" style="3"/>
    <col min="12289" max="12289" width="28.5703125" style="3" bestFit="1" customWidth="1"/>
    <col min="12290" max="12544" width="9.140625" style="3"/>
    <col min="12545" max="12545" width="28.5703125" style="3" bestFit="1" customWidth="1"/>
    <col min="12546" max="12800" width="9.140625" style="3"/>
    <col min="12801" max="12801" width="28.5703125" style="3" bestFit="1" customWidth="1"/>
    <col min="12802" max="13056" width="9.140625" style="3"/>
    <col min="13057" max="13057" width="28.5703125" style="3" bestFit="1" customWidth="1"/>
    <col min="13058" max="13312" width="9.140625" style="3"/>
    <col min="13313" max="13313" width="28.5703125" style="3" bestFit="1" customWidth="1"/>
    <col min="13314" max="13568" width="9.140625" style="3"/>
    <col min="13569" max="13569" width="28.5703125" style="3" bestFit="1" customWidth="1"/>
    <col min="13570" max="13824" width="9.140625" style="3"/>
    <col min="13825" max="13825" width="28.5703125" style="3" bestFit="1" customWidth="1"/>
    <col min="13826" max="14080" width="9.140625" style="3"/>
    <col min="14081" max="14081" width="28.5703125" style="3" bestFit="1" customWidth="1"/>
    <col min="14082" max="14336" width="9.140625" style="3"/>
    <col min="14337" max="14337" width="28.5703125" style="3" bestFit="1" customWidth="1"/>
    <col min="14338" max="14592" width="9.140625" style="3"/>
    <col min="14593" max="14593" width="28.5703125" style="3" bestFit="1" customWidth="1"/>
    <col min="14594" max="14848" width="9.140625" style="3"/>
    <col min="14849" max="14849" width="28.5703125" style="3" bestFit="1" customWidth="1"/>
    <col min="14850" max="15104" width="9.140625" style="3"/>
    <col min="15105" max="15105" width="28.5703125" style="3" bestFit="1" customWidth="1"/>
    <col min="15106" max="15360" width="9.140625" style="3"/>
    <col min="15361" max="15361" width="28.5703125" style="3" bestFit="1" customWidth="1"/>
    <col min="15362" max="15616" width="9.140625" style="3"/>
    <col min="15617" max="15617" width="28.5703125" style="3" bestFit="1" customWidth="1"/>
    <col min="15618" max="15872" width="9.140625" style="3"/>
    <col min="15873" max="15873" width="28.5703125" style="3" bestFit="1" customWidth="1"/>
    <col min="15874" max="16128" width="9.140625" style="3"/>
    <col min="16129" max="16129" width="28.5703125" style="3" bestFit="1" customWidth="1"/>
    <col min="16130" max="16384" width="9.140625" style="3"/>
  </cols>
  <sheetData>
    <row r="1" spans="1:1">
      <c r="A1" s="555" t="s">
        <v>1047</v>
      </c>
    </row>
    <row r="2" spans="1:1">
      <c r="A2" s="555" t="s">
        <v>1052</v>
      </c>
    </row>
    <row r="3" spans="1:1">
      <c r="A3" s="555" t="s">
        <v>1053</v>
      </c>
    </row>
    <row r="4" spans="1:1">
      <c r="A4" s="555" t="s">
        <v>1054</v>
      </c>
    </row>
    <row r="5" spans="1:1">
      <c r="A5" s="555" t="s">
        <v>1055</v>
      </c>
    </row>
    <row r="6" spans="1:1">
      <c r="A6" s="555" t="s">
        <v>1048</v>
      </c>
    </row>
    <row r="7" spans="1:1">
      <c r="A7" s="555" t="s">
        <v>1056</v>
      </c>
    </row>
    <row r="8" spans="1:1">
      <c r="A8" s="555" t="s">
        <v>1057</v>
      </c>
    </row>
    <row r="9" spans="1:1">
      <c r="A9" s="555" t="s">
        <v>1058</v>
      </c>
    </row>
    <row r="10" spans="1:1">
      <c r="A10" s="555" t="s">
        <v>1049</v>
      </c>
    </row>
    <row r="11" spans="1:1">
      <c r="A11" s="555" t="s">
        <v>1059</v>
      </c>
    </row>
    <row r="12" spans="1:1">
      <c r="A12" s="555" t="s">
        <v>1050</v>
      </c>
    </row>
    <row r="13" spans="1:1">
      <c r="A13" s="555" t="s">
        <v>1051</v>
      </c>
    </row>
  </sheetData>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Z2"/>
  <sheetViews>
    <sheetView workbookViewId="0"/>
  </sheetViews>
  <sheetFormatPr defaultRowHeight="12.75"/>
  <sheetData>
    <row r="1" spans="1:78">
      <c r="A1" t="s">
        <v>337</v>
      </c>
    </row>
    <row r="2" spans="1:78">
      <c r="A2" s="2" t="s">
        <v>67</v>
      </c>
      <c r="B2" s="2" t="s">
        <v>91</v>
      </c>
      <c r="C2" s="2" t="s">
        <v>66</v>
      </c>
      <c r="D2" s="2" t="s">
        <v>90</v>
      </c>
      <c r="E2" s="2" t="s">
        <v>54</v>
      </c>
      <c r="F2" s="2" t="s">
        <v>78</v>
      </c>
      <c r="G2" s="2" t="s">
        <v>71</v>
      </c>
      <c r="H2" s="2" t="s">
        <v>95</v>
      </c>
      <c r="I2" s="2" t="s">
        <v>69</v>
      </c>
      <c r="J2" s="2" t="s">
        <v>93</v>
      </c>
      <c r="K2" s="2" t="s">
        <v>133</v>
      </c>
      <c r="L2" s="2" t="s">
        <v>128</v>
      </c>
      <c r="M2" s="2" t="s">
        <v>113</v>
      </c>
      <c r="N2" s="2" t="s">
        <v>128</v>
      </c>
      <c r="O2" s="2" t="s">
        <v>63</v>
      </c>
      <c r="P2" s="2" t="s">
        <v>87</v>
      </c>
      <c r="Q2" s="2" t="s">
        <v>60</v>
      </c>
      <c r="R2" s="2" t="s">
        <v>84</v>
      </c>
      <c r="S2" s="2" t="s">
        <v>72</v>
      </c>
      <c r="T2" s="2" t="s">
        <v>96</v>
      </c>
      <c r="U2" s="2" t="s">
        <v>53</v>
      </c>
      <c r="V2" s="2" t="s">
        <v>77</v>
      </c>
      <c r="W2" s="2" t="s">
        <v>334</v>
      </c>
      <c r="X2" s="2" t="s">
        <v>701</v>
      </c>
      <c r="Y2" s="2" t="s">
        <v>138</v>
      </c>
      <c r="Z2" s="2" t="s">
        <v>73</v>
      </c>
      <c r="AA2" s="2" t="s">
        <v>130</v>
      </c>
      <c r="AB2" s="2" t="s">
        <v>128</v>
      </c>
      <c r="AC2" s="2" t="s">
        <v>62</v>
      </c>
      <c r="AD2" s="2" t="s">
        <v>86</v>
      </c>
      <c r="AE2" s="2" t="s">
        <v>70</v>
      </c>
      <c r="AF2" s="2" t="s">
        <v>94</v>
      </c>
      <c r="AG2" s="2" t="s">
        <v>134</v>
      </c>
      <c r="AH2" s="2" t="s">
        <v>128</v>
      </c>
      <c r="AI2" s="2" t="s">
        <v>126</v>
      </c>
      <c r="AJ2" s="2" t="s">
        <v>36</v>
      </c>
      <c r="AK2" s="2" t="s">
        <v>55</v>
      </c>
      <c r="AL2" s="2" t="s">
        <v>79</v>
      </c>
      <c r="AM2" s="2" t="s">
        <v>61</v>
      </c>
      <c r="AN2" s="2" t="s">
        <v>85</v>
      </c>
      <c r="AO2" s="2" t="s">
        <v>131</v>
      </c>
      <c r="AP2" s="2" t="s">
        <v>128</v>
      </c>
      <c r="AQ2" s="2" t="s">
        <v>34</v>
      </c>
      <c r="AR2" s="2" t="s">
        <v>128</v>
      </c>
      <c r="AS2" s="2" t="s">
        <v>64</v>
      </c>
      <c r="AT2" s="2" t="s">
        <v>88</v>
      </c>
      <c r="AU2" s="2" t="s">
        <v>52</v>
      </c>
      <c r="AV2" s="2" t="s">
        <v>76</v>
      </c>
      <c r="AW2" s="2" t="s">
        <v>132</v>
      </c>
      <c r="AX2" s="2" t="s">
        <v>128</v>
      </c>
      <c r="AY2" s="2" t="s">
        <v>65</v>
      </c>
      <c r="AZ2" s="2" t="s">
        <v>89</v>
      </c>
      <c r="BA2" s="2" t="s">
        <v>114</v>
      </c>
      <c r="BB2" s="2" t="s">
        <v>128</v>
      </c>
      <c r="BC2" s="2" t="s">
        <v>59</v>
      </c>
      <c r="BD2" s="2" t="s">
        <v>83</v>
      </c>
      <c r="BE2" s="2" t="s">
        <v>33</v>
      </c>
      <c r="BF2" s="2" t="s">
        <v>128</v>
      </c>
      <c r="BG2" s="2" t="s">
        <v>139</v>
      </c>
      <c r="BH2" s="2" t="s">
        <v>74</v>
      </c>
      <c r="BI2" s="2" t="s">
        <v>125</v>
      </c>
      <c r="BJ2" s="2" t="s">
        <v>37</v>
      </c>
      <c r="BK2" s="2" t="s">
        <v>335</v>
      </c>
      <c r="BL2" s="2" t="s">
        <v>677</v>
      </c>
      <c r="BM2" s="2" t="s">
        <v>140</v>
      </c>
      <c r="BN2" s="2" t="s">
        <v>75</v>
      </c>
      <c r="BO2" s="2" t="s">
        <v>56</v>
      </c>
      <c r="BP2" s="2" t="s">
        <v>80</v>
      </c>
      <c r="BQ2" s="2" t="s">
        <v>68</v>
      </c>
      <c r="BR2" s="2" t="s">
        <v>92</v>
      </c>
      <c r="BS2" s="2" t="s">
        <v>57</v>
      </c>
      <c r="BT2" s="2" t="s">
        <v>81</v>
      </c>
      <c r="BU2" s="2" t="s">
        <v>336</v>
      </c>
      <c r="BV2" s="2" t="s">
        <v>127</v>
      </c>
      <c r="BW2" s="2" t="s">
        <v>35</v>
      </c>
      <c r="BX2" s="2" t="s">
        <v>128</v>
      </c>
      <c r="BY2" s="2" t="s">
        <v>58</v>
      </c>
      <c r="BZ2" s="2" t="s">
        <v>82</v>
      </c>
    </row>
  </sheetData>
  <phoneticPr fontId="7"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1"/>
  <sheetViews>
    <sheetView workbookViewId="0">
      <selection activeCell="B1" sqref="B1"/>
    </sheetView>
  </sheetViews>
  <sheetFormatPr defaultRowHeight="12.75"/>
  <sheetData>
    <row r="1" spans="1:2">
      <c r="B1" t="s">
        <v>135</v>
      </c>
    </row>
  </sheetData>
  <phoneticPr fontId="7" type="noConversion"/>
  <pageMargins left="0.75" right="0.75" top="1" bottom="1" header="0.5" footer="0.5"/>
  <pageSetup orientation="portrait" r:id="rId1"/>
  <headerFooter alignWithMargins="0"/>
  <legacyDrawing r:id="rId2"/>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file>

<file path=customXml/itemProps1.xml><?xml version="1.0" encoding="utf-8"?>
<ds:datastoreItem xmlns:ds="http://schemas.openxmlformats.org/officeDocument/2006/customXml" ds:itemID="{BCE9235C-7318-495E-81B7-853D0C9CF046}">
  <ds:schemaRefs>
    <ds:schemaRef ds:uri="thomsonreuters.linking.metadatachange"/>
  </ds:schemaRefs>
</ds:datastoreItem>
</file>

<file path=customXml/itemProps2.xml><?xml version="1.0" encoding="utf-8"?>
<ds:datastoreItem xmlns:ds="http://schemas.openxmlformats.org/officeDocument/2006/customXml" ds:itemID="{8EDF713D-C285-42C9-A46C-28EF9EF37F07}">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80</vt:i4>
      </vt:variant>
    </vt:vector>
  </HeadingPairs>
  <TitlesOfParts>
    <vt:vector size="90" baseType="lpstr">
      <vt:lpstr>ImportantDisclosures</vt:lpstr>
      <vt:lpstr>CircularReferenceAlert</vt:lpstr>
      <vt:lpstr>Model--&gt;</vt:lpstr>
      <vt:lpstr>Segments</vt:lpstr>
      <vt:lpstr>CA&amp;V</vt:lpstr>
      <vt:lpstr>IS</vt:lpstr>
      <vt:lpstr>BS</vt:lpstr>
      <vt:lpstr>CF</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Linking_13</vt:lpstr>
      <vt:lpstr>Linking_5</vt:lpstr>
      <vt:lpstr>Linking_6</vt:lpstr>
      <vt:lpstr>Linking_9</vt:lpstr>
      <vt:lpstr>Linking_Range_22</vt:lpstr>
      <vt:lpstr>Linking_Range_23</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BS!Print_Area</vt:lpstr>
      <vt:lpstr>CF!Print_Area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2009-07-28T21:09:35Z</dcterms:created>
  <dc:creator>Kumar, Neel (Research)</dc:creator>
  <cp:lastModifiedBy>Boyd, Patrice (Research)</cp:lastModifiedBy>
  <cp:lastPrinted>2018-03-27T21:05:07Z</cp:lastPrinted>
  <dcterms:modified xsi:type="dcterms:W3CDTF">2018-04-25T12:46:57Z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48</vt:lpwstr>
  </property>
  <property fmtid="{D5CDD505-2E9C-101B-9397-08002B2CF9AE}" name="IsInternalOnly" pid="3">
    <vt:lpwstr>True</vt:lpwstr>
  </property>
  <property fmtid="{D5CDD505-2E9C-101B-9397-08002B2CF9AE}" name="LinkingAutoNameNumberLinking_Range_" pid="4">
    <vt:lpwstr>48</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763973</vt:lpwstr>
  </property>
  <property fmtid="{D5CDD505-2E9C-101B-9397-08002B2CF9AE}" name="ERModPubCompanyName" pid="8">
    <vt:lpwstr>Olin Corp.</vt:lpwstr>
  </property>
  <property fmtid="{D5CDD505-2E9C-101B-9397-08002B2CF9AE}" name="ERModPubMaxIterations" pid="9">
    <vt:i4>100</vt:i4>
  </property>
  <property fmtid="{D5CDD505-2E9C-101B-9397-08002B2CF9AE}" name="ERModPubMaxChange" pid="10">
    <vt:r8>0.001</vt:r8>
  </property>
  <property fmtid="{D5CDD505-2E9C-101B-9397-08002B2CF9AE}" name="MSDH34TAG" pid="11">
    <vt:lpwstr>.TEZUF76X5TAHATHESADREYAK-00-INB160+*94600-06=9f937eb4/-4885/-11e8/-adef/-6a0a1ce82510,MD=20180425084816/-0400,ZZ=000Z-6d7a.</vt:lpwstr>
  </property>
</Properties>
</file>